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ma\repos\SixPeak-Board-Portal\models\"/>
    </mc:Choice>
  </mc:AlternateContent>
  <xr:revisionPtr revIDLastSave="0" documentId="13_ncr:1_{70C8AEDF-72AA-4245-AAB9-8FED90F8ABBB}" xr6:coauthVersionLast="47" xr6:coauthVersionMax="47" xr10:uidLastSave="{00000000-0000-0000-0000-000000000000}"/>
  <bookViews>
    <workbookView xWindow="17715" yWindow="195" windowWidth="45855" windowHeight="20655" tabRatio="638" activeTab="1" xr2:uid="{00000000-000D-0000-FFFF-FFFF00000000}"/>
  </bookViews>
  <sheets>
    <sheet name="Model" sheetId="1" r:id="rId1"/>
    <sheet name="Annual Summary" sheetId="2" r:id="rId2"/>
    <sheet name="QTR Summary" sheetId="3" r:id="rId3"/>
    <sheet name="Actuals" sheetId="4" r:id="rId4"/>
    <sheet name="Variance" sheetId="5" r:id="rId5"/>
    <sheet name="BD Commission" sheetId="6" r:id="rId6"/>
    <sheet name="Original Budget" sheetId="7" r:id="rId7"/>
    <sheet name="Projects" sheetId="8" r:id="rId8"/>
    <sheet name="Personnel" sheetId="9" r:id="rId9"/>
    <sheet name="Uplifters" sheetId="10" r:id="rId10"/>
    <sheet name="Appendix" sheetId="11" state="hidden" r:id="rId11"/>
    <sheet name="Sensitivity" sheetId="12" state="hidden" r:id="rId12"/>
    <sheet name="Curves" sheetId="13" state="hidden" r:id="rId13"/>
    <sheet name="Assumptions" sheetId="14" state="hidden" r:id="rId14"/>
    <sheet name="Escalation" sheetId="15" state="hidden" r:id="rId15"/>
    <sheet name="Helpers" sheetId="16" state="hidden" r:id="rId16"/>
    <sheet name="LIHTC Project P&amp;L" sheetId="17" state="hidden" r:id="rId17"/>
    <sheet name="BD Commission Detail" sheetId="18" r:id="rId1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8" l="1"/>
  <c r="E50" i="18"/>
  <c r="N50" i="18" s="1"/>
  <c r="D50" i="18"/>
  <c r="C50" i="18"/>
  <c r="H50" i="18" s="1"/>
  <c r="B50" i="18"/>
  <c r="A50" i="18"/>
  <c r="F49" i="18"/>
  <c r="I49" i="18" s="1"/>
  <c r="M49" i="18" s="1"/>
  <c r="E49" i="18"/>
  <c r="D49" i="18"/>
  <c r="C49" i="18"/>
  <c r="H49" i="18" s="1"/>
  <c r="B49" i="18"/>
  <c r="A49" i="18"/>
  <c r="F48" i="18"/>
  <c r="I48" i="18" s="1"/>
  <c r="M48" i="18" s="1"/>
  <c r="E48" i="18"/>
  <c r="D48" i="18"/>
  <c r="C48" i="18"/>
  <c r="B48" i="18"/>
  <c r="A48" i="18"/>
  <c r="F47" i="18"/>
  <c r="I47" i="18" s="1"/>
  <c r="M47" i="18" s="1"/>
  <c r="E47" i="18"/>
  <c r="D47" i="18"/>
  <c r="C47" i="18"/>
  <c r="H47" i="18" s="1"/>
  <c r="B47" i="18"/>
  <c r="A47" i="18"/>
  <c r="F46" i="18"/>
  <c r="E46" i="18"/>
  <c r="D46" i="18"/>
  <c r="C46" i="18"/>
  <c r="B46" i="18"/>
  <c r="A46" i="18"/>
  <c r="N45" i="18"/>
  <c r="K45" i="18"/>
  <c r="L45" i="18" s="1"/>
  <c r="F45" i="18"/>
  <c r="E45" i="18"/>
  <c r="J45" i="18" s="1"/>
  <c r="D45" i="18"/>
  <c r="C45" i="18"/>
  <c r="B45" i="18"/>
  <c r="A45" i="18"/>
  <c r="G44" i="18"/>
  <c r="F44" i="18"/>
  <c r="E44" i="18"/>
  <c r="D44" i="18"/>
  <c r="C44" i="18"/>
  <c r="H44" i="18" s="1"/>
  <c r="B44" i="18"/>
  <c r="A44" i="18"/>
  <c r="H43" i="18"/>
  <c r="G43" i="18"/>
  <c r="F43" i="18"/>
  <c r="E43" i="18"/>
  <c r="D43" i="18"/>
  <c r="C43" i="18"/>
  <c r="B43" i="18"/>
  <c r="A43" i="18"/>
  <c r="N42" i="18"/>
  <c r="K42" i="18"/>
  <c r="I42" i="18"/>
  <c r="M42" i="18" s="1"/>
  <c r="O42" i="18" s="1"/>
  <c r="F42" i="18"/>
  <c r="E42" i="18"/>
  <c r="J42" i="18" s="1"/>
  <c r="L42" i="18" s="1"/>
  <c r="D42" i="18"/>
  <c r="C42" i="18"/>
  <c r="H42" i="18" s="1"/>
  <c r="B42" i="18"/>
  <c r="A42" i="18"/>
  <c r="F41" i="18"/>
  <c r="I41" i="18" s="1"/>
  <c r="M41" i="18" s="1"/>
  <c r="E41" i="18"/>
  <c r="N41" i="18" s="1"/>
  <c r="D41" i="18"/>
  <c r="C41" i="18"/>
  <c r="H41" i="18" s="1"/>
  <c r="B41" i="18"/>
  <c r="A41" i="18"/>
  <c r="F40" i="18"/>
  <c r="I40" i="18" s="1"/>
  <c r="E40" i="18"/>
  <c r="N40" i="18" s="1"/>
  <c r="D40" i="18"/>
  <c r="C40" i="18"/>
  <c r="G40" i="18" s="1"/>
  <c r="B40" i="18"/>
  <c r="A40" i="18"/>
  <c r="F39" i="18"/>
  <c r="I39" i="18" s="1"/>
  <c r="M39" i="18" s="1"/>
  <c r="E39" i="18"/>
  <c r="D39" i="18"/>
  <c r="C39" i="18"/>
  <c r="H39" i="18" s="1"/>
  <c r="B39" i="18"/>
  <c r="A39" i="18"/>
  <c r="F38" i="18"/>
  <c r="E38" i="18"/>
  <c r="D38" i="18"/>
  <c r="C38" i="18"/>
  <c r="B38" i="18"/>
  <c r="A38" i="18"/>
  <c r="N37" i="18"/>
  <c r="F37" i="18"/>
  <c r="E37" i="18"/>
  <c r="D37" i="18"/>
  <c r="C37" i="18"/>
  <c r="B37" i="18"/>
  <c r="A37" i="18"/>
  <c r="G36" i="18"/>
  <c r="F36" i="18"/>
  <c r="E36" i="18"/>
  <c r="D36" i="18"/>
  <c r="C36" i="18"/>
  <c r="H36" i="18" s="1"/>
  <c r="B36" i="18"/>
  <c r="A36" i="18"/>
  <c r="N35" i="18"/>
  <c r="G35" i="18"/>
  <c r="F35" i="18"/>
  <c r="E35" i="18"/>
  <c r="D35" i="18"/>
  <c r="C35" i="18"/>
  <c r="H35" i="18" s="1"/>
  <c r="B35" i="18"/>
  <c r="A35" i="18"/>
  <c r="N34" i="18"/>
  <c r="H34" i="18"/>
  <c r="F34" i="18"/>
  <c r="I34" i="18" s="1"/>
  <c r="E34" i="18"/>
  <c r="K34" i="18" s="1"/>
  <c r="D34" i="18"/>
  <c r="C34" i="18"/>
  <c r="G34" i="18" s="1"/>
  <c r="B34" i="18"/>
  <c r="A34" i="18"/>
  <c r="I33" i="18"/>
  <c r="M33" i="18" s="1"/>
  <c r="F33" i="18"/>
  <c r="E33" i="18"/>
  <c r="D33" i="18"/>
  <c r="C33" i="18"/>
  <c r="H33" i="18" s="1"/>
  <c r="B33" i="18"/>
  <c r="A33" i="18"/>
  <c r="F32" i="18"/>
  <c r="E32" i="18"/>
  <c r="N32" i="18" s="1"/>
  <c r="D32" i="18"/>
  <c r="C32" i="18"/>
  <c r="B32" i="18"/>
  <c r="A32" i="18"/>
  <c r="F31" i="18"/>
  <c r="I31" i="18" s="1"/>
  <c r="M31" i="18" s="1"/>
  <c r="E31" i="18"/>
  <c r="N31" i="18" s="1"/>
  <c r="D31" i="18"/>
  <c r="C31" i="18"/>
  <c r="H31" i="18" s="1"/>
  <c r="B31" i="18"/>
  <c r="A31" i="18"/>
  <c r="F30" i="18"/>
  <c r="E30" i="18"/>
  <c r="N30" i="18" s="1"/>
  <c r="D30" i="18"/>
  <c r="C30" i="18"/>
  <c r="B30" i="18"/>
  <c r="A30" i="18"/>
  <c r="F29" i="18"/>
  <c r="E29" i="18"/>
  <c r="N29" i="18" s="1"/>
  <c r="D29" i="18"/>
  <c r="C29" i="18"/>
  <c r="B29" i="18"/>
  <c r="A29" i="18"/>
  <c r="F28" i="18"/>
  <c r="E28" i="18"/>
  <c r="D28" i="18"/>
  <c r="C28" i="18"/>
  <c r="H28" i="18" s="1"/>
  <c r="B28" i="18"/>
  <c r="A28" i="18"/>
  <c r="H27" i="18"/>
  <c r="F27" i="18"/>
  <c r="E27" i="18"/>
  <c r="D27" i="18"/>
  <c r="C27" i="18"/>
  <c r="G27" i="18" s="1"/>
  <c r="B27" i="18"/>
  <c r="N27" i="18" s="1"/>
  <c r="A27" i="18"/>
  <c r="N26" i="18"/>
  <c r="F26" i="18"/>
  <c r="I26" i="18" s="1"/>
  <c r="E26" i="18"/>
  <c r="D26" i="18"/>
  <c r="C26" i="18"/>
  <c r="H26" i="18" s="1"/>
  <c r="B26" i="18"/>
  <c r="A26" i="18"/>
  <c r="F25" i="18"/>
  <c r="I25" i="18" s="1"/>
  <c r="M25" i="18" s="1"/>
  <c r="E25" i="18"/>
  <c r="N25" i="18" s="1"/>
  <c r="D25" i="18"/>
  <c r="C25" i="18"/>
  <c r="H25" i="18" s="1"/>
  <c r="B25" i="18"/>
  <c r="A25" i="18"/>
  <c r="F24" i="18"/>
  <c r="E24" i="18"/>
  <c r="N24" i="18" s="1"/>
  <c r="D24" i="18"/>
  <c r="C24" i="18"/>
  <c r="B24" i="18"/>
  <c r="A24" i="18"/>
  <c r="F23" i="18"/>
  <c r="I23" i="18" s="1"/>
  <c r="M23" i="18" s="1"/>
  <c r="E23" i="18"/>
  <c r="N23" i="18" s="1"/>
  <c r="D23" i="18"/>
  <c r="C23" i="18"/>
  <c r="H23" i="18" s="1"/>
  <c r="B23" i="18"/>
  <c r="A23" i="18"/>
  <c r="F22" i="18"/>
  <c r="E22" i="18"/>
  <c r="N22" i="18" s="1"/>
  <c r="D22" i="18"/>
  <c r="C22" i="18"/>
  <c r="B22" i="18"/>
  <c r="A22" i="18"/>
  <c r="F21" i="18"/>
  <c r="E21" i="18"/>
  <c r="J21" i="18" s="1"/>
  <c r="D21" i="18"/>
  <c r="C21" i="18"/>
  <c r="B21" i="18"/>
  <c r="A21" i="18"/>
  <c r="CP17" i="18"/>
  <c r="DF15" i="18"/>
  <c r="DF17" i="18" s="1"/>
  <c r="DE15" i="18"/>
  <c r="DE17" i="18" s="1"/>
  <c r="DD15" i="18"/>
  <c r="DD17" i="18" s="1"/>
  <c r="DC15" i="18"/>
  <c r="DC17" i="18" s="1"/>
  <c r="DB15" i="18"/>
  <c r="DB17" i="18" s="1"/>
  <c r="DA15" i="18"/>
  <c r="DA17" i="18" s="1"/>
  <c r="CZ15" i="18"/>
  <c r="CY15" i="18"/>
  <c r="CY17" i="18" s="1"/>
  <c r="CX15" i="18"/>
  <c r="CX17" i="18" s="1"/>
  <c r="CW15" i="18"/>
  <c r="CW17" i="18" s="1"/>
  <c r="CV15" i="18"/>
  <c r="CV17" i="18" s="1"/>
  <c r="CU15" i="18"/>
  <c r="CU17" i="18" s="1"/>
  <c r="CT15" i="18"/>
  <c r="CT17" i="18" s="1"/>
  <c r="CS15" i="18"/>
  <c r="CS17" i="18" s="1"/>
  <c r="CR15" i="18"/>
  <c r="CQ15" i="18"/>
  <c r="CQ17" i="18" s="1"/>
  <c r="CP15" i="18"/>
  <c r="CO15" i="18"/>
  <c r="CO17" i="18" s="1"/>
  <c r="CN15" i="18"/>
  <c r="CN17" i="18" s="1"/>
  <c r="CM15" i="18"/>
  <c r="CM17" i="18" s="1"/>
  <c r="CL15" i="18"/>
  <c r="CL17" i="18" s="1"/>
  <c r="CK15" i="18"/>
  <c r="CK17" i="18" s="1"/>
  <c r="CJ15" i="18"/>
  <c r="CI15" i="18"/>
  <c r="CI17" i="18" s="1"/>
  <c r="CH15" i="18"/>
  <c r="CH17" i="18" s="1"/>
  <c r="CG15" i="18"/>
  <c r="CG17" i="18" s="1"/>
  <c r="CF15" i="18"/>
  <c r="CF17" i="18" s="1"/>
  <c r="CE15" i="18"/>
  <c r="CE17" i="18" s="1"/>
  <c r="CD15" i="18"/>
  <c r="CD17" i="18" s="1"/>
  <c r="CC15" i="18"/>
  <c r="CC17" i="18" s="1"/>
  <c r="CB15" i="18"/>
  <c r="CA15" i="18"/>
  <c r="CA17" i="18" s="1"/>
  <c r="BZ15" i="18"/>
  <c r="BZ17" i="18" s="1"/>
  <c r="BY15" i="18"/>
  <c r="BY17" i="18" s="1"/>
  <c r="BX15" i="18"/>
  <c r="BX17" i="18" s="1"/>
  <c r="BW15" i="18"/>
  <c r="BW17" i="18" s="1"/>
  <c r="BV15" i="18"/>
  <c r="BV17" i="18" s="1"/>
  <c r="BU15" i="18"/>
  <c r="BU17" i="18" s="1"/>
  <c r="BT15" i="18"/>
  <c r="BS15" i="18"/>
  <c r="BS17" i="18" s="1"/>
  <c r="BR15" i="18"/>
  <c r="BR17" i="18" s="1"/>
  <c r="BQ15" i="18"/>
  <c r="BQ17" i="18" s="1"/>
  <c r="BP15" i="18"/>
  <c r="BP17" i="18" s="1"/>
  <c r="BO15" i="18"/>
  <c r="BO17" i="18" s="1"/>
  <c r="BN15" i="18"/>
  <c r="BN17" i="18" s="1"/>
  <c r="BM15" i="18"/>
  <c r="BM17" i="18" s="1"/>
  <c r="BL15" i="18"/>
  <c r="BK15" i="18"/>
  <c r="BK17" i="18" s="1"/>
  <c r="BJ15" i="18"/>
  <c r="BJ17" i="18" s="1"/>
  <c r="BI15" i="18"/>
  <c r="BI17" i="18" s="1"/>
  <c r="BH15" i="18"/>
  <c r="BH17" i="18" s="1"/>
  <c r="BG15" i="18"/>
  <c r="BG17" i="18" s="1"/>
  <c r="BF15" i="18"/>
  <c r="BF17" i="18" s="1"/>
  <c r="BE15" i="18"/>
  <c r="BE17" i="18" s="1"/>
  <c r="BD15" i="18"/>
  <c r="BC15" i="18"/>
  <c r="BC17" i="18" s="1"/>
  <c r="BB15" i="18"/>
  <c r="BB17" i="18" s="1"/>
  <c r="BA15" i="18"/>
  <c r="BA17" i="18" s="1"/>
  <c r="AZ15" i="18"/>
  <c r="AZ17" i="18" s="1"/>
  <c r="AY15" i="18"/>
  <c r="AY17" i="18" s="1"/>
  <c r="AX15" i="18"/>
  <c r="AX17" i="18" s="1"/>
  <c r="AW15" i="18"/>
  <c r="AW17" i="18" s="1"/>
  <c r="AV15" i="18"/>
  <c r="AU15" i="18"/>
  <c r="AU17" i="18" s="1"/>
  <c r="AT15" i="18"/>
  <c r="AT17" i="18" s="1"/>
  <c r="AS15" i="18"/>
  <c r="AS17" i="18" s="1"/>
  <c r="AR15" i="18"/>
  <c r="AR17" i="18" s="1"/>
  <c r="AQ15" i="18"/>
  <c r="AQ17" i="18" s="1"/>
  <c r="AP15" i="18"/>
  <c r="AP17" i="18" s="1"/>
  <c r="AO15" i="18"/>
  <c r="AO17" i="18" s="1"/>
  <c r="AN15" i="18"/>
  <c r="AM15" i="18"/>
  <c r="AM17" i="18" s="1"/>
  <c r="AL15" i="18"/>
  <c r="AL17" i="18" s="1"/>
  <c r="AK15" i="18"/>
  <c r="AK17" i="18" s="1"/>
  <c r="AJ15" i="18"/>
  <c r="AJ17" i="18" s="1"/>
  <c r="AI15" i="18"/>
  <c r="AI17" i="18" s="1"/>
  <c r="AH15" i="18"/>
  <c r="AH17" i="18" s="1"/>
  <c r="AG15" i="18"/>
  <c r="AG17" i="18" s="1"/>
  <c r="AF15" i="18"/>
  <c r="AE15" i="18"/>
  <c r="AE17" i="18" s="1"/>
  <c r="AD15" i="18"/>
  <c r="AD17" i="18" s="1"/>
  <c r="AC15" i="18"/>
  <c r="AC17" i="18" s="1"/>
  <c r="AB15" i="18"/>
  <c r="AB17" i="18" s="1"/>
  <c r="AA15" i="18"/>
  <c r="AA17" i="18" s="1"/>
  <c r="Z15" i="18"/>
  <c r="Z17" i="18" s="1"/>
  <c r="Y15" i="18"/>
  <c r="Y17" i="18" s="1"/>
  <c r="X15" i="18"/>
  <c r="X17" i="18" s="1"/>
  <c r="W15" i="18"/>
  <c r="W17" i="18" s="1"/>
  <c r="V15" i="18"/>
  <c r="V17" i="18" s="1"/>
  <c r="U15" i="18"/>
  <c r="U17" i="18" s="1"/>
  <c r="T15" i="18"/>
  <c r="T17" i="18" s="1"/>
  <c r="S15" i="18"/>
  <c r="S17" i="18" s="1"/>
  <c r="R15" i="18"/>
  <c r="R17" i="18" s="1"/>
  <c r="Q15" i="18"/>
  <c r="Q17" i="18" s="1"/>
  <c r="P15" i="18"/>
  <c r="O15" i="18"/>
  <c r="O17" i="18" s="1"/>
  <c r="N15" i="18"/>
  <c r="N17" i="18" s="1"/>
  <c r="M15" i="18"/>
  <c r="M17" i="18" s="1"/>
  <c r="L15" i="18"/>
  <c r="L17" i="18" s="1"/>
  <c r="K15" i="18"/>
  <c r="K17" i="18" s="1"/>
  <c r="J15" i="18"/>
  <c r="J17" i="18" s="1"/>
  <c r="I15" i="18"/>
  <c r="I17" i="18" s="1"/>
  <c r="H15" i="18"/>
  <c r="G15" i="18"/>
  <c r="G17" i="18" s="1"/>
  <c r="F15" i="18"/>
  <c r="F17" i="18" s="1"/>
  <c r="E15" i="18"/>
  <c r="E17" i="18" s="1"/>
  <c r="D15" i="18"/>
  <c r="D17" i="18" s="1"/>
  <c r="C15" i="18"/>
  <c r="C29" i="17"/>
  <c r="C28" i="17"/>
  <c r="B22" i="17"/>
  <c r="D22" i="17" s="1"/>
  <c r="D21" i="17"/>
  <c r="B21" i="17"/>
  <c r="B15" i="17"/>
  <c r="D15" i="17" s="1"/>
  <c r="B14" i="17"/>
  <c r="D14" i="17" s="1"/>
  <c r="D9" i="17"/>
  <c r="D8" i="17"/>
  <c r="B8" i="17"/>
  <c r="B7" i="17"/>
  <c r="B28" i="17" s="1"/>
  <c r="DF101" i="16"/>
  <c r="DE101" i="16"/>
  <c r="DD101" i="16"/>
  <c r="DC101" i="16"/>
  <c r="DB101" i="16"/>
  <c r="DA101" i="16"/>
  <c r="CZ101" i="16"/>
  <c r="CY101" i="16"/>
  <c r="CX101" i="16"/>
  <c r="CW101" i="16"/>
  <c r="CV101" i="16"/>
  <c r="E14" i="18" s="1"/>
  <c r="CU101" i="16"/>
  <c r="CT101" i="16"/>
  <c r="CS101" i="16"/>
  <c r="CR101" i="16"/>
  <c r="CQ101" i="16"/>
  <c r="CP101" i="16"/>
  <c r="CO101" i="16"/>
  <c r="CN101" i="16"/>
  <c r="CM101" i="16"/>
  <c r="CL101" i="16"/>
  <c r="CK101" i="16"/>
  <c r="CJ101" i="16"/>
  <c r="CI101" i="16"/>
  <c r="E13" i="18" s="1"/>
  <c r="CH101" i="16"/>
  <c r="CG101" i="16"/>
  <c r="CF101" i="16"/>
  <c r="CE101" i="16"/>
  <c r="CD101" i="16"/>
  <c r="CC101" i="16"/>
  <c r="CB101" i="16"/>
  <c r="CA101" i="16"/>
  <c r="BZ101" i="16"/>
  <c r="BY101" i="16"/>
  <c r="BX101" i="16"/>
  <c r="BW101" i="16"/>
  <c r="BV101" i="16"/>
  <c r="BU101" i="16"/>
  <c r="BT101" i="16"/>
  <c r="BS101" i="16"/>
  <c r="BR101" i="16"/>
  <c r="BQ101" i="16"/>
  <c r="BP101" i="16"/>
  <c r="BO101" i="16"/>
  <c r="BN101" i="16"/>
  <c r="BM101" i="16"/>
  <c r="BL101" i="16"/>
  <c r="BK101" i="16"/>
  <c r="E11" i="18" s="1"/>
  <c r="BJ101" i="16"/>
  <c r="BI101" i="16"/>
  <c r="BH101" i="16"/>
  <c r="BG101" i="16"/>
  <c r="BF101" i="16"/>
  <c r="BE101" i="16"/>
  <c r="BD101" i="16"/>
  <c r="BC101" i="16"/>
  <c r="BB101" i="16"/>
  <c r="BA101" i="16"/>
  <c r="AZ101" i="16"/>
  <c r="AY101" i="16"/>
  <c r="AX101" i="16"/>
  <c r="AW101" i="16"/>
  <c r="AV101" i="16"/>
  <c r="AU101" i="16"/>
  <c r="AT101" i="16"/>
  <c r="AS101" i="16"/>
  <c r="AR101" i="16"/>
  <c r="AQ101" i="16"/>
  <c r="AP101" i="16"/>
  <c r="AO101" i="16"/>
  <c r="AN101" i="16"/>
  <c r="AM101" i="16"/>
  <c r="E9" i="18" s="1"/>
  <c r="AL101" i="16"/>
  <c r="AK101" i="16"/>
  <c r="AJ101" i="16"/>
  <c r="AI101" i="16"/>
  <c r="AH101" i="16"/>
  <c r="AG101" i="16"/>
  <c r="AF101" i="16"/>
  <c r="AE101" i="16"/>
  <c r="AD101" i="16"/>
  <c r="AC101" i="16"/>
  <c r="AB101" i="16"/>
  <c r="AA101" i="16"/>
  <c r="Z101" i="16"/>
  <c r="Y101" i="16"/>
  <c r="X101" i="16"/>
  <c r="W101" i="16"/>
  <c r="V101" i="16"/>
  <c r="U101" i="16"/>
  <c r="T101" i="16"/>
  <c r="S101" i="16"/>
  <c r="R101" i="16"/>
  <c r="Q101" i="16"/>
  <c r="P101" i="16"/>
  <c r="O101" i="16"/>
  <c r="N101" i="16"/>
  <c r="M101" i="16"/>
  <c r="L101" i="16"/>
  <c r="K101" i="16"/>
  <c r="J101" i="16"/>
  <c r="I101" i="16"/>
  <c r="H101" i="16"/>
  <c r="G101" i="16"/>
  <c r="F101" i="16"/>
  <c r="E101" i="16"/>
  <c r="D101" i="16"/>
  <c r="C101" i="16"/>
  <c r="DE97" i="16"/>
  <c r="DF96" i="16"/>
  <c r="DF97" i="16" s="1"/>
  <c r="DE96" i="16"/>
  <c r="DD96" i="16"/>
  <c r="DD97" i="16" s="1"/>
  <c r="DC96" i="16"/>
  <c r="DC97" i="16" s="1"/>
  <c r="DB96" i="16"/>
  <c r="DB97" i="16" s="1"/>
  <c r="DA96" i="16"/>
  <c r="DA97" i="16" s="1"/>
  <c r="CZ96" i="16"/>
  <c r="CZ97" i="16" s="1"/>
  <c r="CY96" i="16"/>
  <c r="CY97" i="16" s="1"/>
  <c r="CX96" i="16"/>
  <c r="CX97" i="16" s="1"/>
  <c r="CW96" i="16"/>
  <c r="CW97" i="16" s="1"/>
  <c r="CV96" i="16"/>
  <c r="CV97" i="16" s="1"/>
  <c r="CU96" i="16"/>
  <c r="CT96" i="16"/>
  <c r="CT97" i="16" s="1"/>
  <c r="CS96" i="16"/>
  <c r="CS97" i="16" s="1"/>
  <c r="CR96" i="16"/>
  <c r="CR97" i="16" s="1"/>
  <c r="CQ96" i="16"/>
  <c r="CQ97" i="16" s="1"/>
  <c r="CP96" i="16"/>
  <c r="CP97" i="16" s="1"/>
  <c r="CO96" i="16"/>
  <c r="CO97" i="16" s="1"/>
  <c r="CN96" i="16"/>
  <c r="CN97" i="16" s="1"/>
  <c r="CM96" i="16"/>
  <c r="CM97" i="16" s="1"/>
  <c r="CL96" i="16"/>
  <c r="CL97" i="16" s="1"/>
  <c r="CK96" i="16"/>
  <c r="CK97" i="16" s="1"/>
  <c r="CJ96" i="16"/>
  <c r="CJ97" i="16" s="1"/>
  <c r="CI96" i="16"/>
  <c r="CI97" i="16" s="1"/>
  <c r="D12" i="6" s="1"/>
  <c r="CH96" i="16"/>
  <c r="CH97" i="16" s="1"/>
  <c r="CG96" i="16"/>
  <c r="CG97" i="16" s="1"/>
  <c r="CF96" i="16"/>
  <c r="CF97" i="16" s="1"/>
  <c r="CE96" i="16"/>
  <c r="CE97" i="16" s="1"/>
  <c r="CD96" i="16"/>
  <c r="CD97" i="16" s="1"/>
  <c r="CC96" i="16"/>
  <c r="CC97" i="16" s="1"/>
  <c r="CB96" i="16"/>
  <c r="CB97" i="16" s="1"/>
  <c r="CA96" i="16"/>
  <c r="CA97" i="16" s="1"/>
  <c r="BZ96" i="16"/>
  <c r="BZ97" i="16" s="1"/>
  <c r="BY96" i="16"/>
  <c r="BY97" i="16" s="1"/>
  <c r="BX96" i="16"/>
  <c r="BX97" i="16" s="1"/>
  <c r="BW96" i="16"/>
  <c r="BV96" i="16"/>
  <c r="BV97" i="16" s="1"/>
  <c r="BU96" i="16"/>
  <c r="BU97" i="16" s="1"/>
  <c r="BT96" i="16"/>
  <c r="BT97" i="16" s="1"/>
  <c r="BS96" i="16"/>
  <c r="BS97" i="16" s="1"/>
  <c r="BR96" i="16"/>
  <c r="BR97" i="16" s="1"/>
  <c r="BQ96" i="16"/>
  <c r="BQ97" i="16" s="1"/>
  <c r="BP96" i="16"/>
  <c r="BP97" i="16" s="1"/>
  <c r="BO96" i="16"/>
  <c r="BO97" i="16" s="1"/>
  <c r="BN96" i="16"/>
  <c r="BN97" i="16" s="1"/>
  <c r="BM96" i="16"/>
  <c r="BM97" i="16" s="1"/>
  <c r="BL96" i="16"/>
  <c r="BL97" i="16" s="1"/>
  <c r="BK96" i="16"/>
  <c r="BK97" i="16" s="1"/>
  <c r="F10" i="6" s="1"/>
  <c r="BJ96" i="16"/>
  <c r="BJ97" i="16" s="1"/>
  <c r="BI96" i="16"/>
  <c r="BI97" i="16" s="1"/>
  <c r="BH96" i="16"/>
  <c r="BH97" i="16" s="1"/>
  <c r="BG96" i="16"/>
  <c r="BG97" i="16" s="1"/>
  <c r="BF96" i="16"/>
  <c r="BF97" i="16" s="1"/>
  <c r="BE96" i="16"/>
  <c r="BE97" i="16" s="1"/>
  <c r="BD96" i="16"/>
  <c r="BD97" i="16" s="1"/>
  <c r="BC96" i="16"/>
  <c r="BC97" i="16" s="1"/>
  <c r="BB96" i="16"/>
  <c r="BB97" i="16" s="1"/>
  <c r="BA96" i="16"/>
  <c r="BA97" i="16" s="1"/>
  <c r="AZ96" i="16"/>
  <c r="AZ97" i="16" s="1"/>
  <c r="AY96" i="16"/>
  <c r="AX96" i="16"/>
  <c r="AX97" i="16" s="1"/>
  <c r="AW96" i="16"/>
  <c r="AW97" i="16" s="1"/>
  <c r="AV96" i="16"/>
  <c r="AV97" i="16" s="1"/>
  <c r="AU96" i="16"/>
  <c r="AU97" i="16" s="1"/>
  <c r="AT96" i="16"/>
  <c r="AT97" i="16" s="1"/>
  <c r="AS96" i="16"/>
  <c r="AS97" i="16" s="1"/>
  <c r="AR96" i="16"/>
  <c r="AR97" i="16" s="1"/>
  <c r="AQ96" i="16"/>
  <c r="AQ97" i="16" s="1"/>
  <c r="AP96" i="16"/>
  <c r="AP97" i="16" s="1"/>
  <c r="AO96" i="16"/>
  <c r="AO97" i="16" s="1"/>
  <c r="AN96" i="16"/>
  <c r="AN97" i="16" s="1"/>
  <c r="AM96" i="16"/>
  <c r="AM97" i="16" s="1"/>
  <c r="F8" i="6" s="1"/>
  <c r="AL96" i="16"/>
  <c r="AL97" i="16" s="1"/>
  <c r="AK96" i="16"/>
  <c r="AK97" i="16" s="1"/>
  <c r="AJ96" i="16"/>
  <c r="AJ97" i="16" s="1"/>
  <c r="AI96" i="16"/>
  <c r="AI97" i="16" s="1"/>
  <c r="AH96" i="16"/>
  <c r="AH97" i="16" s="1"/>
  <c r="AG96" i="16"/>
  <c r="AG97" i="16" s="1"/>
  <c r="AF96" i="16"/>
  <c r="AF97" i="16" s="1"/>
  <c r="AE96" i="16"/>
  <c r="AE97" i="16" s="1"/>
  <c r="AD96" i="16"/>
  <c r="AD97" i="16" s="1"/>
  <c r="AC96" i="16"/>
  <c r="AC97" i="16" s="1"/>
  <c r="AB96" i="16"/>
  <c r="AB97" i="16" s="1"/>
  <c r="AA96" i="16"/>
  <c r="Z96" i="16"/>
  <c r="Z97" i="16" s="1"/>
  <c r="Y96" i="16"/>
  <c r="Y97" i="16" s="1"/>
  <c r="X96" i="16"/>
  <c r="X97" i="16" s="1"/>
  <c r="W96" i="16"/>
  <c r="W97" i="16" s="1"/>
  <c r="V96" i="16"/>
  <c r="V97" i="16" s="1"/>
  <c r="U96" i="16"/>
  <c r="U97" i="16" s="1"/>
  <c r="T96" i="16"/>
  <c r="T97" i="16" s="1"/>
  <c r="S96" i="16"/>
  <c r="S97" i="16" s="1"/>
  <c r="R96" i="16"/>
  <c r="R97" i="16" s="1"/>
  <c r="Q96" i="16"/>
  <c r="Q97" i="16" s="1"/>
  <c r="P96" i="16"/>
  <c r="P97" i="16" s="1"/>
  <c r="O96" i="16"/>
  <c r="O97" i="16" s="1"/>
  <c r="N96" i="16"/>
  <c r="N97" i="16" s="1"/>
  <c r="M96" i="16"/>
  <c r="M97" i="16" s="1"/>
  <c r="L96" i="16"/>
  <c r="L97" i="16" s="1"/>
  <c r="K96" i="16"/>
  <c r="K97" i="16" s="1"/>
  <c r="J96" i="16"/>
  <c r="J97" i="16" s="1"/>
  <c r="I96" i="16"/>
  <c r="H96" i="16"/>
  <c r="H97" i="16" s="1"/>
  <c r="G96" i="16"/>
  <c r="G97" i="16" s="1"/>
  <c r="F96" i="16"/>
  <c r="F97" i="16" s="1"/>
  <c r="E96" i="16"/>
  <c r="E97" i="16" s="1"/>
  <c r="D96" i="16"/>
  <c r="D97" i="16" s="1"/>
  <c r="C96" i="16"/>
  <c r="C25" i="16"/>
  <c r="C22" i="16"/>
  <c r="C19" i="16"/>
  <c r="CQ15" i="16"/>
  <c r="CP15" i="16"/>
  <c r="CO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CQ14" i="16"/>
  <c r="CT168" i="1" s="1"/>
  <c r="CP14" i="16"/>
  <c r="CO14" i="16"/>
  <c r="CN14" i="16"/>
  <c r="CM14" i="16"/>
  <c r="CL14" i="16"/>
  <c r="CK14" i="16"/>
  <c r="CJ14" i="16"/>
  <c r="CI14" i="16"/>
  <c r="CL168" i="1" s="1"/>
  <c r="CH14" i="16"/>
  <c r="CG14" i="16"/>
  <c r="CF14" i="16"/>
  <c r="CE14" i="16"/>
  <c r="CD14" i="16"/>
  <c r="CC14" i="16"/>
  <c r="CB14" i="16"/>
  <c r="CA14" i="16"/>
  <c r="CD168" i="1" s="1"/>
  <c r="BZ14" i="16"/>
  <c r="BY14" i="16"/>
  <c r="BX14" i="16"/>
  <c r="BW14" i="16"/>
  <c r="BV14" i="16"/>
  <c r="BU14" i="16"/>
  <c r="BT14" i="16"/>
  <c r="BS14" i="16"/>
  <c r="BV168" i="1" s="1"/>
  <c r="BR14" i="16"/>
  <c r="BQ14" i="16"/>
  <c r="BP14" i="16"/>
  <c r="BO14" i="16"/>
  <c r="BN14" i="16"/>
  <c r="BM14" i="16"/>
  <c r="BL14" i="16"/>
  <c r="BK14" i="16"/>
  <c r="BN168" i="1" s="1"/>
  <c r="BJ14" i="16"/>
  <c r="BI14" i="16"/>
  <c r="BH14" i="16"/>
  <c r="BG14" i="16"/>
  <c r="BF14" i="16"/>
  <c r="BE14" i="16"/>
  <c r="BD14" i="16"/>
  <c r="BC14" i="16"/>
  <c r="BF168" i="1" s="1"/>
  <c r="BB14" i="16"/>
  <c r="BA14" i="16"/>
  <c r="AZ14" i="16"/>
  <c r="AY14" i="16"/>
  <c r="AX14" i="16"/>
  <c r="AW14" i="16"/>
  <c r="AV14" i="16"/>
  <c r="AU14" i="16"/>
  <c r="AX168" i="1" s="1"/>
  <c r="AT14" i="16"/>
  <c r="AS14" i="16"/>
  <c r="AR14" i="16"/>
  <c r="AQ14" i="16"/>
  <c r="AP14" i="16"/>
  <c r="AO14" i="16"/>
  <c r="AN14" i="16"/>
  <c r="AM14" i="16"/>
  <c r="AP168" i="1" s="1"/>
  <c r="AL14" i="16"/>
  <c r="AK14" i="16"/>
  <c r="AJ14" i="16"/>
  <c r="AI14" i="16"/>
  <c r="AH14" i="16"/>
  <c r="AG14" i="16"/>
  <c r="AF14" i="16"/>
  <c r="AE14" i="16"/>
  <c r="AH168" i="1" s="1"/>
  <c r="AD14" i="16"/>
  <c r="AC14" i="16"/>
  <c r="AB14" i="16"/>
  <c r="AA14" i="16"/>
  <c r="Z14" i="16"/>
  <c r="Y14" i="16"/>
  <c r="X14" i="16"/>
  <c r="W14" i="16"/>
  <c r="Z168" i="1" s="1"/>
  <c r="V14" i="16"/>
  <c r="U14" i="16"/>
  <c r="T14" i="16"/>
  <c r="S14" i="16"/>
  <c r="R14" i="16"/>
  <c r="Q14" i="16"/>
  <c r="P14" i="16"/>
  <c r="O14" i="16"/>
  <c r="R168" i="1" s="1"/>
  <c r="N14" i="16"/>
  <c r="M14" i="16"/>
  <c r="L14" i="16"/>
  <c r="K14" i="16"/>
  <c r="J14" i="16"/>
  <c r="I14" i="16"/>
  <c r="H14" i="16"/>
  <c r="G14" i="16"/>
  <c r="J168" i="1" s="1"/>
  <c r="F14" i="16"/>
  <c r="E14" i="16"/>
  <c r="D14" i="16"/>
  <c r="C14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CQ12" i="16"/>
  <c r="CP12" i="16"/>
  <c r="CO12" i="16"/>
  <c r="CN12" i="16"/>
  <c r="CM12" i="16"/>
  <c r="CL12" i="16"/>
  <c r="CK12" i="16"/>
  <c r="CN166" i="1" s="1"/>
  <c r="CJ12" i="16"/>
  <c r="CI12" i="16"/>
  <c r="CH12" i="16"/>
  <c r="CG12" i="16"/>
  <c r="CF12" i="16"/>
  <c r="CE12" i="16"/>
  <c r="CD12" i="16"/>
  <c r="CC12" i="16"/>
  <c r="CF166" i="1" s="1"/>
  <c r="CB12" i="16"/>
  <c r="CA12" i="16"/>
  <c r="BZ12" i="16"/>
  <c r="BY12" i="16"/>
  <c r="BX12" i="16"/>
  <c r="BW12" i="16"/>
  <c r="BV12" i="16"/>
  <c r="BU12" i="16"/>
  <c r="BX166" i="1" s="1"/>
  <c r="BT12" i="16"/>
  <c r="BS12" i="16"/>
  <c r="BR12" i="16"/>
  <c r="BQ12" i="16"/>
  <c r="BP12" i="16"/>
  <c r="BO12" i="16"/>
  <c r="BN12" i="16"/>
  <c r="BM12" i="16"/>
  <c r="BP166" i="1" s="1"/>
  <c r="BL12" i="16"/>
  <c r="BK12" i="16"/>
  <c r="BJ12" i="16"/>
  <c r="BI12" i="16"/>
  <c r="BH12" i="16"/>
  <c r="BG12" i="16"/>
  <c r="BF12" i="16"/>
  <c r="BE12" i="16"/>
  <c r="BH166" i="1" s="1"/>
  <c r="BD12" i="16"/>
  <c r="BC12" i="16"/>
  <c r="BB12" i="16"/>
  <c r="BA12" i="16"/>
  <c r="AZ12" i="16"/>
  <c r="AY12" i="16"/>
  <c r="AX12" i="16"/>
  <c r="AW12" i="16"/>
  <c r="AZ166" i="1" s="1"/>
  <c r="AV12" i="16"/>
  <c r="AU12" i="16"/>
  <c r="AT12" i="16"/>
  <c r="AS12" i="16"/>
  <c r="AR12" i="16"/>
  <c r="AQ12" i="16"/>
  <c r="AP12" i="16"/>
  <c r="AO12" i="16"/>
  <c r="AR166" i="1" s="1"/>
  <c r="AN12" i="16"/>
  <c r="AM12" i="16"/>
  <c r="AL12" i="16"/>
  <c r="AK12" i="16"/>
  <c r="AJ12" i="16"/>
  <c r="AI12" i="16"/>
  <c r="AH12" i="16"/>
  <c r="AG12" i="16"/>
  <c r="AJ166" i="1" s="1"/>
  <c r="AF12" i="16"/>
  <c r="AE12" i="16"/>
  <c r="AD12" i="16"/>
  <c r="AC12" i="16"/>
  <c r="AB12" i="16"/>
  <c r="AA12" i="16"/>
  <c r="Z12" i="16"/>
  <c r="Y12" i="16"/>
  <c r="AB166" i="1" s="1"/>
  <c r="X12" i="16"/>
  <c r="W12" i="16"/>
  <c r="V12" i="16"/>
  <c r="U12" i="16"/>
  <c r="T12" i="16"/>
  <c r="S12" i="16"/>
  <c r="R12" i="16"/>
  <c r="Q12" i="16"/>
  <c r="T166" i="1" s="1"/>
  <c r="P12" i="16"/>
  <c r="O12" i="16"/>
  <c r="N12" i="16"/>
  <c r="M12" i="16"/>
  <c r="L12" i="16"/>
  <c r="K12" i="16"/>
  <c r="J12" i="16"/>
  <c r="I12" i="16"/>
  <c r="L166" i="1" s="1"/>
  <c r="H12" i="16"/>
  <c r="G12" i="16"/>
  <c r="F12" i="16"/>
  <c r="E12" i="16"/>
  <c r="D12" i="16"/>
  <c r="C12" i="16"/>
  <c r="F166" i="1" s="1"/>
  <c r="CQ11" i="16"/>
  <c r="CP11" i="16"/>
  <c r="CO11" i="16"/>
  <c r="CN11" i="16"/>
  <c r="CM11" i="16"/>
  <c r="CL11" i="16"/>
  <c r="CK11" i="16"/>
  <c r="CJ11" i="16"/>
  <c r="CI11" i="16"/>
  <c r="CH11" i="16"/>
  <c r="CG11" i="16"/>
  <c r="CF11" i="16"/>
  <c r="CE11" i="16"/>
  <c r="CD11" i="16"/>
  <c r="CC11" i="16"/>
  <c r="CB11" i="16"/>
  <c r="CA11" i="16"/>
  <c r="BZ11" i="16"/>
  <c r="BY11" i="16"/>
  <c r="BX11" i="16"/>
  <c r="BW11" i="16"/>
  <c r="BV11" i="16"/>
  <c r="BU11" i="16"/>
  <c r="BT11" i="16"/>
  <c r="BS11" i="16"/>
  <c r="BR11" i="16"/>
  <c r="BQ11" i="16"/>
  <c r="BP11" i="16"/>
  <c r="BO11" i="16"/>
  <c r="BN11" i="16"/>
  <c r="BM11" i="16"/>
  <c r="BL11" i="16"/>
  <c r="BK11" i="16"/>
  <c r="BJ11" i="16"/>
  <c r="BI11" i="16"/>
  <c r="BH11" i="16"/>
  <c r="BG11" i="16"/>
  <c r="BF11" i="16"/>
  <c r="BE11" i="16"/>
  <c r="BD11" i="16"/>
  <c r="BC11" i="16"/>
  <c r="BB11" i="16"/>
  <c r="BA11" i="16"/>
  <c r="AZ11" i="16"/>
  <c r="AY11" i="16"/>
  <c r="AX11" i="16"/>
  <c r="AW11" i="16"/>
  <c r="AV11" i="16"/>
  <c r="AU11" i="16"/>
  <c r="AT11" i="16"/>
  <c r="AS11" i="16"/>
  <c r="AR11" i="16"/>
  <c r="AQ11" i="16"/>
  <c r="AP11" i="16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CQ10" i="16"/>
  <c r="CP10" i="16"/>
  <c r="CO10" i="16"/>
  <c r="CR164" i="1" s="1"/>
  <c r="CN10" i="16"/>
  <c r="CM10" i="16"/>
  <c r="CP164" i="1" s="1"/>
  <c r="CL10" i="16"/>
  <c r="CK10" i="16"/>
  <c r="CJ10" i="16"/>
  <c r="CI10" i="16"/>
  <c r="CH10" i="16"/>
  <c r="CG10" i="16"/>
  <c r="CF10" i="16"/>
  <c r="CE10" i="16"/>
  <c r="CH164" i="1" s="1"/>
  <c r="CD10" i="16"/>
  <c r="CC10" i="16"/>
  <c r="CB10" i="16"/>
  <c r="CA10" i="16"/>
  <c r="BZ10" i="16"/>
  <c r="BY10" i="16"/>
  <c r="BX10" i="16"/>
  <c r="BW10" i="16"/>
  <c r="BZ164" i="1" s="1"/>
  <c r="BV10" i="16"/>
  <c r="BY164" i="1" s="1"/>
  <c r="BU10" i="16"/>
  <c r="BT10" i="16"/>
  <c r="BS10" i="16"/>
  <c r="BR10" i="16"/>
  <c r="BQ10" i="16"/>
  <c r="BP10" i="16"/>
  <c r="BO10" i="16"/>
  <c r="BR164" i="1" s="1"/>
  <c r="BN10" i="16"/>
  <c r="BM10" i="16"/>
  <c r="BL10" i="16"/>
  <c r="BK10" i="16"/>
  <c r="BJ10" i="16"/>
  <c r="BI10" i="16"/>
  <c r="BH10" i="16"/>
  <c r="BG10" i="16"/>
  <c r="BJ164" i="1" s="1"/>
  <c r="BF10" i="16"/>
  <c r="BE10" i="16"/>
  <c r="BD10" i="16"/>
  <c r="BC10" i="16"/>
  <c r="BB10" i="16"/>
  <c r="BA10" i="16"/>
  <c r="AZ10" i="16"/>
  <c r="AY10" i="16"/>
  <c r="BB164" i="1" s="1"/>
  <c r="AX10" i="16"/>
  <c r="AW10" i="16"/>
  <c r="AV10" i="16"/>
  <c r="AU10" i="16"/>
  <c r="AT10" i="16"/>
  <c r="AS10" i="16"/>
  <c r="AR10" i="16"/>
  <c r="AQ10" i="16"/>
  <c r="AT164" i="1" s="1"/>
  <c r="AP10" i="16"/>
  <c r="AO10" i="16"/>
  <c r="AN10" i="16"/>
  <c r="AM10" i="16"/>
  <c r="AL10" i="16"/>
  <c r="AK10" i="16"/>
  <c r="AJ10" i="16"/>
  <c r="AI10" i="16"/>
  <c r="AL164" i="1" s="1"/>
  <c r="AH10" i="16"/>
  <c r="AG10" i="16"/>
  <c r="AF10" i="16"/>
  <c r="AE10" i="16"/>
  <c r="AD10" i="16"/>
  <c r="AC10" i="16"/>
  <c r="AF164" i="1" s="1"/>
  <c r="AB10" i="16"/>
  <c r="AA10" i="16"/>
  <c r="AD164" i="1" s="1"/>
  <c r="Z10" i="16"/>
  <c r="Y10" i="16"/>
  <c r="X10" i="16"/>
  <c r="W10" i="16"/>
  <c r="V10" i="16"/>
  <c r="U10" i="16"/>
  <c r="T10" i="16"/>
  <c r="S10" i="16"/>
  <c r="V164" i="1" s="1"/>
  <c r="R10" i="16"/>
  <c r="Q10" i="16"/>
  <c r="P10" i="16"/>
  <c r="O10" i="16"/>
  <c r="N10" i="16"/>
  <c r="M10" i="16"/>
  <c r="P164" i="1" s="1"/>
  <c r="L10" i="16"/>
  <c r="K10" i="16"/>
  <c r="N164" i="1" s="1"/>
  <c r="J10" i="16"/>
  <c r="M164" i="1" s="1"/>
  <c r="I10" i="16"/>
  <c r="H10" i="16"/>
  <c r="G10" i="16"/>
  <c r="F10" i="16"/>
  <c r="E10" i="16"/>
  <c r="D10" i="16"/>
  <c r="C10" i="16"/>
  <c r="CQ9" i="16"/>
  <c r="CP9" i="16"/>
  <c r="CO9" i="16"/>
  <c r="CN9" i="16"/>
  <c r="CM9" i="16"/>
  <c r="CL9" i="16"/>
  <c r="CK9" i="16"/>
  <c r="CJ9" i="16"/>
  <c r="CI9" i="16"/>
  <c r="CH9" i="16"/>
  <c r="CG9" i="16"/>
  <c r="CF9" i="16"/>
  <c r="CE9" i="16"/>
  <c r="CD9" i="16"/>
  <c r="CC9" i="16"/>
  <c r="CB9" i="16"/>
  <c r="CA9" i="16"/>
  <c r="BZ9" i="16"/>
  <c r="BY9" i="16"/>
  <c r="BX9" i="16"/>
  <c r="BW9" i="16"/>
  <c r="BV9" i="16"/>
  <c r="BU9" i="16"/>
  <c r="BT9" i="16"/>
  <c r="BS9" i="16"/>
  <c r="BR9" i="16"/>
  <c r="BQ9" i="16"/>
  <c r="BP9" i="16"/>
  <c r="BO9" i="16"/>
  <c r="BN9" i="16"/>
  <c r="BM9" i="16"/>
  <c r="BL9" i="16"/>
  <c r="BK9" i="16"/>
  <c r="BJ9" i="16"/>
  <c r="BI9" i="16"/>
  <c r="BH9" i="16"/>
  <c r="BG9" i="16"/>
  <c r="BF9" i="16"/>
  <c r="BE9" i="16"/>
  <c r="BD9" i="16"/>
  <c r="BC9" i="16"/>
  <c r="BB9" i="16"/>
  <c r="BA9" i="16"/>
  <c r="AZ9" i="16"/>
  <c r="AY9" i="16"/>
  <c r="AX9" i="16"/>
  <c r="AW9" i="16"/>
  <c r="AV9" i="16"/>
  <c r="AU9" i="16"/>
  <c r="AT9" i="16"/>
  <c r="AS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CQ8" i="16"/>
  <c r="CQ16" i="16" s="1"/>
  <c r="CP8" i="16"/>
  <c r="CO8" i="16"/>
  <c r="CN8" i="16"/>
  <c r="CQ162" i="1" s="1"/>
  <c r="CM8" i="16"/>
  <c r="CL8" i="16"/>
  <c r="CK8" i="16"/>
  <c r="CJ8" i="16"/>
  <c r="CI8" i="16"/>
  <c r="CI16" i="16" s="1"/>
  <c r="CH8" i="16"/>
  <c r="CG8" i="16"/>
  <c r="CF8" i="16"/>
  <c r="CI162" i="1" s="1"/>
  <c r="CE8" i="16"/>
  <c r="CD8" i="16"/>
  <c r="CC8" i="16"/>
  <c r="CB8" i="16"/>
  <c r="CA8" i="16"/>
  <c r="CA16" i="16" s="1"/>
  <c r="BZ8" i="16"/>
  <c r="BY8" i="16"/>
  <c r="BX8" i="16"/>
  <c r="CA162" i="1" s="1"/>
  <c r="BW8" i="16"/>
  <c r="BV8" i="16"/>
  <c r="BU8" i="16"/>
  <c r="BT8" i="16"/>
  <c r="BS8" i="16"/>
  <c r="BS16" i="16" s="1"/>
  <c r="BR8" i="16"/>
  <c r="BQ8" i="16"/>
  <c r="BP8" i="16"/>
  <c r="BS162" i="1" s="1"/>
  <c r="BO8" i="16"/>
  <c r="BN8" i="16"/>
  <c r="BM8" i="16"/>
  <c r="BL8" i="16"/>
  <c r="BK8" i="16"/>
  <c r="BK16" i="16" s="1"/>
  <c r="BJ8" i="16"/>
  <c r="BI8" i="16"/>
  <c r="BH8" i="16"/>
  <c r="BK162" i="1" s="1"/>
  <c r="BG8" i="16"/>
  <c r="BF8" i="16"/>
  <c r="BE8" i="16"/>
  <c r="BD8" i="16"/>
  <c r="BC8" i="16"/>
  <c r="BC16" i="16" s="1"/>
  <c r="BB8" i="16"/>
  <c r="BA8" i="16"/>
  <c r="AZ8" i="16"/>
  <c r="BC162" i="1" s="1"/>
  <c r="AY8" i="16"/>
  <c r="AX8" i="16"/>
  <c r="AW8" i="16"/>
  <c r="AV8" i="16"/>
  <c r="AU8" i="16"/>
  <c r="AU16" i="16" s="1"/>
  <c r="AT8" i="16"/>
  <c r="AS8" i="16"/>
  <c r="AR8" i="16"/>
  <c r="AU162" i="1" s="1"/>
  <c r="AQ8" i="16"/>
  <c r="AP8" i="16"/>
  <c r="AO8" i="16"/>
  <c r="AN8" i="16"/>
  <c r="AM8" i="16"/>
  <c r="AM16" i="16" s="1"/>
  <c r="AL8" i="16"/>
  <c r="AK8" i="16"/>
  <c r="AJ8" i="16"/>
  <c r="AM162" i="1" s="1"/>
  <c r="AI8" i="16"/>
  <c r="AH8" i="16"/>
  <c r="AG8" i="16"/>
  <c r="AF8" i="16"/>
  <c r="AE8" i="16"/>
  <c r="AE16" i="16" s="1"/>
  <c r="AD8" i="16"/>
  <c r="AC8" i="16"/>
  <c r="AB8" i="16"/>
  <c r="AE162" i="1" s="1"/>
  <c r="AA8" i="16"/>
  <c r="Z8" i="16"/>
  <c r="Y8" i="16"/>
  <c r="X8" i="16"/>
  <c r="W8" i="16"/>
  <c r="W16" i="16" s="1"/>
  <c r="V8" i="16"/>
  <c r="U8" i="16"/>
  <c r="T8" i="16"/>
  <c r="W162" i="1" s="1"/>
  <c r="S8" i="16"/>
  <c r="R8" i="16"/>
  <c r="Q8" i="16"/>
  <c r="P8" i="16"/>
  <c r="O8" i="16"/>
  <c r="O16" i="16" s="1"/>
  <c r="N8" i="16"/>
  <c r="M8" i="16"/>
  <c r="L8" i="16"/>
  <c r="O162" i="1" s="1"/>
  <c r="K8" i="16"/>
  <c r="J8" i="16"/>
  <c r="I8" i="16"/>
  <c r="H8" i="16"/>
  <c r="G8" i="16"/>
  <c r="G16" i="16" s="1"/>
  <c r="F8" i="16"/>
  <c r="E8" i="16"/>
  <c r="D8" i="16"/>
  <c r="G162" i="1" s="1"/>
  <c r="C8" i="16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I103" i="1" s="1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B2" i="15"/>
  <c r="B59" i="14"/>
  <c r="B42" i="14"/>
  <c r="B35" i="14"/>
  <c r="B9" i="14"/>
  <c r="B7" i="14"/>
  <c r="F71" i="12"/>
  <c r="E71" i="12"/>
  <c r="D71" i="12"/>
  <c r="C71" i="12"/>
  <c r="B71" i="12"/>
  <c r="I52" i="12"/>
  <c r="H52" i="12"/>
  <c r="G52" i="12"/>
  <c r="F52" i="12"/>
  <c r="E52" i="12"/>
  <c r="D52" i="12"/>
  <c r="C52" i="12"/>
  <c r="B5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17" i="12"/>
  <c r="B16" i="12"/>
  <c r="B15" i="12"/>
  <c r="B14" i="12"/>
  <c r="B13" i="12"/>
  <c r="B12" i="12"/>
  <c r="B11" i="12"/>
  <c r="B10" i="12"/>
  <c r="B9" i="12"/>
  <c r="B7" i="12"/>
  <c r="B6" i="12"/>
  <c r="B5" i="12"/>
  <c r="CH34" i="11"/>
  <c r="CG34" i="11"/>
  <c r="CF34" i="11"/>
  <c r="CE34" i="11"/>
  <c r="CD34" i="11"/>
  <c r="CC34" i="11"/>
  <c r="CB34" i="11"/>
  <c r="CA34" i="11"/>
  <c r="BZ34" i="11"/>
  <c r="BY34" i="11"/>
  <c r="BX34" i="11"/>
  <c r="BW34" i="11"/>
  <c r="BV34" i="11"/>
  <c r="BU34" i="11"/>
  <c r="BT34" i="11"/>
  <c r="BS34" i="11"/>
  <c r="BR34" i="11"/>
  <c r="BQ34" i="11"/>
  <c r="BP34" i="11"/>
  <c r="BO34" i="11"/>
  <c r="BN34" i="11"/>
  <c r="BM34" i="11"/>
  <c r="BL34" i="11"/>
  <c r="BK34" i="11"/>
  <c r="BJ34" i="11"/>
  <c r="BI34" i="11"/>
  <c r="BH34" i="11"/>
  <c r="BG34" i="11"/>
  <c r="BF34" i="11"/>
  <c r="BE34" i="11"/>
  <c r="BD34" i="11"/>
  <c r="BC34" i="11"/>
  <c r="BB34" i="11"/>
  <c r="BA34" i="11"/>
  <c r="AZ34" i="11"/>
  <c r="AY34" i="11"/>
  <c r="AX34" i="11"/>
  <c r="AW34" i="11"/>
  <c r="AV34" i="11"/>
  <c r="AU34" i="11"/>
  <c r="AT34" i="11"/>
  <c r="AS34" i="11"/>
  <c r="AR34" i="1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H21" i="11"/>
  <c r="G15" i="11"/>
  <c r="BE106" i="10"/>
  <c r="BE107" i="10" s="1"/>
  <c r="N106" i="10"/>
  <c r="F106" i="10"/>
  <c r="BV104" i="10"/>
  <c r="AP104" i="10"/>
  <c r="Z104" i="10"/>
  <c r="F104" i="10"/>
  <c r="CH103" i="10"/>
  <c r="CG103" i="10"/>
  <c r="CF103" i="10"/>
  <c r="J20" i="10" s="1"/>
  <c r="CE103" i="10"/>
  <c r="CD103" i="10"/>
  <c r="CC103" i="10"/>
  <c r="CB103" i="10"/>
  <c r="CA103" i="10"/>
  <c r="BZ103" i="10"/>
  <c r="BY103" i="10"/>
  <c r="BX103" i="10"/>
  <c r="BW103" i="10"/>
  <c r="BV103" i="10"/>
  <c r="BU103" i="10"/>
  <c r="BT103" i="10"/>
  <c r="BS103" i="10"/>
  <c r="BR103" i="10"/>
  <c r="BQ103" i="10"/>
  <c r="BP103" i="10"/>
  <c r="BO103" i="10"/>
  <c r="BN103" i="10"/>
  <c r="BM103" i="10"/>
  <c r="BL103" i="10"/>
  <c r="BK103" i="10"/>
  <c r="BJ103" i="10"/>
  <c r="BI103" i="10"/>
  <c r="BH103" i="10"/>
  <c r="H20" i="10" s="1"/>
  <c r="BG103" i="10"/>
  <c r="BF103" i="10"/>
  <c r="BE103" i="10"/>
  <c r="BD103" i="10"/>
  <c r="BC103" i="10"/>
  <c r="BB103" i="10"/>
  <c r="BA103" i="10"/>
  <c r="AZ103" i="10"/>
  <c r="AY103" i="10"/>
  <c r="AX103" i="10"/>
  <c r="AW103" i="10"/>
  <c r="AV103" i="10"/>
  <c r="AU103" i="10"/>
  <c r="AT103" i="10"/>
  <c r="AS103" i="10"/>
  <c r="AR103" i="10"/>
  <c r="AQ103" i="10"/>
  <c r="AP103" i="10"/>
  <c r="AO103" i="10"/>
  <c r="AN103" i="10"/>
  <c r="AM103" i="10"/>
  <c r="AL103" i="10"/>
  <c r="AK103" i="10"/>
  <c r="AJ103" i="10"/>
  <c r="F20" i="10" s="1"/>
  <c r="AI103" i="10"/>
  <c r="AH103" i="10"/>
  <c r="AG103" i="10"/>
  <c r="AF103" i="10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D20" i="10" s="1"/>
  <c r="K103" i="10"/>
  <c r="J103" i="10"/>
  <c r="I103" i="10"/>
  <c r="H103" i="10"/>
  <c r="G103" i="10"/>
  <c r="F103" i="10"/>
  <c r="E103" i="10"/>
  <c r="D103" i="10"/>
  <c r="B103" i="10" s="1"/>
  <c r="C103" i="10"/>
  <c r="CH102" i="10"/>
  <c r="CG102" i="10"/>
  <c r="CF102" i="10"/>
  <c r="CE102" i="10"/>
  <c r="CD102" i="10"/>
  <c r="CD104" i="10" s="1"/>
  <c r="CC102" i="10"/>
  <c r="CC104" i="10" s="1"/>
  <c r="CC105" i="10" s="1"/>
  <c r="CB102" i="10"/>
  <c r="CB104" i="10" s="1"/>
  <c r="CA102" i="10"/>
  <c r="BZ102" i="10"/>
  <c r="BZ104" i="10" s="1"/>
  <c r="BY102" i="10"/>
  <c r="BX102" i="10"/>
  <c r="BW102" i="10"/>
  <c r="BV102" i="10"/>
  <c r="BU102" i="10"/>
  <c r="BU104" i="10" s="1"/>
  <c r="BU105" i="10" s="1"/>
  <c r="BT102" i="10"/>
  <c r="BT104" i="10" s="1"/>
  <c r="BS102" i="10"/>
  <c r="BR102" i="10"/>
  <c r="BQ102" i="10"/>
  <c r="BP102" i="10"/>
  <c r="BO102" i="10"/>
  <c r="BN102" i="10"/>
  <c r="BN104" i="10" s="1"/>
  <c r="BM102" i="10"/>
  <c r="BM104" i="10" s="1"/>
  <c r="BM105" i="10" s="1"/>
  <c r="BL102" i="10"/>
  <c r="BL104" i="10" s="1"/>
  <c r="BK102" i="10"/>
  <c r="BJ102" i="10"/>
  <c r="BI102" i="10"/>
  <c r="BH102" i="10"/>
  <c r="BG102" i="10"/>
  <c r="BF102" i="10"/>
  <c r="BF104" i="10" s="1"/>
  <c r="BE102" i="10"/>
  <c r="BE104" i="10" s="1"/>
  <c r="BE105" i="10" s="1"/>
  <c r="BD102" i="10"/>
  <c r="BD104" i="10" s="1"/>
  <c r="BC102" i="10"/>
  <c r="BB102" i="10"/>
  <c r="BB104" i="10" s="1"/>
  <c r="BB105" i="10" s="1"/>
  <c r="BB106" i="10" s="1"/>
  <c r="BA102" i="10"/>
  <c r="AZ102" i="10"/>
  <c r="AY102" i="10"/>
  <c r="AX102" i="10"/>
  <c r="AX104" i="10" s="1"/>
  <c r="AW102" i="10"/>
  <c r="AV102" i="10"/>
  <c r="AV104" i="10" s="1"/>
  <c r="AU102" i="10"/>
  <c r="AT102" i="10"/>
  <c r="AT104" i="10" s="1"/>
  <c r="AT105" i="10" s="1"/>
  <c r="AT106" i="10" s="1"/>
  <c r="AS102" i="10"/>
  <c r="AR102" i="10"/>
  <c r="AQ102" i="10"/>
  <c r="AP102" i="10"/>
  <c r="AO102" i="10"/>
  <c r="AO104" i="10" s="1"/>
  <c r="AO105" i="10" s="1"/>
  <c r="AN102" i="10"/>
  <c r="AN104" i="10" s="1"/>
  <c r="AM102" i="10"/>
  <c r="AL102" i="10"/>
  <c r="AK102" i="10"/>
  <c r="AJ102" i="10"/>
  <c r="AI102" i="10"/>
  <c r="AH102" i="10"/>
  <c r="AH104" i="10" s="1"/>
  <c r="AG102" i="10"/>
  <c r="AG104" i="10" s="1"/>
  <c r="AF102" i="10"/>
  <c r="AF104" i="10" s="1"/>
  <c r="AE102" i="10"/>
  <c r="AD102" i="10"/>
  <c r="AC102" i="10"/>
  <c r="AB102" i="10"/>
  <c r="AA102" i="10"/>
  <c r="Z102" i="10"/>
  <c r="Y102" i="10"/>
  <c r="Y104" i="10" s="1"/>
  <c r="Y105" i="10" s="1"/>
  <c r="X102" i="10"/>
  <c r="E19" i="10" s="1"/>
  <c r="W102" i="10"/>
  <c r="V102" i="10"/>
  <c r="V104" i="10" s="1"/>
  <c r="V105" i="10" s="1"/>
  <c r="V106" i="10" s="1"/>
  <c r="U102" i="10"/>
  <c r="T102" i="10"/>
  <c r="S102" i="10"/>
  <c r="R102" i="10"/>
  <c r="R104" i="10" s="1"/>
  <c r="Q102" i="10"/>
  <c r="Q104" i="10" s="1"/>
  <c r="Q105" i="10" s="1"/>
  <c r="P102" i="10"/>
  <c r="P104" i="10" s="1"/>
  <c r="O102" i="10"/>
  <c r="N102" i="10"/>
  <c r="N104" i="10" s="1"/>
  <c r="N105" i="10" s="1"/>
  <c r="M102" i="10"/>
  <c r="L102" i="10"/>
  <c r="K102" i="10"/>
  <c r="J102" i="10"/>
  <c r="J104" i="10" s="1"/>
  <c r="J106" i="10" s="1"/>
  <c r="J107" i="10" s="1"/>
  <c r="I102" i="10"/>
  <c r="I104" i="10" s="1"/>
  <c r="I106" i="10" s="1"/>
  <c r="I107" i="10" s="1"/>
  <c r="H102" i="10"/>
  <c r="H104" i="10" s="1"/>
  <c r="H106" i="10" s="1"/>
  <c r="H107" i="10" s="1"/>
  <c r="G102" i="10"/>
  <c r="F102" i="10"/>
  <c r="E102" i="10"/>
  <c r="D102" i="10"/>
  <c r="C102" i="10"/>
  <c r="B101" i="10"/>
  <c r="B100" i="10"/>
  <c r="B99" i="10"/>
  <c r="G48" i="10"/>
  <c r="G47" i="10"/>
  <c r="G46" i="10"/>
  <c r="G45" i="10"/>
  <c r="G44" i="10"/>
  <c r="C22" i="10"/>
  <c r="C20" i="10"/>
  <c r="J18" i="10"/>
  <c r="I18" i="10"/>
  <c r="H18" i="10"/>
  <c r="G18" i="10"/>
  <c r="F18" i="10"/>
  <c r="E18" i="10"/>
  <c r="D18" i="10"/>
  <c r="C18" i="10"/>
  <c r="J17" i="10"/>
  <c r="I17" i="10"/>
  <c r="H17" i="10"/>
  <c r="G17" i="10"/>
  <c r="F17" i="10"/>
  <c r="E17" i="10"/>
  <c r="D17" i="10"/>
  <c r="C17" i="10"/>
  <c r="J16" i="10"/>
  <c r="I16" i="10"/>
  <c r="H16" i="10"/>
  <c r="G16" i="10"/>
  <c r="F16" i="10"/>
  <c r="E16" i="10"/>
  <c r="D16" i="10"/>
  <c r="C16" i="10"/>
  <c r="D42" i="9"/>
  <c r="D41" i="9"/>
  <c r="D40" i="9"/>
  <c r="D39" i="9"/>
  <c r="D38" i="9"/>
  <c r="D37" i="9"/>
  <c r="D36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S46" i="8"/>
  <c r="Q46" i="8"/>
  <c r="R46" i="8" s="1"/>
  <c r="I46" i="8"/>
  <c r="S45" i="8"/>
  <c r="R45" i="8"/>
  <c r="Q45" i="8"/>
  <c r="I45" i="8"/>
  <c r="S44" i="8"/>
  <c r="Q44" i="8"/>
  <c r="R44" i="8" s="1"/>
  <c r="I44" i="8"/>
  <c r="S43" i="8"/>
  <c r="R43" i="8"/>
  <c r="Q43" i="8"/>
  <c r="I43" i="8"/>
  <c r="S42" i="8"/>
  <c r="Q42" i="8"/>
  <c r="R42" i="8" s="1"/>
  <c r="I42" i="8"/>
  <c r="S41" i="8"/>
  <c r="Q41" i="8"/>
  <c r="R41" i="8" s="1"/>
  <c r="I41" i="8"/>
  <c r="S40" i="8"/>
  <c r="Q40" i="8"/>
  <c r="R40" i="8" s="1"/>
  <c r="I40" i="8"/>
  <c r="S39" i="8"/>
  <c r="Q39" i="8"/>
  <c r="R39" i="8" s="1"/>
  <c r="I39" i="8"/>
  <c r="S38" i="8"/>
  <c r="Q38" i="8"/>
  <c r="R38" i="8" s="1"/>
  <c r="I38" i="8"/>
  <c r="S37" i="8"/>
  <c r="Q37" i="8"/>
  <c r="R37" i="8" s="1"/>
  <c r="I37" i="8"/>
  <c r="S36" i="8"/>
  <c r="Q36" i="8"/>
  <c r="R36" i="8" s="1"/>
  <c r="I36" i="8"/>
  <c r="S35" i="8"/>
  <c r="R35" i="8"/>
  <c r="Q35" i="8"/>
  <c r="I35" i="8"/>
  <c r="S34" i="8"/>
  <c r="Q34" i="8"/>
  <c r="R34" i="8" s="1"/>
  <c r="I34" i="8"/>
  <c r="S33" i="8"/>
  <c r="R33" i="8"/>
  <c r="Q33" i="8"/>
  <c r="I33" i="8"/>
  <c r="S32" i="8"/>
  <c r="Q32" i="8"/>
  <c r="R32" i="8" s="1"/>
  <c r="I32" i="8"/>
  <c r="S31" i="8"/>
  <c r="R31" i="8"/>
  <c r="Q31" i="8"/>
  <c r="I31" i="8"/>
  <c r="S30" i="8"/>
  <c r="Q30" i="8"/>
  <c r="R30" i="8" s="1"/>
  <c r="I30" i="8"/>
  <c r="S29" i="8"/>
  <c r="Q29" i="8"/>
  <c r="R29" i="8" s="1"/>
  <c r="I29" i="8"/>
  <c r="S28" i="8"/>
  <c r="Q28" i="8"/>
  <c r="R28" i="8" s="1"/>
  <c r="I28" i="8"/>
  <c r="S27" i="8"/>
  <c r="R27" i="8"/>
  <c r="Q27" i="8"/>
  <c r="I27" i="8"/>
  <c r="S26" i="8"/>
  <c r="Q26" i="8"/>
  <c r="R26" i="8" s="1"/>
  <c r="I26" i="8"/>
  <c r="S25" i="8"/>
  <c r="Q25" i="8"/>
  <c r="R25" i="8" s="1"/>
  <c r="I25" i="8"/>
  <c r="S24" i="8"/>
  <c r="Q24" i="8"/>
  <c r="R24" i="8" s="1"/>
  <c r="I24" i="8"/>
  <c r="S23" i="8"/>
  <c r="Q23" i="8"/>
  <c r="R23" i="8" s="1"/>
  <c r="I23" i="8"/>
  <c r="S22" i="8"/>
  <c r="Q22" i="8"/>
  <c r="R22" i="8" s="1"/>
  <c r="I22" i="8"/>
  <c r="S21" i="8"/>
  <c r="Q21" i="8"/>
  <c r="R21" i="8" s="1"/>
  <c r="I21" i="8"/>
  <c r="S20" i="8"/>
  <c r="Q20" i="8"/>
  <c r="R20" i="8" s="1"/>
  <c r="I20" i="8"/>
  <c r="S19" i="8"/>
  <c r="R19" i="8"/>
  <c r="Q19" i="8"/>
  <c r="I19" i="8"/>
  <c r="S18" i="8"/>
  <c r="Q18" i="8"/>
  <c r="R18" i="8" s="1"/>
  <c r="I18" i="8"/>
  <c r="S17" i="8"/>
  <c r="Q17" i="8"/>
  <c r="R17" i="8" s="1"/>
  <c r="I17" i="8"/>
  <c r="S14" i="8"/>
  <c r="P14" i="8"/>
  <c r="Q14" i="8" s="1"/>
  <c r="R14" i="8" s="1"/>
  <c r="O14" i="8"/>
  <c r="N14" i="8"/>
  <c r="I14" i="8"/>
  <c r="S13" i="8"/>
  <c r="P13" i="8"/>
  <c r="O13" i="8"/>
  <c r="N13" i="8"/>
  <c r="Q13" i="8" s="1"/>
  <c r="R13" i="8" s="1"/>
  <c r="I13" i="8"/>
  <c r="S12" i="8"/>
  <c r="P12" i="8"/>
  <c r="O12" i="8"/>
  <c r="N12" i="8"/>
  <c r="I12" i="8"/>
  <c r="S11" i="8"/>
  <c r="P11" i="8"/>
  <c r="O11" i="8"/>
  <c r="N11" i="8"/>
  <c r="I11" i="8"/>
  <c r="S10" i="8"/>
  <c r="P10" i="8"/>
  <c r="Q10" i="8" s="1"/>
  <c r="R10" i="8" s="1"/>
  <c r="O10" i="8"/>
  <c r="N10" i="8"/>
  <c r="I10" i="8"/>
  <c r="S9" i="8"/>
  <c r="P9" i="8"/>
  <c r="O9" i="8"/>
  <c r="N9" i="8"/>
  <c r="Q9" i="8" s="1"/>
  <c r="R9" i="8" s="1"/>
  <c r="I9" i="8"/>
  <c r="S8" i="8"/>
  <c r="P8" i="8"/>
  <c r="Q8" i="8" s="1"/>
  <c r="R8" i="8" s="1"/>
  <c r="O8" i="8"/>
  <c r="N8" i="8"/>
  <c r="I8" i="8"/>
  <c r="S7" i="8"/>
  <c r="P7" i="8"/>
  <c r="O7" i="8"/>
  <c r="N7" i="8"/>
  <c r="I7" i="8"/>
  <c r="S6" i="8"/>
  <c r="O6" i="8"/>
  <c r="Q6" i="8" s="1"/>
  <c r="R6" i="8" s="1"/>
  <c r="I6" i="8"/>
  <c r="S5" i="8"/>
  <c r="P5" i="8"/>
  <c r="O5" i="8"/>
  <c r="N5" i="8"/>
  <c r="Q5" i="8" s="1"/>
  <c r="R5" i="8" s="1"/>
  <c r="I5" i="8"/>
  <c r="S4" i="8"/>
  <c r="P4" i="8"/>
  <c r="O4" i="8"/>
  <c r="N4" i="8"/>
  <c r="I4" i="8"/>
  <c r="S3" i="8"/>
  <c r="Q3" i="8"/>
  <c r="R3" i="8" s="1"/>
  <c r="O3" i="8"/>
  <c r="I3" i="8"/>
  <c r="S2" i="8"/>
  <c r="O2" i="8"/>
  <c r="Q2" i="8" s="1"/>
  <c r="R2" i="8" s="1"/>
  <c r="I2" i="8"/>
  <c r="E13" i="6"/>
  <c r="M12" i="6"/>
  <c r="N12" i="6" s="1"/>
  <c r="Q12" i="6" s="1"/>
  <c r="J12" i="6"/>
  <c r="F12" i="6"/>
  <c r="C12" i="6"/>
  <c r="B12" i="6"/>
  <c r="M11" i="6"/>
  <c r="J11" i="6"/>
  <c r="B11" i="6"/>
  <c r="N11" i="6" s="1"/>
  <c r="Q11" i="6" s="1"/>
  <c r="M10" i="6"/>
  <c r="J10" i="6"/>
  <c r="B10" i="6"/>
  <c r="M9" i="6"/>
  <c r="J9" i="6"/>
  <c r="B9" i="6"/>
  <c r="N9" i="6" s="1"/>
  <c r="Q9" i="6" s="1"/>
  <c r="M8" i="6"/>
  <c r="J8" i="6"/>
  <c r="C8" i="6"/>
  <c r="B8" i="6"/>
  <c r="N8" i="6" s="1"/>
  <c r="Q8" i="6" s="1"/>
  <c r="M7" i="6"/>
  <c r="J7" i="6"/>
  <c r="B7" i="6"/>
  <c r="M6" i="6"/>
  <c r="J6" i="6"/>
  <c r="M5" i="6"/>
  <c r="J5" i="6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Y90" i="5"/>
  <c r="AX90" i="5"/>
  <c r="AZ90" i="5" s="1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AY88" i="5"/>
  <c r="AX88" i="5"/>
  <c r="AZ88" i="5" s="1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AY85" i="5"/>
  <c r="AX85" i="5"/>
  <c r="AZ85" i="5" s="1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Y84" i="5"/>
  <c r="AX84" i="5"/>
  <c r="AZ84" i="5" s="1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Z83" i="5" s="1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Y81" i="5"/>
  <c r="AX81" i="5"/>
  <c r="AZ81" i="5" s="1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AY80" i="5"/>
  <c r="AX80" i="5"/>
  <c r="AZ80" i="5" s="1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AY79" i="5"/>
  <c r="AX79" i="5"/>
  <c r="AZ79" i="5" s="1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Y78" i="5"/>
  <c r="AZ78" i="5" s="1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AY77" i="5"/>
  <c r="AX77" i="5"/>
  <c r="AZ77" i="5" s="1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AY76" i="5"/>
  <c r="AX76" i="5"/>
  <c r="AZ76" i="5" s="1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AY73" i="5"/>
  <c r="AX73" i="5"/>
  <c r="AZ73" i="5" s="1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AY71" i="5"/>
  <c r="AZ71" i="5" s="1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AY69" i="5"/>
  <c r="AX69" i="5"/>
  <c r="AZ69" i="5" s="1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AY68" i="5"/>
  <c r="AZ68" i="5" s="1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AY66" i="5"/>
  <c r="AX66" i="5"/>
  <c r="AZ66" i="5" s="1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Y65" i="5"/>
  <c r="AZ65" i="5" s="1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Z63" i="5" s="1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Y62" i="5"/>
  <c r="AX62" i="5"/>
  <c r="AZ62" i="5" s="1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Y61" i="5"/>
  <c r="AX61" i="5"/>
  <c r="AZ61" i="5" s="1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Y58" i="5"/>
  <c r="AX58" i="5"/>
  <c r="AZ58" i="5" s="1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AY57" i="5"/>
  <c r="AX57" i="5"/>
  <c r="AZ57" i="5" s="1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Y56" i="5"/>
  <c r="AX56" i="5"/>
  <c r="AZ56" i="5" s="1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Z54" i="5" s="1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Y53" i="5"/>
  <c r="AX53" i="5"/>
  <c r="AZ53" i="5" s="1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Z52" i="5" s="1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AY51" i="5"/>
  <c r="AZ51" i="5" s="1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Y50" i="5"/>
  <c r="AX50" i="5"/>
  <c r="AZ50" i="5" s="1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Y49" i="5"/>
  <c r="AX49" i="5"/>
  <c r="AZ49" i="5" s="1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AY48" i="5"/>
  <c r="AX48" i="5"/>
  <c r="AZ48" i="5" s="1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Y46" i="5"/>
  <c r="AX46" i="5"/>
  <c r="AZ46" i="5" s="1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Y44" i="5"/>
  <c r="AX44" i="5"/>
  <c r="AZ44" i="5" s="1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Z43" i="5" s="1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Y42" i="5"/>
  <c r="AX42" i="5"/>
  <c r="AZ42" i="5" s="1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Y38" i="5"/>
  <c r="AX38" i="5"/>
  <c r="AZ38" i="5" s="1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Y37" i="5"/>
  <c r="AX37" i="5"/>
  <c r="AZ37" i="5" s="1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Z35" i="5" s="1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Z34" i="5" s="1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Y33" i="5"/>
  <c r="AX33" i="5"/>
  <c r="AZ33" i="5" s="1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AY31" i="5"/>
  <c r="AX31" i="5"/>
  <c r="AZ31" i="5" s="1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AY29" i="5"/>
  <c r="AX29" i="5"/>
  <c r="AZ29" i="5" s="1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Y28" i="5"/>
  <c r="AX28" i="5"/>
  <c r="AZ28" i="5" s="1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AY25" i="5"/>
  <c r="AX25" i="5"/>
  <c r="AZ25" i="5" s="1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Y24" i="5"/>
  <c r="AZ24" i="5" s="1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Z23" i="5" s="1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Y22" i="5"/>
  <c r="AX22" i="5"/>
  <c r="AZ22" i="5" s="1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Y18" i="5"/>
  <c r="AX18" i="5"/>
  <c r="AZ18" i="5" s="1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Z14" i="5" s="1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Y13" i="5"/>
  <c r="AX13" i="5"/>
  <c r="AZ13" i="5" s="1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Z12" i="5" s="1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Y11" i="5"/>
  <c r="AZ11" i="5" s="1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Y10" i="5"/>
  <c r="AX10" i="5"/>
  <c r="AZ10" i="5" s="1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Y9" i="5"/>
  <c r="AX9" i="5"/>
  <c r="AZ9" i="5" s="1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AY7" i="5"/>
  <c r="AX7" i="5"/>
  <c r="AZ7" i="5" s="1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CT110" i="4"/>
  <c r="CS110" i="4"/>
  <c r="CR110" i="4"/>
  <c r="CQ110" i="4"/>
  <c r="CP110" i="4"/>
  <c r="CO110" i="4"/>
  <c r="CN110" i="4"/>
  <c r="CM110" i="4"/>
  <c r="CL110" i="4"/>
  <c r="CK110" i="4"/>
  <c r="CJ110" i="4"/>
  <c r="CI110" i="4"/>
  <c r="CH110" i="4"/>
  <c r="CG110" i="4"/>
  <c r="CF110" i="4"/>
  <c r="CE110" i="4"/>
  <c r="CD110" i="4"/>
  <c r="CC110" i="4"/>
  <c r="CB110" i="4"/>
  <c r="CA110" i="4"/>
  <c r="BZ110" i="4"/>
  <c r="BY110" i="4"/>
  <c r="BX110" i="4"/>
  <c r="BW110" i="4"/>
  <c r="BV110" i="4"/>
  <c r="BU110" i="4"/>
  <c r="BT110" i="4"/>
  <c r="BS110" i="4"/>
  <c r="BR110" i="4"/>
  <c r="BQ110" i="4"/>
  <c r="BP110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CT79" i="4"/>
  <c r="CT112" i="4" s="1"/>
  <c r="CS79" i="4"/>
  <c r="CS112" i="4" s="1"/>
  <c r="CR79" i="4"/>
  <c r="CR112" i="4" s="1"/>
  <c r="CQ79" i="4"/>
  <c r="CQ112" i="4" s="1"/>
  <c r="CP79" i="4"/>
  <c r="CP112" i="4" s="1"/>
  <c r="CO79" i="4"/>
  <c r="CO112" i="4" s="1"/>
  <c r="CN79" i="4"/>
  <c r="CN112" i="4" s="1"/>
  <c r="CM79" i="4"/>
  <c r="CM112" i="4" s="1"/>
  <c r="CL79" i="4"/>
  <c r="CL112" i="4" s="1"/>
  <c r="CK79" i="4"/>
  <c r="CK112" i="4" s="1"/>
  <c r="CJ79" i="4"/>
  <c r="CJ112" i="4" s="1"/>
  <c r="CI79" i="4"/>
  <c r="CI112" i="4" s="1"/>
  <c r="CH79" i="4"/>
  <c r="CH112" i="4" s="1"/>
  <c r="CG79" i="4"/>
  <c r="CG112" i="4" s="1"/>
  <c r="CF79" i="4"/>
  <c r="CF112" i="4" s="1"/>
  <c r="CE79" i="4"/>
  <c r="CE112" i="4" s="1"/>
  <c r="CD79" i="4"/>
  <c r="CD112" i="4" s="1"/>
  <c r="CC79" i="4"/>
  <c r="CC112" i="4" s="1"/>
  <c r="CB79" i="4"/>
  <c r="CB112" i="4" s="1"/>
  <c r="CA79" i="4"/>
  <c r="CA112" i="4" s="1"/>
  <c r="BZ79" i="4"/>
  <c r="BZ112" i="4" s="1"/>
  <c r="BY79" i="4"/>
  <c r="BY112" i="4" s="1"/>
  <c r="BX79" i="4"/>
  <c r="BX112" i="4" s="1"/>
  <c r="BW79" i="4"/>
  <c r="BW112" i="4" s="1"/>
  <c r="BV79" i="4"/>
  <c r="BV112" i="4" s="1"/>
  <c r="BU79" i="4"/>
  <c r="BU112" i="4" s="1"/>
  <c r="BT79" i="4"/>
  <c r="BT112" i="4" s="1"/>
  <c r="BS79" i="4"/>
  <c r="BS112" i="4" s="1"/>
  <c r="BR79" i="4"/>
  <c r="BR112" i="4" s="1"/>
  <c r="BQ79" i="4"/>
  <c r="BQ112" i="4" s="1"/>
  <c r="BP79" i="4"/>
  <c r="BP112" i="4" s="1"/>
  <c r="BO79" i="4"/>
  <c r="BO112" i="4" s="1"/>
  <c r="BN79" i="4"/>
  <c r="BN112" i="4" s="1"/>
  <c r="BM79" i="4"/>
  <c r="BM112" i="4" s="1"/>
  <c r="BL79" i="4"/>
  <c r="BL112" i="4" s="1"/>
  <c r="BK79" i="4"/>
  <c r="BK112" i="4" s="1"/>
  <c r="BJ79" i="4"/>
  <c r="BJ112" i="4" s="1"/>
  <c r="BI79" i="4"/>
  <c r="BI112" i="4" s="1"/>
  <c r="BH79" i="4"/>
  <c r="BH112" i="4" s="1"/>
  <c r="BG79" i="4"/>
  <c r="BG112" i="4" s="1"/>
  <c r="BF79" i="4"/>
  <c r="BF112" i="4" s="1"/>
  <c r="BE79" i="4"/>
  <c r="BE112" i="4" s="1"/>
  <c r="BD79" i="4"/>
  <c r="BD112" i="4" s="1"/>
  <c r="BC79" i="4"/>
  <c r="BC112" i="4" s="1"/>
  <c r="BB79" i="4"/>
  <c r="BB112" i="4" s="1"/>
  <c r="BA79" i="4"/>
  <c r="BA112" i="4" s="1"/>
  <c r="AZ79" i="4"/>
  <c r="AZ112" i="4" s="1"/>
  <c r="AY79" i="4"/>
  <c r="AY112" i="4" s="1"/>
  <c r="AX79" i="4"/>
  <c r="AX112" i="4" s="1"/>
  <c r="AW79" i="4"/>
  <c r="AW112" i="4" s="1"/>
  <c r="AV79" i="4"/>
  <c r="AV112" i="4" s="1"/>
  <c r="AU79" i="4"/>
  <c r="AU112" i="4" s="1"/>
  <c r="AT79" i="4"/>
  <c r="AT112" i="4" s="1"/>
  <c r="AS79" i="4"/>
  <c r="AS112" i="4" s="1"/>
  <c r="AR79" i="4"/>
  <c r="AR112" i="4" s="1"/>
  <c r="AQ79" i="4"/>
  <c r="AQ112" i="4" s="1"/>
  <c r="AP79" i="4"/>
  <c r="AP112" i="4" s="1"/>
  <c r="AO79" i="4"/>
  <c r="AO112" i="4" s="1"/>
  <c r="AN79" i="4"/>
  <c r="AN112" i="4" s="1"/>
  <c r="AM79" i="4"/>
  <c r="AM112" i="4" s="1"/>
  <c r="AL79" i="4"/>
  <c r="AL112" i="4" s="1"/>
  <c r="AK79" i="4"/>
  <c r="AK112" i="4" s="1"/>
  <c r="AJ79" i="4"/>
  <c r="AJ112" i="4" s="1"/>
  <c r="AI79" i="4"/>
  <c r="AI112" i="4" s="1"/>
  <c r="AH79" i="4"/>
  <c r="AH112" i="4" s="1"/>
  <c r="AG79" i="4"/>
  <c r="AG112" i="4" s="1"/>
  <c r="AF79" i="4"/>
  <c r="AF112" i="4" s="1"/>
  <c r="AE79" i="4"/>
  <c r="AE112" i="4" s="1"/>
  <c r="AD79" i="4"/>
  <c r="AD112" i="4" s="1"/>
  <c r="AC79" i="4"/>
  <c r="AC112" i="4" s="1"/>
  <c r="AB79" i="4"/>
  <c r="AB112" i="4" s="1"/>
  <c r="AA79" i="4"/>
  <c r="AA112" i="4" s="1"/>
  <c r="Z79" i="4"/>
  <c r="Z112" i="4" s="1"/>
  <c r="Y79" i="4"/>
  <c r="Y112" i="4" s="1"/>
  <c r="X79" i="4"/>
  <c r="X112" i="4" s="1"/>
  <c r="W79" i="4"/>
  <c r="W112" i="4" s="1"/>
  <c r="V79" i="4"/>
  <c r="V112" i="4" s="1"/>
  <c r="U79" i="4"/>
  <c r="U112" i="4" s="1"/>
  <c r="T79" i="4"/>
  <c r="T112" i="4" s="1"/>
  <c r="S79" i="4"/>
  <c r="S112" i="4" s="1"/>
  <c r="R79" i="4"/>
  <c r="R112" i="4" s="1"/>
  <c r="Q79" i="4"/>
  <c r="Q112" i="4" s="1"/>
  <c r="P79" i="4"/>
  <c r="P112" i="4" s="1"/>
  <c r="O79" i="4"/>
  <c r="O112" i="4" s="1"/>
  <c r="N79" i="4"/>
  <c r="N112" i="4" s="1"/>
  <c r="M79" i="4"/>
  <c r="M112" i="4" s="1"/>
  <c r="L79" i="4"/>
  <c r="L112" i="4" s="1"/>
  <c r="K79" i="4"/>
  <c r="K112" i="4" s="1"/>
  <c r="J79" i="4"/>
  <c r="J112" i="4" s="1"/>
  <c r="I79" i="4"/>
  <c r="I112" i="4" s="1"/>
  <c r="H79" i="4"/>
  <c r="H112" i="4" s="1"/>
  <c r="G79" i="4"/>
  <c r="G112" i="4" s="1"/>
  <c r="F79" i="4"/>
  <c r="F112" i="4" s="1"/>
  <c r="E79" i="4"/>
  <c r="E112" i="4" s="1"/>
  <c r="D79" i="4"/>
  <c r="D112" i="4" s="1"/>
  <c r="C79" i="4"/>
  <c r="C112" i="4" s="1"/>
  <c r="CT54" i="4"/>
  <c r="CS54" i="4"/>
  <c r="CR54" i="4"/>
  <c r="CQ54" i="4"/>
  <c r="CP54" i="4"/>
  <c r="CO54" i="4"/>
  <c r="CN54" i="4"/>
  <c r="CM54" i="4"/>
  <c r="CL54" i="4"/>
  <c r="CK54" i="4"/>
  <c r="CJ54" i="4"/>
  <c r="CI54" i="4"/>
  <c r="CH54" i="4"/>
  <c r="CG54" i="4"/>
  <c r="CF54" i="4"/>
  <c r="CE54" i="4"/>
  <c r="CD54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CT17" i="4"/>
  <c r="CT56" i="4" s="1"/>
  <c r="CS17" i="4"/>
  <c r="CS56" i="4" s="1"/>
  <c r="CR17" i="4"/>
  <c r="CR56" i="4" s="1"/>
  <c r="CQ17" i="4"/>
  <c r="CQ56" i="4" s="1"/>
  <c r="CP17" i="4"/>
  <c r="CP56" i="4" s="1"/>
  <c r="CO17" i="4"/>
  <c r="CO56" i="4" s="1"/>
  <c r="CN17" i="4"/>
  <c r="CN56" i="4" s="1"/>
  <c r="CM17" i="4"/>
  <c r="CM56" i="4" s="1"/>
  <c r="CL17" i="4"/>
  <c r="CL56" i="4" s="1"/>
  <c r="CK17" i="4"/>
  <c r="CK56" i="4" s="1"/>
  <c r="CJ17" i="4"/>
  <c r="CJ56" i="4" s="1"/>
  <c r="CI17" i="4"/>
  <c r="CI56" i="4" s="1"/>
  <c r="CH17" i="4"/>
  <c r="CH56" i="4" s="1"/>
  <c r="CG17" i="4"/>
  <c r="CG56" i="4" s="1"/>
  <c r="CF17" i="4"/>
  <c r="CF56" i="4" s="1"/>
  <c r="CE17" i="4"/>
  <c r="CE56" i="4" s="1"/>
  <c r="CD17" i="4"/>
  <c r="CD56" i="4" s="1"/>
  <c r="CC17" i="4"/>
  <c r="CC56" i="4" s="1"/>
  <c r="CB17" i="4"/>
  <c r="CB56" i="4" s="1"/>
  <c r="CA17" i="4"/>
  <c r="CA56" i="4" s="1"/>
  <c r="BZ17" i="4"/>
  <c r="BZ56" i="4" s="1"/>
  <c r="BY17" i="4"/>
  <c r="BY56" i="4" s="1"/>
  <c r="BX17" i="4"/>
  <c r="BX56" i="4" s="1"/>
  <c r="BW17" i="4"/>
  <c r="BW56" i="4" s="1"/>
  <c r="BV17" i="4"/>
  <c r="BV56" i="4" s="1"/>
  <c r="BU17" i="4"/>
  <c r="BU56" i="4" s="1"/>
  <c r="BT17" i="4"/>
  <c r="BT56" i="4" s="1"/>
  <c r="BS17" i="4"/>
  <c r="BS56" i="4" s="1"/>
  <c r="BR17" i="4"/>
  <c r="BR56" i="4" s="1"/>
  <c r="BQ17" i="4"/>
  <c r="BQ56" i="4" s="1"/>
  <c r="BP17" i="4"/>
  <c r="BP56" i="4" s="1"/>
  <c r="BO17" i="4"/>
  <c r="BO56" i="4" s="1"/>
  <c r="BN17" i="4"/>
  <c r="BN56" i="4" s="1"/>
  <c r="BM17" i="4"/>
  <c r="BM56" i="4" s="1"/>
  <c r="BL17" i="4"/>
  <c r="BL56" i="4" s="1"/>
  <c r="BK17" i="4"/>
  <c r="BK56" i="4" s="1"/>
  <c r="BJ17" i="4"/>
  <c r="BJ56" i="4" s="1"/>
  <c r="BI17" i="4"/>
  <c r="BI56" i="4" s="1"/>
  <c r="BH17" i="4"/>
  <c r="BH56" i="4" s="1"/>
  <c r="BG17" i="4"/>
  <c r="BG56" i="4" s="1"/>
  <c r="BF17" i="4"/>
  <c r="BF56" i="4" s="1"/>
  <c r="BE17" i="4"/>
  <c r="BE56" i="4" s="1"/>
  <c r="BD17" i="4"/>
  <c r="BD56" i="4" s="1"/>
  <c r="BC17" i="4"/>
  <c r="BC56" i="4" s="1"/>
  <c r="BB17" i="4"/>
  <c r="BB56" i="4" s="1"/>
  <c r="BA17" i="4"/>
  <c r="BA56" i="4" s="1"/>
  <c r="AZ17" i="4"/>
  <c r="AZ56" i="4" s="1"/>
  <c r="AY17" i="4"/>
  <c r="AY56" i="4" s="1"/>
  <c r="AX17" i="4"/>
  <c r="AX56" i="4" s="1"/>
  <c r="AW17" i="4"/>
  <c r="AW56" i="4" s="1"/>
  <c r="AV17" i="4"/>
  <c r="AV56" i="4" s="1"/>
  <c r="AU17" i="4"/>
  <c r="AU56" i="4" s="1"/>
  <c r="AT17" i="4"/>
  <c r="AT56" i="4" s="1"/>
  <c r="AS17" i="4"/>
  <c r="AS56" i="4" s="1"/>
  <c r="AR17" i="4"/>
  <c r="AR56" i="4" s="1"/>
  <c r="AQ17" i="4"/>
  <c r="AQ56" i="4" s="1"/>
  <c r="AP17" i="4"/>
  <c r="AP56" i="4" s="1"/>
  <c r="AO17" i="4"/>
  <c r="AO56" i="4" s="1"/>
  <c r="AN17" i="4"/>
  <c r="AN56" i="4" s="1"/>
  <c r="AM17" i="4"/>
  <c r="AM56" i="4" s="1"/>
  <c r="AL17" i="4"/>
  <c r="AL56" i="4" s="1"/>
  <c r="AK17" i="4"/>
  <c r="AK56" i="4" s="1"/>
  <c r="AJ17" i="4"/>
  <c r="AJ56" i="4" s="1"/>
  <c r="AI17" i="4"/>
  <c r="AI56" i="4" s="1"/>
  <c r="AH17" i="4"/>
  <c r="AH56" i="4" s="1"/>
  <c r="AG17" i="4"/>
  <c r="AG56" i="4" s="1"/>
  <c r="AF17" i="4"/>
  <c r="AF56" i="4" s="1"/>
  <c r="AE17" i="4"/>
  <c r="AE56" i="4" s="1"/>
  <c r="AD17" i="4"/>
  <c r="AD56" i="4" s="1"/>
  <c r="AC17" i="4"/>
  <c r="AC56" i="4" s="1"/>
  <c r="AB17" i="4"/>
  <c r="AB56" i="4" s="1"/>
  <c r="AA17" i="4"/>
  <c r="AA56" i="4" s="1"/>
  <c r="Z17" i="4"/>
  <c r="Z56" i="4" s="1"/>
  <c r="Y17" i="4"/>
  <c r="Y56" i="4" s="1"/>
  <c r="X17" i="4"/>
  <c r="X56" i="4" s="1"/>
  <c r="W17" i="4"/>
  <c r="W56" i="4" s="1"/>
  <c r="V17" i="4"/>
  <c r="V56" i="4" s="1"/>
  <c r="U17" i="4"/>
  <c r="U56" i="4" s="1"/>
  <c r="T17" i="4"/>
  <c r="T56" i="4" s="1"/>
  <c r="S17" i="4"/>
  <c r="S56" i="4" s="1"/>
  <c r="R17" i="4"/>
  <c r="R56" i="4" s="1"/>
  <c r="Q17" i="4"/>
  <c r="Q56" i="4" s="1"/>
  <c r="P17" i="4"/>
  <c r="P56" i="4" s="1"/>
  <c r="O17" i="4"/>
  <c r="O56" i="4" s="1"/>
  <c r="N17" i="4"/>
  <c r="N56" i="4" s="1"/>
  <c r="M17" i="4"/>
  <c r="M56" i="4" s="1"/>
  <c r="L17" i="4"/>
  <c r="L56" i="4" s="1"/>
  <c r="K17" i="4"/>
  <c r="K56" i="4" s="1"/>
  <c r="J17" i="4"/>
  <c r="J56" i="4" s="1"/>
  <c r="I17" i="4"/>
  <c r="I56" i="4" s="1"/>
  <c r="H17" i="4"/>
  <c r="H56" i="4" s="1"/>
  <c r="G17" i="4"/>
  <c r="G56" i="4" s="1"/>
  <c r="F17" i="4"/>
  <c r="F56" i="4" s="1"/>
  <c r="E17" i="4"/>
  <c r="E56" i="4" s="1"/>
  <c r="D17" i="4"/>
  <c r="D56" i="4" s="1"/>
  <c r="C17" i="4"/>
  <c r="B51" i="3"/>
  <c r="AC50" i="3"/>
  <c r="AB50" i="3"/>
  <c r="AA50" i="3"/>
  <c r="Y50" i="3"/>
  <c r="X50" i="3"/>
  <c r="W50" i="3"/>
  <c r="U50" i="3"/>
  <c r="T50" i="3"/>
  <c r="S50" i="3"/>
  <c r="Q50" i="3"/>
  <c r="P50" i="3"/>
  <c r="O50" i="3"/>
  <c r="M50" i="3"/>
  <c r="L50" i="3"/>
  <c r="K50" i="3"/>
  <c r="I50" i="3"/>
  <c r="H50" i="3"/>
  <c r="G50" i="3"/>
  <c r="E50" i="3"/>
  <c r="D50" i="3"/>
  <c r="C50" i="3"/>
  <c r="B50" i="3"/>
  <c r="B49" i="3"/>
  <c r="B48" i="3"/>
  <c r="B46" i="3"/>
  <c r="B44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42" i="3"/>
  <c r="AK41" i="3"/>
  <c r="AJ41" i="3"/>
  <c r="AI41" i="3"/>
  <c r="AH41" i="3"/>
  <c r="AG41" i="3"/>
  <c r="AF41" i="3"/>
  <c r="AE41" i="3"/>
  <c r="AC41" i="3"/>
  <c r="AB41" i="3"/>
  <c r="AA41" i="3"/>
  <c r="Y41" i="3"/>
  <c r="X41" i="3"/>
  <c r="W41" i="3"/>
  <c r="U41" i="3"/>
  <c r="T41" i="3"/>
  <c r="S41" i="3"/>
  <c r="Q41" i="3"/>
  <c r="P41" i="3"/>
  <c r="O41" i="3"/>
  <c r="M41" i="3"/>
  <c r="L41" i="3"/>
  <c r="K41" i="3"/>
  <c r="I41" i="3"/>
  <c r="H41" i="3"/>
  <c r="G41" i="3"/>
  <c r="E41" i="3"/>
  <c r="D41" i="3"/>
  <c r="C41" i="3"/>
  <c r="B41" i="3"/>
  <c r="B40" i="3"/>
  <c r="B39" i="3"/>
  <c r="DF183" i="1"/>
  <c r="DE183" i="1"/>
  <c r="DD183" i="1"/>
  <c r="DC183" i="1"/>
  <c r="DB183" i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CM183" i="1"/>
  <c r="CL183" i="1"/>
  <c r="CK183" i="1"/>
  <c r="CI183" i="1"/>
  <c r="CH183" i="1"/>
  <c r="CG183" i="1"/>
  <c r="CF183" i="1"/>
  <c r="CE183" i="1"/>
  <c r="CD183" i="1"/>
  <c r="CC183" i="1"/>
  <c r="CB183" i="1"/>
  <c r="CA183" i="1"/>
  <c r="BZ183" i="1"/>
  <c r="BY183" i="1"/>
  <c r="BW183" i="1"/>
  <c r="BV183" i="1"/>
  <c r="BU183" i="1"/>
  <c r="BT183" i="1"/>
  <c r="BS183" i="1"/>
  <c r="BR183" i="1"/>
  <c r="BQ183" i="1"/>
  <c r="BP183" i="1"/>
  <c r="BO183" i="1"/>
  <c r="BN183" i="1"/>
  <c r="BM183" i="1"/>
  <c r="BK183" i="1"/>
  <c r="BJ183" i="1"/>
  <c r="BI183" i="1"/>
  <c r="BH183" i="1"/>
  <c r="BG183" i="1"/>
  <c r="BF183" i="1"/>
  <c r="BE183" i="1"/>
  <c r="BD183" i="1"/>
  <c r="BC183" i="1"/>
  <c r="BB183" i="1"/>
  <c r="BA183" i="1"/>
  <c r="AY183" i="1"/>
  <c r="AX183" i="1"/>
  <c r="AW183" i="1"/>
  <c r="AV183" i="1"/>
  <c r="AU183" i="1"/>
  <c r="AT183" i="1"/>
  <c r="AS183" i="1"/>
  <c r="AR183" i="1"/>
  <c r="AQ183" i="1"/>
  <c r="AP183" i="1"/>
  <c r="AO183" i="1"/>
  <c r="AM183" i="1"/>
  <c r="AL183" i="1"/>
  <c r="AK183" i="1"/>
  <c r="AJ183" i="1"/>
  <c r="AI183" i="1"/>
  <c r="AH183" i="1"/>
  <c r="AG183" i="1"/>
  <c r="AF183" i="1"/>
  <c r="AE183" i="1"/>
  <c r="AD183" i="1"/>
  <c r="AC183" i="1"/>
  <c r="AA183" i="1"/>
  <c r="Z183" i="1"/>
  <c r="Y183" i="1"/>
  <c r="X183" i="1"/>
  <c r="W183" i="1"/>
  <c r="V183" i="1"/>
  <c r="U183" i="1"/>
  <c r="T183" i="1"/>
  <c r="S183" i="1"/>
  <c r="R183" i="1"/>
  <c r="Q183" i="1"/>
  <c r="O183" i="1"/>
  <c r="N183" i="1"/>
  <c r="M183" i="1"/>
  <c r="L183" i="1"/>
  <c r="K183" i="1"/>
  <c r="J183" i="1"/>
  <c r="I183" i="1"/>
  <c r="H183" i="1"/>
  <c r="G183" i="1"/>
  <c r="F183" i="1"/>
  <c r="F180" i="1"/>
  <c r="F175" i="1"/>
  <c r="DF169" i="1"/>
  <c r="DE169" i="1"/>
  <c r="DD169" i="1"/>
  <c r="DC169" i="1"/>
  <c r="DB169" i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O169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S168" i="1"/>
  <c r="CR168" i="1"/>
  <c r="CQ168" i="1"/>
  <c r="CP168" i="1"/>
  <c r="CO168" i="1"/>
  <c r="CN168" i="1"/>
  <c r="CM168" i="1"/>
  <c r="CK168" i="1"/>
  <c r="CJ168" i="1"/>
  <c r="CI168" i="1"/>
  <c r="CH168" i="1"/>
  <c r="CG168" i="1"/>
  <c r="CF168" i="1"/>
  <c r="CE168" i="1"/>
  <c r="CC168" i="1"/>
  <c r="CB168" i="1"/>
  <c r="CA168" i="1"/>
  <c r="BZ168" i="1"/>
  <c r="BY168" i="1"/>
  <c r="BX168" i="1"/>
  <c r="BW168" i="1"/>
  <c r="BU168" i="1"/>
  <c r="BT168" i="1"/>
  <c r="BS168" i="1"/>
  <c r="BR168" i="1"/>
  <c r="BQ168" i="1"/>
  <c r="BP168" i="1"/>
  <c r="BO168" i="1"/>
  <c r="BM168" i="1"/>
  <c r="BL168" i="1"/>
  <c r="BK168" i="1"/>
  <c r="BJ168" i="1"/>
  <c r="BI168" i="1"/>
  <c r="BH168" i="1"/>
  <c r="BG168" i="1"/>
  <c r="BE168" i="1"/>
  <c r="BD168" i="1"/>
  <c r="BC168" i="1"/>
  <c r="BB168" i="1"/>
  <c r="BA168" i="1"/>
  <c r="AZ168" i="1"/>
  <c r="AY168" i="1"/>
  <c r="AW168" i="1"/>
  <c r="AV168" i="1"/>
  <c r="AU168" i="1"/>
  <c r="AT168" i="1"/>
  <c r="AS168" i="1"/>
  <c r="AR168" i="1"/>
  <c r="AQ168" i="1"/>
  <c r="AO168" i="1"/>
  <c r="AN168" i="1"/>
  <c r="AM168" i="1"/>
  <c r="AL168" i="1"/>
  <c r="AK168" i="1"/>
  <c r="AJ168" i="1"/>
  <c r="AI168" i="1"/>
  <c r="AG168" i="1"/>
  <c r="AF168" i="1"/>
  <c r="AE168" i="1"/>
  <c r="AD168" i="1"/>
  <c r="AC168" i="1"/>
  <c r="AB168" i="1"/>
  <c r="AA168" i="1"/>
  <c r="Y168" i="1"/>
  <c r="X168" i="1"/>
  <c r="W168" i="1"/>
  <c r="V168" i="1"/>
  <c r="U168" i="1"/>
  <c r="T168" i="1"/>
  <c r="S168" i="1"/>
  <c r="Q168" i="1"/>
  <c r="P168" i="1"/>
  <c r="O168" i="1"/>
  <c r="N168" i="1"/>
  <c r="M168" i="1"/>
  <c r="L168" i="1"/>
  <c r="K168" i="1"/>
  <c r="I168" i="1"/>
  <c r="H168" i="1"/>
  <c r="G168" i="1"/>
  <c r="F168" i="1"/>
  <c r="DF167" i="1"/>
  <c r="DE167" i="1"/>
  <c r="DD167" i="1"/>
  <c r="DC167" i="1"/>
  <c r="DB167" i="1"/>
  <c r="DA167" i="1"/>
  <c r="CZ167" i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F166" i="1"/>
  <c r="DE166" i="1"/>
  <c r="DD166" i="1"/>
  <c r="DC166" i="1"/>
  <c r="DB166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M166" i="1"/>
  <c r="CL166" i="1"/>
  <c r="CK166" i="1"/>
  <c r="CJ166" i="1"/>
  <c r="CI166" i="1"/>
  <c r="CH166" i="1"/>
  <c r="CG166" i="1"/>
  <c r="CE166" i="1"/>
  <c r="CD166" i="1"/>
  <c r="CC166" i="1"/>
  <c r="CB166" i="1"/>
  <c r="CA166" i="1"/>
  <c r="BZ166" i="1"/>
  <c r="BY166" i="1"/>
  <c r="BW166" i="1"/>
  <c r="BV166" i="1"/>
  <c r="BU166" i="1"/>
  <c r="BT166" i="1"/>
  <c r="BS166" i="1"/>
  <c r="BR166" i="1"/>
  <c r="BQ166" i="1"/>
  <c r="BO166" i="1"/>
  <c r="BN166" i="1"/>
  <c r="BM166" i="1"/>
  <c r="BL166" i="1"/>
  <c r="BK166" i="1"/>
  <c r="BJ166" i="1"/>
  <c r="BI166" i="1"/>
  <c r="BG166" i="1"/>
  <c r="BF166" i="1"/>
  <c r="BE166" i="1"/>
  <c r="BD166" i="1"/>
  <c r="BC166" i="1"/>
  <c r="BB166" i="1"/>
  <c r="BA166" i="1"/>
  <c r="AY166" i="1"/>
  <c r="AX166" i="1"/>
  <c r="AW166" i="1"/>
  <c r="AV166" i="1"/>
  <c r="AU166" i="1"/>
  <c r="AT166" i="1"/>
  <c r="AS166" i="1"/>
  <c r="AQ166" i="1"/>
  <c r="AP166" i="1"/>
  <c r="AO166" i="1"/>
  <c r="AN166" i="1"/>
  <c r="AM166" i="1"/>
  <c r="AL166" i="1"/>
  <c r="AK166" i="1"/>
  <c r="AI166" i="1"/>
  <c r="AH166" i="1"/>
  <c r="AG166" i="1"/>
  <c r="AF166" i="1"/>
  <c r="AE166" i="1"/>
  <c r="AD166" i="1"/>
  <c r="AC166" i="1"/>
  <c r="AA166" i="1"/>
  <c r="Z166" i="1"/>
  <c r="Y166" i="1"/>
  <c r="X166" i="1"/>
  <c r="W166" i="1"/>
  <c r="V166" i="1"/>
  <c r="U166" i="1"/>
  <c r="S166" i="1"/>
  <c r="R166" i="1"/>
  <c r="Q166" i="1"/>
  <c r="P166" i="1"/>
  <c r="O166" i="1"/>
  <c r="N166" i="1"/>
  <c r="M166" i="1"/>
  <c r="K166" i="1"/>
  <c r="J166" i="1"/>
  <c r="I166" i="1"/>
  <c r="H166" i="1"/>
  <c r="G166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F164" i="1"/>
  <c r="DE164" i="1"/>
  <c r="DD164" i="1"/>
  <c r="DC164" i="1"/>
  <c r="DB164" i="1"/>
  <c r="DA164" i="1"/>
  <c r="CZ164" i="1"/>
  <c r="CY164" i="1"/>
  <c r="CX164" i="1"/>
  <c r="CW164" i="1"/>
  <c r="CV164" i="1"/>
  <c r="CU164" i="1"/>
  <c r="CT164" i="1"/>
  <c r="CS164" i="1"/>
  <c r="CQ164" i="1"/>
  <c r="CO164" i="1"/>
  <c r="CN164" i="1"/>
  <c r="CM164" i="1"/>
  <c r="CL164" i="1"/>
  <c r="CK164" i="1"/>
  <c r="CJ164" i="1"/>
  <c r="CI164" i="1"/>
  <c r="CG164" i="1"/>
  <c r="CF164" i="1"/>
  <c r="CE164" i="1"/>
  <c r="CD164" i="1"/>
  <c r="CC164" i="1"/>
  <c r="CB164" i="1"/>
  <c r="CA164" i="1"/>
  <c r="BX164" i="1"/>
  <c r="BW164" i="1"/>
  <c r="BV164" i="1"/>
  <c r="BU164" i="1"/>
  <c r="BT164" i="1"/>
  <c r="BS164" i="1"/>
  <c r="BQ164" i="1"/>
  <c r="BP164" i="1"/>
  <c r="BO164" i="1"/>
  <c r="BN164" i="1"/>
  <c r="BM164" i="1"/>
  <c r="BL164" i="1"/>
  <c r="BK164" i="1"/>
  <c r="BI164" i="1"/>
  <c r="BH164" i="1"/>
  <c r="BG164" i="1"/>
  <c r="BF164" i="1"/>
  <c r="BE164" i="1"/>
  <c r="BD164" i="1"/>
  <c r="BC164" i="1"/>
  <c r="BA164" i="1"/>
  <c r="AZ164" i="1"/>
  <c r="AY164" i="1"/>
  <c r="AX164" i="1"/>
  <c r="AW164" i="1"/>
  <c r="AV164" i="1"/>
  <c r="AU164" i="1"/>
  <c r="AS164" i="1"/>
  <c r="AR164" i="1"/>
  <c r="AQ164" i="1"/>
  <c r="AP164" i="1"/>
  <c r="AO164" i="1"/>
  <c r="AN164" i="1"/>
  <c r="AM164" i="1"/>
  <c r="AK164" i="1"/>
  <c r="AJ164" i="1"/>
  <c r="AI164" i="1"/>
  <c r="AH164" i="1"/>
  <c r="AG164" i="1"/>
  <c r="AE164" i="1"/>
  <c r="AC164" i="1"/>
  <c r="AB164" i="1"/>
  <c r="AA164" i="1"/>
  <c r="Z164" i="1"/>
  <c r="Y164" i="1"/>
  <c r="X164" i="1"/>
  <c r="W164" i="1"/>
  <c r="U164" i="1"/>
  <c r="T164" i="1"/>
  <c r="S164" i="1"/>
  <c r="R164" i="1"/>
  <c r="Q164" i="1"/>
  <c r="O164" i="1"/>
  <c r="L164" i="1"/>
  <c r="K164" i="1"/>
  <c r="J164" i="1"/>
  <c r="I164" i="1"/>
  <c r="H164" i="1"/>
  <c r="G164" i="1"/>
  <c r="F164" i="1"/>
  <c r="DF163" i="1"/>
  <c r="DE163" i="1"/>
  <c r="DD163" i="1"/>
  <c r="DC163" i="1"/>
  <c r="DB163" i="1"/>
  <c r="DA163" i="1"/>
  <c r="CZ163" i="1"/>
  <c r="CY163" i="1"/>
  <c r="CX163" i="1"/>
  <c r="CW163" i="1"/>
  <c r="CV163" i="1"/>
  <c r="CU163" i="1"/>
  <c r="CT163" i="1"/>
  <c r="CS163" i="1"/>
  <c r="CR163" i="1"/>
  <c r="CQ163" i="1"/>
  <c r="CP163" i="1"/>
  <c r="CO163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BK163" i="1"/>
  <c r="BJ163" i="1"/>
  <c r="BI163" i="1"/>
  <c r="BH163" i="1"/>
  <c r="BG163" i="1"/>
  <c r="BF163" i="1"/>
  <c r="BE163" i="1"/>
  <c r="BE170" i="1" s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Y170" i="1" s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R170" i="1" s="1"/>
  <c r="CP162" i="1"/>
  <c r="CO162" i="1"/>
  <c r="CN162" i="1"/>
  <c r="CM162" i="1"/>
  <c r="CL162" i="1"/>
  <c r="CK162" i="1"/>
  <c r="CJ162" i="1"/>
  <c r="CJ170" i="1" s="1"/>
  <c r="CH162" i="1"/>
  <c r="CG162" i="1"/>
  <c r="CF162" i="1"/>
  <c r="CE162" i="1"/>
  <c r="CD162" i="1"/>
  <c r="CC162" i="1"/>
  <c r="CB162" i="1"/>
  <c r="CB170" i="1" s="1"/>
  <c r="AA46" i="3" s="1"/>
  <c r="BZ162" i="1"/>
  <c r="BY162" i="1"/>
  <c r="BX162" i="1"/>
  <c r="BW162" i="1"/>
  <c r="BV162" i="1"/>
  <c r="BU162" i="1"/>
  <c r="BT162" i="1"/>
  <c r="BR162" i="1"/>
  <c r="BQ162" i="1"/>
  <c r="BP162" i="1"/>
  <c r="BO162" i="1"/>
  <c r="BN162" i="1"/>
  <c r="BM162" i="1"/>
  <c r="BL162" i="1"/>
  <c r="BJ162" i="1"/>
  <c r="BI162" i="1"/>
  <c r="BH162" i="1"/>
  <c r="BG162" i="1"/>
  <c r="BF162" i="1"/>
  <c r="BE162" i="1"/>
  <c r="BD162" i="1"/>
  <c r="BB162" i="1"/>
  <c r="BA162" i="1"/>
  <c r="AZ162" i="1"/>
  <c r="AY162" i="1"/>
  <c r="AX162" i="1"/>
  <c r="AW162" i="1"/>
  <c r="AV162" i="1"/>
  <c r="AT162" i="1"/>
  <c r="AS162" i="1"/>
  <c r="AR162" i="1"/>
  <c r="AQ162" i="1"/>
  <c r="AQ170" i="1" s="1"/>
  <c r="AP162" i="1"/>
  <c r="AO162" i="1"/>
  <c r="AN162" i="1"/>
  <c r="AL162" i="1"/>
  <c r="AK162" i="1"/>
  <c r="AJ162" i="1"/>
  <c r="AI162" i="1"/>
  <c r="AH162" i="1"/>
  <c r="AG162" i="1"/>
  <c r="AF162" i="1"/>
  <c r="AF170" i="1" s="1"/>
  <c r="K46" i="3" s="1"/>
  <c r="AD162" i="1"/>
  <c r="AC162" i="1"/>
  <c r="AB162" i="1"/>
  <c r="AA162" i="1"/>
  <c r="Z162" i="1"/>
  <c r="Y162" i="1"/>
  <c r="X162" i="1"/>
  <c r="X170" i="1" s="1"/>
  <c r="V162" i="1"/>
  <c r="U162" i="1"/>
  <c r="T162" i="1"/>
  <c r="S162" i="1"/>
  <c r="R162" i="1"/>
  <c r="Q162" i="1"/>
  <c r="P162" i="1"/>
  <c r="P170" i="1" s="1"/>
  <c r="N162" i="1"/>
  <c r="M162" i="1"/>
  <c r="L162" i="1"/>
  <c r="K162" i="1"/>
  <c r="J162" i="1"/>
  <c r="I162" i="1"/>
  <c r="H162" i="1"/>
  <c r="F162" i="1"/>
  <c r="R157" i="1"/>
  <c r="F155" i="1"/>
  <c r="AF152" i="1"/>
  <c r="F151" i="1"/>
  <c r="F150" i="1"/>
  <c r="F149" i="1"/>
  <c r="G145" i="1" s="1"/>
  <c r="F145" i="1"/>
  <c r="F146" i="1" s="1"/>
  <c r="F140" i="1"/>
  <c r="F141" i="1" s="1"/>
  <c r="F135" i="1"/>
  <c r="F137" i="1" s="1"/>
  <c r="G135" i="1" s="1"/>
  <c r="G137" i="1" s="1"/>
  <c r="H135" i="1" s="1"/>
  <c r="H137" i="1" s="1"/>
  <c r="F129" i="1"/>
  <c r="F130" i="1" s="1"/>
  <c r="F128" i="1"/>
  <c r="DF112" i="1"/>
  <c r="DD112" i="1"/>
  <c r="DC112" i="1"/>
  <c r="DB112" i="1"/>
  <c r="DA112" i="1"/>
  <c r="CZ112" i="1"/>
  <c r="CX112" i="1"/>
  <c r="CV112" i="1"/>
  <c r="CU112" i="1"/>
  <c r="CT112" i="1"/>
  <c r="CS112" i="1"/>
  <c r="CR112" i="1"/>
  <c r="CP112" i="1"/>
  <c r="CN112" i="1"/>
  <c r="CM112" i="1"/>
  <c r="CL112" i="1"/>
  <c r="CK112" i="1"/>
  <c r="CJ112" i="1"/>
  <c r="CH112" i="1"/>
  <c r="CF112" i="1"/>
  <c r="CE112" i="1"/>
  <c r="CD112" i="1"/>
  <c r="CC112" i="1"/>
  <c r="CB112" i="1"/>
  <c r="BZ112" i="1"/>
  <c r="BX112" i="1"/>
  <c r="BW112" i="1"/>
  <c r="BV112" i="1"/>
  <c r="BU112" i="1"/>
  <c r="BT112" i="1"/>
  <c r="BR112" i="1"/>
  <c r="BP112" i="1"/>
  <c r="BO112" i="1"/>
  <c r="BN112" i="1"/>
  <c r="BM112" i="1"/>
  <c r="BL112" i="1"/>
  <c r="BJ112" i="1"/>
  <c r="BH112" i="1"/>
  <c r="BG112" i="1"/>
  <c r="BF112" i="1"/>
  <c r="BE112" i="1"/>
  <c r="BD112" i="1"/>
  <c r="BB112" i="1"/>
  <c r="AZ112" i="1"/>
  <c r="AY112" i="1"/>
  <c r="AX112" i="1"/>
  <c r="AW112" i="1"/>
  <c r="AV112" i="1"/>
  <c r="AT112" i="1"/>
  <c r="AR112" i="1"/>
  <c r="AQ112" i="1"/>
  <c r="AP112" i="1"/>
  <c r="AO112" i="1"/>
  <c r="AN112" i="1"/>
  <c r="AL112" i="1"/>
  <c r="AJ112" i="1"/>
  <c r="AI112" i="1"/>
  <c r="AH112" i="1"/>
  <c r="AG112" i="1"/>
  <c r="AF112" i="1"/>
  <c r="AD112" i="1"/>
  <c r="AB112" i="1"/>
  <c r="AA112" i="1"/>
  <c r="Z112" i="1"/>
  <c r="Y112" i="1"/>
  <c r="X112" i="1"/>
  <c r="V112" i="1"/>
  <c r="T112" i="1"/>
  <c r="S112" i="1"/>
  <c r="R112" i="1"/>
  <c r="Q112" i="1"/>
  <c r="P112" i="1"/>
  <c r="N112" i="1"/>
  <c r="L112" i="1"/>
  <c r="K112" i="1"/>
  <c r="J112" i="1"/>
  <c r="I112" i="1"/>
  <c r="H112" i="1"/>
  <c r="F112" i="1"/>
  <c r="E110" i="1"/>
  <c r="D110" i="1"/>
  <c r="C110" i="1"/>
  <c r="E109" i="1"/>
  <c r="D109" i="1"/>
  <c r="C109" i="1"/>
  <c r="B35" i="3" s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E108" i="1"/>
  <c r="D108" i="1"/>
  <c r="C108" i="1"/>
  <c r="DF107" i="1"/>
  <c r="DE107" i="1"/>
  <c r="DD107" i="1"/>
  <c r="DC107" i="1"/>
  <c r="DB107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DF106" i="1"/>
  <c r="DE106" i="1"/>
  <c r="DD106" i="1"/>
  <c r="DC106" i="1"/>
  <c r="DB106" i="1"/>
  <c r="DA106" i="1"/>
  <c r="CZ106" i="1"/>
  <c r="CY106" i="1"/>
  <c r="CX106" i="1"/>
  <c r="AI32" i="3" s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AA32" i="3" s="1"/>
  <c r="BY106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S32" i="3" s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K32" i="3" s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C32" i="3" s="1"/>
  <c r="E106" i="1"/>
  <c r="D106" i="1"/>
  <c r="C106" i="1"/>
  <c r="DF105" i="1"/>
  <c r="DE105" i="1"/>
  <c r="DD105" i="1"/>
  <c r="DC105" i="1"/>
  <c r="DB105" i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DF104" i="1"/>
  <c r="DE104" i="1"/>
  <c r="DD104" i="1"/>
  <c r="DC104" i="1"/>
  <c r="DB104" i="1"/>
  <c r="DA104" i="1"/>
  <c r="CZ104" i="1"/>
  <c r="CY104" i="1"/>
  <c r="CX104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DF103" i="1"/>
  <c r="DE103" i="1"/>
  <c r="DD103" i="1"/>
  <c r="DB103" i="1"/>
  <c r="DA103" i="1"/>
  <c r="CZ103" i="1"/>
  <c r="CY103" i="1"/>
  <c r="CX103" i="1"/>
  <c r="CW103" i="1"/>
  <c r="CV103" i="1"/>
  <c r="CT103" i="1"/>
  <c r="CS103" i="1"/>
  <c r="CR103" i="1"/>
  <c r="CQ103" i="1"/>
  <c r="CP103" i="1"/>
  <c r="CO103" i="1"/>
  <c r="CN103" i="1"/>
  <c r="CL103" i="1"/>
  <c r="CK103" i="1"/>
  <c r="CJ103" i="1"/>
  <c r="CI103" i="1"/>
  <c r="CH103" i="1"/>
  <c r="CG103" i="1"/>
  <c r="CF103" i="1"/>
  <c r="CD103" i="1"/>
  <c r="CC103" i="1"/>
  <c r="CB103" i="1"/>
  <c r="CA103" i="1"/>
  <c r="BZ103" i="1"/>
  <c r="BY103" i="1"/>
  <c r="BX103" i="1"/>
  <c r="BV103" i="1"/>
  <c r="BU103" i="1"/>
  <c r="BT103" i="1"/>
  <c r="BS103" i="1"/>
  <c r="BR103" i="1"/>
  <c r="BQ103" i="1"/>
  <c r="BP103" i="1"/>
  <c r="BN103" i="1"/>
  <c r="BM103" i="1"/>
  <c r="BL103" i="1"/>
  <c r="BK103" i="1"/>
  <c r="BJ103" i="1"/>
  <c r="BH103" i="1"/>
  <c r="BF103" i="1"/>
  <c r="BE103" i="1"/>
  <c r="BD103" i="1"/>
  <c r="BC103" i="1"/>
  <c r="BB103" i="1"/>
  <c r="BA103" i="1"/>
  <c r="AZ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DF102" i="1"/>
  <c r="DE102" i="1"/>
  <c r="DD102" i="1"/>
  <c r="DC102" i="1"/>
  <c r="DB102" i="1"/>
  <c r="DA102" i="1"/>
  <c r="CZ102" i="1"/>
  <c r="CY102" i="1"/>
  <c r="CX102" i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DF97" i="1"/>
  <c r="DE97" i="1"/>
  <c r="DD97" i="1"/>
  <c r="DC97" i="1"/>
  <c r="DB97" i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F86" i="1"/>
  <c r="E86" i="1"/>
  <c r="D86" i="1"/>
  <c r="C86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F85" i="1"/>
  <c r="E85" i="1"/>
  <c r="D85" i="1"/>
  <c r="C85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F84" i="1"/>
  <c r="E84" i="1"/>
  <c r="D84" i="1"/>
  <c r="C84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F83" i="1"/>
  <c r="E83" i="1"/>
  <c r="D83" i="1"/>
  <c r="C83" i="1"/>
  <c r="DF82" i="1"/>
  <c r="DE82" i="1"/>
  <c r="DD82" i="1"/>
  <c r="DC82" i="1"/>
  <c r="DB82" i="1"/>
  <c r="DA82" i="1"/>
  <c r="CZ82" i="1"/>
  <c r="CY82" i="1"/>
  <c r="CX82" i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D111" i="1" s="1"/>
  <c r="D120" i="1" s="1"/>
  <c r="C82" i="1"/>
  <c r="DF79" i="1"/>
  <c r="DE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R79" i="1"/>
  <c r="CQ79" i="1"/>
  <c r="CP79" i="1"/>
  <c r="CO79" i="1"/>
  <c r="CN79" i="1"/>
  <c r="CM79" i="1"/>
  <c r="CL79" i="1"/>
  <c r="BH79" i="1"/>
  <c r="M79" i="1"/>
  <c r="L79" i="1"/>
  <c r="K79" i="1"/>
  <c r="E79" i="1"/>
  <c r="D79" i="1"/>
  <c r="C79" i="1"/>
  <c r="DF78" i="1"/>
  <c r="DE78" i="1"/>
  <c r="DD78" i="1"/>
  <c r="DC78" i="1"/>
  <c r="DB78" i="1"/>
  <c r="DA78" i="1"/>
  <c r="CZ78" i="1"/>
  <c r="CY78" i="1"/>
  <c r="CX78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H32" i="11" s="1"/>
  <c r="CJ77" i="1"/>
  <c r="CG32" i="11" s="1"/>
  <c r="CI77" i="1"/>
  <c r="CF32" i="11" s="1"/>
  <c r="CH77" i="1"/>
  <c r="CE32" i="11" s="1"/>
  <c r="CG77" i="1"/>
  <c r="CD32" i="11" s="1"/>
  <c r="CF77" i="1"/>
  <c r="CC32" i="11" s="1"/>
  <c r="CE77" i="1"/>
  <c r="CB32" i="11" s="1"/>
  <c r="CD77" i="1"/>
  <c r="CA32" i="11" s="1"/>
  <c r="CC77" i="1"/>
  <c r="BZ32" i="11" s="1"/>
  <c r="CB77" i="1"/>
  <c r="BY32" i="11" s="1"/>
  <c r="CA77" i="1"/>
  <c r="BX32" i="11" s="1"/>
  <c r="BZ77" i="1"/>
  <c r="BW32" i="11" s="1"/>
  <c r="BY77" i="1"/>
  <c r="BV32" i="11" s="1"/>
  <c r="BX77" i="1"/>
  <c r="BU32" i="11" s="1"/>
  <c r="BW77" i="1"/>
  <c r="BT32" i="11" s="1"/>
  <c r="BV77" i="1"/>
  <c r="BS32" i="11" s="1"/>
  <c r="BU77" i="1"/>
  <c r="BR32" i="11" s="1"/>
  <c r="BT77" i="1"/>
  <c r="BQ32" i="11" s="1"/>
  <c r="BS77" i="1"/>
  <c r="BP32" i="11" s="1"/>
  <c r="BR77" i="1"/>
  <c r="BO32" i="11" s="1"/>
  <c r="BQ77" i="1"/>
  <c r="BN32" i="11" s="1"/>
  <c r="BP77" i="1"/>
  <c r="BM32" i="11" s="1"/>
  <c r="BO77" i="1"/>
  <c r="BL32" i="11" s="1"/>
  <c r="BN77" i="1"/>
  <c r="BK32" i="11" s="1"/>
  <c r="BM77" i="1"/>
  <c r="BJ32" i="11" s="1"/>
  <c r="BL77" i="1"/>
  <c r="BI32" i="11" s="1"/>
  <c r="BK77" i="1"/>
  <c r="BH32" i="11" s="1"/>
  <c r="BJ77" i="1"/>
  <c r="BG32" i="11" s="1"/>
  <c r="BI77" i="1"/>
  <c r="BF32" i="11" s="1"/>
  <c r="BH77" i="1"/>
  <c r="BE32" i="11" s="1"/>
  <c r="BG77" i="1"/>
  <c r="BD32" i="11" s="1"/>
  <c r="BF77" i="1"/>
  <c r="BC32" i="11" s="1"/>
  <c r="BE77" i="1"/>
  <c r="BB32" i="11" s="1"/>
  <c r="BD77" i="1"/>
  <c r="BA32" i="11" s="1"/>
  <c r="BC77" i="1"/>
  <c r="AZ32" i="11" s="1"/>
  <c r="BB77" i="1"/>
  <c r="AY32" i="11" s="1"/>
  <c r="BA77" i="1"/>
  <c r="AX32" i="11" s="1"/>
  <c r="AZ77" i="1"/>
  <c r="AW32" i="11" s="1"/>
  <c r="AY77" i="1"/>
  <c r="AV32" i="11" s="1"/>
  <c r="AX77" i="1"/>
  <c r="AU32" i="11" s="1"/>
  <c r="AW77" i="1"/>
  <c r="AT32" i="11" s="1"/>
  <c r="AV77" i="1"/>
  <c r="AS32" i="11" s="1"/>
  <c r="AU77" i="1"/>
  <c r="AR32" i="11" s="1"/>
  <c r="AT77" i="1"/>
  <c r="AQ32" i="11" s="1"/>
  <c r="AS77" i="1"/>
  <c r="AP32" i="11" s="1"/>
  <c r="AR77" i="1"/>
  <c r="AO32" i="11" s="1"/>
  <c r="AQ77" i="1"/>
  <c r="AN32" i="11" s="1"/>
  <c r="AP77" i="1"/>
  <c r="AM32" i="11" s="1"/>
  <c r="AO77" i="1"/>
  <c r="AL32" i="11" s="1"/>
  <c r="AN77" i="1"/>
  <c r="AK32" i="11" s="1"/>
  <c r="AM77" i="1"/>
  <c r="AJ32" i="11" s="1"/>
  <c r="AL77" i="1"/>
  <c r="AI32" i="11" s="1"/>
  <c r="AK77" i="1"/>
  <c r="AH32" i="11" s="1"/>
  <c r="AJ77" i="1"/>
  <c r="AG32" i="11" s="1"/>
  <c r="AI77" i="1"/>
  <c r="AF32" i="11" s="1"/>
  <c r="AH77" i="1"/>
  <c r="AE32" i="11" s="1"/>
  <c r="AG77" i="1"/>
  <c r="AD32" i="11" s="1"/>
  <c r="AF77" i="1"/>
  <c r="AC32" i="11" s="1"/>
  <c r="AE77" i="1"/>
  <c r="AB32" i="11" s="1"/>
  <c r="AD77" i="1"/>
  <c r="AA32" i="11" s="1"/>
  <c r="AC77" i="1"/>
  <c r="Z32" i="11" s="1"/>
  <c r="AB77" i="1"/>
  <c r="Y32" i="11" s="1"/>
  <c r="AA77" i="1"/>
  <c r="X32" i="11" s="1"/>
  <c r="Z77" i="1"/>
  <c r="W32" i="11" s="1"/>
  <c r="Y77" i="1"/>
  <c r="V32" i="11" s="1"/>
  <c r="X77" i="1"/>
  <c r="U32" i="11" s="1"/>
  <c r="W77" i="1"/>
  <c r="T32" i="11" s="1"/>
  <c r="V77" i="1"/>
  <c r="S32" i="11" s="1"/>
  <c r="U77" i="1"/>
  <c r="R32" i="11" s="1"/>
  <c r="T77" i="1"/>
  <c r="Q32" i="11" s="1"/>
  <c r="S77" i="1"/>
  <c r="P32" i="11" s="1"/>
  <c r="R77" i="1"/>
  <c r="O32" i="11" s="1"/>
  <c r="Q77" i="1"/>
  <c r="N32" i="11" s="1"/>
  <c r="P77" i="1"/>
  <c r="M32" i="11" s="1"/>
  <c r="O77" i="1"/>
  <c r="L32" i="11" s="1"/>
  <c r="N77" i="1"/>
  <c r="K32" i="11" s="1"/>
  <c r="M77" i="1"/>
  <c r="J32" i="11" s="1"/>
  <c r="L77" i="1"/>
  <c r="I32" i="11" s="1"/>
  <c r="K77" i="1"/>
  <c r="H32" i="11" s="1"/>
  <c r="J77" i="1"/>
  <c r="G32" i="11" s="1"/>
  <c r="I77" i="1"/>
  <c r="F32" i="11" s="1"/>
  <c r="H77" i="1"/>
  <c r="E32" i="11" s="1"/>
  <c r="G77" i="1"/>
  <c r="D32" i="11" s="1"/>
  <c r="F77" i="1"/>
  <c r="E77" i="1"/>
  <c r="D77" i="1"/>
  <c r="C77" i="1"/>
  <c r="DF76" i="1"/>
  <c r="DE76" i="1"/>
  <c r="DD76" i="1"/>
  <c r="DC76" i="1"/>
  <c r="DB76" i="1"/>
  <c r="DA76" i="1"/>
  <c r="CZ76" i="1"/>
  <c r="CY76" i="1"/>
  <c r="CX76" i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H26" i="11" s="1"/>
  <c r="CJ76" i="1"/>
  <c r="CG26" i="11" s="1"/>
  <c r="CI76" i="1"/>
  <c r="CF26" i="11" s="1"/>
  <c r="CH76" i="1"/>
  <c r="CE26" i="11" s="1"/>
  <c r="CG76" i="1"/>
  <c r="CD26" i="11" s="1"/>
  <c r="CF76" i="1"/>
  <c r="CC26" i="11" s="1"/>
  <c r="CE76" i="1"/>
  <c r="CB26" i="11" s="1"/>
  <c r="CD76" i="1"/>
  <c r="CA26" i="11" s="1"/>
  <c r="CC76" i="1"/>
  <c r="BZ26" i="11" s="1"/>
  <c r="CB76" i="1"/>
  <c r="BY26" i="11" s="1"/>
  <c r="CA76" i="1"/>
  <c r="BX26" i="11" s="1"/>
  <c r="BZ76" i="1"/>
  <c r="BW26" i="11" s="1"/>
  <c r="BY76" i="1"/>
  <c r="BV26" i="11" s="1"/>
  <c r="BX76" i="1"/>
  <c r="BU26" i="11" s="1"/>
  <c r="BW76" i="1"/>
  <c r="BT26" i="11" s="1"/>
  <c r="BV76" i="1"/>
  <c r="BS26" i="11" s="1"/>
  <c r="BU76" i="1"/>
  <c r="BR26" i="11" s="1"/>
  <c r="BT76" i="1"/>
  <c r="BQ26" i="11" s="1"/>
  <c r="BS76" i="1"/>
  <c r="BP26" i="11" s="1"/>
  <c r="BR76" i="1"/>
  <c r="BO26" i="11" s="1"/>
  <c r="BQ76" i="1"/>
  <c r="BN26" i="11" s="1"/>
  <c r="BP76" i="1"/>
  <c r="BM26" i="11" s="1"/>
  <c r="BO76" i="1"/>
  <c r="BL26" i="11" s="1"/>
  <c r="BN76" i="1"/>
  <c r="BK26" i="11" s="1"/>
  <c r="BM76" i="1"/>
  <c r="BJ26" i="11" s="1"/>
  <c r="BL76" i="1"/>
  <c r="BI26" i="11" s="1"/>
  <c r="BK76" i="1"/>
  <c r="BH26" i="11" s="1"/>
  <c r="BJ76" i="1"/>
  <c r="BG26" i="11" s="1"/>
  <c r="BI76" i="1"/>
  <c r="BF26" i="11" s="1"/>
  <c r="BH76" i="1"/>
  <c r="BE26" i="11" s="1"/>
  <c r="BG76" i="1"/>
  <c r="BD26" i="11" s="1"/>
  <c r="BF76" i="1"/>
  <c r="BC26" i="11" s="1"/>
  <c r="BE76" i="1"/>
  <c r="BB26" i="11" s="1"/>
  <c r="BD76" i="1"/>
  <c r="BA26" i="11" s="1"/>
  <c r="BC76" i="1"/>
  <c r="AZ26" i="11" s="1"/>
  <c r="BB76" i="1"/>
  <c r="AY26" i="11" s="1"/>
  <c r="BA76" i="1"/>
  <c r="AX26" i="11" s="1"/>
  <c r="AZ76" i="1"/>
  <c r="AW26" i="11" s="1"/>
  <c r="AY76" i="1"/>
  <c r="AV26" i="11" s="1"/>
  <c r="AX76" i="1"/>
  <c r="AU26" i="11" s="1"/>
  <c r="AW76" i="1"/>
  <c r="AT26" i="11" s="1"/>
  <c r="AV76" i="1"/>
  <c r="AS26" i="11" s="1"/>
  <c r="AU76" i="1"/>
  <c r="AR26" i="11" s="1"/>
  <c r="AT76" i="1"/>
  <c r="AQ26" i="11" s="1"/>
  <c r="AS76" i="1"/>
  <c r="AP26" i="11" s="1"/>
  <c r="AR76" i="1"/>
  <c r="AO26" i="11" s="1"/>
  <c r="AQ76" i="1"/>
  <c r="AN26" i="11" s="1"/>
  <c r="AP76" i="1"/>
  <c r="AM26" i="11" s="1"/>
  <c r="AO76" i="1"/>
  <c r="AL26" i="11" s="1"/>
  <c r="AN76" i="1"/>
  <c r="AK26" i="11" s="1"/>
  <c r="AM76" i="1"/>
  <c r="AJ26" i="11" s="1"/>
  <c r="AL76" i="1"/>
  <c r="AI26" i="11" s="1"/>
  <c r="AK76" i="1"/>
  <c r="AH26" i="11" s="1"/>
  <c r="AJ76" i="1"/>
  <c r="AG26" i="11" s="1"/>
  <c r="AI76" i="1"/>
  <c r="AF26" i="11" s="1"/>
  <c r="AH76" i="1"/>
  <c r="AE26" i="11" s="1"/>
  <c r="AG76" i="1"/>
  <c r="AD26" i="11" s="1"/>
  <c r="AF76" i="1"/>
  <c r="AC26" i="11" s="1"/>
  <c r="AE76" i="1"/>
  <c r="AB26" i="11" s="1"/>
  <c r="AD76" i="1"/>
  <c r="AA26" i="11" s="1"/>
  <c r="AC76" i="1"/>
  <c r="Z26" i="11" s="1"/>
  <c r="AB76" i="1"/>
  <c r="Y26" i="11" s="1"/>
  <c r="AA76" i="1"/>
  <c r="X26" i="11" s="1"/>
  <c r="Z76" i="1"/>
  <c r="W26" i="11" s="1"/>
  <c r="Y76" i="1"/>
  <c r="V26" i="11" s="1"/>
  <c r="X76" i="1"/>
  <c r="U26" i="11" s="1"/>
  <c r="W76" i="1"/>
  <c r="T26" i="11" s="1"/>
  <c r="V76" i="1"/>
  <c r="S26" i="11" s="1"/>
  <c r="U76" i="1"/>
  <c r="R26" i="11" s="1"/>
  <c r="T76" i="1"/>
  <c r="Q26" i="11" s="1"/>
  <c r="S76" i="1"/>
  <c r="P26" i="11" s="1"/>
  <c r="R76" i="1"/>
  <c r="O26" i="11" s="1"/>
  <c r="Q76" i="1"/>
  <c r="N26" i="11" s="1"/>
  <c r="P76" i="1"/>
  <c r="M26" i="11" s="1"/>
  <c r="O76" i="1"/>
  <c r="L26" i="11" s="1"/>
  <c r="N76" i="1"/>
  <c r="K26" i="11" s="1"/>
  <c r="M76" i="1"/>
  <c r="J26" i="11" s="1"/>
  <c r="L76" i="1"/>
  <c r="I26" i="11" s="1"/>
  <c r="K76" i="1"/>
  <c r="H26" i="11" s="1"/>
  <c r="J76" i="1"/>
  <c r="G26" i="11" s="1"/>
  <c r="I76" i="1"/>
  <c r="F26" i="11" s="1"/>
  <c r="H76" i="1"/>
  <c r="E26" i="11" s="1"/>
  <c r="G76" i="1"/>
  <c r="D26" i="11" s="1"/>
  <c r="F76" i="1"/>
  <c r="E76" i="1"/>
  <c r="D76" i="1"/>
  <c r="C76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DF74" i="1"/>
  <c r="DE74" i="1"/>
  <c r="DD74" i="1"/>
  <c r="DC74" i="1"/>
  <c r="DB74" i="1"/>
  <c r="DA74" i="1"/>
  <c r="CZ74" i="1"/>
  <c r="CY74" i="1"/>
  <c r="CX74" i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DF73" i="1"/>
  <c r="DE73" i="1"/>
  <c r="DD73" i="1"/>
  <c r="DC73" i="1"/>
  <c r="DB73" i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F20" i="11" s="1"/>
  <c r="CF22" i="11" s="1"/>
  <c r="CH73" i="1"/>
  <c r="CG73" i="1"/>
  <c r="CD20" i="11" s="1"/>
  <c r="CD22" i="11" s="1"/>
  <c r="CF73" i="1"/>
  <c r="CE73" i="1"/>
  <c r="CD73" i="1"/>
  <c r="CC73" i="1"/>
  <c r="CB73" i="1"/>
  <c r="CA73" i="1"/>
  <c r="BX20" i="11" s="1"/>
  <c r="BX22" i="11" s="1"/>
  <c r="BZ73" i="1"/>
  <c r="BY73" i="1"/>
  <c r="BV20" i="11" s="1"/>
  <c r="BV22" i="11" s="1"/>
  <c r="BX73" i="1"/>
  <c r="BW73" i="1"/>
  <c r="BV73" i="1"/>
  <c r="BU73" i="1"/>
  <c r="BT73" i="1"/>
  <c r="BS73" i="1"/>
  <c r="BP20" i="11" s="1"/>
  <c r="BP22" i="11" s="1"/>
  <c r="BR73" i="1"/>
  <c r="BQ73" i="1"/>
  <c r="BN20" i="11" s="1"/>
  <c r="BN22" i="11" s="1"/>
  <c r="BP73" i="1"/>
  <c r="BO73" i="1"/>
  <c r="BN73" i="1"/>
  <c r="BM73" i="1"/>
  <c r="BL73" i="1"/>
  <c r="BK73" i="1"/>
  <c r="BH20" i="11" s="1"/>
  <c r="BH22" i="11" s="1"/>
  <c r="BJ73" i="1"/>
  <c r="BI73" i="1"/>
  <c r="BF20" i="11" s="1"/>
  <c r="BF22" i="11" s="1"/>
  <c r="BH73" i="1"/>
  <c r="BG73" i="1"/>
  <c r="BF73" i="1"/>
  <c r="BE73" i="1"/>
  <c r="BD73" i="1"/>
  <c r="BC73" i="1"/>
  <c r="AZ20" i="11" s="1"/>
  <c r="AZ22" i="11" s="1"/>
  <c r="BB73" i="1"/>
  <c r="AY20" i="11" s="1"/>
  <c r="AY22" i="11" s="1"/>
  <c r="BA73" i="1"/>
  <c r="AX20" i="11" s="1"/>
  <c r="AX22" i="11" s="1"/>
  <c r="AZ73" i="1"/>
  <c r="AY73" i="1"/>
  <c r="AX73" i="1"/>
  <c r="AW73" i="1"/>
  <c r="AV73" i="1"/>
  <c r="AS20" i="11" s="1"/>
  <c r="AS22" i="11" s="1"/>
  <c r="AU73" i="1"/>
  <c r="AR20" i="11" s="1"/>
  <c r="AR22" i="11" s="1"/>
  <c r="AT73" i="1"/>
  <c r="AQ20" i="11" s="1"/>
  <c r="AQ22" i="11" s="1"/>
  <c r="AS73" i="1"/>
  <c r="AP20" i="11" s="1"/>
  <c r="AP22" i="11" s="1"/>
  <c r="AR73" i="1"/>
  <c r="AQ73" i="1"/>
  <c r="AP73" i="1"/>
  <c r="AO73" i="1"/>
  <c r="AN73" i="1"/>
  <c r="AK20" i="11" s="1"/>
  <c r="AK22" i="11" s="1"/>
  <c r="AM73" i="1"/>
  <c r="AJ20" i="11" s="1"/>
  <c r="AJ22" i="11" s="1"/>
  <c r="AL73" i="1"/>
  <c r="AI20" i="11" s="1"/>
  <c r="AI22" i="11" s="1"/>
  <c r="AK73" i="1"/>
  <c r="AH20" i="11" s="1"/>
  <c r="AH22" i="11" s="1"/>
  <c r="AJ73" i="1"/>
  <c r="AI73" i="1"/>
  <c r="AH73" i="1"/>
  <c r="AG73" i="1"/>
  <c r="AF73" i="1"/>
  <c r="AC20" i="11" s="1"/>
  <c r="AC22" i="11" s="1"/>
  <c r="AE73" i="1"/>
  <c r="AB20" i="11" s="1"/>
  <c r="AB22" i="11" s="1"/>
  <c r="AD73" i="1"/>
  <c r="AA20" i="11" s="1"/>
  <c r="AA22" i="11" s="1"/>
  <c r="AC73" i="1"/>
  <c r="Z20" i="11" s="1"/>
  <c r="Z22" i="11" s="1"/>
  <c r="AB73" i="1"/>
  <c r="AA73" i="1"/>
  <c r="Z73" i="1"/>
  <c r="Y73" i="1"/>
  <c r="X73" i="1"/>
  <c r="U20" i="11" s="1"/>
  <c r="U22" i="11" s="1"/>
  <c r="W73" i="1"/>
  <c r="T20" i="11" s="1"/>
  <c r="T22" i="11" s="1"/>
  <c r="V73" i="1"/>
  <c r="S20" i="11" s="1"/>
  <c r="S22" i="11" s="1"/>
  <c r="U73" i="1"/>
  <c r="R20" i="11" s="1"/>
  <c r="R22" i="11" s="1"/>
  <c r="T73" i="1"/>
  <c r="S73" i="1"/>
  <c r="R73" i="1"/>
  <c r="Q73" i="1"/>
  <c r="P73" i="1"/>
  <c r="M20" i="11" s="1"/>
  <c r="M22" i="11" s="1"/>
  <c r="O73" i="1"/>
  <c r="L20" i="11" s="1"/>
  <c r="L22" i="11" s="1"/>
  <c r="N73" i="1"/>
  <c r="K20" i="11" s="1"/>
  <c r="K22" i="11" s="1"/>
  <c r="M73" i="1"/>
  <c r="J20" i="11" s="1"/>
  <c r="J22" i="11" s="1"/>
  <c r="L73" i="1"/>
  <c r="K73" i="1"/>
  <c r="J73" i="1"/>
  <c r="I73" i="1"/>
  <c r="H73" i="1"/>
  <c r="E20" i="11" s="1"/>
  <c r="E22" i="11" s="1"/>
  <c r="G73" i="1"/>
  <c r="D20" i="11" s="1"/>
  <c r="D22" i="11" s="1"/>
  <c r="F73" i="1"/>
  <c r="C20" i="11" s="1"/>
  <c r="C22" i="11" s="1"/>
  <c r="C23" i="11" s="1"/>
  <c r="E73" i="1"/>
  <c r="D73" i="1"/>
  <c r="C73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DF71" i="1"/>
  <c r="DE71" i="1"/>
  <c r="DD71" i="1"/>
  <c r="DC71" i="1"/>
  <c r="DB71" i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H14" i="11" s="1"/>
  <c r="CH16" i="11" s="1"/>
  <c r="CJ70" i="1"/>
  <c r="CI70" i="1"/>
  <c r="CH70" i="1"/>
  <c r="CG70" i="1"/>
  <c r="CF70" i="1"/>
  <c r="CC14" i="11" s="1"/>
  <c r="CC16" i="11" s="1"/>
  <c r="CE70" i="1"/>
  <c r="CB14" i="11" s="1"/>
  <c r="CB16" i="11" s="1"/>
  <c r="CD70" i="1"/>
  <c r="CA14" i="11" s="1"/>
  <c r="CA16" i="11" s="1"/>
  <c r="CC70" i="1"/>
  <c r="BZ14" i="11" s="1"/>
  <c r="BZ16" i="11" s="1"/>
  <c r="CB70" i="1"/>
  <c r="CA70" i="1"/>
  <c r="BZ70" i="1"/>
  <c r="BY70" i="1"/>
  <c r="BX70" i="1"/>
  <c r="BU14" i="11" s="1"/>
  <c r="BU16" i="11" s="1"/>
  <c r="BW70" i="1"/>
  <c r="BT14" i="11" s="1"/>
  <c r="BT16" i="11" s="1"/>
  <c r="BV70" i="1"/>
  <c r="BS14" i="11" s="1"/>
  <c r="BS16" i="11" s="1"/>
  <c r="BU70" i="1"/>
  <c r="BR14" i="11" s="1"/>
  <c r="BR16" i="11" s="1"/>
  <c r="BT70" i="1"/>
  <c r="BS70" i="1"/>
  <c r="BR70" i="1"/>
  <c r="BQ70" i="1"/>
  <c r="BP70" i="1"/>
  <c r="BM14" i="11" s="1"/>
  <c r="BM16" i="11" s="1"/>
  <c r="BO70" i="1"/>
  <c r="BL14" i="11" s="1"/>
  <c r="BL16" i="11" s="1"/>
  <c r="BN70" i="1"/>
  <c r="BK14" i="11" s="1"/>
  <c r="BK16" i="11" s="1"/>
  <c r="BM70" i="1"/>
  <c r="BJ14" i="11" s="1"/>
  <c r="BJ16" i="11" s="1"/>
  <c r="BL70" i="1"/>
  <c r="BK70" i="1"/>
  <c r="BJ70" i="1"/>
  <c r="BI70" i="1"/>
  <c r="BH70" i="1"/>
  <c r="BE14" i="11" s="1"/>
  <c r="BE16" i="11" s="1"/>
  <c r="BG70" i="1"/>
  <c r="BD14" i="11" s="1"/>
  <c r="BD16" i="11" s="1"/>
  <c r="BF70" i="1"/>
  <c r="BC14" i="11" s="1"/>
  <c r="BC16" i="11" s="1"/>
  <c r="BE70" i="1"/>
  <c r="BB14" i="11" s="1"/>
  <c r="BB16" i="11" s="1"/>
  <c r="BD70" i="1"/>
  <c r="BC70" i="1"/>
  <c r="BB70" i="1"/>
  <c r="BA70" i="1"/>
  <c r="AZ70" i="1"/>
  <c r="AW14" i="11" s="1"/>
  <c r="AW16" i="11" s="1"/>
  <c r="AY70" i="1"/>
  <c r="AV14" i="11" s="1"/>
  <c r="AV16" i="11" s="1"/>
  <c r="AX70" i="1"/>
  <c r="AU14" i="11" s="1"/>
  <c r="AU16" i="11" s="1"/>
  <c r="AW70" i="1"/>
  <c r="AT14" i="11" s="1"/>
  <c r="AT16" i="11" s="1"/>
  <c r="AV70" i="1"/>
  <c r="AU70" i="1"/>
  <c r="AT70" i="1"/>
  <c r="AS70" i="1"/>
  <c r="AR70" i="1"/>
  <c r="AO14" i="11" s="1"/>
  <c r="AO16" i="11" s="1"/>
  <c r="AQ70" i="1"/>
  <c r="AN14" i="11" s="1"/>
  <c r="AN16" i="11" s="1"/>
  <c r="AP70" i="1"/>
  <c r="AM14" i="11" s="1"/>
  <c r="AM16" i="11" s="1"/>
  <c r="AO70" i="1"/>
  <c r="AL14" i="11" s="1"/>
  <c r="AL16" i="11" s="1"/>
  <c r="AN70" i="1"/>
  <c r="AM70" i="1"/>
  <c r="AL70" i="1"/>
  <c r="AK70" i="1"/>
  <c r="AJ70" i="1"/>
  <c r="AG14" i="11" s="1"/>
  <c r="AG16" i="11" s="1"/>
  <c r="AI70" i="1"/>
  <c r="AF14" i="11" s="1"/>
  <c r="AF16" i="11" s="1"/>
  <c r="AH70" i="1"/>
  <c r="AE14" i="11" s="1"/>
  <c r="AE16" i="11" s="1"/>
  <c r="AG70" i="1"/>
  <c r="AD14" i="11" s="1"/>
  <c r="AD16" i="11" s="1"/>
  <c r="AF70" i="1"/>
  <c r="AE70" i="1"/>
  <c r="AD70" i="1"/>
  <c r="AC70" i="1"/>
  <c r="AB70" i="1"/>
  <c r="Y14" i="11" s="1"/>
  <c r="Y16" i="11" s="1"/>
  <c r="AA70" i="1"/>
  <c r="X14" i="11" s="1"/>
  <c r="X16" i="11" s="1"/>
  <c r="Z70" i="1"/>
  <c r="W14" i="11" s="1"/>
  <c r="W16" i="11" s="1"/>
  <c r="Y70" i="1"/>
  <c r="V14" i="11" s="1"/>
  <c r="V16" i="11" s="1"/>
  <c r="X70" i="1"/>
  <c r="W70" i="1"/>
  <c r="V70" i="1"/>
  <c r="U70" i="1"/>
  <c r="T70" i="1"/>
  <c r="Q14" i="11" s="1"/>
  <c r="Q16" i="11" s="1"/>
  <c r="S70" i="1"/>
  <c r="P14" i="11" s="1"/>
  <c r="P16" i="11" s="1"/>
  <c r="R70" i="1"/>
  <c r="O14" i="11" s="1"/>
  <c r="O16" i="11" s="1"/>
  <c r="Q70" i="1"/>
  <c r="N14" i="11" s="1"/>
  <c r="N16" i="11" s="1"/>
  <c r="P70" i="1"/>
  <c r="O70" i="1"/>
  <c r="N70" i="1"/>
  <c r="M70" i="1"/>
  <c r="L70" i="1"/>
  <c r="I14" i="11" s="1"/>
  <c r="I16" i="11" s="1"/>
  <c r="K70" i="1"/>
  <c r="H14" i="11" s="1"/>
  <c r="H16" i="11" s="1"/>
  <c r="J70" i="1"/>
  <c r="G14" i="11" s="1"/>
  <c r="G16" i="11" s="1"/>
  <c r="I70" i="1"/>
  <c r="F14" i="11" s="1"/>
  <c r="F16" i="11" s="1"/>
  <c r="H70" i="1"/>
  <c r="G70" i="1"/>
  <c r="F70" i="1"/>
  <c r="E70" i="1"/>
  <c r="D70" i="1"/>
  <c r="C70" i="1"/>
  <c r="DF69" i="1"/>
  <c r="DE69" i="1"/>
  <c r="DD69" i="1"/>
  <c r="DC69" i="1"/>
  <c r="DB69" i="1"/>
  <c r="DA69" i="1"/>
  <c r="CZ69" i="1"/>
  <c r="CY69" i="1"/>
  <c r="CX69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DF68" i="1"/>
  <c r="DE68" i="1"/>
  <c r="DD68" i="1"/>
  <c r="DC68" i="1"/>
  <c r="DB68" i="1"/>
  <c r="DA68" i="1"/>
  <c r="CZ68" i="1"/>
  <c r="CY68" i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H4" i="11" s="1"/>
  <c r="CH5" i="11" s="1"/>
  <c r="CJ68" i="1"/>
  <c r="CG4" i="11" s="1"/>
  <c r="CG5" i="11" s="1"/>
  <c r="CI68" i="1"/>
  <c r="CF4" i="11" s="1"/>
  <c r="CF5" i="11" s="1"/>
  <c r="CH68" i="1"/>
  <c r="CE4" i="11" s="1"/>
  <c r="CE5" i="11" s="1"/>
  <c r="CG68" i="1"/>
  <c r="CD4" i="11" s="1"/>
  <c r="CD5" i="11" s="1"/>
  <c r="CF68" i="1"/>
  <c r="CC4" i="11" s="1"/>
  <c r="CC5" i="11" s="1"/>
  <c r="CE68" i="1"/>
  <c r="CB4" i="11" s="1"/>
  <c r="CB5" i="11" s="1"/>
  <c r="CD68" i="1"/>
  <c r="CA4" i="11" s="1"/>
  <c r="CA5" i="11" s="1"/>
  <c r="CC68" i="1"/>
  <c r="BZ4" i="11" s="1"/>
  <c r="BZ5" i="11" s="1"/>
  <c r="CB68" i="1"/>
  <c r="BY4" i="11" s="1"/>
  <c r="BY5" i="11" s="1"/>
  <c r="CA68" i="1"/>
  <c r="BX4" i="11" s="1"/>
  <c r="BX5" i="11" s="1"/>
  <c r="BZ68" i="1"/>
  <c r="BW4" i="11" s="1"/>
  <c r="BW5" i="11" s="1"/>
  <c r="BY68" i="1"/>
  <c r="BV4" i="11" s="1"/>
  <c r="BV5" i="11" s="1"/>
  <c r="BX68" i="1"/>
  <c r="BU4" i="11" s="1"/>
  <c r="BU5" i="11" s="1"/>
  <c r="BW68" i="1"/>
  <c r="BT4" i="11" s="1"/>
  <c r="BT5" i="11" s="1"/>
  <c r="BV68" i="1"/>
  <c r="BS4" i="11" s="1"/>
  <c r="BS5" i="11" s="1"/>
  <c r="BU68" i="1"/>
  <c r="BR4" i="11" s="1"/>
  <c r="BR5" i="11" s="1"/>
  <c r="BT68" i="1"/>
  <c r="BQ4" i="11" s="1"/>
  <c r="BQ5" i="11" s="1"/>
  <c r="BS68" i="1"/>
  <c r="BP4" i="11" s="1"/>
  <c r="BP5" i="11" s="1"/>
  <c r="BR68" i="1"/>
  <c r="BO4" i="11" s="1"/>
  <c r="BO5" i="11" s="1"/>
  <c r="BQ68" i="1"/>
  <c r="BN4" i="11" s="1"/>
  <c r="BN5" i="11" s="1"/>
  <c r="BP68" i="1"/>
  <c r="BM4" i="11" s="1"/>
  <c r="BM5" i="11" s="1"/>
  <c r="BO68" i="1"/>
  <c r="BL4" i="11" s="1"/>
  <c r="BL5" i="11" s="1"/>
  <c r="BN68" i="1"/>
  <c r="BK4" i="11" s="1"/>
  <c r="BK5" i="11" s="1"/>
  <c r="BM68" i="1"/>
  <c r="BJ4" i="11" s="1"/>
  <c r="BJ5" i="11" s="1"/>
  <c r="BL68" i="1"/>
  <c r="BI4" i="11" s="1"/>
  <c r="BI5" i="11" s="1"/>
  <c r="BK68" i="1"/>
  <c r="BH4" i="11" s="1"/>
  <c r="BH5" i="11" s="1"/>
  <c r="BJ68" i="1"/>
  <c r="BG4" i="11" s="1"/>
  <c r="BG5" i="11" s="1"/>
  <c r="BI68" i="1"/>
  <c r="BF4" i="11" s="1"/>
  <c r="BF5" i="11" s="1"/>
  <c r="BH68" i="1"/>
  <c r="BE4" i="11" s="1"/>
  <c r="BE5" i="11" s="1"/>
  <c r="BG68" i="1"/>
  <c r="BD4" i="11" s="1"/>
  <c r="BD5" i="11" s="1"/>
  <c r="BF68" i="1"/>
  <c r="BC4" i="11" s="1"/>
  <c r="BC5" i="11" s="1"/>
  <c r="BE68" i="1"/>
  <c r="BB4" i="11" s="1"/>
  <c r="BB5" i="11" s="1"/>
  <c r="BD68" i="1"/>
  <c r="BA4" i="11" s="1"/>
  <c r="BA5" i="11" s="1"/>
  <c r="BC68" i="1"/>
  <c r="AZ4" i="11" s="1"/>
  <c r="AZ5" i="11" s="1"/>
  <c r="BB68" i="1"/>
  <c r="AY4" i="11" s="1"/>
  <c r="AY5" i="11" s="1"/>
  <c r="BA68" i="1"/>
  <c r="AX4" i="11" s="1"/>
  <c r="AX5" i="11" s="1"/>
  <c r="AZ68" i="1"/>
  <c r="AW4" i="11" s="1"/>
  <c r="AW5" i="11" s="1"/>
  <c r="AY68" i="1"/>
  <c r="AV4" i="11" s="1"/>
  <c r="AV5" i="11" s="1"/>
  <c r="AX68" i="1"/>
  <c r="AU4" i="11" s="1"/>
  <c r="AU5" i="11" s="1"/>
  <c r="AW68" i="1"/>
  <c r="AT4" i="11" s="1"/>
  <c r="AT5" i="11" s="1"/>
  <c r="AV68" i="1"/>
  <c r="AS4" i="11" s="1"/>
  <c r="AS5" i="11" s="1"/>
  <c r="AU68" i="1"/>
  <c r="AR4" i="11" s="1"/>
  <c r="AR5" i="11" s="1"/>
  <c r="AT68" i="1"/>
  <c r="AQ4" i="11" s="1"/>
  <c r="AQ5" i="11" s="1"/>
  <c r="AS68" i="1"/>
  <c r="AP4" i="11" s="1"/>
  <c r="AP5" i="11" s="1"/>
  <c r="AR68" i="1"/>
  <c r="AO4" i="11" s="1"/>
  <c r="AO5" i="11" s="1"/>
  <c r="AQ68" i="1"/>
  <c r="AN4" i="11" s="1"/>
  <c r="AN5" i="11" s="1"/>
  <c r="AP68" i="1"/>
  <c r="AM4" i="11" s="1"/>
  <c r="AM5" i="11" s="1"/>
  <c r="AO68" i="1"/>
  <c r="AL4" i="11" s="1"/>
  <c r="AL5" i="11" s="1"/>
  <c r="AN68" i="1"/>
  <c r="AK4" i="11" s="1"/>
  <c r="AK5" i="11" s="1"/>
  <c r="AM68" i="1"/>
  <c r="AJ4" i="11" s="1"/>
  <c r="AJ5" i="11" s="1"/>
  <c r="AL68" i="1"/>
  <c r="AI4" i="11" s="1"/>
  <c r="AI5" i="11" s="1"/>
  <c r="AK68" i="1"/>
  <c r="AH4" i="11" s="1"/>
  <c r="AH5" i="11" s="1"/>
  <c r="AJ68" i="1"/>
  <c r="AG4" i="11" s="1"/>
  <c r="AG5" i="11" s="1"/>
  <c r="AI68" i="1"/>
  <c r="AF4" i="11" s="1"/>
  <c r="AF5" i="11" s="1"/>
  <c r="AH68" i="1"/>
  <c r="AE4" i="11" s="1"/>
  <c r="AE5" i="11" s="1"/>
  <c r="AG68" i="1"/>
  <c r="AD4" i="11" s="1"/>
  <c r="AD5" i="11" s="1"/>
  <c r="AF68" i="1"/>
  <c r="AC4" i="11" s="1"/>
  <c r="AC5" i="11" s="1"/>
  <c r="AE68" i="1"/>
  <c r="AB4" i="11" s="1"/>
  <c r="AB5" i="11" s="1"/>
  <c r="AD68" i="1"/>
  <c r="AA4" i="11" s="1"/>
  <c r="AA5" i="11" s="1"/>
  <c r="AC68" i="1"/>
  <c r="Z4" i="11" s="1"/>
  <c r="Z5" i="11" s="1"/>
  <c r="AB68" i="1"/>
  <c r="Y4" i="11" s="1"/>
  <c r="Y5" i="11" s="1"/>
  <c r="AA68" i="1"/>
  <c r="X4" i="11" s="1"/>
  <c r="X5" i="11" s="1"/>
  <c r="Z68" i="1"/>
  <c r="W4" i="11" s="1"/>
  <c r="W5" i="11" s="1"/>
  <c r="Y68" i="1"/>
  <c r="V4" i="11" s="1"/>
  <c r="V5" i="11" s="1"/>
  <c r="X68" i="1"/>
  <c r="U4" i="11" s="1"/>
  <c r="U5" i="11" s="1"/>
  <c r="W68" i="1"/>
  <c r="T4" i="11" s="1"/>
  <c r="T5" i="11" s="1"/>
  <c r="V68" i="1"/>
  <c r="S4" i="11" s="1"/>
  <c r="S5" i="11" s="1"/>
  <c r="U68" i="1"/>
  <c r="R4" i="11" s="1"/>
  <c r="R5" i="11" s="1"/>
  <c r="T68" i="1"/>
  <c r="Q4" i="11" s="1"/>
  <c r="Q5" i="11" s="1"/>
  <c r="S68" i="1"/>
  <c r="P4" i="11" s="1"/>
  <c r="P5" i="11" s="1"/>
  <c r="R68" i="1"/>
  <c r="O4" i="11" s="1"/>
  <c r="O5" i="11" s="1"/>
  <c r="Q68" i="1"/>
  <c r="N4" i="11" s="1"/>
  <c r="N5" i="11" s="1"/>
  <c r="P68" i="1"/>
  <c r="M4" i="11" s="1"/>
  <c r="M5" i="11" s="1"/>
  <c r="O68" i="1"/>
  <c r="L4" i="11" s="1"/>
  <c r="L5" i="11" s="1"/>
  <c r="N68" i="1"/>
  <c r="K4" i="11" s="1"/>
  <c r="K5" i="11" s="1"/>
  <c r="M68" i="1"/>
  <c r="J4" i="11" s="1"/>
  <c r="J5" i="11" s="1"/>
  <c r="L68" i="1"/>
  <c r="I4" i="11" s="1"/>
  <c r="I5" i="11" s="1"/>
  <c r="K68" i="1"/>
  <c r="H4" i="11" s="1"/>
  <c r="H5" i="11" s="1"/>
  <c r="J68" i="1"/>
  <c r="G4" i="11" s="1"/>
  <c r="G5" i="11" s="1"/>
  <c r="I68" i="1"/>
  <c r="F4" i="11" s="1"/>
  <c r="F5" i="11" s="1"/>
  <c r="H68" i="1"/>
  <c r="E4" i="11" s="1"/>
  <c r="E5" i="11" s="1"/>
  <c r="G68" i="1"/>
  <c r="D4" i="11" s="1"/>
  <c r="D5" i="11" s="1"/>
  <c r="F68" i="1"/>
  <c r="C4" i="11" s="1"/>
  <c r="C5" i="11" s="1"/>
  <c r="E68" i="1"/>
  <c r="D68" i="1"/>
  <c r="C68" i="1"/>
  <c r="DF67" i="1"/>
  <c r="DE67" i="1"/>
  <c r="DD67" i="1"/>
  <c r="DC67" i="1"/>
  <c r="DB67" i="1"/>
  <c r="DA67" i="1"/>
  <c r="CZ67" i="1"/>
  <c r="CY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DF66" i="1"/>
  <c r="DE66" i="1"/>
  <c r="DD66" i="1"/>
  <c r="DC66" i="1"/>
  <c r="DB66" i="1"/>
  <c r="DA66" i="1"/>
  <c r="CZ66" i="1"/>
  <c r="CY66" i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DF64" i="1"/>
  <c r="DE64" i="1"/>
  <c r="DD64" i="1"/>
  <c r="DC64" i="1"/>
  <c r="DB64" i="1"/>
  <c r="DA64" i="1"/>
  <c r="DA80" i="1" s="1"/>
  <c r="CZ64" i="1"/>
  <c r="CY64" i="1"/>
  <c r="CX64" i="1"/>
  <c r="CW64" i="1"/>
  <c r="CV64" i="1"/>
  <c r="CU64" i="1"/>
  <c r="CT64" i="1"/>
  <c r="CS64" i="1"/>
  <c r="CS80" i="1" s="1"/>
  <c r="CR64" i="1"/>
  <c r="CQ64" i="1"/>
  <c r="CP64" i="1"/>
  <c r="CO64" i="1"/>
  <c r="CN64" i="1"/>
  <c r="CM64" i="1"/>
  <c r="CL64" i="1"/>
  <c r="CK64" i="1"/>
  <c r="CH9" i="11" s="1"/>
  <c r="CH10" i="11" s="1"/>
  <c r="CJ64" i="1"/>
  <c r="CI64" i="1"/>
  <c r="CH64" i="1"/>
  <c r="CG64" i="1"/>
  <c r="CF64" i="1"/>
  <c r="CC9" i="11" s="1"/>
  <c r="CC10" i="11" s="1"/>
  <c r="CE64" i="1"/>
  <c r="CD64" i="1"/>
  <c r="CA9" i="11" s="1"/>
  <c r="CA10" i="11" s="1"/>
  <c r="CC64" i="1"/>
  <c r="BZ9" i="11" s="1"/>
  <c r="BZ10" i="11" s="1"/>
  <c r="CB64" i="1"/>
  <c r="CA64" i="1"/>
  <c r="BZ64" i="1"/>
  <c r="BY64" i="1"/>
  <c r="BX64" i="1"/>
  <c r="BU9" i="11" s="1"/>
  <c r="BU10" i="11" s="1"/>
  <c r="BW64" i="1"/>
  <c r="BT9" i="11" s="1"/>
  <c r="BT10" i="11" s="1"/>
  <c r="BV64" i="1"/>
  <c r="BS9" i="11" s="1"/>
  <c r="BS10" i="11" s="1"/>
  <c r="BU64" i="1"/>
  <c r="BR9" i="11" s="1"/>
  <c r="BR10" i="11" s="1"/>
  <c r="BT64" i="1"/>
  <c r="BS64" i="1"/>
  <c r="BR64" i="1"/>
  <c r="BQ64" i="1"/>
  <c r="BP64" i="1"/>
  <c r="BM9" i="11" s="1"/>
  <c r="BM10" i="11" s="1"/>
  <c r="BO64" i="1"/>
  <c r="BL9" i="11" s="1"/>
  <c r="BL10" i="11" s="1"/>
  <c r="BN64" i="1"/>
  <c r="BK9" i="11" s="1"/>
  <c r="BK10" i="11" s="1"/>
  <c r="BM64" i="1"/>
  <c r="BJ9" i="11" s="1"/>
  <c r="BJ10" i="11" s="1"/>
  <c r="BL64" i="1"/>
  <c r="BK64" i="1"/>
  <c r="BJ64" i="1"/>
  <c r="BI64" i="1"/>
  <c r="BH64" i="1"/>
  <c r="BE9" i="11" s="1"/>
  <c r="BE10" i="11" s="1"/>
  <c r="BG64" i="1"/>
  <c r="BD9" i="11" s="1"/>
  <c r="BD10" i="11" s="1"/>
  <c r="BF64" i="1"/>
  <c r="BC9" i="11" s="1"/>
  <c r="BC10" i="11" s="1"/>
  <c r="BE64" i="1"/>
  <c r="BB9" i="11" s="1"/>
  <c r="BB10" i="11" s="1"/>
  <c r="BD64" i="1"/>
  <c r="BC64" i="1"/>
  <c r="BB64" i="1"/>
  <c r="BA64" i="1"/>
  <c r="AZ64" i="1"/>
  <c r="AW9" i="11" s="1"/>
  <c r="AW10" i="11" s="1"/>
  <c r="AY64" i="1"/>
  <c r="AV9" i="11" s="1"/>
  <c r="AV10" i="11" s="1"/>
  <c r="AX64" i="1"/>
  <c r="AU9" i="11" s="1"/>
  <c r="AU10" i="11" s="1"/>
  <c r="AW64" i="1"/>
  <c r="AT9" i="11" s="1"/>
  <c r="AT10" i="11" s="1"/>
  <c r="AV64" i="1"/>
  <c r="AU64" i="1"/>
  <c r="AT64" i="1"/>
  <c r="AS64" i="1"/>
  <c r="AR64" i="1"/>
  <c r="AO9" i="11" s="1"/>
  <c r="AO10" i="11" s="1"/>
  <c r="AQ64" i="1"/>
  <c r="AN9" i="11" s="1"/>
  <c r="AN10" i="11" s="1"/>
  <c r="AP64" i="1"/>
  <c r="AM9" i="11" s="1"/>
  <c r="AM10" i="11" s="1"/>
  <c r="AO64" i="1"/>
  <c r="AL9" i="11" s="1"/>
  <c r="AL10" i="11" s="1"/>
  <c r="AN64" i="1"/>
  <c r="AM64" i="1"/>
  <c r="AL64" i="1"/>
  <c r="AK64" i="1"/>
  <c r="AJ64" i="1"/>
  <c r="AG9" i="11" s="1"/>
  <c r="AG10" i="11" s="1"/>
  <c r="AI64" i="1"/>
  <c r="AF9" i="11" s="1"/>
  <c r="AF10" i="11" s="1"/>
  <c r="AH64" i="1"/>
  <c r="AE9" i="11" s="1"/>
  <c r="AE10" i="11" s="1"/>
  <c r="AG64" i="1"/>
  <c r="AD9" i="11" s="1"/>
  <c r="AD10" i="11" s="1"/>
  <c r="AF64" i="1"/>
  <c r="AE64" i="1"/>
  <c r="AD64" i="1"/>
  <c r="AC64" i="1"/>
  <c r="AB64" i="1"/>
  <c r="Y9" i="11" s="1"/>
  <c r="Y10" i="11" s="1"/>
  <c r="AA64" i="1"/>
  <c r="X9" i="11" s="1"/>
  <c r="X10" i="11" s="1"/>
  <c r="Z64" i="1"/>
  <c r="W9" i="11" s="1"/>
  <c r="W10" i="11" s="1"/>
  <c r="Y64" i="1"/>
  <c r="V9" i="11" s="1"/>
  <c r="V10" i="11" s="1"/>
  <c r="X64" i="1"/>
  <c r="W64" i="1"/>
  <c r="V64" i="1"/>
  <c r="U64" i="1"/>
  <c r="T64" i="1"/>
  <c r="Q9" i="11" s="1"/>
  <c r="Q10" i="11" s="1"/>
  <c r="S64" i="1"/>
  <c r="P9" i="11" s="1"/>
  <c r="P10" i="11" s="1"/>
  <c r="R64" i="1"/>
  <c r="O9" i="11" s="1"/>
  <c r="O10" i="11" s="1"/>
  <c r="Q64" i="1"/>
  <c r="N9" i="11" s="1"/>
  <c r="N10" i="11" s="1"/>
  <c r="P64" i="1"/>
  <c r="O64" i="1"/>
  <c r="N64" i="1"/>
  <c r="M64" i="1"/>
  <c r="L64" i="1"/>
  <c r="I9" i="11" s="1"/>
  <c r="I10" i="11" s="1"/>
  <c r="K64" i="1"/>
  <c r="H9" i="11" s="1"/>
  <c r="H10" i="11" s="1"/>
  <c r="J64" i="1"/>
  <c r="G9" i="11" s="1"/>
  <c r="G10" i="11" s="1"/>
  <c r="I64" i="1"/>
  <c r="F9" i="11" s="1"/>
  <c r="F10" i="11" s="1"/>
  <c r="H64" i="1"/>
  <c r="G64" i="1"/>
  <c r="F64" i="1"/>
  <c r="E64" i="1"/>
  <c r="D64" i="1"/>
  <c r="C64" i="1"/>
  <c r="DF63" i="1"/>
  <c r="DF80" i="1" s="1"/>
  <c r="DF117" i="1" s="1"/>
  <c r="DE63" i="1"/>
  <c r="DE80" i="1" s="1"/>
  <c r="DD63" i="1"/>
  <c r="DC63" i="1"/>
  <c r="DB63" i="1"/>
  <c r="DA63" i="1"/>
  <c r="CZ63" i="1"/>
  <c r="CZ80" i="1" s="1"/>
  <c r="CY63" i="1"/>
  <c r="CY80" i="1" s="1"/>
  <c r="CX63" i="1"/>
  <c r="CX80" i="1" s="1"/>
  <c r="CW63" i="1"/>
  <c r="CW80" i="1" s="1"/>
  <c r="CV63" i="1"/>
  <c r="CU63" i="1"/>
  <c r="CT63" i="1"/>
  <c r="CS63" i="1"/>
  <c r="CR63" i="1"/>
  <c r="CR80" i="1" s="1"/>
  <c r="CQ63" i="1"/>
  <c r="CQ80" i="1" s="1"/>
  <c r="CP63" i="1"/>
  <c r="CP80" i="1" s="1"/>
  <c r="CO63" i="1"/>
  <c r="CO80" i="1" s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M80" i="1" s="1"/>
  <c r="L63" i="1"/>
  <c r="K63" i="1"/>
  <c r="J63" i="1"/>
  <c r="I63" i="1"/>
  <c r="H63" i="1"/>
  <c r="G63" i="1"/>
  <c r="F63" i="1"/>
  <c r="E63" i="1"/>
  <c r="E80" i="1" s="1"/>
  <c r="D63" i="1"/>
  <c r="C63" i="1"/>
  <c r="DF55" i="1"/>
  <c r="DE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DF53" i="1"/>
  <c r="DE53" i="1"/>
  <c r="DD53" i="1"/>
  <c r="DC53" i="1"/>
  <c r="DB53" i="1"/>
  <c r="DA53" i="1"/>
  <c r="CZ53" i="1"/>
  <c r="CY53" i="1"/>
  <c r="CX53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DF52" i="1"/>
  <c r="DE52" i="1"/>
  <c r="DD52" i="1"/>
  <c r="DC52" i="1"/>
  <c r="DB52" i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DF49" i="1"/>
  <c r="DE49" i="1"/>
  <c r="DD49" i="1"/>
  <c r="DC49" i="1"/>
  <c r="DB49" i="1"/>
  <c r="DA49" i="1"/>
  <c r="CZ49" i="1"/>
  <c r="CY49" i="1"/>
  <c r="CX49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DF48" i="1"/>
  <c r="DE48" i="1"/>
  <c r="DD48" i="1"/>
  <c r="DC48" i="1"/>
  <c r="DB48" i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F28" i="1"/>
  <c r="E28" i="1"/>
  <c r="D28" i="1"/>
  <c r="C28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F27" i="1"/>
  <c r="E27" i="1"/>
  <c r="D27" i="1"/>
  <c r="C27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F26" i="1"/>
  <c r="E26" i="1"/>
  <c r="D26" i="1"/>
  <c r="C26" i="1"/>
  <c r="DF25" i="1"/>
  <c r="DE25" i="1"/>
  <c r="DD25" i="1"/>
  <c r="DC25" i="1"/>
  <c r="DB25" i="1"/>
  <c r="DA25" i="1"/>
  <c r="AJ20" i="3" s="1"/>
  <c r="CZ25" i="1"/>
  <c r="CY25" i="1"/>
  <c r="CX25" i="1"/>
  <c r="CW25" i="1"/>
  <c r="CV25" i="1"/>
  <c r="CU25" i="1"/>
  <c r="CT25" i="1"/>
  <c r="CS25" i="1"/>
  <c r="CR25" i="1"/>
  <c r="CQ25" i="1"/>
  <c r="CP25" i="1"/>
  <c r="CO25" i="1"/>
  <c r="AF20" i="3" s="1"/>
  <c r="CN25" i="1"/>
  <c r="CM25" i="1"/>
  <c r="CL25" i="1"/>
  <c r="CK25" i="1"/>
  <c r="CJ25" i="1"/>
  <c r="CI25" i="1"/>
  <c r="CH25" i="1"/>
  <c r="CG25" i="1"/>
  <c r="CF25" i="1"/>
  <c r="CE25" i="1"/>
  <c r="CD25" i="1"/>
  <c r="CC25" i="1"/>
  <c r="AB20" i="3" s="1"/>
  <c r="CB25" i="1"/>
  <c r="CA25" i="1"/>
  <c r="BZ25" i="1"/>
  <c r="BY25" i="1"/>
  <c r="BX25" i="1"/>
  <c r="BW25" i="1"/>
  <c r="BV25" i="1"/>
  <c r="BU25" i="1"/>
  <c r="BT25" i="1"/>
  <c r="BS25" i="1"/>
  <c r="BR25" i="1"/>
  <c r="BQ25" i="1"/>
  <c r="X20" i="3" s="1"/>
  <c r="BP25" i="1"/>
  <c r="BO25" i="1"/>
  <c r="BN25" i="1"/>
  <c r="BM25" i="1"/>
  <c r="BL25" i="1"/>
  <c r="BK25" i="1"/>
  <c r="BJ25" i="1"/>
  <c r="BI25" i="1"/>
  <c r="BH25" i="1"/>
  <c r="BG25" i="1"/>
  <c r="BF25" i="1"/>
  <c r="BE25" i="1"/>
  <c r="T20" i="3" s="1"/>
  <c r="BD25" i="1"/>
  <c r="BC25" i="1"/>
  <c r="BB25" i="1"/>
  <c r="BA25" i="1"/>
  <c r="AZ25" i="1"/>
  <c r="AY25" i="1"/>
  <c r="AX25" i="1"/>
  <c r="AW25" i="1"/>
  <c r="AV25" i="1"/>
  <c r="AU25" i="1"/>
  <c r="AT25" i="1"/>
  <c r="AS25" i="1"/>
  <c r="P20" i="3" s="1"/>
  <c r="AR25" i="1"/>
  <c r="AQ25" i="1"/>
  <c r="AP25" i="1"/>
  <c r="AO25" i="1"/>
  <c r="AN25" i="1"/>
  <c r="AM25" i="1"/>
  <c r="AL25" i="1"/>
  <c r="AK25" i="1"/>
  <c r="AJ25" i="1"/>
  <c r="AI25" i="1"/>
  <c r="AH25" i="1"/>
  <c r="AG25" i="1"/>
  <c r="L20" i="3" s="1"/>
  <c r="AF25" i="1"/>
  <c r="AE25" i="1"/>
  <c r="AD25" i="1"/>
  <c r="AC25" i="1"/>
  <c r="AB25" i="1"/>
  <c r="AA25" i="1"/>
  <c r="Z25" i="1"/>
  <c r="Y25" i="1"/>
  <c r="X25" i="1"/>
  <c r="W25" i="1"/>
  <c r="V25" i="1"/>
  <c r="U25" i="1"/>
  <c r="H20" i="3" s="1"/>
  <c r="T25" i="1"/>
  <c r="S25" i="1"/>
  <c r="R25" i="1"/>
  <c r="Q25" i="1"/>
  <c r="P25" i="1"/>
  <c r="O25" i="1"/>
  <c r="N25" i="1"/>
  <c r="M25" i="1"/>
  <c r="L25" i="1"/>
  <c r="K25" i="1"/>
  <c r="J25" i="1"/>
  <c r="I25" i="1"/>
  <c r="D20" i="3" s="1"/>
  <c r="H25" i="1"/>
  <c r="G25" i="1"/>
  <c r="F25" i="1"/>
  <c r="E25" i="1"/>
  <c r="D25" i="1"/>
  <c r="C25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F24" i="1"/>
  <c r="E24" i="1"/>
  <c r="D24" i="1"/>
  <c r="C24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F15" i="1"/>
  <c r="E15" i="1"/>
  <c r="D15" i="1"/>
  <c r="C15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F8" i="3" s="1"/>
  <c r="N13" i="1"/>
  <c r="M13" i="1"/>
  <c r="L13" i="1"/>
  <c r="K13" i="1"/>
  <c r="J13" i="1"/>
  <c r="I13" i="1"/>
  <c r="H13" i="1"/>
  <c r="G13" i="1"/>
  <c r="F13" i="1"/>
  <c r="E13" i="1"/>
  <c r="D13" i="1"/>
  <c r="C13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DF10" i="1"/>
  <c r="DE10" i="1"/>
  <c r="DD10" i="1"/>
  <c r="DC10" i="1"/>
  <c r="DB10" i="1"/>
  <c r="DA10" i="1"/>
  <c r="CZ10" i="1"/>
  <c r="CY10" i="1"/>
  <c r="CX10" i="1"/>
  <c r="AI5" i="3" s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Z5" i="3" s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R5" i="3" s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J5" i="3" s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5" i="3" s="1"/>
  <c r="DF8" i="1"/>
  <c r="DF14" i="1" s="1"/>
  <c r="DF15" i="1" s="1"/>
  <c r="DE8" i="1"/>
  <c r="DE14" i="1" s="1"/>
  <c r="DE15" i="1" s="1"/>
  <c r="DD8" i="1"/>
  <c r="DC8" i="1"/>
  <c r="DC14" i="1" s="1"/>
  <c r="DC15" i="1" s="1"/>
  <c r="DB8" i="1"/>
  <c r="DB14" i="1" s="1"/>
  <c r="DB15" i="1" s="1"/>
  <c r="DA8" i="1"/>
  <c r="CZ8" i="1"/>
  <c r="CZ14" i="1" s="1"/>
  <c r="CZ15" i="1" s="1"/>
  <c r="CY8" i="1"/>
  <c r="CY14" i="1" s="1"/>
  <c r="CY15" i="1" s="1"/>
  <c r="CX8" i="1"/>
  <c r="CW8" i="1"/>
  <c r="CW14" i="1" s="1"/>
  <c r="CW15" i="1" s="1"/>
  <c r="CV8" i="1"/>
  <c r="CV14" i="1" s="1"/>
  <c r="CV15" i="1" s="1"/>
  <c r="CU8" i="1"/>
  <c r="CU14" i="1" s="1"/>
  <c r="CT8" i="1"/>
  <c r="CT14" i="1" s="1"/>
  <c r="CT15" i="1" s="1"/>
  <c r="CS8" i="1"/>
  <c r="CS14" i="1" s="1"/>
  <c r="CS15" i="1" s="1"/>
  <c r="CR8" i="1"/>
  <c r="CQ8" i="1"/>
  <c r="CQ14" i="1" s="1"/>
  <c r="CQ15" i="1" s="1"/>
  <c r="CP8" i="1"/>
  <c r="CP14" i="1" s="1"/>
  <c r="CP15" i="1" s="1"/>
  <c r="CO8" i="1"/>
  <c r="CN8" i="1"/>
  <c r="CN14" i="1" s="1"/>
  <c r="CN15" i="1" s="1"/>
  <c r="CM8" i="1"/>
  <c r="CM14" i="1" s="1"/>
  <c r="CM15" i="1" s="1"/>
  <c r="CL8" i="1"/>
  <c r="CL14" i="1" s="1"/>
  <c r="CK8" i="1"/>
  <c r="CK14" i="1" s="1"/>
  <c r="CK15" i="1" s="1"/>
  <c r="CJ8" i="1"/>
  <c r="CJ14" i="1" s="1"/>
  <c r="CJ15" i="1" s="1"/>
  <c r="CI8" i="1"/>
  <c r="AD3" i="3" s="1"/>
  <c r="CH8" i="1"/>
  <c r="CH14" i="1" s="1"/>
  <c r="CH15" i="1" s="1"/>
  <c r="CG8" i="1"/>
  <c r="CG14" i="1" s="1"/>
  <c r="CG15" i="1" s="1"/>
  <c r="CF8" i="1"/>
  <c r="CE8" i="1"/>
  <c r="CE14" i="1" s="1"/>
  <c r="CE15" i="1" s="1"/>
  <c r="CD8" i="1"/>
  <c r="CD14" i="1" s="1"/>
  <c r="CD15" i="1" s="1"/>
  <c r="CC8" i="1"/>
  <c r="CB8" i="1"/>
  <c r="CB14" i="1" s="1"/>
  <c r="CB15" i="1" s="1"/>
  <c r="CA8" i="1"/>
  <c r="CA14" i="1" s="1"/>
  <c r="CA15" i="1" s="1"/>
  <c r="BZ8" i="1"/>
  <c r="BY8" i="1"/>
  <c r="BY14" i="1" s="1"/>
  <c r="BY15" i="1" s="1"/>
  <c r="BX8" i="1"/>
  <c r="BX14" i="1" s="1"/>
  <c r="BX15" i="1" s="1"/>
  <c r="BW8" i="1"/>
  <c r="BW14" i="1" s="1"/>
  <c r="BV8" i="1"/>
  <c r="BV14" i="1" s="1"/>
  <c r="BV15" i="1" s="1"/>
  <c r="BU8" i="1"/>
  <c r="BU14" i="1" s="1"/>
  <c r="BU15" i="1" s="1"/>
  <c r="BT8" i="1"/>
  <c r="Y3" i="3" s="1"/>
  <c r="BS8" i="1"/>
  <c r="BS14" i="1" s="1"/>
  <c r="BS15" i="1" s="1"/>
  <c r="BR8" i="1"/>
  <c r="BR14" i="1" s="1"/>
  <c r="BR15" i="1" s="1"/>
  <c r="BQ8" i="1"/>
  <c r="BP8" i="1"/>
  <c r="BP14" i="1" s="1"/>
  <c r="BP15" i="1" s="1"/>
  <c r="BO8" i="1"/>
  <c r="BO14" i="1" s="1"/>
  <c r="BO15" i="1" s="1"/>
  <c r="BN8" i="1"/>
  <c r="BN14" i="1" s="1"/>
  <c r="BM8" i="1"/>
  <c r="BM14" i="1" s="1"/>
  <c r="BM15" i="1" s="1"/>
  <c r="BL8" i="1"/>
  <c r="BL14" i="1" s="1"/>
  <c r="BL15" i="1" s="1"/>
  <c r="BK8" i="1"/>
  <c r="V3" i="3" s="1"/>
  <c r="BJ8" i="1"/>
  <c r="BJ14" i="1" s="1"/>
  <c r="BJ15" i="1" s="1"/>
  <c r="BI8" i="1"/>
  <c r="BI14" i="1" s="1"/>
  <c r="BI15" i="1" s="1"/>
  <c r="BH8" i="1"/>
  <c r="BG8" i="1"/>
  <c r="BG14" i="1" s="1"/>
  <c r="BG15" i="1" s="1"/>
  <c r="BF8" i="1"/>
  <c r="BF14" i="1" s="1"/>
  <c r="BF15" i="1" s="1"/>
  <c r="BE8" i="1"/>
  <c r="T3" i="3" s="1"/>
  <c r="BD8" i="1"/>
  <c r="BD14" i="1" s="1"/>
  <c r="BD15" i="1" s="1"/>
  <c r="BC8" i="1"/>
  <c r="BC14" i="1" s="1"/>
  <c r="BC15" i="1" s="1"/>
  <c r="BB8" i="1"/>
  <c r="BA8" i="1"/>
  <c r="BA14" i="1" s="1"/>
  <c r="BA15" i="1" s="1"/>
  <c r="AZ8" i="1"/>
  <c r="AZ14" i="1" s="1"/>
  <c r="AZ15" i="1" s="1"/>
  <c r="AY8" i="1"/>
  <c r="AX8" i="1"/>
  <c r="AX14" i="1" s="1"/>
  <c r="AX15" i="1" s="1"/>
  <c r="AW8" i="1"/>
  <c r="AW14" i="1" s="1"/>
  <c r="AW15" i="1" s="1"/>
  <c r="AV8" i="1"/>
  <c r="AU8" i="1"/>
  <c r="AU14" i="1" s="1"/>
  <c r="AU15" i="1" s="1"/>
  <c r="AT8" i="1"/>
  <c r="AT14" i="1" s="1"/>
  <c r="AT15" i="1" s="1"/>
  <c r="AS8" i="1"/>
  <c r="P3" i="3" s="1"/>
  <c r="AR8" i="1"/>
  <c r="AR14" i="1" s="1"/>
  <c r="AR15" i="1" s="1"/>
  <c r="AQ8" i="1"/>
  <c r="AQ14" i="1" s="1"/>
  <c r="AQ15" i="1" s="1"/>
  <c r="AP8" i="1"/>
  <c r="AP14" i="1" s="1"/>
  <c r="AO8" i="1"/>
  <c r="AO14" i="1" s="1"/>
  <c r="AO15" i="1" s="1"/>
  <c r="AN8" i="1"/>
  <c r="AN14" i="1" s="1"/>
  <c r="AN15" i="1" s="1"/>
  <c r="AM8" i="1"/>
  <c r="N3" i="3" s="1"/>
  <c r="AL8" i="1"/>
  <c r="AL14" i="1" s="1"/>
  <c r="AL15" i="1" s="1"/>
  <c r="AK8" i="1"/>
  <c r="AK14" i="1" s="1"/>
  <c r="AK15" i="1" s="1"/>
  <c r="AJ8" i="1"/>
  <c r="AI8" i="1"/>
  <c r="AI14" i="1" s="1"/>
  <c r="AI15" i="1" s="1"/>
  <c r="AH8" i="1"/>
  <c r="AH14" i="1" s="1"/>
  <c r="AH15" i="1" s="1"/>
  <c r="AG8" i="1"/>
  <c r="AF8" i="1"/>
  <c r="AF14" i="1" s="1"/>
  <c r="AF15" i="1" s="1"/>
  <c r="AE8" i="1"/>
  <c r="AE14" i="1" s="1"/>
  <c r="AE15" i="1" s="1"/>
  <c r="AD8" i="1"/>
  <c r="AC8" i="1"/>
  <c r="AC14" i="1" s="1"/>
  <c r="AC15" i="1" s="1"/>
  <c r="AB8" i="1"/>
  <c r="AB14" i="1" s="1"/>
  <c r="AB15" i="1" s="1"/>
  <c r="AA8" i="1"/>
  <c r="Z8" i="1"/>
  <c r="Z14" i="1" s="1"/>
  <c r="Z15" i="1" s="1"/>
  <c r="Y8" i="1"/>
  <c r="Y14" i="1" s="1"/>
  <c r="Y15" i="1" s="1"/>
  <c r="X8" i="1"/>
  <c r="W8" i="1"/>
  <c r="W14" i="1" s="1"/>
  <c r="W15" i="1" s="1"/>
  <c r="V8" i="1"/>
  <c r="V14" i="1" s="1"/>
  <c r="V15" i="1" s="1"/>
  <c r="U8" i="1"/>
  <c r="H3" i="3" s="1"/>
  <c r="T8" i="1"/>
  <c r="T14" i="1" s="1"/>
  <c r="T15" i="1" s="1"/>
  <c r="S8" i="1"/>
  <c r="S14" i="1" s="1"/>
  <c r="S15" i="1" s="1"/>
  <c r="R8" i="1"/>
  <c r="R14" i="1" s="1"/>
  <c r="Q8" i="1"/>
  <c r="Q14" i="1" s="1"/>
  <c r="Q15" i="1" s="1"/>
  <c r="P8" i="1"/>
  <c r="P14" i="1" s="1"/>
  <c r="P15" i="1" s="1"/>
  <c r="O8" i="1"/>
  <c r="N8" i="1"/>
  <c r="N14" i="1" s="1"/>
  <c r="N15" i="1" s="1"/>
  <c r="M8" i="1"/>
  <c r="M14" i="1" s="1"/>
  <c r="M15" i="1" s="1"/>
  <c r="L8" i="1"/>
  <c r="K8" i="1"/>
  <c r="K14" i="1" s="1"/>
  <c r="K15" i="1" s="1"/>
  <c r="J8" i="1"/>
  <c r="J14" i="1" s="1"/>
  <c r="J15" i="1" s="1"/>
  <c r="I8" i="1"/>
  <c r="D3" i="3" s="1"/>
  <c r="H8" i="1"/>
  <c r="H14" i="1" s="1"/>
  <c r="H15" i="1" s="1"/>
  <c r="G8" i="1"/>
  <c r="G14" i="1" s="1"/>
  <c r="G15" i="1" s="1"/>
  <c r="F8" i="1"/>
  <c r="E8" i="1"/>
  <c r="D8" i="1"/>
  <c r="D14" i="1" s="1"/>
  <c r="C8" i="1"/>
  <c r="CI5" i="1"/>
  <c r="CG5" i="1"/>
  <c r="CE5" i="1"/>
  <c r="CC5" i="1"/>
  <c r="CA5" i="1"/>
  <c r="BY5" i="1"/>
  <c r="BW5" i="1"/>
  <c r="BU5" i="1"/>
  <c r="BS5" i="1"/>
  <c r="BQ5" i="1"/>
  <c r="BO5" i="1"/>
  <c r="BM5" i="1"/>
  <c r="BK5" i="1"/>
  <c r="BI5" i="1"/>
  <c r="BG5" i="1"/>
  <c r="BE5" i="1"/>
  <c r="BC5" i="1"/>
  <c r="BA5" i="1"/>
  <c r="AY5" i="1"/>
  <c r="AW5" i="1"/>
  <c r="AU5" i="1"/>
  <c r="AS5" i="1"/>
  <c r="AP5" i="1"/>
  <c r="AM5" i="1"/>
  <c r="AJ5" i="1"/>
  <c r="AF5" i="1"/>
  <c r="AC5" i="1"/>
  <c r="Z5" i="1"/>
  <c r="W5" i="1"/>
  <c r="U5" i="1"/>
  <c r="R5" i="1"/>
  <c r="M5" i="1"/>
  <c r="L5" i="1"/>
  <c r="K5" i="1"/>
  <c r="J5" i="1"/>
  <c r="I5" i="1"/>
  <c r="F5" i="1"/>
  <c r="B50" i="2"/>
  <c r="J43" i="2"/>
  <c r="I43" i="2"/>
  <c r="H43" i="2"/>
  <c r="G43" i="2"/>
  <c r="F43" i="2"/>
  <c r="E43" i="2"/>
  <c r="D43" i="2"/>
  <c r="C43" i="2"/>
  <c r="B43" i="2"/>
  <c r="J41" i="2"/>
  <c r="B41" i="2"/>
  <c r="J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20" i="2"/>
  <c r="I20" i="2"/>
  <c r="I42" i="12" s="1"/>
  <c r="H20" i="2"/>
  <c r="H42" i="12" s="1"/>
  <c r="G20" i="2"/>
  <c r="G42" i="12" s="1"/>
  <c r="F20" i="2"/>
  <c r="F42" i="12" s="1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8" i="2"/>
  <c r="I8" i="2"/>
  <c r="H8" i="2"/>
  <c r="G8" i="2"/>
  <c r="F8" i="2"/>
  <c r="E8" i="2"/>
  <c r="D8" i="2"/>
  <c r="C8" i="2"/>
  <c r="B8" i="2"/>
  <c r="J7" i="2"/>
  <c r="I7" i="2"/>
  <c r="H7" i="2"/>
  <c r="G7" i="2"/>
  <c r="F7" i="2"/>
  <c r="E7" i="2"/>
  <c r="D7" i="2"/>
  <c r="C7" i="2"/>
  <c r="B7" i="2"/>
  <c r="J6" i="2"/>
  <c r="I6" i="2"/>
  <c r="H6" i="2"/>
  <c r="G6" i="2"/>
  <c r="F6" i="2"/>
  <c r="E6" i="2"/>
  <c r="D6" i="2"/>
  <c r="C6" i="2"/>
  <c r="B6" i="2"/>
  <c r="J5" i="2"/>
  <c r="I5" i="2"/>
  <c r="H5" i="2"/>
  <c r="F5" i="2"/>
  <c r="AB3" i="3" l="1"/>
  <c r="AJ3" i="3"/>
  <c r="H5" i="3"/>
  <c r="P5" i="3"/>
  <c r="X5" i="3"/>
  <c r="AF5" i="3"/>
  <c r="D6" i="3"/>
  <c r="L6" i="3"/>
  <c r="T6" i="3"/>
  <c r="AB6" i="3"/>
  <c r="AJ6" i="3"/>
  <c r="H7" i="3"/>
  <c r="P7" i="3"/>
  <c r="X7" i="3"/>
  <c r="AF7" i="3"/>
  <c r="D8" i="3"/>
  <c r="L8" i="3"/>
  <c r="T8" i="3"/>
  <c r="AB8" i="3"/>
  <c r="AJ8" i="3"/>
  <c r="D13" i="3"/>
  <c r="L13" i="3"/>
  <c r="T13" i="3"/>
  <c r="AB13" i="3"/>
  <c r="AJ13" i="3"/>
  <c r="H14" i="3"/>
  <c r="P14" i="3"/>
  <c r="X14" i="3"/>
  <c r="AF14" i="3"/>
  <c r="D19" i="3"/>
  <c r="L19" i="3"/>
  <c r="T19" i="3"/>
  <c r="AB19" i="3"/>
  <c r="AJ19" i="3"/>
  <c r="AA170" i="1"/>
  <c r="BL170" i="1"/>
  <c r="CM170" i="1"/>
  <c r="C96" i="5"/>
  <c r="AA96" i="5"/>
  <c r="AI96" i="5"/>
  <c r="L3" i="3"/>
  <c r="I3" i="2"/>
  <c r="CL80" i="1"/>
  <c r="CT80" i="1"/>
  <c r="DB80" i="1"/>
  <c r="C9" i="11"/>
  <c r="C10" i="11" s="1"/>
  <c r="C11" i="11" s="1"/>
  <c r="D11" i="11" s="1"/>
  <c r="K9" i="11"/>
  <c r="K10" i="11" s="1"/>
  <c r="S9" i="11"/>
  <c r="S10" i="11" s="1"/>
  <c r="AA9" i="11"/>
  <c r="AA10" i="11" s="1"/>
  <c r="AI9" i="11"/>
  <c r="AI10" i="11" s="1"/>
  <c r="AQ9" i="11"/>
  <c r="AQ10" i="11" s="1"/>
  <c r="AY9" i="11"/>
  <c r="AY10" i="11" s="1"/>
  <c r="BG9" i="11"/>
  <c r="BG10" i="11" s="1"/>
  <c r="BO9" i="11"/>
  <c r="BO10" i="11" s="1"/>
  <c r="BW9" i="11"/>
  <c r="BW10" i="11" s="1"/>
  <c r="CE9" i="11"/>
  <c r="CE10" i="11" s="1"/>
  <c r="C14" i="11"/>
  <c r="C16" i="11" s="1"/>
  <c r="C17" i="11" s="1"/>
  <c r="K14" i="11"/>
  <c r="K16" i="11" s="1"/>
  <c r="S14" i="11"/>
  <c r="S16" i="11" s="1"/>
  <c r="AA14" i="11"/>
  <c r="AA16" i="11" s="1"/>
  <c r="AI14" i="11"/>
  <c r="AI16" i="11" s="1"/>
  <c r="AQ14" i="11"/>
  <c r="AQ16" i="11" s="1"/>
  <c r="AY14" i="11"/>
  <c r="AY16" i="11" s="1"/>
  <c r="BG14" i="11"/>
  <c r="BG16" i="11" s="1"/>
  <c r="BO14" i="11"/>
  <c r="BO16" i="11" s="1"/>
  <c r="BW14" i="11"/>
  <c r="BW16" i="11" s="1"/>
  <c r="CE14" i="11"/>
  <c r="CE16" i="11" s="1"/>
  <c r="G20" i="11"/>
  <c r="G22" i="11" s="1"/>
  <c r="O20" i="11"/>
  <c r="O22" i="11" s="1"/>
  <c r="W20" i="11"/>
  <c r="W22" i="11" s="1"/>
  <c r="AE20" i="11"/>
  <c r="AE22" i="11" s="1"/>
  <c r="AM20" i="11"/>
  <c r="AM22" i="11" s="1"/>
  <c r="AU20" i="11"/>
  <c r="AU22" i="11" s="1"/>
  <c r="BC20" i="11"/>
  <c r="BC22" i="11" s="1"/>
  <c r="BK20" i="11"/>
  <c r="BK22" i="11" s="1"/>
  <c r="BS20" i="11"/>
  <c r="BS22" i="11" s="1"/>
  <c r="CA20" i="11"/>
  <c r="CA22" i="11" s="1"/>
  <c r="H32" i="3"/>
  <c r="P32" i="3"/>
  <c r="X32" i="3"/>
  <c r="AF32" i="3"/>
  <c r="D33" i="3"/>
  <c r="L33" i="3"/>
  <c r="T33" i="3"/>
  <c r="AB33" i="3"/>
  <c r="AJ33" i="3"/>
  <c r="S170" i="1"/>
  <c r="BD170" i="1"/>
  <c r="S46" i="3" s="1"/>
  <c r="CE170" i="1"/>
  <c r="AB46" i="3" s="1"/>
  <c r="L96" i="5"/>
  <c r="AR96" i="5"/>
  <c r="G3" i="2"/>
  <c r="C80" i="1"/>
  <c r="K80" i="1"/>
  <c r="CM80" i="1"/>
  <c r="CM117" i="1" s="1"/>
  <c r="CU80" i="1"/>
  <c r="AH25" i="3" s="1"/>
  <c r="DC80" i="1"/>
  <c r="D9" i="11"/>
  <c r="D10" i="11" s="1"/>
  <c r="L9" i="11"/>
  <c r="L10" i="11" s="1"/>
  <c r="T9" i="11"/>
  <c r="T10" i="11" s="1"/>
  <c r="AB9" i="11"/>
  <c r="AB10" i="11" s="1"/>
  <c r="AJ9" i="11"/>
  <c r="AJ10" i="11" s="1"/>
  <c r="AR9" i="11"/>
  <c r="AR10" i="11" s="1"/>
  <c r="AZ9" i="11"/>
  <c r="AZ10" i="11" s="1"/>
  <c r="BH9" i="11"/>
  <c r="BH10" i="11" s="1"/>
  <c r="BP9" i="11"/>
  <c r="BP10" i="11" s="1"/>
  <c r="BX9" i="11"/>
  <c r="BX10" i="11" s="1"/>
  <c r="CF9" i="11"/>
  <c r="CF10" i="11" s="1"/>
  <c r="D14" i="11"/>
  <c r="D16" i="11" s="1"/>
  <c r="L14" i="11"/>
  <c r="L16" i="11" s="1"/>
  <c r="T14" i="11"/>
  <c r="T16" i="11" s="1"/>
  <c r="AB14" i="11"/>
  <c r="AB16" i="11" s="1"/>
  <c r="AJ14" i="11"/>
  <c r="AJ16" i="11" s="1"/>
  <c r="AR14" i="11"/>
  <c r="AR16" i="11" s="1"/>
  <c r="AZ14" i="11"/>
  <c r="AZ16" i="11" s="1"/>
  <c r="BH14" i="11"/>
  <c r="BH16" i="11" s="1"/>
  <c r="BP14" i="11"/>
  <c r="BP16" i="11" s="1"/>
  <c r="BX14" i="11"/>
  <c r="BX16" i="11" s="1"/>
  <c r="CF14" i="11"/>
  <c r="CF16" i="11" s="1"/>
  <c r="H20" i="11"/>
  <c r="H22" i="11" s="1"/>
  <c r="P20" i="11"/>
  <c r="P22" i="11" s="1"/>
  <c r="X20" i="11"/>
  <c r="X22" i="11" s="1"/>
  <c r="AF20" i="11"/>
  <c r="AF22" i="11" s="1"/>
  <c r="AN20" i="11"/>
  <c r="AN22" i="11" s="1"/>
  <c r="AV20" i="11"/>
  <c r="AV22" i="11" s="1"/>
  <c r="BD20" i="11"/>
  <c r="BD22" i="11" s="1"/>
  <c r="BL20" i="11"/>
  <c r="BL22" i="11" s="1"/>
  <c r="BT20" i="11"/>
  <c r="BT22" i="11" s="1"/>
  <c r="CB20" i="11"/>
  <c r="CB22" i="11" s="1"/>
  <c r="K170" i="1"/>
  <c r="D46" i="3" s="1"/>
  <c r="AV170" i="1"/>
  <c r="BW170" i="1"/>
  <c r="X104" i="10"/>
  <c r="D80" i="1"/>
  <c r="D117" i="1" s="1"/>
  <c r="L80" i="1"/>
  <c r="L117" i="1" s="1"/>
  <c r="AJ80" i="1"/>
  <c r="AJ117" i="1" s="1"/>
  <c r="BH80" i="1"/>
  <c r="CN80" i="1"/>
  <c r="CN117" i="1" s="1"/>
  <c r="CV80" i="1"/>
  <c r="CV117" i="1" s="1"/>
  <c r="DD80" i="1"/>
  <c r="E14" i="11"/>
  <c r="E16" i="11" s="1"/>
  <c r="M14" i="11"/>
  <c r="M16" i="11" s="1"/>
  <c r="U14" i="11"/>
  <c r="U16" i="11" s="1"/>
  <c r="AC14" i="11"/>
  <c r="AC16" i="11" s="1"/>
  <c r="AK14" i="11"/>
  <c r="AK16" i="11" s="1"/>
  <c r="AS14" i="11"/>
  <c r="AS16" i="11" s="1"/>
  <c r="BA14" i="11"/>
  <c r="BA16" i="11" s="1"/>
  <c r="BI14" i="11"/>
  <c r="BI16" i="11" s="1"/>
  <c r="BQ14" i="11"/>
  <c r="BQ16" i="11" s="1"/>
  <c r="BY14" i="11"/>
  <c r="BY16" i="11" s="1"/>
  <c r="CG14" i="11"/>
  <c r="CG16" i="11" s="1"/>
  <c r="I20" i="11"/>
  <c r="I22" i="11" s="1"/>
  <c r="Q20" i="11"/>
  <c r="Q22" i="11" s="1"/>
  <c r="Y20" i="11"/>
  <c r="Y22" i="11" s="1"/>
  <c r="AG20" i="11"/>
  <c r="AG22" i="11" s="1"/>
  <c r="AO20" i="11"/>
  <c r="AO22" i="11" s="1"/>
  <c r="AW20" i="11"/>
  <c r="AW22" i="11" s="1"/>
  <c r="BE20" i="11"/>
  <c r="BE22" i="11" s="1"/>
  <c r="BM20" i="11"/>
  <c r="BM22" i="11" s="1"/>
  <c r="BU20" i="11"/>
  <c r="BU22" i="11" s="1"/>
  <c r="CC20" i="11"/>
  <c r="CC22" i="11" s="1"/>
  <c r="C111" i="1"/>
  <c r="F131" i="1"/>
  <c r="G128" i="1" s="1"/>
  <c r="AN170" i="1"/>
  <c r="BO170" i="1"/>
  <c r="AZ8" i="5"/>
  <c r="AZ19" i="5"/>
  <c r="D5" i="3"/>
  <c r="C5" i="2"/>
  <c r="AB5" i="3"/>
  <c r="AJ5" i="3"/>
  <c r="H6" i="3"/>
  <c r="P6" i="3"/>
  <c r="X6" i="3"/>
  <c r="AF6" i="3"/>
  <c r="D7" i="3"/>
  <c r="L7" i="3"/>
  <c r="T7" i="3"/>
  <c r="AB7" i="3"/>
  <c r="AJ7" i="3"/>
  <c r="H8" i="3"/>
  <c r="P8" i="3"/>
  <c r="X8" i="3"/>
  <c r="AF8" i="3"/>
  <c r="H13" i="3"/>
  <c r="P13" i="3"/>
  <c r="X13" i="3"/>
  <c r="AF13" i="3"/>
  <c r="D14" i="3"/>
  <c r="L14" i="3"/>
  <c r="T14" i="3"/>
  <c r="AB14" i="3"/>
  <c r="AJ14" i="3"/>
  <c r="I32" i="3"/>
  <c r="Q32" i="3"/>
  <c r="Y32" i="3"/>
  <c r="AG32" i="3"/>
  <c r="E33" i="3"/>
  <c r="M33" i="3"/>
  <c r="U33" i="3"/>
  <c r="AC33" i="3"/>
  <c r="AK33" i="3"/>
  <c r="BG170" i="1"/>
  <c r="T46" i="3" s="1"/>
  <c r="CZ170" i="1"/>
  <c r="AI46" i="3" s="1"/>
  <c r="W96" i="5"/>
  <c r="AZ86" i="5"/>
  <c r="BZ106" i="10"/>
  <c r="BZ107" i="10" s="1"/>
  <c r="CC79" i="1" s="1"/>
  <c r="CC80" i="1" s="1"/>
  <c r="BZ105" i="10"/>
  <c r="D23" i="11"/>
  <c r="AY170" i="1"/>
  <c r="AZ64" i="5"/>
  <c r="AZ75" i="5"/>
  <c r="D19" i="10"/>
  <c r="K107" i="10"/>
  <c r="N79" i="1" s="1"/>
  <c r="N80" i="1" s="1"/>
  <c r="N117" i="1" s="1"/>
  <c r="I20" i="10"/>
  <c r="D3" i="2"/>
  <c r="B3" i="2"/>
  <c r="K17" i="1"/>
  <c r="K20" i="1" s="1"/>
  <c r="S17" i="1"/>
  <c r="S20" i="1" s="1"/>
  <c r="AI17" i="1"/>
  <c r="AI20" i="1" s="1"/>
  <c r="AQ17" i="1"/>
  <c r="AQ20" i="1" s="1"/>
  <c r="BG17" i="1"/>
  <c r="BG20" i="1" s="1"/>
  <c r="BG116" i="1" s="1"/>
  <c r="BO17" i="1"/>
  <c r="BO20" i="1" s="1"/>
  <c r="BO116" i="1" s="1"/>
  <c r="CE17" i="1"/>
  <c r="CE20" i="1" s="1"/>
  <c r="CM17" i="1"/>
  <c r="CM20" i="1" s="1"/>
  <c r="DC17" i="1"/>
  <c r="DC20" i="1" s="1"/>
  <c r="F3" i="3"/>
  <c r="I3" i="3"/>
  <c r="Q3" i="3"/>
  <c r="AG3" i="3"/>
  <c r="E5" i="3"/>
  <c r="M5" i="3"/>
  <c r="U5" i="3"/>
  <c r="AC5" i="3"/>
  <c r="AK5" i="3"/>
  <c r="I6" i="3"/>
  <c r="Q6" i="3"/>
  <c r="Y6" i="3"/>
  <c r="AG6" i="3"/>
  <c r="E7" i="3"/>
  <c r="M7" i="3"/>
  <c r="U7" i="3"/>
  <c r="AC7" i="3"/>
  <c r="AK7" i="3"/>
  <c r="I8" i="3"/>
  <c r="Q8" i="3"/>
  <c r="Y8" i="3"/>
  <c r="AG8" i="3"/>
  <c r="I13" i="3"/>
  <c r="Q13" i="3"/>
  <c r="Y13" i="3"/>
  <c r="H170" i="1"/>
  <c r="C46" i="3" s="1"/>
  <c r="AI170" i="1"/>
  <c r="L46" i="3" s="1"/>
  <c r="BT170" i="1"/>
  <c r="CU170" i="1"/>
  <c r="DC170" i="1"/>
  <c r="AJ46" i="3" s="1"/>
  <c r="M13" i="6"/>
  <c r="C4" i="16"/>
  <c r="CY112" i="1"/>
  <c r="CQ112" i="1"/>
  <c r="CI112" i="1"/>
  <c r="CA112" i="1"/>
  <c r="BS112" i="1"/>
  <c r="BK112" i="1"/>
  <c r="BC112" i="1"/>
  <c r="AU112" i="1"/>
  <c r="AM112" i="1"/>
  <c r="AE112" i="1"/>
  <c r="W112" i="1"/>
  <c r="O112" i="1"/>
  <c r="G112" i="1"/>
  <c r="DE112" i="1"/>
  <c r="CW112" i="1"/>
  <c r="CO112" i="1"/>
  <c r="CG112" i="1"/>
  <c r="BY112" i="1"/>
  <c r="BQ112" i="1"/>
  <c r="BI112" i="1"/>
  <c r="BA112" i="1"/>
  <c r="AS112" i="1"/>
  <c r="AK112" i="1"/>
  <c r="AC112" i="1"/>
  <c r="U112" i="1"/>
  <c r="M112" i="1"/>
  <c r="DC103" i="1"/>
  <c r="CU103" i="1"/>
  <c r="CM103" i="1"/>
  <c r="CE103" i="1"/>
  <c r="BW103" i="1"/>
  <c r="BO103" i="1"/>
  <c r="BG103" i="1"/>
  <c r="AY103" i="1"/>
  <c r="F107" i="10"/>
  <c r="I79" i="1" s="1"/>
  <c r="I80" i="1" s="1"/>
  <c r="C104" i="10"/>
  <c r="K104" i="10"/>
  <c r="K106" i="10" s="1"/>
  <c r="S104" i="10"/>
  <c r="S105" i="10" s="1"/>
  <c r="AA104" i="10"/>
  <c r="AI104" i="10"/>
  <c r="AI105" i="10" s="1"/>
  <c r="AQ104" i="10"/>
  <c r="AQ105" i="10" s="1"/>
  <c r="AY104" i="10"/>
  <c r="BG104" i="10"/>
  <c r="BG105" i="10" s="1"/>
  <c r="BO104" i="10"/>
  <c r="BO105" i="10" s="1"/>
  <c r="BW104" i="10"/>
  <c r="CE104" i="10"/>
  <c r="CE105" i="10" s="1"/>
  <c r="O104" i="10"/>
  <c r="AE104" i="10"/>
  <c r="AU104" i="10"/>
  <c r="AU106" i="10" s="1"/>
  <c r="AU107" i="10" s="1"/>
  <c r="AX79" i="1" s="1"/>
  <c r="AX80" i="1" s="1"/>
  <c r="BK104" i="10"/>
  <c r="BK105" i="10" s="1"/>
  <c r="BK106" i="10" s="1"/>
  <c r="BK107" i="10" s="1"/>
  <c r="BN79" i="1" s="1"/>
  <c r="BN80" i="1" s="1"/>
  <c r="CA104" i="10"/>
  <c r="F32" i="3"/>
  <c r="N32" i="3"/>
  <c r="V32" i="3"/>
  <c r="AD32" i="3"/>
  <c r="B33" i="3"/>
  <c r="J33" i="3"/>
  <c r="R33" i="3"/>
  <c r="Z33" i="3"/>
  <c r="AH33" i="3"/>
  <c r="P96" i="5"/>
  <c r="X96" i="5"/>
  <c r="AV96" i="5"/>
  <c r="AZ20" i="5"/>
  <c r="AZ27" i="5"/>
  <c r="AZ39" i="5"/>
  <c r="AZ47" i="5"/>
  <c r="AZ55" i="5"/>
  <c r="AZ59" i="5"/>
  <c r="B6" i="6"/>
  <c r="N6" i="6" s="1"/>
  <c r="Q6" i="6" s="1"/>
  <c r="D8" i="6"/>
  <c r="AK4" i="16"/>
  <c r="F16" i="16"/>
  <c r="N16" i="16"/>
  <c r="V16" i="16"/>
  <c r="AD16" i="16"/>
  <c r="AL16" i="16"/>
  <c r="AT16" i="16"/>
  <c r="BB16" i="16"/>
  <c r="BJ16" i="16"/>
  <c r="BR16" i="16"/>
  <c r="BZ16" i="16"/>
  <c r="CH16" i="16"/>
  <c r="CP16" i="16"/>
  <c r="Q4" i="8"/>
  <c r="R4" i="8" s="1"/>
  <c r="I170" i="1"/>
  <c r="Q170" i="1"/>
  <c r="F46" i="3" s="1"/>
  <c r="AG170" i="1"/>
  <c r="AO170" i="1"/>
  <c r="N46" i="3" s="1"/>
  <c r="AW170" i="1"/>
  <c r="BM170" i="1"/>
  <c r="V46" i="3" s="1"/>
  <c r="BU170" i="1"/>
  <c r="CC170" i="1"/>
  <c r="CK170" i="1"/>
  <c r="AD46" i="3" s="1"/>
  <c r="CS170" i="1"/>
  <c r="DA170" i="1"/>
  <c r="B100" i="16"/>
  <c r="B96" i="16"/>
  <c r="B96" i="5"/>
  <c r="J96" i="5"/>
  <c r="R96" i="5"/>
  <c r="Z96" i="5"/>
  <c r="AH96" i="5"/>
  <c r="AP96" i="5"/>
  <c r="AX96" i="5"/>
  <c r="AZ17" i="5"/>
  <c r="AZ21" i="5"/>
  <c r="AZ36" i="5"/>
  <c r="AZ40" i="5"/>
  <c r="N10" i="6"/>
  <c r="Q10" i="6" s="1"/>
  <c r="Q11" i="8"/>
  <c r="R11" i="8" s="1"/>
  <c r="B18" i="10"/>
  <c r="B62" i="10" s="1"/>
  <c r="AL104" i="10"/>
  <c r="BJ104" i="10"/>
  <c r="CH104" i="10"/>
  <c r="CH105" i="10" s="1"/>
  <c r="CH106" i="10" s="1"/>
  <c r="E20" i="10"/>
  <c r="B20" i="10" s="1"/>
  <c r="G20" i="10"/>
  <c r="D29" i="17"/>
  <c r="D10" i="6"/>
  <c r="C10" i="6"/>
  <c r="AZ72" i="5"/>
  <c r="AZ87" i="5"/>
  <c r="AZ94" i="5"/>
  <c r="CD4" i="16"/>
  <c r="BK5" i="16"/>
  <c r="AG105" i="10"/>
  <c r="AG106" i="10"/>
  <c r="AG107" i="10" s="1"/>
  <c r="AJ79" i="1" s="1"/>
  <c r="AD104" i="10"/>
  <c r="BR104" i="10"/>
  <c r="C16" i="16"/>
  <c r="K16" i="16"/>
  <c r="S16" i="16"/>
  <c r="AA16" i="16"/>
  <c r="AI16" i="16"/>
  <c r="AQ16" i="16"/>
  <c r="AY16" i="16"/>
  <c r="BG16" i="16"/>
  <c r="BO16" i="16"/>
  <c r="BW16" i="16"/>
  <c r="CE16" i="16"/>
  <c r="CM16" i="16"/>
  <c r="L21" i="18"/>
  <c r="D7" i="17"/>
  <c r="G32" i="18"/>
  <c r="N47" i="18"/>
  <c r="B29" i="17"/>
  <c r="K21" i="18"/>
  <c r="J22" i="18"/>
  <c r="N48" i="18"/>
  <c r="E10" i="18"/>
  <c r="E12" i="18"/>
  <c r="N21" i="18"/>
  <c r="K22" i="18"/>
  <c r="J23" i="18"/>
  <c r="J24" i="18"/>
  <c r="G25" i="18"/>
  <c r="H40" i="18"/>
  <c r="G41" i="18"/>
  <c r="G49" i="18"/>
  <c r="AZ92" i="5"/>
  <c r="K23" i="18"/>
  <c r="K24" i="18"/>
  <c r="G28" i="18"/>
  <c r="K30" i="18"/>
  <c r="J31" i="18"/>
  <c r="L31" i="18" s="1"/>
  <c r="H32" i="18"/>
  <c r="G50" i="18"/>
  <c r="F96" i="5"/>
  <c r="N96" i="5"/>
  <c r="AL96" i="5"/>
  <c r="AT96" i="5"/>
  <c r="AZ15" i="5"/>
  <c r="AZ26" i="5"/>
  <c r="AZ30" i="5"/>
  <c r="AZ41" i="5"/>
  <c r="AZ45" i="5"/>
  <c r="AZ60" i="5"/>
  <c r="AZ70" i="5"/>
  <c r="AZ74" i="5"/>
  <c r="AZ82" i="5"/>
  <c r="AZ89" i="5"/>
  <c r="AZ93" i="5"/>
  <c r="B17" i="10"/>
  <c r="B61" i="10" s="1"/>
  <c r="BD16" i="16"/>
  <c r="BL16" i="16"/>
  <c r="G26" i="18"/>
  <c r="K31" i="18"/>
  <c r="J32" i="18"/>
  <c r="G33" i="18"/>
  <c r="G42" i="18"/>
  <c r="N46" i="18"/>
  <c r="J25" i="18"/>
  <c r="K32" i="18"/>
  <c r="J41" i="18"/>
  <c r="K116" i="1"/>
  <c r="D17" i="1"/>
  <c r="D20" i="1" s="1"/>
  <c r="T17" i="1"/>
  <c r="T20" i="1" s="1"/>
  <c r="AB17" i="1"/>
  <c r="AB20" i="1" s="1"/>
  <c r="AR17" i="1"/>
  <c r="AR20" i="1" s="1"/>
  <c r="AZ17" i="1"/>
  <c r="AZ20" i="1" s="1"/>
  <c r="AZ98" i="16" s="1"/>
  <c r="BP17" i="1"/>
  <c r="BP20" i="1" s="1"/>
  <c r="BX17" i="1"/>
  <c r="BX20" i="1" s="1"/>
  <c r="CN17" i="1"/>
  <c r="CN20" i="1" s="1"/>
  <c r="CV17" i="1"/>
  <c r="CV20" i="1" s="1"/>
  <c r="CE116" i="1"/>
  <c r="M17" i="1"/>
  <c r="M20" i="1" s="1"/>
  <c r="AC17" i="1"/>
  <c r="AC20" i="1" s="1"/>
  <c r="AK17" i="1"/>
  <c r="AK20" i="1" s="1"/>
  <c r="BA17" i="1"/>
  <c r="BA20" i="1" s="1"/>
  <c r="BI17" i="1"/>
  <c r="BI20" i="1" s="1"/>
  <c r="BY17" i="1"/>
  <c r="BY20" i="1" s="1"/>
  <c r="CG17" i="1"/>
  <c r="CG20" i="1" s="1"/>
  <c r="CW17" i="1"/>
  <c r="CW20" i="1" s="1"/>
  <c r="DE17" i="1"/>
  <c r="DE20" i="1" s="1"/>
  <c r="AI116" i="1"/>
  <c r="DC99" i="16"/>
  <c r="DC116" i="1"/>
  <c r="G9" i="3"/>
  <c r="R15" i="1"/>
  <c r="G10" i="3" s="1"/>
  <c r="O9" i="3"/>
  <c r="AP15" i="1"/>
  <c r="O10" i="3" s="1"/>
  <c r="W9" i="3"/>
  <c r="BN15" i="1"/>
  <c r="W10" i="3" s="1"/>
  <c r="AE9" i="3"/>
  <c r="CL15" i="1"/>
  <c r="AE10" i="3" s="1"/>
  <c r="N17" i="1"/>
  <c r="N20" i="1" s="1"/>
  <c r="V17" i="1"/>
  <c r="V20" i="1" s="1"/>
  <c r="V98" i="16" s="1"/>
  <c r="AL17" i="1"/>
  <c r="AL20" i="1" s="1"/>
  <c r="AT17" i="1"/>
  <c r="AT20" i="1" s="1"/>
  <c r="BJ17" i="1"/>
  <c r="BJ20" i="1" s="1"/>
  <c r="BR17" i="1"/>
  <c r="BR20" i="1" s="1"/>
  <c r="CH17" i="1"/>
  <c r="CH20" i="1" s="1"/>
  <c r="CP17" i="1"/>
  <c r="CP20" i="1" s="1"/>
  <c r="DF17" i="1"/>
  <c r="DF20" i="1" s="1"/>
  <c r="S116" i="1"/>
  <c r="Z9" i="3"/>
  <c r="BW15" i="1"/>
  <c r="AH9" i="3"/>
  <c r="CU15" i="1"/>
  <c r="G17" i="1"/>
  <c r="G20" i="1" s="1"/>
  <c r="G98" i="16" s="1"/>
  <c r="W17" i="1"/>
  <c r="W20" i="1" s="1"/>
  <c r="AE17" i="1"/>
  <c r="AE20" i="1" s="1"/>
  <c r="AU17" i="1"/>
  <c r="AU20" i="1" s="1"/>
  <c r="BC17" i="1"/>
  <c r="BC20" i="1" s="1"/>
  <c r="BS17" i="1"/>
  <c r="BS20" i="1" s="1"/>
  <c r="CA17" i="1"/>
  <c r="CA20" i="1" s="1"/>
  <c r="CQ17" i="1"/>
  <c r="CQ20" i="1" s="1"/>
  <c r="CY17" i="1"/>
  <c r="CY20" i="1" s="1"/>
  <c r="AQ98" i="16"/>
  <c r="AQ116" i="1"/>
  <c r="H17" i="1"/>
  <c r="H20" i="1" s="1"/>
  <c r="P17" i="1"/>
  <c r="P20" i="1" s="1"/>
  <c r="AF17" i="1"/>
  <c r="AF20" i="1" s="1"/>
  <c r="AN17" i="1"/>
  <c r="AN20" i="1" s="1"/>
  <c r="BD17" i="1"/>
  <c r="BD20" i="1" s="1"/>
  <c r="BL17" i="1"/>
  <c r="BL20" i="1" s="1"/>
  <c r="CB17" i="1"/>
  <c r="CB20" i="1" s="1"/>
  <c r="CJ17" i="1"/>
  <c r="CJ20" i="1" s="1"/>
  <c r="CZ17" i="1"/>
  <c r="CZ20" i="1" s="1"/>
  <c r="Y17" i="1"/>
  <c r="Y20" i="1" s="1"/>
  <c r="AO17" i="1"/>
  <c r="AO20" i="1" s="1"/>
  <c r="AW17" i="1"/>
  <c r="AW20" i="1" s="1"/>
  <c r="BM17" i="1"/>
  <c r="BM20" i="1" s="1"/>
  <c r="BM98" i="16" s="1"/>
  <c r="BU17" i="1"/>
  <c r="BU20" i="1" s="1"/>
  <c r="CK17" i="1"/>
  <c r="CK20" i="1" s="1"/>
  <c r="CS17" i="1"/>
  <c r="CS20" i="1" s="1"/>
  <c r="CS117" i="1"/>
  <c r="AJ25" i="3"/>
  <c r="DA117" i="1"/>
  <c r="CM116" i="1"/>
  <c r="J17" i="1"/>
  <c r="J20" i="1" s="1"/>
  <c r="Z17" i="1"/>
  <c r="Z20" i="1" s="1"/>
  <c r="AH17" i="1"/>
  <c r="AH20" i="1" s="1"/>
  <c r="AX17" i="1"/>
  <c r="AX20" i="1" s="1"/>
  <c r="BF17" i="1"/>
  <c r="BF20" i="1" s="1"/>
  <c r="BV17" i="1"/>
  <c r="BV20" i="1" s="1"/>
  <c r="CD17" i="1"/>
  <c r="CD20" i="1" s="1"/>
  <c r="CT17" i="1"/>
  <c r="CT20" i="1" s="1"/>
  <c r="DB17" i="1"/>
  <c r="DB20" i="1" s="1"/>
  <c r="C3" i="2"/>
  <c r="E3" i="2"/>
  <c r="D5" i="2"/>
  <c r="B3" i="3"/>
  <c r="R3" i="3"/>
  <c r="F3" i="2"/>
  <c r="E5" i="2"/>
  <c r="E3" i="3"/>
  <c r="M3" i="3"/>
  <c r="U3" i="3"/>
  <c r="AC3" i="3"/>
  <c r="AK3" i="3"/>
  <c r="I5" i="3"/>
  <c r="Q5" i="3"/>
  <c r="Y5" i="3"/>
  <c r="AG5" i="3"/>
  <c r="E6" i="3"/>
  <c r="M6" i="3"/>
  <c r="U6" i="3"/>
  <c r="AC6" i="3"/>
  <c r="AK6" i="3"/>
  <c r="I7" i="3"/>
  <c r="Q7" i="3"/>
  <c r="Y7" i="3"/>
  <c r="AG7" i="3"/>
  <c r="E8" i="3"/>
  <c r="M8" i="3"/>
  <c r="U8" i="3"/>
  <c r="AC8" i="3"/>
  <c r="AK8" i="3"/>
  <c r="X14" i="1"/>
  <c r="AV14" i="1"/>
  <c r="BT14" i="1"/>
  <c r="CR14" i="1"/>
  <c r="E13" i="3"/>
  <c r="M13" i="3"/>
  <c r="U13" i="3"/>
  <c r="AC13" i="3"/>
  <c r="AK13" i="3"/>
  <c r="I14" i="3"/>
  <c r="Q14" i="3"/>
  <c r="Y14" i="3"/>
  <c r="AG14" i="3"/>
  <c r="I20" i="3"/>
  <c r="Q20" i="3"/>
  <c r="Y20" i="3"/>
  <c r="AG20" i="3"/>
  <c r="I19" i="3"/>
  <c r="Q19" i="3"/>
  <c r="Y19" i="3"/>
  <c r="AG19" i="3"/>
  <c r="T5" i="3"/>
  <c r="I14" i="1"/>
  <c r="AG14" i="1"/>
  <c r="BE14" i="1"/>
  <c r="CC14" i="1"/>
  <c r="DA14" i="1"/>
  <c r="Q17" i="1"/>
  <c r="Q20" i="1" s="1"/>
  <c r="AJ18" i="3"/>
  <c r="CL117" i="1"/>
  <c r="CT117" i="1"/>
  <c r="DB117" i="1"/>
  <c r="X3" i="3"/>
  <c r="AF3" i="3"/>
  <c r="L5" i="3"/>
  <c r="H3" i="2"/>
  <c r="G5" i="2"/>
  <c r="C101" i="12"/>
  <c r="C42" i="12"/>
  <c r="C3" i="3"/>
  <c r="K3" i="3"/>
  <c r="S3" i="3"/>
  <c r="AA3" i="3"/>
  <c r="AI3" i="3"/>
  <c r="G5" i="3"/>
  <c r="O5" i="3"/>
  <c r="W5" i="3"/>
  <c r="AE5" i="3"/>
  <c r="C6" i="3"/>
  <c r="K6" i="3"/>
  <c r="S6" i="3"/>
  <c r="AA6" i="3"/>
  <c r="AI6" i="3"/>
  <c r="G7" i="3"/>
  <c r="O7" i="3"/>
  <c r="W7" i="3"/>
  <c r="AE7" i="3"/>
  <c r="C8" i="3"/>
  <c r="K8" i="3"/>
  <c r="S8" i="3"/>
  <c r="AA8" i="3"/>
  <c r="AI8" i="3"/>
  <c r="C10" i="3"/>
  <c r="AP17" i="1"/>
  <c r="BN17" i="1"/>
  <c r="C13" i="3"/>
  <c r="K13" i="3"/>
  <c r="S13" i="3"/>
  <c r="AA13" i="3"/>
  <c r="AI13" i="3"/>
  <c r="G14" i="3"/>
  <c r="O14" i="3"/>
  <c r="W14" i="3"/>
  <c r="AE14" i="3"/>
  <c r="G20" i="3"/>
  <c r="O20" i="3"/>
  <c r="W20" i="3"/>
  <c r="AE20" i="3"/>
  <c r="G19" i="3"/>
  <c r="O19" i="3"/>
  <c r="W19" i="3"/>
  <c r="AE19" i="3"/>
  <c r="B25" i="3"/>
  <c r="C117" i="1"/>
  <c r="C113" i="1"/>
  <c r="K117" i="1"/>
  <c r="DC117" i="1"/>
  <c r="C120" i="1"/>
  <c r="AH5" i="3"/>
  <c r="F6" i="3"/>
  <c r="N6" i="3"/>
  <c r="V6" i="3"/>
  <c r="AD6" i="3"/>
  <c r="B7" i="3"/>
  <c r="J7" i="3"/>
  <c r="R7" i="3"/>
  <c r="Z7" i="3"/>
  <c r="AH7" i="3"/>
  <c r="N8" i="3"/>
  <c r="V8" i="3"/>
  <c r="AD8" i="3"/>
  <c r="C14" i="1"/>
  <c r="AA14" i="1"/>
  <c r="AY14" i="1"/>
  <c r="BW17" i="1"/>
  <c r="CU17" i="1"/>
  <c r="F13" i="3"/>
  <c r="N13" i="3"/>
  <c r="V13" i="3"/>
  <c r="AD13" i="3"/>
  <c r="B14" i="3"/>
  <c r="J14" i="3"/>
  <c r="R14" i="3"/>
  <c r="Z14" i="3"/>
  <c r="AH14" i="3"/>
  <c r="B18" i="3"/>
  <c r="AH18" i="3"/>
  <c r="B20" i="3"/>
  <c r="J20" i="3"/>
  <c r="R20" i="3"/>
  <c r="Z20" i="3"/>
  <c r="AH20" i="3"/>
  <c r="B19" i="3"/>
  <c r="J19" i="3"/>
  <c r="R19" i="3"/>
  <c r="Z19" i="3"/>
  <c r="AH19" i="3"/>
  <c r="AK25" i="3"/>
  <c r="DD117" i="1"/>
  <c r="E111" i="1"/>
  <c r="E120" i="1" s="1"/>
  <c r="D113" i="1"/>
  <c r="L14" i="1"/>
  <c r="AJ14" i="1"/>
  <c r="BH14" i="1"/>
  <c r="CF14" i="1"/>
  <c r="DD14" i="1"/>
  <c r="AG13" i="3"/>
  <c r="E14" i="3"/>
  <c r="M14" i="3"/>
  <c r="U14" i="3"/>
  <c r="AC14" i="3"/>
  <c r="AK14" i="3"/>
  <c r="AK18" i="3"/>
  <c r="E20" i="3"/>
  <c r="M20" i="3"/>
  <c r="U20" i="3"/>
  <c r="AC20" i="3"/>
  <c r="AK20" i="3"/>
  <c r="E19" i="3"/>
  <c r="M19" i="3"/>
  <c r="U19" i="3"/>
  <c r="AC19" i="3"/>
  <c r="AK19" i="3"/>
  <c r="E117" i="1"/>
  <c r="M117" i="1"/>
  <c r="AF25" i="3"/>
  <c r="CO117" i="1"/>
  <c r="CW117" i="1"/>
  <c r="DE117" i="1"/>
  <c r="G129" i="1"/>
  <c r="C42" i="3"/>
  <c r="I135" i="1"/>
  <c r="I137" i="1" s="1"/>
  <c r="J135" i="1" s="1"/>
  <c r="J137" i="1" s="1"/>
  <c r="K135" i="1" s="1"/>
  <c r="K137" i="1" s="1"/>
  <c r="D101" i="12"/>
  <c r="D42" i="12"/>
  <c r="J3" i="2"/>
  <c r="E101" i="12"/>
  <c r="E42" i="12"/>
  <c r="E14" i="1"/>
  <c r="E17" i="1" s="1"/>
  <c r="E20" i="1" s="1"/>
  <c r="U14" i="1"/>
  <c r="AS14" i="1"/>
  <c r="BQ14" i="1"/>
  <c r="CO14" i="1"/>
  <c r="H19" i="3"/>
  <c r="P19" i="3"/>
  <c r="X19" i="3"/>
  <c r="AF19" i="3"/>
  <c r="CP117" i="1"/>
  <c r="AI25" i="3"/>
  <c r="CX117" i="1"/>
  <c r="BH117" i="1"/>
  <c r="B5" i="2"/>
  <c r="G3" i="3"/>
  <c r="O3" i="3"/>
  <c r="W3" i="3"/>
  <c r="AE3" i="3"/>
  <c r="C5" i="3"/>
  <c r="K5" i="3"/>
  <c r="S5" i="3"/>
  <c r="AA5" i="3"/>
  <c r="G6" i="3"/>
  <c r="O6" i="3"/>
  <c r="W6" i="3"/>
  <c r="AE6" i="3"/>
  <c r="C7" i="3"/>
  <c r="K7" i="3"/>
  <c r="S7" i="3"/>
  <c r="AA7" i="3"/>
  <c r="AI7" i="3"/>
  <c r="G8" i="3"/>
  <c r="O8" i="3"/>
  <c r="W8" i="3"/>
  <c r="AE8" i="3"/>
  <c r="F14" i="1"/>
  <c r="C9" i="3" s="1"/>
  <c r="AD14" i="1"/>
  <c r="BB14" i="1"/>
  <c r="BZ14" i="1"/>
  <c r="CX14" i="1"/>
  <c r="G13" i="3"/>
  <c r="O13" i="3"/>
  <c r="W13" i="3"/>
  <c r="AE13" i="3"/>
  <c r="C14" i="3"/>
  <c r="K14" i="3"/>
  <c r="S14" i="3"/>
  <c r="AA14" i="3"/>
  <c r="AI14" i="3"/>
  <c r="AI18" i="3"/>
  <c r="C20" i="3"/>
  <c r="K20" i="3"/>
  <c r="S20" i="3"/>
  <c r="AA20" i="3"/>
  <c r="AI20" i="3"/>
  <c r="C19" i="3"/>
  <c r="K19" i="3"/>
  <c r="S19" i="3"/>
  <c r="AA19" i="3"/>
  <c r="AI19" i="3"/>
  <c r="CQ117" i="1"/>
  <c r="CY117" i="1"/>
  <c r="B42" i="12"/>
  <c r="B101" i="12"/>
  <c r="J3" i="3"/>
  <c r="Z3" i="3"/>
  <c r="AH3" i="3"/>
  <c r="F5" i="3"/>
  <c r="N5" i="3"/>
  <c r="V5" i="3"/>
  <c r="AD5" i="3"/>
  <c r="B6" i="3"/>
  <c r="J6" i="3"/>
  <c r="R6" i="3"/>
  <c r="Z6" i="3"/>
  <c r="AH6" i="3"/>
  <c r="F7" i="3"/>
  <c r="N7" i="3"/>
  <c r="V7" i="3"/>
  <c r="AD7" i="3"/>
  <c r="B8" i="3"/>
  <c r="J8" i="3"/>
  <c r="R8" i="3"/>
  <c r="Z8" i="3"/>
  <c r="AH8" i="3"/>
  <c r="O14" i="1"/>
  <c r="AM14" i="1"/>
  <c r="BK14" i="1"/>
  <c r="CI14" i="1"/>
  <c r="B10" i="3"/>
  <c r="B13" i="3"/>
  <c r="J13" i="3"/>
  <c r="R13" i="3"/>
  <c r="Z13" i="3"/>
  <c r="AH13" i="3"/>
  <c r="F14" i="3"/>
  <c r="N14" i="3"/>
  <c r="V14" i="3"/>
  <c r="AD14" i="3"/>
  <c r="F20" i="3"/>
  <c r="N20" i="3"/>
  <c r="V20" i="3"/>
  <c r="AD20" i="3"/>
  <c r="F19" i="3"/>
  <c r="N19" i="3"/>
  <c r="V19" i="3"/>
  <c r="AD19" i="3"/>
  <c r="AG25" i="3"/>
  <c r="CR117" i="1"/>
  <c r="CZ117" i="1"/>
  <c r="E23" i="11"/>
  <c r="BG20" i="11"/>
  <c r="BG22" i="11" s="1"/>
  <c r="BO20" i="11"/>
  <c r="BO22" i="11" s="1"/>
  <c r="BW20" i="11"/>
  <c r="BW22" i="11" s="1"/>
  <c r="CE20" i="11"/>
  <c r="CE22" i="11" s="1"/>
  <c r="B20" i="17"/>
  <c r="B39" i="16"/>
  <c r="B44" i="16" s="1"/>
  <c r="B34" i="16"/>
  <c r="B49" i="16" s="1"/>
  <c r="C20" i="17" s="1"/>
  <c r="C24" i="17" s="1"/>
  <c r="C32" i="11"/>
  <c r="G33" i="3"/>
  <c r="O33" i="3"/>
  <c r="W33" i="3"/>
  <c r="AE33" i="3"/>
  <c r="AI34" i="3"/>
  <c r="CB9" i="11"/>
  <c r="CB10" i="11" s="1"/>
  <c r="BA20" i="11"/>
  <c r="BA22" i="11" s="1"/>
  <c r="BI20" i="11"/>
  <c r="BI22" i="11" s="1"/>
  <c r="BQ20" i="11"/>
  <c r="BQ22" i="11" s="1"/>
  <c r="BY20" i="11"/>
  <c r="BY22" i="11" s="1"/>
  <c r="CG20" i="11"/>
  <c r="CG22" i="11" s="1"/>
  <c r="J9" i="11"/>
  <c r="J10" i="11" s="1"/>
  <c r="R9" i="11"/>
  <c r="R10" i="11" s="1"/>
  <c r="Z9" i="11"/>
  <c r="Z10" i="11" s="1"/>
  <c r="AH9" i="11"/>
  <c r="AH10" i="11" s="1"/>
  <c r="AP9" i="11"/>
  <c r="AP10" i="11" s="1"/>
  <c r="AX9" i="11"/>
  <c r="AX10" i="11" s="1"/>
  <c r="BF9" i="11"/>
  <c r="BF10" i="11" s="1"/>
  <c r="BN9" i="11"/>
  <c r="BN10" i="11" s="1"/>
  <c r="BV9" i="11"/>
  <c r="BV10" i="11" s="1"/>
  <c r="CD9" i="11"/>
  <c r="CD10" i="11" s="1"/>
  <c r="J14" i="11"/>
  <c r="J16" i="11" s="1"/>
  <c r="R14" i="11"/>
  <c r="R16" i="11" s="1"/>
  <c r="Z14" i="11"/>
  <c r="Z16" i="11" s="1"/>
  <c r="AH14" i="11"/>
  <c r="AH16" i="11" s="1"/>
  <c r="AP14" i="11"/>
  <c r="AP16" i="11" s="1"/>
  <c r="AX14" i="11"/>
  <c r="AX16" i="11" s="1"/>
  <c r="BF14" i="11"/>
  <c r="BF16" i="11" s="1"/>
  <c r="BN14" i="11"/>
  <c r="BN16" i="11" s="1"/>
  <c r="BV14" i="11"/>
  <c r="BV16" i="11" s="1"/>
  <c r="CD14" i="11"/>
  <c r="CD16" i="11" s="1"/>
  <c r="F20" i="11"/>
  <c r="F22" i="11" s="1"/>
  <c r="N20" i="11"/>
  <c r="N22" i="11" s="1"/>
  <c r="V20" i="11"/>
  <c r="V22" i="11" s="1"/>
  <c r="AD20" i="11"/>
  <c r="AD22" i="11" s="1"/>
  <c r="AL20" i="11"/>
  <c r="AL22" i="11" s="1"/>
  <c r="AT20" i="11"/>
  <c r="AT22" i="11" s="1"/>
  <c r="BB20" i="11"/>
  <c r="BB22" i="11" s="1"/>
  <c r="BJ20" i="11"/>
  <c r="BJ22" i="11" s="1"/>
  <c r="BR20" i="11"/>
  <c r="BR22" i="11" s="1"/>
  <c r="BZ20" i="11"/>
  <c r="BZ22" i="11" s="1"/>
  <c r="CH20" i="11"/>
  <c r="CH22" i="11" s="1"/>
  <c r="D32" i="3"/>
  <c r="L32" i="3"/>
  <c r="T32" i="3"/>
  <c r="AB32" i="3"/>
  <c r="AJ32" i="3"/>
  <c r="H33" i="3"/>
  <c r="P33" i="3"/>
  <c r="X33" i="3"/>
  <c r="AF33" i="3"/>
  <c r="AJ34" i="3"/>
  <c r="F182" i="1"/>
  <c r="C6" i="1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AB6" i="11" s="1"/>
  <c r="AC6" i="11" s="1"/>
  <c r="AD6" i="11" s="1"/>
  <c r="AE6" i="11" s="1"/>
  <c r="AF6" i="11" s="1"/>
  <c r="AG6" i="11" s="1"/>
  <c r="AH6" i="11" s="1"/>
  <c r="AI6" i="11" s="1"/>
  <c r="AJ6" i="11" s="1"/>
  <c r="AK6" i="11" s="1"/>
  <c r="AL6" i="11" s="1"/>
  <c r="AM6" i="11" s="1"/>
  <c r="AN6" i="11" s="1"/>
  <c r="AO6" i="11" s="1"/>
  <c r="AP6" i="11" s="1"/>
  <c r="AQ6" i="11" s="1"/>
  <c r="AR6" i="11" s="1"/>
  <c r="AS6" i="11" s="1"/>
  <c r="AT6" i="11" s="1"/>
  <c r="AU6" i="11" s="1"/>
  <c r="AV6" i="11" s="1"/>
  <c r="AW6" i="11" s="1"/>
  <c r="AX6" i="11" s="1"/>
  <c r="AY6" i="11" s="1"/>
  <c r="AZ6" i="11" s="1"/>
  <c r="BA6" i="11" s="1"/>
  <c r="BB6" i="11" s="1"/>
  <c r="BC6" i="11" s="1"/>
  <c r="BD6" i="11" s="1"/>
  <c r="BE6" i="11" s="1"/>
  <c r="BF6" i="11" s="1"/>
  <c r="BG6" i="11" s="1"/>
  <c r="BH6" i="11" s="1"/>
  <c r="BI6" i="11" s="1"/>
  <c r="BJ6" i="11" s="1"/>
  <c r="BK6" i="11" s="1"/>
  <c r="BL6" i="11" s="1"/>
  <c r="BM6" i="11" s="1"/>
  <c r="BN6" i="11" s="1"/>
  <c r="BO6" i="11" s="1"/>
  <c r="BP6" i="11" s="1"/>
  <c r="BQ6" i="11" s="1"/>
  <c r="BR6" i="11" s="1"/>
  <c r="BS6" i="11" s="1"/>
  <c r="BT6" i="11" s="1"/>
  <c r="BU6" i="11" s="1"/>
  <c r="BV6" i="11" s="1"/>
  <c r="BW6" i="11" s="1"/>
  <c r="BX6" i="11" s="1"/>
  <c r="BY6" i="11" s="1"/>
  <c r="BZ6" i="11" s="1"/>
  <c r="CA6" i="11" s="1"/>
  <c r="CB6" i="11" s="1"/>
  <c r="CC6" i="11" s="1"/>
  <c r="CD6" i="11" s="1"/>
  <c r="CE6" i="11" s="1"/>
  <c r="CF6" i="11" s="1"/>
  <c r="CG6" i="11" s="1"/>
  <c r="CH6" i="11" s="1"/>
  <c r="B6" i="17"/>
  <c r="B37" i="16"/>
  <c r="B42" i="16" s="1"/>
  <c r="B32" i="16"/>
  <c r="B47" i="16" s="1"/>
  <c r="C6" i="17" s="1"/>
  <c r="C26" i="11"/>
  <c r="B13" i="17"/>
  <c r="B38" i="16"/>
  <c r="B43" i="16" s="1"/>
  <c r="B33" i="16"/>
  <c r="G32" i="3"/>
  <c r="O32" i="3"/>
  <c r="W32" i="3"/>
  <c r="AE32" i="3"/>
  <c r="C33" i="3"/>
  <c r="K33" i="3"/>
  <c r="S33" i="3"/>
  <c r="AA33" i="3"/>
  <c r="AI33" i="3"/>
  <c r="B32" i="3"/>
  <c r="J32" i="3"/>
  <c r="R32" i="3"/>
  <c r="Z32" i="3"/>
  <c r="AH32" i="3"/>
  <c r="F33" i="3"/>
  <c r="N33" i="3"/>
  <c r="V33" i="3"/>
  <c r="AD33" i="3"/>
  <c r="B34" i="3"/>
  <c r="AH34" i="3"/>
  <c r="B36" i="3"/>
  <c r="G146" i="1"/>
  <c r="G149" i="1" s="1"/>
  <c r="H145" i="1" s="1"/>
  <c r="E9" i="11"/>
  <c r="E10" i="11" s="1"/>
  <c r="M9" i="11"/>
  <c r="M10" i="11" s="1"/>
  <c r="U9" i="11"/>
  <c r="U10" i="11" s="1"/>
  <c r="AC9" i="11"/>
  <c r="AC10" i="11" s="1"/>
  <c r="AK9" i="11"/>
  <c r="AK10" i="11" s="1"/>
  <c r="AS9" i="11"/>
  <c r="AS10" i="11" s="1"/>
  <c r="BA9" i="11"/>
  <c r="BA10" i="11" s="1"/>
  <c r="BI9" i="11"/>
  <c r="BI10" i="11" s="1"/>
  <c r="BQ9" i="11"/>
  <c r="BQ10" i="11" s="1"/>
  <c r="BY9" i="11"/>
  <c r="BY10" i="11" s="1"/>
  <c r="CG9" i="11"/>
  <c r="CG10" i="11" s="1"/>
  <c r="E32" i="3"/>
  <c r="M32" i="3"/>
  <c r="U32" i="3"/>
  <c r="AC32" i="3"/>
  <c r="AK32" i="3"/>
  <c r="I33" i="3"/>
  <c r="Q33" i="3"/>
  <c r="Y33" i="3"/>
  <c r="AG33" i="3"/>
  <c r="AK34" i="3"/>
  <c r="F144" i="1"/>
  <c r="G140" i="1" s="1"/>
  <c r="F170" i="1"/>
  <c r="N170" i="1"/>
  <c r="V170" i="1"/>
  <c r="AD170" i="1"/>
  <c r="AL170" i="1"/>
  <c r="AT170" i="1"/>
  <c r="BB170" i="1"/>
  <c r="BJ170" i="1"/>
  <c r="BR170" i="1"/>
  <c r="BZ170" i="1"/>
  <c r="CH170" i="1"/>
  <c r="CP170" i="1"/>
  <c r="CX170" i="1"/>
  <c r="DF170" i="1"/>
  <c r="G170" i="1"/>
  <c r="O170" i="1"/>
  <c r="W170" i="1"/>
  <c r="H46" i="3" s="1"/>
  <c r="AE170" i="1"/>
  <c r="AM170" i="1"/>
  <c r="AU170" i="1"/>
  <c r="P46" i="3" s="1"/>
  <c r="BC170" i="1"/>
  <c r="BK170" i="1"/>
  <c r="BS170" i="1"/>
  <c r="X46" i="3" s="1"/>
  <c r="CA170" i="1"/>
  <c r="CI170" i="1"/>
  <c r="CQ170" i="1"/>
  <c r="AF46" i="3" s="1"/>
  <c r="CY170" i="1"/>
  <c r="F156" i="1"/>
  <c r="J170" i="1"/>
  <c r="R170" i="1"/>
  <c r="Z170" i="1"/>
  <c r="AH170" i="1"/>
  <c r="AP170" i="1"/>
  <c r="AX170" i="1"/>
  <c r="BF170" i="1"/>
  <c r="BN170" i="1"/>
  <c r="BV170" i="1"/>
  <c r="CD170" i="1"/>
  <c r="CL170" i="1"/>
  <c r="CT170" i="1"/>
  <c r="DB170" i="1"/>
  <c r="L170" i="1"/>
  <c r="T170" i="1"/>
  <c r="G46" i="3" s="1"/>
  <c r="AB170" i="1"/>
  <c r="AJ170" i="1"/>
  <c r="AR170" i="1"/>
  <c r="O46" i="3" s="1"/>
  <c r="AZ170" i="1"/>
  <c r="BH170" i="1"/>
  <c r="BP170" i="1"/>
  <c r="W46" i="3" s="1"/>
  <c r="BX170" i="1"/>
  <c r="CF170" i="1"/>
  <c r="CN170" i="1"/>
  <c r="AE46" i="3" s="1"/>
  <c r="CV170" i="1"/>
  <c r="DD170" i="1"/>
  <c r="M170" i="1"/>
  <c r="U170" i="1"/>
  <c r="AC170" i="1"/>
  <c r="J46" i="3" s="1"/>
  <c r="AK170" i="1"/>
  <c r="AS170" i="1"/>
  <c r="BA170" i="1"/>
  <c r="R46" i="3" s="1"/>
  <c r="BI170" i="1"/>
  <c r="BQ170" i="1"/>
  <c r="BY170" i="1"/>
  <c r="Z46" i="3" s="1"/>
  <c r="CG170" i="1"/>
  <c r="CO170" i="1"/>
  <c r="CW170" i="1"/>
  <c r="AH46" i="3" s="1"/>
  <c r="DE170" i="1"/>
  <c r="F188" i="1"/>
  <c r="B99" i="16"/>
  <c r="C56" i="4"/>
  <c r="R105" i="10"/>
  <c r="R106" i="10" s="1"/>
  <c r="R107" i="10" s="1"/>
  <c r="U79" i="1" s="1"/>
  <c r="U80" i="1" s="1"/>
  <c r="AH105" i="10"/>
  <c r="AH106" i="10" s="1"/>
  <c r="AH107" i="10" s="1"/>
  <c r="AK79" i="1" s="1"/>
  <c r="AK80" i="1" s="1"/>
  <c r="AX105" i="10"/>
  <c r="AX106" i="10" s="1"/>
  <c r="AX107" i="10" s="1"/>
  <c r="BA79" i="1" s="1"/>
  <c r="BA80" i="1" s="1"/>
  <c r="BN105" i="10"/>
  <c r="BN106" i="10" s="1"/>
  <c r="BN107" i="10" s="1"/>
  <c r="BQ79" i="1" s="1"/>
  <c r="BQ80" i="1" s="1"/>
  <c r="CD105" i="10"/>
  <c r="CD106" i="10" s="1"/>
  <c r="CD107" i="10" s="1"/>
  <c r="CG79" i="1" s="1"/>
  <c r="CG80" i="1" s="1"/>
  <c r="O105" i="10"/>
  <c r="O106" i="10" s="1"/>
  <c r="O107" i="10" s="1"/>
  <c r="R79" i="1" s="1"/>
  <c r="R80" i="1" s="1"/>
  <c r="AE105" i="10"/>
  <c r="AE106" i="10"/>
  <c r="AU105" i="10"/>
  <c r="CA105" i="10"/>
  <c r="CA106" i="10" s="1"/>
  <c r="CA107" i="10" s="1"/>
  <c r="CD79" i="1" s="1"/>
  <c r="CD80" i="1" s="1"/>
  <c r="X105" i="10"/>
  <c r="X106" i="10" s="1"/>
  <c r="AN105" i="10"/>
  <c r="AN106" i="10"/>
  <c r="AN107" i="10" s="1"/>
  <c r="AQ79" i="1" s="1"/>
  <c r="AQ80" i="1" s="1"/>
  <c r="BD105" i="10"/>
  <c r="BD106" i="10"/>
  <c r="BD107" i="10" s="1"/>
  <c r="BG79" i="1" s="1"/>
  <c r="BG80" i="1" s="1"/>
  <c r="BT105" i="10"/>
  <c r="BT106" i="10" s="1"/>
  <c r="D4" i="16"/>
  <c r="D5" i="16"/>
  <c r="L4" i="16"/>
  <c r="L5" i="16"/>
  <c r="T4" i="16"/>
  <c r="T5" i="16"/>
  <c r="AB4" i="16"/>
  <c r="AB5" i="16"/>
  <c r="AJ4" i="16"/>
  <c r="AJ5" i="16"/>
  <c r="AR4" i="16"/>
  <c r="AR5" i="16"/>
  <c r="AZ5" i="16"/>
  <c r="AZ4" i="16"/>
  <c r="BH5" i="16"/>
  <c r="BH4" i="16"/>
  <c r="BP4" i="16"/>
  <c r="BP5" i="16"/>
  <c r="BX4" i="16"/>
  <c r="BX5" i="16"/>
  <c r="CF5" i="16"/>
  <c r="CF4" i="16"/>
  <c r="CN4" i="16"/>
  <c r="CN5" i="16"/>
  <c r="I97" i="16"/>
  <c r="B5" i="6"/>
  <c r="Q98" i="16"/>
  <c r="D6" i="6"/>
  <c r="K96" i="5"/>
  <c r="S96" i="5"/>
  <c r="AQ96" i="5"/>
  <c r="AY96" i="5"/>
  <c r="J13" i="6"/>
  <c r="Z105" i="10"/>
  <c r="Z106" i="10" s="1"/>
  <c r="Z107" i="10" s="1"/>
  <c r="AC79" i="1" s="1"/>
  <c r="AC80" i="1" s="1"/>
  <c r="AP105" i="10"/>
  <c r="AP106" i="10" s="1"/>
  <c r="AP107" i="10" s="1"/>
  <c r="AS79" i="1" s="1"/>
  <c r="AS80" i="1" s="1"/>
  <c r="BF105" i="10"/>
  <c r="BF106" i="10" s="1"/>
  <c r="BF107" i="10" s="1"/>
  <c r="BI79" i="1" s="1"/>
  <c r="BI80" i="1" s="1"/>
  <c r="BV105" i="10"/>
  <c r="BV106" i="10" s="1"/>
  <c r="BV107" i="10" s="1"/>
  <c r="BY79" i="1" s="1"/>
  <c r="BY80" i="1" s="1"/>
  <c r="D96" i="5"/>
  <c r="T96" i="5"/>
  <c r="AB96" i="5"/>
  <c r="AJ96" i="5"/>
  <c r="AZ6" i="5"/>
  <c r="Q106" i="10"/>
  <c r="Q107" i="10" s="1"/>
  <c r="T79" i="1" s="1"/>
  <c r="T80" i="1" s="1"/>
  <c r="CC106" i="10"/>
  <c r="CC107" i="10" s="1"/>
  <c r="CF79" i="1" s="1"/>
  <c r="CF80" i="1" s="1"/>
  <c r="G19" i="10"/>
  <c r="AW104" i="10"/>
  <c r="E104" i="10"/>
  <c r="E106" i="10" s="1"/>
  <c r="E107" i="10" s="1"/>
  <c r="H79" i="1" s="1"/>
  <c r="H80" i="1" s="1"/>
  <c r="M104" i="10"/>
  <c r="U104" i="10"/>
  <c r="AC104" i="10"/>
  <c r="AK104" i="10"/>
  <c r="AS104" i="10"/>
  <c r="BA104" i="10"/>
  <c r="BI104" i="10"/>
  <c r="BQ104" i="10"/>
  <c r="BY104" i="10"/>
  <c r="CG104" i="10"/>
  <c r="AO106" i="10"/>
  <c r="AO107" i="10" s="1"/>
  <c r="AR79" i="1" s="1"/>
  <c r="AR80" i="1" s="1"/>
  <c r="AA5" i="16"/>
  <c r="V96" i="5"/>
  <c r="AD96" i="5"/>
  <c r="Q12" i="8"/>
  <c r="R12" i="8" s="1"/>
  <c r="Y4" i="16"/>
  <c r="CH5" i="16"/>
  <c r="B16" i="10"/>
  <c r="B102" i="10"/>
  <c r="N107" i="10"/>
  <c r="Q79" i="1" s="1"/>
  <c r="Q80" i="1" s="1"/>
  <c r="V107" i="10"/>
  <c r="Y79" i="1" s="1"/>
  <c r="Y80" i="1" s="1"/>
  <c r="AT107" i="10"/>
  <c r="AW79" i="1" s="1"/>
  <c r="AW80" i="1" s="1"/>
  <c r="BB107" i="10"/>
  <c r="BE79" i="1" s="1"/>
  <c r="BE80" i="1" s="1"/>
  <c r="CH107" i="10"/>
  <c r="CK79" i="1" s="1"/>
  <c r="CK80" i="1" s="1"/>
  <c r="P105" i="10"/>
  <c r="P106" i="10" s="1"/>
  <c r="P107" i="10" s="1"/>
  <c r="S79" i="1" s="1"/>
  <c r="S80" i="1" s="1"/>
  <c r="AF105" i="10"/>
  <c r="AF106" i="10" s="1"/>
  <c r="AF107" i="10" s="1"/>
  <c r="AI79" i="1" s="1"/>
  <c r="AI80" i="1" s="1"/>
  <c r="AV105" i="10"/>
  <c r="AV106" i="10" s="1"/>
  <c r="BL105" i="10"/>
  <c r="BL106" i="10" s="1"/>
  <c r="BL107" i="10" s="1"/>
  <c r="BO79" i="1" s="1"/>
  <c r="BO80" i="1" s="1"/>
  <c r="CB105" i="10"/>
  <c r="CB106" i="10" s="1"/>
  <c r="CB107" i="10" s="1"/>
  <c r="CE79" i="1" s="1"/>
  <c r="CE80" i="1" s="1"/>
  <c r="BM106" i="10"/>
  <c r="BM107" i="10" s="1"/>
  <c r="BP79" i="1" s="1"/>
  <c r="BP80" i="1" s="1"/>
  <c r="G96" i="5"/>
  <c r="O96" i="5"/>
  <c r="AE96" i="5"/>
  <c r="AM96" i="5"/>
  <c r="AU96" i="5"/>
  <c r="C106" i="10"/>
  <c r="C107" i="10" s="1"/>
  <c r="S106" i="10"/>
  <c r="S107" i="10" s="1"/>
  <c r="V79" i="1" s="1"/>
  <c r="V80" i="1" s="1"/>
  <c r="AI106" i="10"/>
  <c r="AI107" i="10" s="1"/>
  <c r="AL79" i="1" s="1"/>
  <c r="AL80" i="1" s="1"/>
  <c r="BG106" i="10"/>
  <c r="BG107" i="10" s="1"/>
  <c r="BJ79" i="1" s="1"/>
  <c r="BJ80" i="1" s="1"/>
  <c r="BO106" i="10"/>
  <c r="BO107" i="10" s="1"/>
  <c r="BR79" i="1" s="1"/>
  <c r="BR80" i="1" s="1"/>
  <c r="CE106" i="10"/>
  <c r="CE107" i="10" s="1"/>
  <c r="CH79" i="1" s="1"/>
  <c r="CH80" i="1" s="1"/>
  <c r="AE107" i="10"/>
  <c r="AH79" i="1" s="1"/>
  <c r="AH80" i="1" s="1"/>
  <c r="AA105" i="10"/>
  <c r="AA106" i="10" s="1"/>
  <c r="AA107" i="10" s="1"/>
  <c r="AD79" i="1" s="1"/>
  <c r="AD80" i="1" s="1"/>
  <c r="Y106" i="10"/>
  <c r="Y107" i="10" s="1"/>
  <c r="AB79" i="1" s="1"/>
  <c r="AB80" i="1" s="1"/>
  <c r="D107" i="10"/>
  <c r="G79" i="1" s="1"/>
  <c r="G80" i="1" s="1"/>
  <c r="H96" i="5"/>
  <c r="AF96" i="5"/>
  <c r="AN96" i="5"/>
  <c r="C6" i="6"/>
  <c r="N7" i="6"/>
  <c r="Q7" i="6" s="1"/>
  <c r="Q7" i="8"/>
  <c r="R7" i="8" s="1"/>
  <c r="I19" i="10"/>
  <c r="D104" i="10"/>
  <c r="D106" i="10" s="1"/>
  <c r="C19" i="10"/>
  <c r="L104" i="10"/>
  <c r="T104" i="10"/>
  <c r="AB104" i="10"/>
  <c r="AJ104" i="10"/>
  <c r="F19" i="10"/>
  <c r="AR104" i="10"/>
  <c r="AZ104" i="10"/>
  <c r="H19" i="10"/>
  <c r="BH104" i="10"/>
  <c r="BP104" i="10"/>
  <c r="BX104" i="10"/>
  <c r="CF104" i="10"/>
  <c r="AY105" i="10"/>
  <c r="AY106" i="10" s="1"/>
  <c r="AY107" i="10" s="1"/>
  <c r="BB79" i="1" s="1"/>
  <c r="BB80" i="1" s="1"/>
  <c r="F6" i="6"/>
  <c r="J19" i="10"/>
  <c r="G104" i="10"/>
  <c r="G106" i="10" s="1"/>
  <c r="G107" i="10" s="1"/>
  <c r="J79" i="1" s="1"/>
  <c r="J80" i="1" s="1"/>
  <c r="W104" i="10"/>
  <c r="AM104" i="10"/>
  <c r="BC104" i="10"/>
  <c r="BS104" i="10"/>
  <c r="BW105" i="10"/>
  <c r="BW106" i="10" s="1"/>
  <c r="BW107" i="10" s="1"/>
  <c r="BZ79" i="1" s="1"/>
  <c r="BZ80" i="1" s="1"/>
  <c r="BU106" i="10"/>
  <c r="BU107" i="10" s="1"/>
  <c r="BX79" i="1" s="1"/>
  <c r="BX80" i="1" s="1"/>
  <c r="BA4" i="16"/>
  <c r="BI5" i="16"/>
  <c r="E4" i="16"/>
  <c r="AL4" i="16"/>
  <c r="CE4" i="16"/>
  <c r="BN5" i="16"/>
  <c r="J98" i="16"/>
  <c r="Z98" i="16"/>
  <c r="I4" i="16"/>
  <c r="AV4" i="16"/>
  <c r="AD5" i="16"/>
  <c r="BZ5" i="16"/>
  <c r="G4" i="16"/>
  <c r="W4" i="16"/>
  <c r="AM4" i="16"/>
  <c r="AU5" i="16"/>
  <c r="BS5" i="16"/>
  <c r="J4" i="16"/>
  <c r="CO4" i="16"/>
  <c r="AL5" i="16"/>
  <c r="D98" i="16"/>
  <c r="U4" i="16"/>
  <c r="BF4" i="16"/>
  <c r="CQ4" i="16"/>
  <c r="AV5" i="16"/>
  <c r="CG5" i="16"/>
  <c r="AO4" i="16"/>
  <c r="BU4" i="16"/>
  <c r="G5" i="16"/>
  <c r="AX5" i="16"/>
  <c r="AS4" i="16"/>
  <c r="CB4" i="16"/>
  <c r="M4" i="16"/>
  <c r="CA4" i="16"/>
  <c r="BC4" i="16"/>
  <c r="AF4" i="16"/>
  <c r="CG4" i="16"/>
  <c r="BI4" i="16"/>
  <c r="AC4" i="16"/>
  <c r="BS4" i="16"/>
  <c r="AY4" i="16"/>
  <c r="P4" i="16"/>
  <c r="CJ4" i="16"/>
  <c r="BQ4" i="16"/>
  <c r="AE4" i="16"/>
  <c r="O4" i="16"/>
  <c r="BY4" i="16"/>
  <c r="BG4" i="16"/>
  <c r="AN4" i="16"/>
  <c r="X4" i="16"/>
  <c r="BW4" i="16"/>
  <c r="AU4" i="16"/>
  <c r="S4" i="16"/>
  <c r="N4" i="16"/>
  <c r="BY5" i="16"/>
  <c r="CO5" i="16"/>
  <c r="BQ5" i="16"/>
  <c r="AS5" i="16"/>
  <c r="AF5" i="16"/>
  <c r="U5" i="16"/>
  <c r="BL5" i="16"/>
  <c r="BA5" i="16"/>
  <c r="AN5" i="16"/>
  <c r="AC5" i="16"/>
  <c r="E5" i="16"/>
  <c r="AK5" i="16"/>
  <c r="P5" i="16"/>
  <c r="CM5" i="16"/>
  <c r="BT5" i="16"/>
  <c r="AY5" i="16"/>
  <c r="AE5" i="16"/>
  <c r="M5" i="16"/>
  <c r="CB5" i="16"/>
  <c r="W5" i="16"/>
  <c r="BW5" i="16"/>
  <c r="AM5" i="16"/>
  <c r="H5" i="16"/>
  <c r="AP5" i="16"/>
  <c r="AA4" i="16"/>
  <c r="BL4" i="16"/>
  <c r="S5" i="16"/>
  <c r="BC5" i="16"/>
  <c r="CQ5" i="16"/>
  <c r="J16" i="16"/>
  <c r="R16" i="16"/>
  <c r="Z16" i="16"/>
  <c r="AH16" i="16"/>
  <c r="AP16" i="16"/>
  <c r="AX16" i="16"/>
  <c r="BF16" i="16"/>
  <c r="BN16" i="16"/>
  <c r="BV16" i="16"/>
  <c r="CD16" i="16"/>
  <c r="CL16" i="16"/>
  <c r="C5" i="16"/>
  <c r="AD4" i="16"/>
  <c r="BM4" i="16"/>
  <c r="AH98" i="16"/>
  <c r="T98" i="16"/>
  <c r="H4" i="16"/>
  <c r="BD5" i="16"/>
  <c r="I5" i="16"/>
  <c r="Q5" i="16"/>
  <c r="Q4" i="16"/>
  <c r="Y5" i="16"/>
  <c r="AG5" i="16"/>
  <c r="AG4" i="16"/>
  <c r="AO5" i="16"/>
  <c r="AW5" i="16"/>
  <c r="AW4" i="16"/>
  <c r="BE5" i="16"/>
  <c r="BE4" i="16"/>
  <c r="BM5" i="16"/>
  <c r="BU5" i="16"/>
  <c r="CC5" i="16"/>
  <c r="CC4" i="16"/>
  <c r="CK5" i="16"/>
  <c r="CK4" i="16"/>
  <c r="CO16" i="16"/>
  <c r="F5" i="16"/>
  <c r="N5" i="16"/>
  <c r="V5" i="16"/>
  <c r="V4" i="16"/>
  <c r="AT4" i="16"/>
  <c r="AT5" i="16"/>
  <c r="BB4" i="16"/>
  <c r="BJ4" i="16"/>
  <c r="BR4" i="16"/>
  <c r="BR5" i="16"/>
  <c r="BZ4" i="16"/>
  <c r="CH4" i="16"/>
  <c r="CP4" i="16"/>
  <c r="CP5" i="16"/>
  <c r="F4" i="16"/>
  <c r="BJ5" i="16"/>
  <c r="AB98" i="16"/>
  <c r="J5" i="16"/>
  <c r="R5" i="16"/>
  <c r="R4" i="16"/>
  <c r="Z5" i="16"/>
  <c r="Z4" i="16"/>
  <c r="AH5" i="16"/>
  <c r="AP4" i="16"/>
  <c r="AX4" i="16"/>
  <c r="BF5" i="16"/>
  <c r="BN4" i="16"/>
  <c r="BV4" i="16"/>
  <c r="CD5" i="16"/>
  <c r="CL4" i="16"/>
  <c r="CL5" i="16"/>
  <c r="K5" i="16"/>
  <c r="K4" i="16"/>
  <c r="BG5" i="16"/>
  <c r="BO4" i="16"/>
  <c r="CE5" i="16"/>
  <c r="CM4" i="16"/>
  <c r="AH4" i="16"/>
  <c r="BB5" i="16"/>
  <c r="BV5" i="16"/>
  <c r="Y16" i="16"/>
  <c r="AG16" i="16"/>
  <c r="BE16" i="16"/>
  <c r="AO98" i="16"/>
  <c r="AW98" i="16"/>
  <c r="O5" i="16"/>
  <c r="BK4" i="16"/>
  <c r="CA5" i="16"/>
  <c r="CI5" i="16"/>
  <c r="CI4" i="16"/>
  <c r="E16" i="16"/>
  <c r="M16" i="16"/>
  <c r="U16" i="16"/>
  <c r="AC16" i="16"/>
  <c r="AK16" i="16"/>
  <c r="AS16" i="16"/>
  <c r="BA16" i="16"/>
  <c r="BI16" i="16"/>
  <c r="BQ16" i="16"/>
  <c r="BY16" i="16"/>
  <c r="CG16" i="16"/>
  <c r="AR98" i="16"/>
  <c r="M98" i="16"/>
  <c r="AC98" i="16"/>
  <c r="H16" i="16"/>
  <c r="P16" i="16"/>
  <c r="X16" i="16"/>
  <c r="AF16" i="16"/>
  <c r="AN16" i="16"/>
  <c r="AV16" i="16"/>
  <c r="BT16" i="16"/>
  <c r="CB16" i="16"/>
  <c r="CJ16" i="16"/>
  <c r="AI4" i="16"/>
  <c r="AQ5" i="16"/>
  <c r="BO5" i="16"/>
  <c r="AQ4" i="16"/>
  <c r="AI5" i="16"/>
  <c r="I16" i="16"/>
  <c r="Q16" i="16"/>
  <c r="AO16" i="16"/>
  <c r="AW16" i="16"/>
  <c r="BM16" i="16"/>
  <c r="BU16" i="16"/>
  <c r="CC16" i="16"/>
  <c r="CK16" i="16"/>
  <c r="C21" i="16"/>
  <c r="D19" i="16" s="1"/>
  <c r="C20" i="16"/>
  <c r="F108" i="1" s="1"/>
  <c r="H98" i="16"/>
  <c r="P98" i="16"/>
  <c r="AX98" i="16"/>
  <c r="AK98" i="16"/>
  <c r="X5" i="16"/>
  <c r="BT4" i="16"/>
  <c r="CJ5" i="16"/>
  <c r="BD4" i="16"/>
  <c r="AF98" i="16"/>
  <c r="AN98" i="16"/>
  <c r="C26" i="16"/>
  <c r="F153" i="1" s="1"/>
  <c r="F154" i="1" s="1"/>
  <c r="G150" i="1" s="1"/>
  <c r="D16" i="16"/>
  <c r="L16" i="16"/>
  <c r="T16" i="16"/>
  <c r="AB16" i="16"/>
  <c r="AJ16" i="16"/>
  <c r="AR16" i="16"/>
  <c r="AZ16" i="16"/>
  <c r="BH16" i="16"/>
  <c r="BP16" i="16"/>
  <c r="BX16" i="16"/>
  <c r="CF16" i="16"/>
  <c r="CN16" i="16"/>
  <c r="BD98" i="16"/>
  <c r="BY98" i="16"/>
  <c r="CS98" i="16"/>
  <c r="C23" i="16"/>
  <c r="C97" i="16"/>
  <c r="D6" i="18"/>
  <c r="K98" i="16"/>
  <c r="BA98" i="16"/>
  <c r="J33" i="18"/>
  <c r="S98" i="16"/>
  <c r="BX98" i="16"/>
  <c r="BL98" i="16"/>
  <c r="CZ98" i="16"/>
  <c r="BC98" i="16"/>
  <c r="BU98" i="16"/>
  <c r="CK98" i="16"/>
  <c r="AL98" i="16"/>
  <c r="BV98" i="16"/>
  <c r="CD98" i="16"/>
  <c r="CT98" i="16"/>
  <c r="DB98" i="16"/>
  <c r="CB98" i="16"/>
  <c r="DE98" i="16"/>
  <c r="AA97" i="16"/>
  <c r="D8" i="18"/>
  <c r="AI98" i="16"/>
  <c r="AY97" i="16"/>
  <c r="D10" i="18"/>
  <c r="F10" i="18" s="1"/>
  <c r="G10" i="18" s="1"/>
  <c r="I27" i="18" s="1"/>
  <c r="BO98" i="16"/>
  <c r="BW97" i="16"/>
  <c r="D12" i="18"/>
  <c r="F12" i="18" s="1"/>
  <c r="G12" i="18" s="1"/>
  <c r="I38" i="18" s="1"/>
  <c r="M38" i="18" s="1"/>
  <c r="CE98" i="16"/>
  <c r="CM98" i="16"/>
  <c r="DC98" i="16"/>
  <c r="CN98" i="16"/>
  <c r="CV98" i="16"/>
  <c r="W98" i="16"/>
  <c r="BI98" i="16"/>
  <c r="CG98" i="16"/>
  <c r="CW98" i="16"/>
  <c r="BR98" i="16"/>
  <c r="N98" i="16"/>
  <c r="E6" i="18"/>
  <c r="E8" i="18"/>
  <c r="N39" i="18"/>
  <c r="D7" i="18"/>
  <c r="D9" i="18"/>
  <c r="F9" i="18" s="1"/>
  <c r="G9" i="18" s="1"/>
  <c r="D11" i="18"/>
  <c r="F11" i="18" s="1"/>
  <c r="G11" i="18" s="1"/>
  <c r="I32" i="18" s="1"/>
  <c r="D13" i="18"/>
  <c r="F13" i="18" s="1"/>
  <c r="G13" i="18" s="1"/>
  <c r="AT98" i="16"/>
  <c r="DF98" i="16"/>
  <c r="AU98" i="16"/>
  <c r="CA98" i="16"/>
  <c r="M26" i="18"/>
  <c r="J49" i="18"/>
  <c r="E7" i="18"/>
  <c r="H38" i="18"/>
  <c r="G38" i="18"/>
  <c r="G48" i="18"/>
  <c r="H48" i="18"/>
  <c r="BS98" i="16"/>
  <c r="D28" i="17"/>
  <c r="G24" i="18"/>
  <c r="I24" i="18" s="1"/>
  <c r="H24" i="18"/>
  <c r="CU97" i="16"/>
  <c r="D14" i="18"/>
  <c r="F14" i="18" s="1"/>
  <c r="G14" i="18" s="1"/>
  <c r="BJ98" i="16"/>
  <c r="CP98" i="16"/>
  <c r="M34" i="18"/>
  <c r="AE98" i="16"/>
  <c r="CQ98" i="16"/>
  <c r="H17" i="18"/>
  <c r="P17" i="18"/>
  <c r="AF17" i="18"/>
  <c r="AN17" i="18"/>
  <c r="AV17" i="18"/>
  <c r="BD17" i="18"/>
  <c r="BL17" i="18"/>
  <c r="BT17" i="18"/>
  <c r="CB17" i="18"/>
  <c r="CR17" i="18"/>
  <c r="CZ17" i="18"/>
  <c r="CJ17" i="18"/>
  <c r="M40" i="18"/>
  <c r="Q42" i="18"/>
  <c r="P42" i="18" s="1"/>
  <c r="CH98" i="16"/>
  <c r="I50" i="18"/>
  <c r="O31" i="18"/>
  <c r="J36" i="18"/>
  <c r="N36" i="18"/>
  <c r="H37" i="18"/>
  <c r="G37" i="18"/>
  <c r="J37" i="18" s="1"/>
  <c r="I45" i="18"/>
  <c r="M45" i="18" s="1"/>
  <c r="O45" i="18" s="1"/>
  <c r="J48" i="18"/>
  <c r="J28" i="18"/>
  <c r="N28" i="18"/>
  <c r="H29" i="18"/>
  <c r="G29" i="18"/>
  <c r="J43" i="18"/>
  <c r="H30" i="18"/>
  <c r="G30" i="18"/>
  <c r="I37" i="18"/>
  <c r="M37" i="18" s="1"/>
  <c r="N38" i="18"/>
  <c r="J40" i="18"/>
  <c r="I43" i="18"/>
  <c r="M43" i="18" s="1"/>
  <c r="C17" i="18"/>
  <c r="H21" i="18"/>
  <c r="G21" i="18"/>
  <c r="J29" i="18"/>
  <c r="Q31" i="18"/>
  <c r="P31" i="18" s="1"/>
  <c r="H22" i="18"/>
  <c r="G22" i="18"/>
  <c r="I29" i="18"/>
  <c r="M29" i="18" s="1"/>
  <c r="L32" i="18"/>
  <c r="N33" i="18"/>
  <c r="J35" i="18"/>
  <c r="J38" i="18"/>
  <c r="K44" i="18"/>
  <c r="J44" i="18"/>
  <c r="N44" i="18"/>
  <c r="H45" i="18"/>
  <c r="G45" i="18"/>
  <c r="I35" i="18"/>
  <c r="M35" i="18" s="1"/>
  <c r="L41" i="18"/>
  <c r="O41" i="18" s="1"/>
  <c r="Q41" i="18" s="1"/>
  <c r="P41" i="18" s="1"/>
  <c r="H46" i="18"/>
  <c r="G46" i="18"/>
  <c r="J46" i="18" s="1"/>
  <c r="N49" i="18"/>
  <c r="L24" i="18"/>
  <c r="J27" i="18"/>
  <c r="J30" i="18"/>
  <c r="L30" i="18" s="1"/>
  <c r="N43" i="18"/>
  <c r="K25" i="18"/>
  <c r="L25" i="18" s="1"/>
  <c r="O25" i="18" s="1"/>
  <c r="Q25" i="18" s="1"/>
  <c r="P25" i="18" s="1"/>
  <c r="J26" i="18"/>
  <c r="J34" i="18"/>
  <c r="L34" i="18" s="1"/>
  <c r="K41" i="18"/>
  <c r="J50" i="18"/>
  <c r="I28" i="18"/>
  <c r="M28" i="18" s="1"/>
  <c r="I36" i="18"/>
  <c r="M36" i="18" s="1"/>
  <c r="I44" i="18"/>
  <c r="M44" i="18" s="1"/>
  <c r="G23" i="18"/>
  <c r="G31" i="18"/>
  <c r="G39" i="18"/>
  <c r="J39" i="18" s="1"/>
  <c r="G47" i="18"/>
  <c r="J47" i="18" s="1"/>
  <c r="I22" i="18"/>
  <c r="M22" i="18" s="1"/>
  <c r="I30" i="18"/>
  <c r="M30" i="18" s="1"/>
  <c r="I46" i="18"/>
  <c r="M46" i="18" s="1"/>
  <c r="B68" i="10" l="1"/>
  <c r="B64" i="10"/>
  <c r="AQ106" i="10"/>
  <c r="AQ107" i="10" s="1"/>
  <c r="AT79" i="1" s="1"/>
  <c r="AT80" i="1" s="1"/>
  <c r="L23" i="18"/>
  <c r="O23" i="18" s="1"/>
  <c r="Q23" i="18" s="1"/>
  <c r="P23" i="18" s="1"/>
  <c r="BJ105" i="10"/>
  <c r="BJ106" i="10" s="1"/>
  <c r="BJ107" i="10" s="1"/>
  <c r="BM79" i="1" s="1"/>
  <c r="BM80" i="1" s="1"/>
  <c r="BM117" i="1" s="1"/>
  <c r="CM118" i="1"/>
  <c r="BR106" i="10"/>
  <c r="BR107" i="10" s="1"/>
  <c r="BU79" i="1" s="1"/>
  <c r="BU80" i="1" s="1"/>
  <c r="BR105" i="10"/>
  <c r="AL105" i="10"/>
  <c r="AL106" i="10" s="1"/>
  <c r="AL107" i="10" s="1"/>
  <c r="AO79" i="1" s="1"/>
  <c r="AO80" i="1" s="1"/>
  <c r="AO117" i="1" s="1"/>
  <c r="J25" i="2"/>
  <c r="AD105" i="10"/>
  <c r="AD106" i="10" s="1"/>
  <c r="AD107" i="10" s="1"/>
  <c r="AG79" i="1" s="1"/>
  <c r="AG80" i="1" s="1"/>
  <c r="AN28" i="1"/>
  <c r="AN99" i="16" s="1"/>
  <c r="AN100" i="16" s="1"/>
  <c r="AN27" i="1"/>
  <c r="AN24" i="1"/>
  <c r="AN26" i="1"/>
  <c r="I21" i="18"/>
  <c r="F6" i="18"/>
  <c r="G6" i="18" s="1"/>
  <c r="BG98" i="16"/>
  <c r="I21" i="10"/>
  <c r="AZ96" i="5"/>
  <c r="E25" i="3"/>
  <c r="AE25" i="3"/>
  <c r="DC100" i="16"/>
  <c r="J9" i="2"/>
  <c r="G131" i="1"/>
  <c r="H128" i="1" s="1"/>
  <c r="CU117" i="1"/>
  <c r="BN86" i="1"/>
  <c r="BN85" i="1"/>
  <c r="BN84" i="1"/>
  <c r="BN83" i="1"/>
  <c r="G130" i="1"/>
  <c r="E113" i="1"/>
  <c r="CL17" i="1"/>
  <c r="L22" i="18"/>
  <c r="O22" i="18" s="1"/>
  <c r="Q22" i="18" s="1"/>
  <c r="P22" i="18" s="1"/>
  <c r="CG28" i="1"/>
  <c r="CG99" i="16" s="1"/>
  <c r="CG100" i="16" s="1"/>
  <c r="CG27" i="1"/>
  <c r="CG24" i="1"/>
  <c r="CG26" i="1"/>
  <c r="L44" i="18"/>
  <c r="D17" i="11"/>
  <c r="E17" i="11" s="1"/>
  <c r="F17" i="11" s="1"/>
  <c r="G17" i="11" s="1"/>
  <c r="H17" i="11" s="1"/>
  <c r="I17" i="11" s="1"/>
  <c r="J17" i="11" s="1"/>
  <c r="K17" i="11" s="1"/>
  <c r="L17" i="11" s="1"/>
  <c r="M17" i="11" s="1"/>
  <c r="N17" i="11" s="1"/>
  <c r="O17" i="11" s="1"/>
  <c r="P17" i="11" s="1"/>
  <c r="Q17" i="11" s="1"/>
  <c r="R17" i="11" s="1"/>
  <c r="S17" i="11" s="1"/>
  <c r="T17" i="11" s="1"/>
  <c r="U17" i="11" s="1"/>
  <c r="V17" i="11" s="1"/>
  <c r="W17" i="11" s="1"/>
  <c r="X17" i="11" s="1"/>
  <c r="Y17" i="11" s="1"/>
  <c r="Z17" i="11" s="1"/>
  <c r="AA17" i="11" s="1"/>
  <c r="AB17" i="11" s="1"/>
  <c r="AC17" i="11" s="1"/>
  <c r="AD17" i="11" s="1"/>
  <c r="AE17" i="11" s="1"/>
  <c r="AF17" i="11" s="1"/>
  <c r="AG17" i="11" s="1"/>
  <c r="AH17" i="11" s="1"/>
  <c r="AI17" i="11" s="1"/>
  <c r="AJ17" i="11" s="1"/>
  <c r="AK17" i="11" s="1"/>
  <c r="AL17" i="11" s="1"/>
  <c r="AM17" i="11" s="1"/>
  <c r="AN17" i="11" s="1"/>
  <c r="AO17" i="11" s="1"/>
  <c r="AP17" i="11" s="1"/>
  <c r="AQ17" i="11" s="1"/>
  <c r="AR17" i="11" s="1"/>
  <c r="AS17" i="11" s="1"/>
  <c r="AT17" i="11" s="1"/>
  <c r="AU17" i="11" s="1"/>
  <c r="AV17" i="11" s="1"/>
  <c r="AW17" i="11" s="1"/>
  <c r="M27" i="18"/>
  <c r="BJ117" i="1"/>
  <c r="G25" i="3"/>
  <c r="R117" i="1"/>
  <c r="W25" i="3"/>
  <c r="BN117" i="1"/>
  <c r="G117" i="1"/>
  <c r="AT117" i="1"/>
  <c r="AI117" i="1"/>
  <c r="BY117" i="1"/>
  <c r="BA117" i="1"/>
  <c r="H146" i="1"/>
  <c r="H149" i="1" s="1"/>
  <c r="I145" i="1" s="1"/>
  <c r="BZ117" i="1"/>
  <c r="BB117" i="1"/>
  <c r="AB117" i="1"/>
  <c r="AL117" i="1"/>
  <c r="Y117" i="1"/>
  <c r="AC25" i="3"/>
  <c r="CF117" i="1"/>
  <c r="BI117" i="1"/>
  <c r="U25" i="3"/>
  <c r="BG117" i="1"/>
  <c r="M21" i="18"/>
  <c r="O21" i="18" s="1"/>
  <c r="Q21" i="18" s="1"/>
  <c r="AD117" i="1"/>
  <c r="BP117" i="1"/>
  <c r="S117" i="1"/>
  <c r="T117" i="1"/>
  <c r="AS117" i="1"/>
  <c r="AK117" i="1"/>
  <c r="M25" i="3"/>
  <c r="AX117" i="1"/>
  <c r="V117" i="1"/>
  <c r="CE117" i="1"/>
  <c r="CE118" i="1" s="1"/>
  <c r="CK117" i="1"/>
  <c r="AR117" i="1"/>
  <c r="AC117" i="1"/>
  <c r="AQ117" i="1"/>
  <c r="U117" i="1"/>
  <c r="G151" i="1"/>
  <c r="CH117" i="1"/>
  <c r="X107" i="10"/>
  <c r="CG117" i="1"/>
  <c r="E99" i="16"/>
  <c r="E116" i="1"/>
  <c r="E118" i="1" s="1"/>
  <c r="E98" i="16"/>
  <c r="H129" i="1"/>
  <c r="H130" i="1" s="1"/>
  <c r="J117" i="1"/>
  <c r="BR117" i="1"/>
  <c r="BE117" i="1"/>
  <c r="H117" i="1"/>
  <c r="CD117" i="1"/>
  <c r="BQ117" i="1"/>
  <c r="N27" i="1"/>
  <c r="N28" i="1"/>
  <c r="N26" i="1"/>
  <c r="N99" i="16" s="1"/>
  <c r="N100" i="16" s="1"/>
  <c r="N24" i="1"/>
  <c r="AJ86" i="1"/>
  <c r="AJ84" i="1"/>
  <c r="AJ85" i="1"/>
  <c r="AJ83" i="1"/>
  <c r="AO28" i="1"/>
  <c r="AO26" i="1"/>
  <c r="AO24" i="1"/>
  <c r="AO99" i="16" s="1"/>
  <c r="AO100" i="16" s="1"/>
  <c r="AO27" i="1"/>
  <c r="AB105" i="10"/>
  <c r="AB106" i="10" s="1"/>
  <c r="AB107" i="10" s="1"/>
  <c r="AE79" i="1" s="1"/>
  <c r="AE80" i="1" s="1"/>
  <c r="K25" i="3" s="1"/>
  <c r="CK86" i="1"/>
  <c r="CK84" i="1"/>
  <c r="CK85" i="1"/>
  <c r="CK83" i="1"/>
  <c r="C24" i="10"/>
  <c r="F79" i="1"/>
  <c r="F80" i="1" s="1"/>
  <c r="D20" i="17"/>
  <c r="BO117" i="1"/>
  <c r="D9" i="3"/>
  <c r="I15" i="1"/>
  <c r="Y116" i="1"/>
  <c r="CY99" i="16"/>
  <c r="CY116" i="1"/>
  <c r="CY118" i="1" s="1"/>
  <c r="BP116" i="1"/>
  <c r="M50" i="18"/>
  <c r="F9" i="6"/>
  <c r="D9" i="6"/>
  <c r="C9" i="6"/>
  <c r="F5" i="6"/>
  <c r="D5" i="6"/>
  <c r="C5" i="6"/>
  <c r="BR85" i="1"/>
  <c r="BR83" i="1"/>
  <c r="BR86" i="1"/>
  <c r="BR84" i="1"/>
  <c r="BN28" i="1"/>
  <c r="BN26" i="1"/>
  <c r="BN24" i="1"/>
  <c r="BN27" i="1"/>
  <c r="BY85" i="1"/>
  <c r="BY83" i="1"/>
  <c r="BY84" i="1"/>
  <c r="BY86" i="1"/>
  <c r="N85" i="1"/>
  <c r="N83" i="1"/>
  <c r="N86" i="1"/>
  <c r="N84" i="1"/>
  <c r="AS27" i="1"/>
  <c r="AS28" i="1"/>
  <c r="AS26" i="1"/>
  <c r="AS24" i="1"/>
  <c r="BU28" i="1"/>
  <c r="BU26" i="1"/>
  <c r="BU24" i="1"/>
  <c r="BU27" i="1"/>
  <c r="BU99" i="16" s="1"/>
  <c r="BU100" i="16" s="1"/>
  <c r="I86" i="1"/>
  <c r="I84" i="1"/>
  <c r="I85" i="1"/>
  <c r="I83" i="1"/>
  <c r="BP86" i="1"/>
  <c r="BP84" i="1"/>
  <c r="BP85" i="1"/>
  <c r="BP83" i="1"/>
  <c r="AB86" i="1"/>
  <c r="AB84" i="1"/>
  <c r="AB85" i="1"/>
  <c r="AB83" i="1"/>
  <c r="BP27" i="1"/>
  <c r="BP28" i="1"/>
  <c r="BP26" i="1"/>
  <c r="BP24" i="1"/>
  <c r="BP99" i="16" s="1"/>
  <c r="V85" i="1"/>
  <c r="V83" i="1"/>
  <c r="V86" i="1"/>
  <c r="V84" i="1"/>
  <c r="CE86" i="1"/>
  <c r="CE84" i="1"/>
  <c r="CE85" i="1"/>
  <c r="CE83" i="1"/>
  <c r="H85" i="1"/>
  <c r="H83" i="1"/>
  <c r="H86" i="1"/>
  <c r="H84" i="1"/>
  <c r="BT85" i="1"/>
  <c r="BT83" i="1"/>
  <c r="BT86" i="1"/>
  <c r="BT84" i="1"/>
  <c r="AQ28" i="1"/>
  <c r="AQ26" i="1"/>
  <c r="AQ24" i="1"/>
  <c r="AQ27" i="1"/>
  <c r="BB27" i="1"/>
  <c r="BB28" i="1"/>
  <c r="BB26" i="1"/>
  <c r="BB24" i="1"/>
  <c r="P28" i="1"/>
  <c r="P26" i="1"/>
  <c r="P24" i="1"/>
  <c r="P27" i="1"/>
  <c r="AY86" i="1"/>
  <c r="AY84" i="1"/>
  <c r="AY85" i="1"/>
  <c r="AY83" i="1"/>
  <c r="M27" i="1"/>
  <c r="M28" i="1"/>
  <c r="M26" i="1"/>
  <c r="M99" i="16" s="1"/>
  <c r="M100" i="16" s="1"/>
  <c r="M24" i="1"/>
  <c r="AY28" i="1"/>
  <c r="AY26" i="1"/>
  <c r="AY24" i="1"/>
  <c r="AY27" i="1"/>
  <c r="H28" i="1"/>
  <c r="H26" i="1"/>
  <c r="H24" i="1"/>
  <c r="H27" i="1"/>
  <c r="W105" i="10"/>
  <c r="W106" i="10" s="1"/>
  <c r="W107" i="10" s="1"/>
  <c r="Z79" i="1" s="1"/>
  <c r="Z80" i="1" s="1"/>
  <c r="BP105" i="10"/>
  <c r="BP106" i="10" s="1"/>
  <c r="BP107" i="10" s="1"/>
  <c r="BS79" i="1" s="1"/>
  <c r="BS80" i="1" s="1"/>
  <c r="T105" i="10"/>
  <c r="T106" i="10" s="1"/>
  <c r="T107" i="10" s="1"/>
  <c r="W79" i="1" s="1"/>
  <c r="W80" i="1" s="1"/>
  <c r="AB27" i="1"/>
  <c r="AB28" i="1"/>
  <c r="AB26" i="1"/>
  <c r="AB24" i="1"/>
  <c r="CG105" i="10"/>
  <c r="CG106" i="10" s="1"/>
  <c r="CG107" i="10" s="1"/>
  <c r="CJ79" i="1" s="1"/>
  <c r="CJ80" i="1" s="1"/>
  <c r="BA105" i="10"/>
  <c r="BA106" i="10" s="1"/>
  <c r="BA107" i="10" s="1"/>
  <c r="BD79" i="1" s="1"/>
  <c r="BD80" i="1" s="1"/>
  <c r="U105" i="10"/>
  <c r="U106" i="10" s="1"/>
  <c r="U107" i="10" s="1"/>
  <c r="X79" i="1" s="1"/>
  <c r="X80" i="1" s="1"/>
  <c r="B13" i="6"/>
  <c r="N5" i="6"/>
  <c r="BS85" i="1"/>
  <c r="BS83" i="1"/>
  <c r="BS86" i="1"/>
  <c r="BS84" i="1"/>
  <c r="AM85" i="1"/>
  <c r="AM83" i="1"/>
  <c r="AM86" i="1"/>
  <c r="AM84" i="1"/>
  <c r="G85" i="1"/>
  <c r="G83" i="1"/>
  <c r="G86" i="1"/>
  <c r="G84" i="1"/>
  <c r="AD9" i="3"/>
  <c r="CI15" i="1"/>
  <c r="CI17" i="1" s="1"/>
  <c r="I9" i="2"/>
  <c r="F17" i="1"/>
  <c r="X9" i="3"/>
  <c r="BQ15" i="1"/>
  <c r="X10" i="3" s="1"/>
  <c r="AC9" i="3"/>
  <c r="CF15" i="1"/>
  <c r="AC10" i="3" s="1"/>
  <c r="J9" i="3"/>
  <c r="AA15" i="1"/>
  <c r="D9" i="2"/>
  <c r="B27" i="3"/>
  <c r="AE12" i="3"/>
  <c r="CL20" i="1"/>
  <c r="B26" i="3"/>
  <c r="Q9" i="3"/>
  <c r="AV15" i="1"/>
  <c r="AX116" i="1"/>
  <c r="AX118" i="1" s="1"/>
  <c r="CS116" i="1"/>
  <c r="CS118" i="1" s="1"/>
  <c r="CB116" i="1"/>
  <c r="CQ116" i="1"/>
  <c r="CQ118" i="1" s="1"/>
  <c r="DF99" i="16"/>
  <c r="DF116" i="1"/>
  <c r="DF118" i="1" s="1"/>
  <c r="N116" i="1"/>
  <c r="N118" i="1" s="1"/>
  <c r="BY116" i="1"/>
  <c r="BY118" i="1" s="1"/>
  <c r="AZ116" i="1"/>
  <c r="S28" i="1"/>
  <c r="S26" i="1"/>
  <c r="S24" i="1"/>
  <c r="S27" i="1"/>
  <c r="AU27" i="1"/>
  <c r="AU28" i="1"/>
  <c r="AU99" i="16" s="1"/>
  <c r="AU100" i="16" s="1"/>
  <c r="AU26" i="1"/>
  <c r="AU24" i="1"/>
  <c r="E46" i="3"/>
  <c r="B46" i="2"/>
  <c r="M32" i="18"/>
  <c r="O32" i="18" s="1"/>
  <c r="Q32" i="18" s="1"/>
  <c r="P32" i="18" s="1"/>
  <c r="C24" i="16"/>
  <c r="D22" i="16" s="1"/>
  <c r="AT85" i="1"/>
  <c r="AT83" i="1"/>
  <c r="AT86" i="1"/>
  <c r="AT84" i="1"/>
  <c r="R86" i="1"/>
  <c r="R84" i="1"/>
  <c r="R85" i="1"/>
  <c r="R83" i="1"/>
  <c r="BE86" i="1"/>
  <c r="BE84" i="1"/>
  <c r="BE83" i="1"/>
  <c r="BE85" i="1"/>
  <c r="CO85" i="1"/>
  <c r="CO83" i="1"/>
  <c r="CO86" i="1"/>
  <c r="CO84" i="1"/>
  <c r="AK85" i="1"/>
  <c r="AK83" i="1"/>
  <c r="AK86" i="1"/>
  <c r="AK84" i="1"/>
  <c r="BM86" i="1"/>
  <c r="BM84" i="1"/>
  <c r="BM85" i="1"/>
  <c r="BM83" i="1"/>
  <c r="BM28" i="1"/>
  <c r="BM26" i="1"/>
  <c r="BM99" i="16" s="1"/>
  <c r="BM100" i="16" s="1"/>
  <c r="BM24" i="1"/>
  <c r="BM27" i="1"/>
  <c r="BH27" i="1"/>
  <c r="BH28" i="1"/>
  <c r="BH26" i="1"/>
  <c r="BH24" i="1"/>
  <c r="T27" i="1"/>
  <c r="T28" i="1"/>
  <c r="T99" i="16" s="1"/>
  <c r="T100" i="16" s="1"/>
  <c r="T26" i="1"/>
  <c r="T24" i="1"/>
  <c r="AG28" i="1"/>
  <c r="AG26" i="1"/>
  <c r="AG24" i="1"/>
  <c r="AG27" i="1"/>
  <c r="BO28" i="1"/>
  <c r="BO26" i="1"/>
  <c r="BO24" i="1"/>
  <c r="BO27" i="1"/>
  <c r="P85" i="1"/>
  <c r="P83" i="1"/>
  <c r="P86" i="1"/>
  <c r="P84" i="1"/>
  <c r="AF85" i="1"/>
  <c r="AF83" i="1"/>
  <c r="AF86" i="1"/>
  <c r="AF84" i="1"/>
  <c r="CR85" i="1"/>
  <c r="CR83" i="1"/>
  <c r="CR86" i="1"/>
  <c r="CR84" i="1"/>
  <c r="BJ27" i="1"/>
  <c r="BJ28" i="1"/>
  <c r="BJ99" i="16" s="1"/>
  <c r="BJ100" i="16" s="1"/>
  <c r="BJ26" i="1"/>
  <c r="BJ24" i="1"/>
  <c r="BV28" i="1"/>
  <c r="BV26" i="1"/>
  <c r="BV24" i="1"/>
  <c r="BV27" i="1"/>
  <c r="CE28" i="1"/>
  <c r="CE26" i="1"/>
  <c r="CE24" i="1"/>
  <c r="CE27" i="1"/>
  <c r="CT28" i="1"/>
  <c r="CT26" i="1"/>
  <c r="CT24" i="1"/>
  <c r="CT27" i="1"/>
  <c r="BV86" i="1"/>
  <c r="BV84" i="1"/>
  <c r="BV85" i="1"/>
  <c r="BV83" i="1"/>
  <c r="L27" i="1"/>
  <c r="L28" i="1"/>
  <c r="L26" i="1"/>
  <c r="L24" i="1"/>
  <c r="BL85" i="1"/>
  <c r="BL83" i="1"/>
  <c r="BL86" i="1"/>
  <c r="BL84" i="1"/>
  <c r="H21" i="10"/>
  <c r="BH105" i="10"/>
  <c r="D21" i="10"/>
  <c r="L105" i="10"/>
  <c r="L106" i="10" s="1"/>
  <c r="AW117" i="1"/>
  <c r="BS27" i="1"/>
  <c r="BS99" i="16" s="1"/>
  <c r="BS100" i="16" s="1"/>
  <c r="BS28" i="1"/>
  <c r="BS26" i="1"/>
  <c r="BS24" i="1"/>
  <c r="AM27" i="1"/>
  <c r="AM28" i="1"/>
  <c r="AM26" i="1"/>
  <c r="AM24" i="1"/>
  <c r="G27" i="1"/>
  <c r="G99" i="16" s="1"/>
  <c r="G100" i="16" s="1"/>
  <c r="G28" i="1"/>
  <c r="G26" i="1"/>
  <c r="G24" i="1"/>
  <c r="Y46" i="3"/>
  <c r="G46" i="2"/>
  <c r="U46" i="3"/>
  <c r="F46" i="2"/>
  <c r="F51" i="12" s="1"/>
  <c r="D6" i="17"/>
  <c r="B10" i="17"/>
  <c r="B27" i="17"/>
  <c r="V9" i="3"/>
  <c r="G9" i="2"/>
  <c r="BK15" i="1"/>
  <c r="AI9" i="3"/>
  <c r="CX15" i="1"/>
  <c r="P9" i="3"/>
  <c r="AS15" i="1"/>
  <c r="D42" i="3"/>
  <c r="L135" i="1"/>
  <c r="L137" i="1" s="1"/>
  <c r="M135" i="1" s="1"/>
  <c r="M137" i="1" s="1"/>
  <c r="N135" i="1" s="1"/>
  <c r="N137" i="1" s="1"/>
  <c r="U9" i="3"/>
  <c r="BH15" i="1"/>
  <c r="B9" i="3"/>
  <c r="B9" i="2"/>
  <c r="W12" i="3"/>
  <c r="BN20" i="1"/>
  <c r="E11" i="11"/>
  <c r="F11" i="11" s="1"/>
  <c r="G11" i="11" s="1"/>
  <c r="H11" i="11" s="1"/>
  <c r="I11" i="11" s="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AC11" i="11" s="1"/>
  <c r="AD11" i="11" s="1"/>
  <c r="AE11" i="11" s="1"/>
  <c r="AF11" i="11" s="1"/>
  <c r="AG11" i="11" s="1"/>
  <c r="AH11" i="11" s="1"/>
  <c r="AI11" i="11" s="1"/>
  <c r="AJ11" i="11" s="1"/>
  <c r="AK11" i="11" s="1"/>
  <c r="AL11" i="11" s="1"/>
  <c r="AM11" i="11" s="1"/>
  <c r="AN11" i="11" s="1"/>
  <c r="AO11" i="11" s="1"/>
  <c r="AP11" i="11" s="1"/>
  <c r="AQ11" i="11" s="1"/>
  <c r="AR11" i="11" s="1"/>
  <c r="AS11" i="11" s="1"/>
  <c r="AT11" i="11" s="1"/>
  <c r="AU11" i="11" s="1"/>
  <c r="AV11" i="11" s="1"/>
  <c r="AW11" i="11" s="1"/>
  <c r="AX11" i="11" s="1"/>
  <c r="AY11" i="11" s="1"/>
  <c r="AZ11" i="11" s="1"/>
  <c r="BA11" i="11" s="1"/>
  <c r="BB11" i="11" s="1"/>
  <c r="BC11" i="11" s="1"/>
  <c r="BD11" i="11" s="1"/>
  <c r="BE11" i="11" s="1"/>
  <c r="BF11" i="11" s="1"/>
  <c r="BG11" i="11" s="1"/>
  <c r="BH11" i="11" s="1"/>
  <c r="BI11" i="11" s="1"/>
  <c r="BJ11" i="11" s="1"/>
  <c r="BK11" i="11" s="1"/>
  <c r="BL11" i="11" s="1"/>
  <c r="BM11" i="11" s="1"/>
  <c r="BN11" i="11" s="1"/>
  <c r="BO11" i="11" s="1"/>
  <c r="BP11" i="11" s="1"/>
  <c r="BQ11" i="11" s="1"/>
  <c r="BR11" i="11" s="1"/>
  <c r="BS11" i="11" s="1"/>
  <c r="BT11" i="11" s="1"/>
  <c r="BU11" i="11" s="1"/>
  <c r="BV11" i="11" s="1"/>
  <c r="BW11" i="11" s="1"/>
  <c r="BX11" i="11" s="1"/>
  <c r="BY11" i="11" s="1"/>
  <c r="BZ11" i="11" s="1"/>
  <c r="CA11" i="11" s="1"/>
  <c r="CB11" i="11" s="1"/>
  <c r="CC11" i="11" s="1"/>
  <c r="CD11" i="11" s="1"/>
  <c r="CE11" i="11" s="1"/>
  <c r="CF11" i="11" s="1"/>
  <c r="CG11" i="11" s="1"/>
  <c r="CH11" i="11" s="1"/>
  <c r="Q116" i="1"/>
  <c r="I9" i="3"/>
  <c r="X15" i="1"/>
  <c r="AH116" i="1"/>
  <c r="CK116" i="1"/>
  <c r="CK118" i="1" s="1"/>
  <c r="BL116" i="1"/>
  <c r="CA116" i="1"/>
  <c r="AH10" i="3"/>
  <c r="CP116" i="1"/>
  <c r="CP118" i="1" s="1"/>
  <c r="AI118" i="1"/>
  <c r="BI116" i="1"/>
  <c r="BI118" i="1" s="1"/>
  <c r="AR116" i="1"/>
  <c r="AR118" i="1" s="1"/>
  <c r="BO118" i="1"/>
  <c r="BU86" i="1"/>
  <c r="BU84" i="1"/>
  <c r="BU85" i="1"/>
  <c r="BU83" i="1"/>
  <c r="Z86" i="1"/>
  <c r="Z84" i="1"/>
  <c r="Z85" i="1"/>
  <c r="Z83" i="1"/>
  <c r="AV85" i="1"/>
  <c r="AV83" i="1"/>
  <c r="AV86" i="1"/>
  <c r="AV84" i="1"/>
  <c r="CA27" i="1"/>
  <c r="CA28" i="1"/>
  <c r="CA26" i="1"/>
  <c r="CA24" i="1"/>
  <c r="BX117" i="1"/>
  <c r="Y9" i="3"/>
  <c r="BT15" i="1"/>
  <c r="Y10" i="3" s="1"/>
  <c r="F8" i="18"/>
  <c r="G8" i="18" s="1"/>
  <c r="BG28" i="1"/>
  <c r="BG26" i="1"/>
  <c r="BG24" i="1"/>
  <c r="BG27" i="1"/>
  <c r="AL27" i="1"/>
  <c r="AL28" i="1"/>
  <c r="AL26" i="1"/>
  <c r="AL24" i="1"/>
  <c r="AK27" i="1"/>
  <c r="AK28" i="1"/>
  <c r="AK26" i="1"/>
  <c r="AK24" i="1"/>
  <c r="CO27" i="1"/>
  <c r="CO28" i="1"/>
  <c r="CO26" i="1"/>
  <c r="CO24" i="1"/>
  <c r="AC27" i="1"/>
  <c r="AC28" i="1"/>
  <c r="AC26" i="1"/>
  <c r="AC24" i="1"/>
  <c r="I28" i="1"/>
  <c r="I26" i="1"/>
  <c r="I24" i="1"/>
  <c r="I27" i="1"/>
  <c r="BE28" i="1"/>
  <c r="BE26" i="1"/>
  <c r="BE24" i="1"/>
  <c r="BE27" i="1"/>
  <c r="BH86" i="1"/>
  <c r="BH84" i="1"/>
  <c r="BH85" i="1"/>
  <c r="BH83" i="1"/>
  <c r="T86" i="1"/>
  <c r="T84" i="1"/>
  <c r="T85" i="1"/>
  <c r="T83" i="1"/>
  <c r="AD27" i="1"/>
  <c r="AD28" i="1"/>
  <c r="AD26" i="1"/>
  <c r="AD24" i="1"/>
  <c r="AH86" i="1"/>
  <c r="AH84" i="1"/>
  <c r="AH85" i="1"/>
  <c r="AH83" i="1"/>
  <c r="AQ86" i="1"/>
  <c r="AQ84" i="1"/>
  <c r="AQ85" i="1"/>
  <c r="AQ83" i="1"/>
  <c r="CB85" i="1"/>
  <c r="CB83" i="1"/>
  <c r="CB86" i="1"/>
  <c r="CB84" i="1"/>
  <c r="CB28" i="1"/>
  <c r="CB26" i="1"/>
  <c r="CB24" i="1"/>
  <c r="CB27" i="1"/>
  <c r="AF28" i="1"/>
  <c r="AF26" i="1"/>
  <c r="AF24" i="1"/>
  <c r="AF27" i="1"/>
  <c r="AV28" i="1"/>
  <c r="AV26" i="1"/>
  <c r="AV24" i="1"/>
  <c r="AV27" i="1"/>
  <c r="BI27" i="1"/>
  <c r="BI28" i="1"/>
  <c r="BI26" i="1"/>
  <c r="BI24" i="1"/>
  <c r="AX86" i="1"/>
  <c r="AX84" i="1"/>
  <c r="AX85" i="1"/>
  <c r="AX83" i="1"/>
  <c r="BD28" i="1"/>
  <c r="BD26" i="1"/>
  <c r="BD24" i="1"/>
  <c r="BD99" i="16" s="1"/>
  <c r="BD100" i="16" s="1"/>
  <c r="BD27" i="1"/>
  <c r="B19" i="10"/>
  <c r="BY105" i="10"/>
  <c r="BY106" i="10" s="1"/>
  <c r="BY107" i="10" s="1"/>
  <c r="CB79" i="1" s="1"/>
  <c r="CB80" i="1" s="1"/>
  <c r="AS105" i="10"/>
  <c r="AS106" i="10" s="1"/>
  <c r="AS107" i="10" s="1"/>
  <c r="AV79" i="1" s="1"/>
  <c r="AV80" i="1" s="1"/>
  <c r="M105" i="10"/>
  <c r="M106" i="10" s="1"/>
  <c r="M107" i="10" s="1"/>
  <c r="P79" i="1" s="1"/>
  <c r="P80" i="1" s="1"/>
  <c r="CQ85" i="1"/>
  <c r="CQ83" i="1"/>
  <c r="CQ86" i="1"/>
  <c r="CQ84" i="1"/>
  <c r="BK27" i="1"/>
  <c r="BK28" i="1"/>
  <c r="BK26" i="1"/>
  <c r="BK24" i="1"/>
  <c r="AE85" i="1"/>
  <c r="AE83" i="1"/>
  <c r="AE86" i="1"/>
  <c r="AE84" i="1"/>
  <c r="G141" i="1"/>
  <c r="G144" i="1" s="1"/>
  <c r="H140" i="1" s="1"/>
  <c r="AX17" i="11"/>
  <c r="AY17" i="11" s="1"/>
  <c r="AZ17" i="11" s="1"/>
  <c r="BA17" i="11" s="1"/>
  <c r="BB17" i="11" s="1"/>
  <c r="BC17" i="11" s="1"/>
  <c r="BD17" i="11" s="1"/>
  <c r="BE17" i="11" s="1"/>
  <c r="BF17" i="11" s="1"/>
  <c r="BG17" i="11" s="1"/>
  <c r="BH17" i="11" s="1"/>
  <c r="BI17" i="11" s="1"/>
  <c r="BJ17" i="11" s="1"/>
  <c r="BK17" i="11" s="1"/>
  <c r="BL17" i="11" s="1"/>
  <c r="BM17" i="11" s="1"/>
  <c r="BN17" i="11" s="1"/>
  <c r="BO17" i="11" s="1"/>
  <c r="BP17" i="11" s="1"/>
  <c r="BQ17" i="11" s="1"/>
  <c r="BR17" i="11" s="1"/>
  <c r="BS17" i="11" s="1"/>
  <c r="BT17" i="11" s="1"/>
  <c r="BU17" i="11" s="1"/>
  <c r="BV17" i="11" s="1"/>
  <c r="BW17" i="11" s="1"/>
  <c r="BX17" i="11" s="1"/>
  <c r="BY17" i="11" s="1"/>
  <c r="BZ17" i="11" s="1"/>
  <c r="CA17" i="11" s="1"/>
  <c r="CB17" i="11" s="1"/>
  <c r="CC17" i="11" s="1"/>
  <c r="CD17" i="11" s="1"/>
  <c r="CE17" i="11" s="1"/>
  <c r="CF17" i="11" s="1"/>
  <c r="CG17" i="11" s="1"/>
  <c r="CH17" i="11" s="1"/>
  <c r="N9" i="3"/>
  <c r="E9" i="2"/>
  <c r="AM15" i="1"/>
  <c r="AA9" i="3"/>
  <c r="BZ15" i="1"/>
  <c r="H10" i="2" s="1"/>
  <c r="H41" i="12" s="1"/>
  <c r="H9" i="3"/>
  <c r="U15" i="1"/>
  <c r="M9" i="3"/>
  <c r="AJ15" i="1"/>
  <c r="AH12" i="3"/>
  <c r="CU20" i="1"/>
  <c r="O12" i="3"/>
  <c r="AP20" i="1"/>
  <c r="I17" i="1"/>
  <c r="Z116" i="1"/>
  <c r="BU116" i="1"/>
  <c r="BD116" i="1"/>
  <c r="BS116" i="1"/>
  <c r="BG118" i="1"/>
  <c r="CH116" i="1"/>
  <c r="CH118" i="1" s="1"/>
  <c r="BA116" i="1"/>
  <c r="BA118" i="1" s="1"/>
  <c r="AB99" i="16"/>
  <c r="AB100" i="16" s="1"/>
  <c r="AB116" i="1"/>
  <c r="AB118" i="1" s="1"/>
  <c r="CD86" i="1"/>
  <c r="CD84" i="1"/>
  <c r="CD85" i="1"/>
  <c r="CD83" i="1"/>
  <c r="BX86" i="1"/>
  <c r="BX84" i="1"/>
  <c r="BX85" i="1"/>
  <c r="BX83" i="1"/>
  <c r="CR28" i="1"/>
  <c r="CR26" i="1"/>
  <c r="CR24" i="1"/>
  <c r="CR27" i="1"/>
  <c r="C10" i="17"/>
  <c r="AK9" i="3"/>
  <c r="DD15" i="1"/>
  <c r="AK10" i="3" s="1"/>
  <c r="R9" i="3"/>
  <c r="AY15" i="1"/>
  <c r="AY17" i="1" s="1"/>
  <c r="F9" i="2"/>
  <c r="CG116" i="1"/>
  <c r="CG118" i="1" s="1"/>
  <c r="Q45" i="18"/>
  <c r="P45" i="18" s="1"/>
  <c r="F7" i="18"/>
  <c r="G7" i="18" s="1"/>
  <c r="F7" i="6"/>
  <c r="C7" i="6"/>
  <c r="D7" i="6"/>
  <c r="C27" i="16"/>
  <c r="D25" i="16" s="1"/>
  <c r="CM86" i="1"/>
  <c r="CM84" i="1"/>
  <c r="CM85" i="1"/>
  <c r="CM83" i="1"/>
  <c r="CP27" i="1"/>
  <c r="CP28" i="1"/>
  <c r="CP26" i="1"/>
  <c r="CP24" i="1"/>
  <c r="CG85" i="1"/>
  <c r="CG83" i="1"/>
  <c r="CG86" i="1"/>
  <c r="CG84" i="1"/>
  <c r="AC85" i="1"/>
  <c r="AC83" i="1"/>
  <c r="AC86" i="1"/>
  <c r="AC84" i="1"/>
  <c r="CS86" i="1"/>
  <c r="CS84" i="1"/>
  <c r="CS85" i="1"/>
  <c r="CS83" i="1"/>
  <c r="AW86" i="1"/>
  <c r="AW84" i="1"/>
  <c r="AW85" i="1"/>
  <c r="AW83" i="1"/>
  <c r="CN27" i="1"/>
  <c r="CN28" i="1"/>
  <c r="CN99" i="16" s="1"/>
  <c r="CN100" i="16" s="1"/>
  <c r="CN26" i="1"/>
  <c r="CN24" i="1"/>
  <c r="AZ27" i="1"/>
  <c r="AZ28" i="1"/>
  <c r="AZ26" i="1"/>
  <c r="AZ24" i="1"/>
  <c r="L86" i="1"/>
  <c r="L84" i="1"/>
  <c r="L85" i="1"/>
  <c r="L83" i="1"/>
  <c r="AS85" i="1"/>
  <c r="AS83" i="1"/>
  <c r="AS86" i="1"/>
  <c r="AS84" i="1"/>
  <c r="BB85" i="1"/>
  <c r="BB83" i="1"/>
  <c r="BB86" i="1"/>
  <c r="BB84" i="1"/>
  <c r="BD85" i="1"/>
  <c r="BD83" i="1"/>
  <c r="BD86" i="1"/>
  <c r="BD84" i="1"/>
  <c r="Q28" i="1"/>
  <c r="Q26" i="1"/>
  <c r="Q24" i="1"/>
  <c r="Q27" i="1"/>
  <c r="R28" i="1"/>
  <c r="R26" i="1"/>
  <c r="R24" i="1"/>
  <c r="R27" i="1"/>
  <c r="BL28" i="1"/>
  <c r="BL26" i="1"/>
  <c r="BL24" i="1"/>
  <c r="BL27" i="1"/>
  <c r="BA85" i="1"/>
  <c r="BA83" i="1"/>
  <c r="BA86" i="1"/>
  <c r="BA84" i="1"/>
  <c r="X28" i="1"/>
  <c r="X26" i="1"/>
  <c r="X24" i="1"/>
  <c r="X27" i="1"/>
  <c r="AP28" i="1"/>
  <c r="AP26" i="1"/>
  <c r="AP24" i="1"/>
  <c r="AP27" i="1"/>
  <c r="AZ105" i="10"/>
  <c r="C21" i="10"/>
  <c r="CQ27" i="1"/>
  <c r="CQ28" i="1"/>
  <c r="CQ26" i="1"/>
  <c r="CQ24" i="1"/>
  <c r="CQ99" i="16" s="1"/>
  <c r="CQ100" i="16" s="1"/>
  <c r="BK85" i="1"/>
  <c r="BK83" i="1"/>
  <c r="BK86" i="1"/>
  <c r="BK84" i="1"/>
  <c r="AE27" i="1"/>
  <c r="AE28" i="1"/>
  <c r="AE26" i="1"/>
  <c r="AE24" i="1"/>
  <c r="AE99" i="16" s="1"/>
  <c r="AE100" i="16" s="1"/>
  <c r="BT107" i="10"/>
  <c r="E21" i="10"/>
  <c r="AK46" i="3"/>
  <c r="J46" i="2"/>
  <c r="F9" i="3"/>
  <c r="O15" i="1"/>
  <c r="C9" i="2"/>
  <c r="S9" i="3"/>
  <c r="BB15" i="1"/>
  <c r="E9" i="3"/>
  <c r="L15" i="1"/>
  <c r="Z12" i="3"/>
  <c r="BW20" i="1"/>
  <c r="BW98" i="16" s="1"/>
  <c r="R17" i="1"/>
  <c r="AJ9" i="3"/>
  <c r="DA15" i="1"/>
  <c r="AJ10" i="3" s="1"/>
  <c r="BT17" i="1"/>
  <c r="DB99" i="16"/>
  <c r="DB116" i="1"/>
  <c r="DB118" i="1" s="1"/>
  <c r="J116" i="1"/>
  <c r="BM116" i="1"/>
  <c r="AN116" i="1"/>
  <c r="AQ118" i="1"/>
  <c r="BC116" i="1"/>
  <c r="H9" i="2"/>
  <c r="BR116" i="1"/>
  <c r="BR118" i="1" s="1"/>
  <c r="AK116" i="1"/>
  <c r="AK118" i="1" s="1"/>
  <c r="T116" i="1"/>
  <c r="AT27" i="1"/>
  <c r="AT28" i="1"/>
  <c r="AT26" i="1"/>
  <c r="AT24" i="1"/>
  <c r="AA28" i="1"/>
  <c r="AA26" i="1"/>
  <c r="AA24" i="1"/>
  <c r="AA27" i="1"/>
  <c r="O27" i="1"/>
  <c r="O28" i="1"/>
  <c r="O26" i="1"/>
  <c r="O24" i="1"/>
  <c r="I46" i="3"/>
  <c r="C46" i="2"/>
  <c r="AH117" i="1"/>
  <c r="BF116" i="1"/>
  <c r="CJ116" i="1"/>
  <c r="G116" i="1"/>
  <c r="G118" i="1" s="1"/>
  <c r="M24" i="18"/>
  <c r="O24" i="18" s="1"/>
  <c r="Q24" i="18" s="1"/>
  <c r="P24" i="18" s="1"/>
  <c r="D11" i="6"/>
  <c r="C11" i="6"/>
  <c r="F11" i="6"/>
  <c r="CJ98" i="16"/>
  <c r="F110" i="1"/>
  <c r="BW28" i="1"/>
  <c r="BW26" i="1"/>
  <c r="BW24" i="1"/>
  <c r="BW27" i="1"/>
  <c r="C27" i="11"/>
  <c r="CH85" i="1"/>
  <c r="CH83" i="1"/>
  <c r="CH86" i="1"/>
  <c r="CH84" i="1"/>
  <c r="BY27" i="1"/>
  <c r="BY28" i="1"/>
  <c r="BY26" i="1"/>
  <c r="BY24" i="1"/>
  <c r="U27" i="1"/>
  <c r="U28" i="1"/>
  <c r="U26" i="1"/>
  <c r="U24" i="1"/>
  <c r="CS28" i="1"/>
  <c r="CS26" i="1"/>
  <c r="CS24" i="1"/>
  <c r="CS99" i="16" s="1"/>
  <c r="CS100" i="16" s="1"/>
  <c r="CS27" i="1"/>
  <c r="AW28" i="1"/>
  <c r="AW26" i="1"/>
  <c r="AW24" i="1"/>
  <c r="AW27" i="1"/>
  <c r="CN86" i="1"/>
  <c r="CN84" i="1"/>
  <c r="CN85" i="1"/>
  <c r="CN83" i="1"/>
  <c r="AZ86" i="1"/>
  <c r="AZ84" i="1"/>
  <c r="AZ85" i="1"/>
  <c r="AZ83" i="1"/>
  <c r="BG86" i="1"/>
  <c r="BG84" i="1"/>
  <c r="BG85" i="1"/>
  <c r="BG83" i="1"/>
  <c r="K86" i="1"/>
  <c r="K84" i="1"/>
  <c r="K85" i="1"/>
  <c r="K83" i="1"/>
  <c r="BW86" i="1"/>
  <c r="BW84" i="1"/>
  <c r="BW85" i="1"/>
  <c r="BW83" i="1"/>
  <c r="BO86" i="1"/>
  <c r="BO84" i="1"/>
  <c r="BO85" i="1"/>
  <c r="BO83" i="1"/>
  <c r="V27" i="1"/>
  <c r="V28" i="1"/>
  <c r="V26" i="1"/>
  <c r="V24" i="1"/>
  <c r="AH28" i="1"/>
  <c r="AH26" i="1"/>
  <c r="AH24" i="1"/>
  <c r="AH27" i="1"/>
  <c r="CJ28" i="1"/>
  <c r="CJ26" i="1"/>
  <c r="CJ24" i="1"/>
  <c r="CJ99" i="16" s="1"/>
  <c r="CJ27" i="1"/>
  <c r="J86" i="1"/>
  <c r="J84" i="1"/>
  <c r="J85" i="1"/>
  <c r="J83" i="1"/>
  <c r="Z28" i="1"/>
  <c r="Z26" i="1"/>
  <c r="Z24" i="1"/>
  <c r="Z27" i="1"/>
  <c r="AR105" i="10"/>
  <c r="AR106" i="10" s="1"/>
  <c r="AR107" i="10" s="1"/>
  <c r="AU79" i="1" s="1"/>
  <c r="AU80" i="1" s="1"/>
  <c r="C23" i="10"/>
  <c r="Q117" i="1"/>
  <c r="AD85" i="1"/>
  <c r="AD83" i="1"/>
  <c r="AD86" i="1"/>
  <c r="AD84" i="1"/>
  <c r="BQ105" i="10"/>
  <c r="BQ106" i="10" s="1"/>
  <c r="BQ107" i="10" s="1"/>
  <c r="BT79" i="1" s="1"/>
  <c r="BT80" i="1" s="1"/>
  <c r="AK105" i="10"/>
  <c r="AK106" i="10" s="1"/>
  <c r="AK107" i="10" s="1"/>
  <c r="AN79" i="1" s="1"/>
  <c r="AN80" i="1" s="1"/>
  <c r="CI27" i="1"/>
  <c r="CI28" i="1"/>
  <c r="CI26" i="1"/>
  <c r="CI24" i="1"/>
  <c r="BC27" i="1"/>
  <c r="BC28" i="1"/>
  <c r="BC99" i="16" s="1"/>
  <c r="BC100" i="16" s="1"/>
  <c r="BC26" i="1"/>
  <c r="BC24" i="1"/>
  <c r="W85" i="1"/>
  <c r="W83" i="1"/>
  <c r="W86" i="1"/>
  <c r="W84" i="1"/>
  <c r="Q46" i="3"/>
  <c r="E46" i="2"/>
  <c r="F158" i="1"/>
  <c r="F159" i="1" s="1"/>
  <c r="G155" i="1" s="1"/>
  <c r="M46" i="3"/>
  <c r="D46" i="2"/>
  <c r="D51" i="12" s="1"/>
  <c r="BK17" i="1"/>
  <c r="K9" i="3"/>
  <c r="AD15" i="1"/>
  <c r="BQ17" i="1"/>
  <c r="AB9" i="3"/>
  <c r="CC15" i="1"/>
  <c r="CT99" i="16"/>
  <c r="CT100" i="16" s="1"/>
  <c r="CT116" i="1"/>
  <c r="CT118" i="1" s="1"/>
  <c r="AW116" i="1"/>
  <c r="AW118" i="1" s="1"/>
  <c r="AF116" i="1"/>
  <c r="AU116" i="1"/>
  <c r="Z10" i="3"/>
  <c r="BJ116" i="1"/>
  <c r="BJ118" i="1" s="1"/>
  <c r="AC116" i="1"/>
  <c r="AC118" i="1" s="1"/>
  <c r="CV99" i="16"/>
  <c r="CV116" i="1"/>
  <c r="CV118" i="1" s="1"/>
  <c r="D99" i="16"/>
  <c r="D116" i="1"/>
  <c r="D118" i="1" s="1"/>
  <c r="Q86" i="1"/>
  <c r="Q84" i="1"/>
  <c r="Q85" i="1"/>
  <c r="Q83" i="1"/>
  <c r="BF86" i="1"/>
  <c r="BF84" i="1"/>
  <c r="BF85" i="1"/>
  <c r="BF83" i="1"/>
  <c r="AN85" i="1"/>
  <c r="AN83" i="1"/>
  <c r="AN86" i="1"/>
  <c r="AN84" i="1"/>
  <c r="CJ85" i="1"/>
  <c r="CJ83" i="1"/>
  <c r="CJ86" i="1"/>
  <c r="CJ84" i="1"/>
  <c r="AV107" i="10"/>
  <c r="O44" i="18"/>
  <c r="Q44" i="18" s="1"/>
  <c r="P44" i="18" s="1"/>
  <c r="O34" i="18"/>
  <c r="Q34" i="18" s="1"/>
  <c r="P34" i="18" s="1"/>
  <c r="DF100" i="16"/>
  <c r="BP98" i="16"/>
  <c r="BF98" i="16"/>
  <c r="AA86" i="1"/>
  <c r="AA84" i="1"/>
  <c r="AA85" i="1"/>
  <c r="AA83" i="1"/>
  <c r="D20" i="16"/>
  <c r="G108" i="1" s="1"/>
  <c r="D27" i="11" s="1"/>
  <c r="D28" i="11" s="1"/>
  <c r="CL28" i="1"/>
  <c r="CL26" i="1"/>
  <c r="CL24" i="1"/>
  <c r="CL27" i="1"/>
  <c r="BR27" i="1"/>
  <c r="BR28" i="1"/>
  <c r="BR26" i="1"/>
  <c r="BR24" i="1"/>
  <c r="BQ27" i="1"/>
  <c r="BQ28" i="1"/>
  <c r="BQ26" i="1"/>
  <c r="BQ24" i="1"/>
  <c r="U85" i="1"/>
  <c r="U83" i="1"/>
  <c r="U84" i="1"/>
  <c r="U86" i="1"/>
  <c r="CK28" i="1"/>
  <c r="CK26" i="1"/>
  <c r="CK24" i="1"/>
  <c r="CK27" i="1"/>
  <c r="Y28" i="1"/>
  <c r="Y26" i="1"/>
  <c r="Y24" i="1"/>
  <c r="Y99" i="16" s="1"/>
  <c r="Y27" i="1"/>
  <c r="CF27" i="1"/>
  <c r="CF28" i="1"/>
  <c r="CF26" i="1"/>
  <c r="CF24" i="1"/>
  <c r="AR86" i="1"/>
  <c r="AR84" i="1"/>
  <c r="AR85" i="1"/>
  <c r="AR83" i="1"/>
  <c r="K28" i="1"/>
  <c r="K26" i="1"/>
  <c r="K24" i="1"/>
  <c r="K27" i="1"/>
  <c r="AP86" i="1"/>
  <c r="AP84" i="1"/>
  <c r="AP85" i="1"/>
  <c r="AP83" i="1"/>
  <c r="CP85" i="1"/>
  <c r="CP83" i="1"/>
  <c r="CP86" i="1"/>
  <c r="CP84" i="1"/>
  <c r="X85" i="1"/>
  <c r="X83" i="1"/>
  <c r="X86" i="1"/>
  <c r="X84" i="1"/>
  <c r="AX28" i="1"/>
  <c r="AX26" i="1"/>
  <c r="AX24" i="1"/>
  <c r="AX27" i="1"/>
  <c r="BT28" i="1"/>
  <c r="BT26" i="1"/>
  <c r="BT24" i="1"/>
  <c r="BT27" i="1"/>
  <c r="AI28" i="1"/>
  <c r="AI26" i="1"/>
  <c r="AI24" i="1"/>
  <c r="AI27" i="1"/>
  <c r="BX27" i="1"/>
  <c r="BX28" i="1"/>
  <c r="BX26" i="1"/>
  <c r="BX24" i="1"/>
  <c r="D100" i="16"/>
  <c r="J28" i="1"/>
  <c r="J26" i="1"/>
  <c r="J24" i="1"/>
  <c r="J27" i="1"/>
  <c r="BQ85" i="1"/>
  <c r="BQ83" i="1"/>
  <c r="BQ86" i="1"/>
  <c r="BQ84" i="1"/>
  <c r="BS105" i="10"/>
  <c r="BS106" i="10"/>
  <c r="BS107" i="10" s="1"/>
  <c r="BV79" i="1" s="1"/>
  <c r="BV80" i="1" s="1"/>
  <c r="AW105" i="10"/>
  <c r="AW106" i="10" s="1"/>
  <c r="G21" i="10"/>
  <c r="Y98" i="16"/>
  <c r="CI85" i="1"/>
  <c r="CI83" i="1"/>
  <c r="CI86" i="1"/>
  <c r="CI84" i="1"/>
  <c r="BC85" i="1"/>
  <c r="BC83" i="1"/>
  <c r="BC86" i="1"/>
  <c r="BC84" i="1"/>
  <c r="W27" i="1"/>
  <c r="W99" i="16" s="1"/>
  <c r="W100" i="16" s="1"/>
  <c r="W28" i="1"/>
  <c r="W26" i="1"/>
  <c r="W24" i="1"/>
  <c r="G182" i="1"/>
  <c r="BU117" i="1"/>
  <c r="T9" i="3"/>
  <c r="BE15" i="1"/>
  <c r="T10" i="3" s="1"/>
  <c r="CD116" i="1"/>
  <c r="CD118" i="1" s="1"/>
  <c r="AO116" i="1"/>
  <c r="P116" i="1"/>
  <c r="AE116" i="1"/>
  <c r="AT116" i="1"/>
  <c r="AT118" i="1" s="1"/>
  <c r="DC118" i="1"/>
  <c r="DE99" i="16"/>
  <c r="DE100" i="16" s="1"/>
  <c r="DE116" i="1"/>
  <c r="DE118" i="1" s="1"/>
  <c r="M116" i="1"/>
  <c r="M118" i="1" s="1"/>
  <c r="CN116" i="1"/>
  <c r="CN118" i="1" s="1"/>
  <c r="K118" i="1"/>
  <c r="BA27" i="1"/>
  <c r="BA28" i="1"/>
  <c r="BA26" i="1"/>
  <c r="BA24" i="1"/>
  <c r="CD28" i="1"/>
  <c r="CD26" i="1"/>
  <c r="CD24" i="1"/>
  <c r="CD27" i="1"/>
  <c r="AG86" i="1"/>
  <c r="AG84" i="1"/>
  <c r="AG85" i="1"/>
  <c r="AG83" i="1"/>
  <c r="AM105" i="10"/>
  <c r="AM106" i="10" s="1"/>
  <c r="AM107" i="10" s="1"/>
  <c r="AP79" i="1" s="1"/>
  <c r="AP80" i="1" s="1"/>
  <c r="BX105" i="10"/>
  <c r="BX106" i="10" s="1"/>
  <c r="B104" i="10"/>
  <c r="B89" i="16"/>
  <c r="B85" i="16"/>
  <c r="B81" i="16"/>
  <c r="B77" i="16"/>
  <c r="B72" i="16"/>
  <c r="B68" i="16"/>
  <c r="B64" i="16"/>
  <c r="B60" i="16"/>
  <c r="B56" i="16"/>
  <c r="B84" i="16"/>
  <c r="B82" i="16"/>
  <c r="B69" i="16"/>
  <c r="B66" i="16"/>
  <c r="B63" i="16"/>
  <c r="B59" i="16"/>
  <c r="B88" i="16"/>
  <c r="B79" i="16"/>
  <c r="B48" i="16"/>
  <c r="C13" i="17" s="1"/>
  <c r="D13" i="17" s="1"/>
  <c r="B90" i="16"/>
  <c r="B87" i="16"/>
  <c r="B80" i="16"/>
  <c r="B92" i="16"/>
  <c r="B74" i="16"/>
  <c r="B71" i="16"/>
  <c r="B58" i="16"/>
  <c r="B55" i="16"/>
  <c r="B61" i="16"/>
  <c r="B83" i="16"/>
  <c r="B86" i="16"/>
  <c r="B54" i="16"/>
  <c r="B91" i="16"/>
  <c r="B53" i="16"/>
  <c r="B73" i="16"/>
  <c r="B57" i="16"/>
  <c r="B65" i="16"/>
  <c r="B76" i="16"/>
  <c r="B70" i="16"/>
  <c r="B67" i="16"/>
  <c r="B78" i="16"/>
  <c r="B75" i="16"/>
  <c r="B62" i="16"/>
  <c r="AF9" i="3"/>
  <c r="CO15" i="1"/>
  <c r="AF10" i="3" s="1"/>
  <c r="V116" i="1"/>
  <c r="V118" i="1" s="1"/>
  <c r="CV100" i="16"/>
  <c r="O30" i="18"/>
  <c r="Q30" i="18" s="1"/>
  <c r="P30" i="18" s="1"/>
  <c r="CY98" i="16"/>
  <c r="CY100" i="16" s="1"/>
  <c r="DB100" i="16"/>
  <c r="AL85" i="1"/>
  <c r="AL83" i="1"/>
  <c r="AL86" i="1"/>
  <c r="AL84" i="1"/>
  <c r="CL86" i="1"/>
  <c r="CL84" i="1"/>
  <c r="CL85" i="1"/>
  <c r="CL83" i="1"/>
  <c r="BJ85" i="1"/>
  <c r="BJ83" i="1"/>
  <c r="BJ86" i="1"/>
  <c r="BJ84" i="1"/>
  <c r="BI85" i="1"/>
  <c r="BI83" i="1"/>
  <c r="BI86" i="1"/>
  <c r="BI84" i="1"/>
  <c r="M85" i="1"/>
  <c r="M83" i="1"/>
  <c r="M86" i="1"/>
  <c r="M84" i="1"/>
  <c r="CC28" i="1"/>
  <c r="CC26" i="1"/>
  <c r="CC24" i="1"/>
  <c r="CC27" i="1"/>
  <c r="Y86" i="1"/>
  <c r="Y84" i="1"/>
  <c r="Y85" i="1"/>
  <c r="Y83" i="1"/>
  <c r="CF86" i="1"/>
  <c r="CF84" i="1"/>
  <c r="CF85" i="1"/>
  <c r="CF83" i="1"/>
  <c r="AJ27" i="1"/>
  <c r="AJ28" i="1"/>
  <c r="AJ26" i="1"/>
  <c r="AJ24" i="1"/>
  <c r="CT86" i="1"/>
  <c r="CT84" i="1"/>
  <c r="CT85" i="1"/>
  <c r="CT83" i="1"/>
  <c r="BZ85" i="1"/>
  <c r="BZ83" i="1"/>
  <c r="BZ86" i="1"/>
  <c r="BZ84" i="1"/>
  <c r="S86" i="1"/>
  <c r="S84" i="1"/>
  <c r="S85" i="1"/>
  <c r="S83" i="1"/>
  <c r="AI86" i="1"/>
  <c r="AI84" i="1"/>
  <c r="AI85" i="1"/>
  <c r="AI83" i="1"/>
  <c r="BZ27" i="1"/>
  <c r="BZ28" i="1"/>
  <c r="BZ26" i="1"/>
  <c r="BZ24" i="1"/>
  <c r="CM28" i="1"/>
  <c r="CM26" i="1"/>
  <c r="CM24" i="1"/>
  <c r="CM27" i="1"/>
  <c r="BF28" i="1"/>
  <c r="BF26" i="1"/>
  <c r="BF24" i="1"/>
  <c r="BF27" i="1"/>
  <c r="AR27" i="1"/>
  <c r="AR28" i="1"/>
  <c r="AR26" i="1"/>
  <c r="AR24" i="1"/>
  <c r="AO86" i="1"/>
  <c r="AO84" i="1"/>
  <c r="AO85" i="1"/>
  <c r="AO83" i="1"/>
  <c r="CC86" i="1"/>
  <c r="CC84" i="1"/>
  <c r="CC85" i="1"/>
  <c r="CC83" i="1"/>
  <c r="CH27" i="1"/>
  <c r="CH28" i="1"/>
  <c r="CH26" i="1"/>
  <c r="CH24" i="1"/>
  <c r="BC105" i="10"/>
  <c r="BC106" i="10" s="1"/>
  <c r="BC107" i="10" s="1"/>
  <c r="BF79" i="1" s="1"/>
  <c r="BF80" i="1" s="1"/>
  <c r="CF106" i="10"/>
  <c r="J21" i="10"/>
  <c r="CF105" i="10"/>
  <c r="J22" i="10" s="1"/>
  <c r="F21" i="10"/>
  <c r="AJ105" i="10"/>
  <c r="AB25" i="3"/>
  <c r="CC117" i="1"/>
  <c r="B12" i="10"/>
  <c r="B60" i="10"/>
  <c r="B63" i="10" s="1"/>
  <c r="B65" i="10" s="1"/>
  <c r="BI105" i="10"/>
  <c r="BI106" i="10" s="1"/>
  <c r="BI107" i="10" s="1"/>
  <c r="BL79" i="1" s="1"/>
  <c r="BL80" i="1" s="1"/>
  <c r="AC105" i="10"/>
  <c r="AC106" i="10" s="1"/>
  <c r="AC107" i="10" s="1"/>
  <c r="AF79" i="1" s="1"/>
  <c r="AF80" i="1" s="1"/>
  <c r="CA85" i="1"/>
  <c r="CA83" i="1"/>
  <c r="CA86" i="1"/>
  <c r="CA84" i="1"/>
  <c r="AU85" i="1"/>
  <c r="AU83" i="1"/>
  <c r="AU86" i="1"/>
  <c r="AU84" i="1"/>
  <c r="O85" i="1"/>
  <c r="O83" i="1"/>
  <c r="O86" i="1"/>
  <c r="O84" i="1"/>
  <c r="AG46" i="3"/>
  <c r="I46" i="2"/>
  <c r="AC46" i="3"/>
  <c r="H46" i="2"/>
  <c r="H51" i="12" s="1"/>
  <c r="C28" i="11"/>
  <c r="F23" i="11"/>
  <c r="G23" i="11" s="1"/>
  <c r="H23" i="11" s="1"/>
  <c r="I23" i="11" s="1"/>
  <c r="J23" i="11" s="1"/>
  <c r="K23" i="11" s="1"/>
  <c r="L23" i="11" s="1"/>
  <c r="M23" i="11" s="1"/>
  <c r="N23" i="11" s="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AB23" i="11" s="1"/>
  <c r="AC23" i="11" s="1"/>
  <c r="AD23" i="11" s="1"/>
  <c r="AE23" i="11" s="1"/>
  <c r="AF23" i="11" s="1"/>
  <c r="AG23" i="11" s="1"/>
  <c r="AH23" i="11" s="1"/>
  <c r="AI23" i="11" s="1"/>
  <c r="AJ23" i="11" s="1"/>
  <c r="AK23" i="11" s="1"/>
  <c r="AL23" i="11" s="1"/>
  <c r="AM23" i="11" s="1"/>
  <c r="AN23" i="11" s="1"/>
  <c r="AO23" i="11" s="1"/>
  <c r="AP23" i="11" s="1"/>
  <c r="AQ23" i="11" s="1"/>
  <c r="AR23" i="11" s="1"/>
  <c r="AS23" i="11" s="1"/>
  <c r="AT23" i="11" s="1"/>
  <c r="AU23" i="11" s="1"/>
  <c r="AV23" i="11" s="1"/>
  <c r="AW23" i="11" s="1"/>
  <c r="AX23" i="11" s="1"/>
  <c r="AY23" i="11" s="1"/>
  <c r="AZ23" i="11" s="1"/>
  <c r="BA23" i="11" s="1"/>
  <c r="BB23" i="11" s="1"/>
  <c r="BC23" i="11" s="1"/>
  <c r="BD23" i="11" s="1"/>
  <c r="BE23" i="11" s="1"/>
  <c r="BF23" i="11" s="1"/>
  <c r="BG23" i="11" s="1"/>
  <c r="BH23" i="11" s="1"/>
  <c r="BI23" i="11" s="1"/>
  <c r="BJ23" i="11" s="1"/>
  <c r="BK23" i="11" s="1"/>
  <c r="BL23" i="11" s="1"/>
  <c r="BM23" i="11" s="1"/>
  <c r="BN23" i="11" s="1"/>
  <c r="BO23" i="11" s="1"/>
  <c r="BP23" i="11" s="1"/>
  <c r="BQ23" i="11" s="1"/>
  <c r="BR23" i="11" s="1"/>
  <c r="BS23" i="11" s="1"/>
  <c r="BT23" i="11" s="1"/>
  <c r="BU23" i="11" s="1"/>
  <c r="BV23" i="11" s="1"/>
  <c r="BW23" i="11" s="1"/>
  <c r="BX23" i="11" s="1"/>
  <c r="BY23" i="11" s="1"/>
  <c r="BZ23" i="11" s="1"/>
  <c r="CA23" i="11" s="1"/>
  <c r="CB23" i="11" s="1"/>
  <c r="CC23" i="11" s="1"/>
  <c r="CD23" i="11" s="1"/>
  <c r="CE23" i="11" s="1"/>
  <c r="CF23" i="11" s="1"/>
  <c r="CG23" i="11" s="1"/>
  <c r="CH23" i="11" s="1"/>
  <c r="D25" i="3"/>
  <c r="I117" i="1"/>
  <c r="C17" i="1"/>
  <c r="DA17" i="1"/>
  <c r="L9" i="3"/>
  <c r="AG15" i="1"/>
  <c r="L10" i="3" s="1"/>
  <c r="AG9" i="3"/>
  <c r="CR15" i="1"/>
  <c r="BV99" i="16"/>
  <c r="BV100" i="16" s="1"/>
  <c r="BV116" i="1"/>
  <c r="CZ99" i="16"/>
  <c r="CZ100" i="16" s="1"/>
  <c r="CZ116" i="1"/>
  <c r="CZ118" i="1" s="1"/>
  <c r="H116" i="1"/>
  <c r="H118" i="1" s="1"/>
  <c r="W116" i="1"/>
  <c r="S118" i="1"/>
  <c r="AL99" i="16"/>
  <c r="AL100" i="16" s="1"/>
  <c r="AL116" i="1"/>
  <c r="AL118" i="1" s="1"/>
  <c r="CW99" i="16"/>
  <c r="CW100" i="16" s="1"/>
  <c r="CW116" i="1"/>
  <c r="CW118" i="1" s="1"/>
  <c r="BX116" i="1"/>
  <c r="BX118" i="1" s="1"/>
  <c r="L25" i="3" l="1"/>
  <c r="AG117" i="1"/>
  <c r="BX99" i="16"/>
  <c r="BX100" i="16" s="1"/>
  <c r="BR99" i="16"/>
  <c r="BR100" i="16" s="1"/>
  <c r="BI99" i="16"/>
  <c r="BI100" i="16" s="1"/>
  <c r="CA99" i="16"/>
  <c r="CA100" i="16" s="1"/>
  <c r="BP118" i="1"/>
  <c r="BM118" i="1"/>
  <c r="AR99" i="16"/>
  <c r="AR100" i="16" s="1"/>
  <c r="J118" i="1"/>
  <c r="AF99" i="16"/>
  <c r="AF100" i="16" s="1"/>
  <c r="AC99" i="16"/>
  <c r="AC100" i="16" s="1"/>
  <c r="AK99" i="16"/>
  <c r="AK100" i="16" s="1"/>
  <c r="BA99" i="16"/>
  <c r="BA100" i="16" s="1"/>
  <c r="AH118" i="1"/>
  <c r="Y118" i="1"/>
  <c r="H131" i="1"/>
  <c r="AG17" i="1"/>
  <c r="BL99" i="16"/>
  <c r="BL100" i="16" s="1"/>
  <c r="E100" i="16"/>
  <c r="V99" i="16"/>
  <c r="V100" i="16" s="1"/>
  <c r="G22" i="10"/>
  <c r="J10" i="2"/>
  <c r="AO118" i="1"/>
  <c r="AW99" i="16"/>
  <c r="AW100" i="16" s="1"/>
  <c r="AT99" i="16"/>
  <c r="AT100" i="16" s="1"/>
  <c r="H141" i="1"/>
  <c r="H144" i="1" s="1"/>
  <c r="AW107" i="10"/>
  <c r="AZ79" i="1" s="1"/>
  <c r="AZ80" i="1" s="1"/>
  <c r="P117" i="1"/>
  <c r="P118" i="1" s="1"/>
  <c r="CJ117" i="1"/>
  <c r="Z117" i="1"/>
  <c r="BF117" i="1"/>
  <c r="T25" i="3"/>
  <c r="Q25" i="3"/>
  <c r="AV117" i="1"/>
  <c r="CB117" i="1"/>
  <c r="O25" i="3"/>
  <c r="AP117" i="1"/>
  <c r="BX107" i="10"/>
  <c r="CA79" i="1" s="1"/>
  <c r="CA80" i="1" s="1"/>
  <c r="I23" i="10"/>
  <c r="I146" i="1"/>
  <c r="I149" i="1" s="1"/>
  <c r="J145" i="1" s="1"/>
  <c r="AF117" i="1"/>
  <c r="AU117" i="1"/>
  <c r="P25" i="3"/>
  <c r="AN117" i="1"/>
  <c r="Y25" i="3"/>
  <c r="BT117" i="1"/>
  <c r="D23" i="10"/>
  <c r="L107" i="10"/>
  <c r="BD117" i="1"/>
  <c r="BS117" i="1"/>
  <c r="X25" i="3"/>
  <c r="C40" i="3"/>
  <c r="I128" i="1"/>
  <c r="P21" i="18"/>
  <c r="J23" i="10"/>
  <c r="CF107" i="10"/>
  <c r="CM99" i="16"/>
  <c r="CM100" i="16" s="1"/>
  <c r="AA10" i="3"/>
  <c r="BZ17" i="1"/>
  <c r="C29" i="11"/>
  <c r="D29" i="11" s="1"/>
  <c r="I22" i="10"/>
  <c r="H18" i="2"/>
  <c r="Z18" i="3"/>
  <c r="CJ118" i="1"/>
  <c r="D18" i="2"/>
  <c r="J18" i="3"/>
  <c r="E10" i="3"/>
  <c r="L17" i="1"/>
  <c r="AD12" i="3"/>
  <c r="CI20" i="1"/>
  <c r="AZ106" i="10"/>
  <c r="AZ107" i="10" s="1"/>
  <c r="BC79" i="1" s="1"/>
  <c r="BC80" i="1" s="1"/>
  <c r="E22" i="10"/>
  <c r="BG99" i="16"/>
  <c r="BG100" i="16" s="1"/>
  <c r="AH99" i="16"/>
  <c r="AH100" i="16" s="1"/>
  <c r="BN99" i="16"/>
  <c r="W15" i="3"/>
  <c r="BN116" i="1"/>
  <c r="BN118" i="1" s="1"/>
  <c r="BN98" i="16"/>
  <c r="P10" i="3"/>
  <c r="AS17" i="1"/>
  <c r="B18" i="2"/>
  <c r="C18" i="3"/>
  <c r="B51" i="12"/>
  <c r="B70" i="12"/>
  <c r="F13" i="6"/>
  <c r="C25" i="3"/>
  <c r="F117" i="1"/>
  <c r="B25" i="2"/>
  <c r="B46" i="12" s="1"/>
  <c r="E24" i="10"/>
  <c r="AA79" i="1"/>
  <c r="AA80" i="1" s="1"/>
  <c r="H18" i="3"/>
  <c r="S99" i="16"/>
  <c r="S100" i="16" s="1"/>
  <c r="AQ99" i="16"/>
  <c r="AQ100" i="16" s="1"/>
  <c r="P18" i="3"/>
  <c r="AC18" i="3"/>
  <c r="X18" i="3"/>
  <c r="V12" i="3"/>
  <c r="BK20" i="1"/>
  <c r="G12" i="2"/>
  <c r="I18" i="2"/>
  <c r="AD18" i="3"/>
  <c r="C70" i="12"/>
  <c r="C51" i="12"/>
  <c r="T118" i="1"/>
  <c r="Y12" i="3"/>
  <c r="BT20" i="1"/>
  <c r="BW79" i="1"/>
  <c r="BW80" i="1" s="1"/>
  <c r="AG18" i="3"/>
  <c r="CU99" i="16"/>
  <c r="AH15" i="3"/>
  <c r="CU116" i="1"/>
  <c r="CU118" i="1" s="1"/>
  <c r="N10" i="3"/>
  <c r="E10" i="2"/>
  <c r="E41" i="12" s="1"/>
  <c r="AM17" i="1"/>
  <c r="K18" i="3"/>
  <c r="AF18" i="3"/>
  <c r="I10" i="3"/>
  <c r="X17" i="1"/>
  <c r="D10" i="17"/>
  <c r="D27" i="17"/>
  <c r="E18" i="3"/>
  <c r="U18" i="3"/>
  <c r="AZ99" i="16"/>
  <c r="AZ100" i="16" s="1"/>
  <c r="CL99" i="16"/>
  <c r="AE15" i="3"/>
  <c r="CL116" i="1"/>
  <c r="CL118" i="1" s="1"/>
  <c r="CL98" i="16"/>
  <c r="W117" i="1"/>
  <c r="W118" i="1" s="1"/>
  <c r="D10" i="3"/>
  <c r="B10" i="2"/>
  <c r="B41" i="12" s="1"/>
  <c r="AE117" i="1"/>
  <c r="AE118" i="1" s="1"/>
  <c r="E23" i="10"/>
  <c r="BV117" i="1"/>
  <c r="AI99" i="16"/>
  <c r="AI100" i="16" s="1"/>
  <c r="K99" i="16"/>
  <c r="K100" i="16" s="1"/>
  <c r="AE18" i="3"/>
  <c r="AB10" i="3"/>
  <c r="CC17" i="1"/>
  <c r="AN118" i="1"/>
  <c r="CF17" i="1"/>
  <c r="O18" i="3"/>
  <c r="G18" i="3"/>
  <c r="R10" i="3"/>
  <c r="F10" i="2"/>
  <c r="F41" i="12" s="1"/>
  <c r="Q18" i="3"/>
  <c r="D18" i="3"/>
  <c r="AI10" i="3"/>
  <c r="CX17" i="1"/>
  <c r="H22" i="10"/>
  <c r="L18" i="3"/>
  <c r="F109" i="1"/>
  <c r="S18" i="3"/>
  <c r="H182" i="1"/>
  <c r="C39" i="3"/>
  <c r="K10" i="3"/>
  <c r="AD17" i="1"/>
  <c r="BS118" i="1"/>
  <c r="AJ12" i="3"/>
  <c r="DA20" i="1"/>
  <c r="F22" i="10"/>
  <c r="AA18" i="3"/>
  <c r="B12" i="3"/>
  <c r="C20" i="1"/>
  <c r="I51" i="12"/>
  <c r="F70" i="12"/>
  <c r="AJ106" i="10"/>
  <c r="P99" i="16"/>
  <c r="P100" i="16" s="1"/>
  <c r="CD99" i="16"/>
  <c r="CD100" i="16" s="1"/>
  <c r="AU118" i="1"/>
  <c r="C40" i="11"/>
  <c r="C41" i="11" s="1"/>
  <c r="C42" i="11" s="1"/>
  <c r="C18" i="2"/>
  <c r="F18" i="3"/>
  <c r="S10" i="3"/>
  <c r="BB17" i="1"/>
  <c r="F12" i="2" s="1"/>
  <c r="D26" i="16"/>
  <c r="D27" i="16" s="1"/>
  <c r="E25" i="16" s="1"/>
  <c r="CH99" i="16"/>
  <c r="CH100" i="16" s="1"/>
  <c r="BD118" i="1"/>
  <c r="Z118" i="1"/>
  <c r="M10" i="3"/>
  <c r="AJ17" i="1"/>
  <c r="CU98" i="16"/>
  <c r="CU100" i="16" s="1"/>
  <c r="D23" i="16"/>
  <c r="CB118" i="1"/>
  <c r="C12" i="3"/>
  <c r="F20" i="1"/>
  <c r="Q5" i="6"/>
  <c r="N13" i="6"/>
  <c r="F18" i="2"/>
  <c r="R18" i="3"/>
  <c r="BE17" i="1"/>
  <c r="D22" i="10"/>
  <c r="B105" i="10"/>
  <c r="B106" i="10" s="1"/>
  <c r="B107" i="10" s="1"/>
  <c r="L12" i="3"/>
  <c r="AG20" i="1"/>
  <c r="H99" i="16"/>
  <c r="H100" i="16" s="1"/>
  <c r="BV118" i="1"/>
  <c r="BL117" i="1"/>
  <c r="AB18" i="3"/>
  <c r="BP100" i="16"/>
  <c r="AY79" i="1"/>
  <c r="AY80" i="1" s="1"/>
  <c r="R12" i="3"/>
  <c r="AY20" i="1"/>
  <c r="CJ100" i="16"/>
  <c r="J99" i="16"/>
  <c r="J100" i="16" s="1"/>
  <c r="G12" i="3"/>
  <c r="R20" i="1"/>
  <c r="Z99" i="16"/>
  <c r="Z100" i="16" s="1"/>
  <c r="CK99" i="16"/>
  <c r="CK100" i="16" s="1"/>
  <c r="Q118" i="1"/>
  <c r="U10" i="3"/>
  <c r="BH17" i="1"/>
  <c r="V10" i="3"/>
  <c r="G10" i="2"/>
  <c r="G41" i="12" s="1"/>
  <c r="E18" i="2"/>
  <c r="N18" i="3"/>
  <c r="BH106" i="10"/>
  <c r="W18" i="3"/>
  <c r="DD17" i="1"/>
  <c r="D13" i="6"/>
  <c r="G156" i="1"/>
  <c r="BF118" i="1"/>
  <c r="D12" i="3"/>
  <c r="I20" i="1"/>
  <c r="H10" i="3"/>
  <c r="U17" i="1"/>
  <c r="G18" i="2"/>
  <c r="V18" i="3"/>
  <c r="BL118" i="1"/>
  <c r="BY99" i="16"/>
  <c r="BY100" i="16" s="1"/>
  <c r="CB99" i="16"/>
  <c r="CB100" i="16" s="1"/>
  <c r="AX99" i="16"/>
  <c r="AX100" i="16" s="1"/>
  <c r="J10" i="3"/>
  <c r="D10" i="2"/>
  <c r="D41" i="12" s="1"/>
  <c r="AA17" i="1"/>
  <c r="AD10" i="3"/>
  <c r="I10" i="2"/>
  <c r="I41" i="12" s="1"/>
  <c r="CO17" i="1"/>
  <c r="M18" i="3"/>
  <c r="AG10" i="3"/>
  <c r="CR17" i="1"/>
  <c r="Y100" i="16"/>
  <c r="Y18" i="3"/>
  <c r="D21" i="16"/>
  <c r="E19" i="16" s="1"/>
  <c r="AF118" i="1"/>
  <c r="X12" i="3"/>
  <c r="BQ20" i="1"/>
  <c r="E51" i="12"/>
  <c r="D70" i="12"/>
  <c r="BF99" i="16"/>
  <c r="BF100" i="16" s="1"/>
  <c r="BW99" i="16"/>
  <c r="Z15" i="3"/>
  <c r="BW116" i="1"/>
  <c r="F10" i="3"/>
  <c r="C10" i="2"/>
  <c r="C41" i="12" s="1"/>
  <c r="O17" i="1"/>
  <c r="B21" i="10"/>
  <c r="I18" i="3"/>
  <c r="C27" i="17"/>
  <c r="BU118" i="1"/>
  <c r="AP99" i="16"/>
  <c r="O15" i="3"/>
  <c r="AP116" i="1"/>
  <c r="AP98" i="16"/>
  <c r="AP100" i="16" s="1"/>
  <c r="T18" i="3"/>
  <c r="CP99" i="16"/>
  <c r="CP100" i="16" s="1"/>
  <c r="Q99" i="16"/>
  <c r="Q100" i="16" s="1"/>
  <c r="E42" i="3"/>
  <c r="O135" i="1"/>
  <c r="O137" i="1" s="1"/>
  <c r="P135" i="1" s="1"/>
  <c r="B42" i="2"/>
  <c r="B55" i="12" s="1"/>
  <c r="E70" i="12"/>
  <c r="G51" i="12"/>
  <c r="CE99" i="16"/>
  <c r="CE100" i="16" s="1"/>
  <c r="BO99" i="16"/>
  <c r="BO100" i="16" s="1"/>
  <c r="Q10" i="3"/>
  <c r="AV17" i="1"/>
  <c r="I25" i="3"/>
  <c r="X117" i="1"/>
  <c r="C13" i="6"/>
  <c r="H25" i="3"/>
  <c r="I24" i="10" l="1"/>
  <c r="Q12" i="3"/>
  <c r="AV20" i="1"/>
  <c r="C99" i="16"/>
  <c r="B15" i="3"/>
  <c r="C116" i="1"/>
  <c r="C118" i="1" s="1"/>
  <c r="C98" i="16"/>
  <c r="J25" i="3"/>
  <c r="AA117" i="1"/>
  <c r="D25" i="2"/>
  <c r="D46" i="12" s="1"/>
  <c r="E12" i="3"/>
  <c r="L20" i="1"/>
  <c r="BQ99" i="16"/>
  <c r="X15" i="3"/>
  <c r="BQ116" i="1"/>
  <c r="BQ118" i="1" s="1"/>
  <c r="BQ98" i="16"/>
  <c r="AG12" i="3"/>
  <c r="CR20" i="1"/>
  <c r="AF12" i="3"/>
  <c r="CO20" i="1"/>
  <c r="AG99" i="16"/>
  <c r="L15" i="3"/>
  <c r="AG116" i="1"/>
  <c r="AG118" i="1" s="1"/>
  <c r="AG98" i="16"/>
  <c r="E26" i="16"/>
  <c r="E27" i="16" s="1"/>
  <c r="F25" i="16" s="1"/>
  <c r="BT99" i="16"/>
  <c r="Y15" i="3"/>
  <c r="BT116" i="1"/>
  <c r="BT118" i="1" s="1"/>
  <c r="BT98" i="16"/>
  <c r="D24" i="10"/>
  <c r="O79" i="1"/>
  <c r="O80" i="1" s="1"/>
  <c r="CA117" i="1"/>
  <c r="CA118" i="1" s="1"/>
  <c r="AA25" i="3"/>
  <c r="F12" i="3"/>
  <c r="C12" i="2"/>
  <c r="O20" i="1"/>
  <c r="AK12" i="3"/>
  <c r="DD20" i="1"/>
  <c r="D24" i="16"/>
  <c r="E22" i="16" s="1"/>
  <c r="DA99" i="16"/>
  <c r="AJ15" i="3"/>
  <c r="DA116" i="1"/>
  <c r="DA118" i="1" s="1"/>
  <c r="DA98" i="16"/>
  <c r="DA100" i="16" s="1"/>
  <c r="AP118" i="1"/>
  <c r="AY99" i="16"/>
  <c r="R15" i="3"/>
  <c r="AY116" i="1"/>
  <c r="AY98" i="16"/>
  <c r="M12" i="3"/>
  <c r="AJ20" i="1"/>
  <c r="I129" i="1"/>
  <c r="F23" i="10"/>
  <c r="AJ107" i="10"/>
  <c r="BC117" i="1"/>
  <c r="BC118" i="1" s="1"/>
  <c r="S25" i="3"/>
  <c r="J24" i="10"/>
  <c r="CI79" i="1"/>
  <c r="CI80" i="1" s="1"/>
  <c r="U12" i="3"/>
  <c r="BH20" i="1"/>
  <c r="R25" i="3"/>
  <c r="AY117" i="1"/>
  <c r="F25" i="2"/>
  <c r="F46" i="12" s="1"/>
  <c r="B22" i="10"/>
  <c r="B66" i="10" s="1"/>
  <c r="B67" i="10" s="1"/>
  <c r="B69" i="10" s="1"/>
  <c r="N12" i="3"/>
  <c r="E12" i="2"/>
  <c r="AM20" i="1"/>
  <c r="AA12" i="3"/>
  <c r="BZ20" i="1"/>
  <c r="H12" i="2"/>
  <c r="AZ117" i="1"/>
  <c r="AZ118" i="1" s="1"/>
  <c r="E20" i="16"/>
  <c r="H108" i="1" s="1"/>
  <c r="K12" i="3"/>
  <c r="AD20" i="1"/>
  <c r="G23" i="10"/>
  <c r="H12" i="3"/>
  <c r="U20" i="1"/>
  <c r="H23" i="10"/>
  <c r="BH107" i="10"/>
  <c r="G24" i="10"/>
  <c r="F99" i="16"/>
  <c r="C15" i="3"/>
  <c r="F116" i="1"/>
  <c r="F118" i="1" s="1"/>
  <c r="F98" i="16"/>
  <c r="C33" i="11"/>
  <c r="C35" i="11" s="1"/>
  <c r="F111" i="1"/>
  <c r="AC12" i="3"/>
  <c r="CF20" i="1"/>
  <c r="BN100" i="16"/>
  <c r="I12" i="2"/>
  <c r="BW100" i="16"/>
  <c r="J12" i="3"/>
  <c r="AA20" i="1"/>
  <c r="D12" i="2"/>
  <c r="G158" i="1"/>
  <c r="G159" i="1" s="1"/>
  <c r="H155" i="1" s="1"/>
  <c r="R99" i="16"/>
  <c r="G15" i="3"/>
  <c r="R116" i="1"/>
  <c r="R118" i="1" s="1"/>
  <c r="R98" i="16"/>
  <c r="AI12" i="3"/>
  <c r="CX20" i="1"/>
  <c r="J12" i="2"/>
  <c r="CL100" i="16"/>
  <c r="BK99" i="16"/>
  <c r="V15" i="3"/>
  <c r="BK116" i="1"/>
  <c r="G15" i="2"/>
  <c r="BK98" i="16"/>
  <c r="BK100" i="16" s="1"/>
  <c r="CI99" i="16"/>
  <c r="AD15" i="3"/>
  <c r="CI116" i="1"/>
  <c r="CI98" i="16"/>
  <c r="P12" i="3"/>
  <c r="AS20" i="1"/>
  <c r="BW118" i="1"/>
  <c r="I99" i="16"/>
  <c r="D15" i="3"/>
  <c r="I116" i="1"/>
  <c r="I118" i="1" s="1"/>
  <c r="I98" i="16"/>
  <c r="T12" i="3"/>
  <c r="BE20" i="1"/>
  <c r="S12" i="3"/>
  <c r="BB20" i="1"/>
  <c r="F15" i="2" s="1"/>
  <c r="B12" i="2"/>
  <c r="AB12" i="3"/>
  <c r="CC20" i="1"/>
  <c r="I12" i="3"/>
  <c r="X20" i="1"/>
  <c r="Z25" i="3"/>
  <c r="BW117" i="1"/>
  <c r="H25" i="2"/>
  <c r="H46" i="12" s="1"/>
  <c r="G153" i="1"/>
  <c r="G154" i="1" s="1"/>
  <c r="H150" i="1" s="1"/>
  <c r="J146" i="1"/>
  <c r="J149" i="1" s="1"/>
  <c r="K145" i="1" s="1"/>
  <c r="I140" i="1"/>
  <c r="AY118" i="1" l="1"/>
  <c r="B23" i="10"/>
  <c r="I130" i="1"/>
  <c r="I131" i="1" s="1"/>
  <c r="J128" i="1" s="1"/>
  <c r="J129" i="1" s="1"/>
  <c r="J130" i="1" s="1"/>
  <c r="G110" i="1"/>
  <c r="CI100" i="16"/>
  <c r="I15" i="2"/>
  <c r="AY100" i="16"/>
  <c r="E23" i="16"/>
  <c r="E24" i="16" s="1"/>
  <c r="F22" i="16" s="1"/>
  <c r="U99" i="16"/>
  <c r="H15" i="3"/>
  <c r="U116" i="1"/>
  <c r="U118" i="1" s="1"/>
  <c r="U98" i="16"/>
  <c r="E21" i="16"/>
  <c r="F19" i="16" s="1"/>
  <c r="BH99" i="16"/>
  <c r="U15" i="3"/>
  <c r="BH116" i="1"/>
  <c r="BH118" i="1" s="1"/>
  <c r="BH98" i="16"/>
  <c r="DD99" i="16"/>
  <c r="AK15" i="3"/>
  <c r="DD116" i="1"/>
  <c r="DD118" i="1" s="1"/>
  <c r="DD98" i="16"/>
  <c r="AA99" i="16"/>
  <c r="J15" i="3"/>
  <c r="AA116" i="1"/>
  <c r="AA118" i="1" s="1"/>
  <c r="D15" i="2"/>
  <c r="AA98" i="16"/>
  <c r="CC99" i="16"/>
  <c r="AB15" i="3"/>
  <c r="CC116" i="1"/>
  <c r="CC118" i="1" s="1"/>
  <c r="CC98" i="16"/>
  <c r="AD25" i="3"/>
  <c r="CI117" i="1"/>
  <c r="I25" i="2"/>
  <c r="I46" i="12" s="1"/>
  <c r="AJ99" i="16"/>
  <c r="M15" i="3"/>
  <c r="AJ116" i="1"/>
  <c r="AJ118" i="1" s="1"/>
  <c r="AJ98" i="16"/>
  <c r="O99" i="16"/>
  <c r="F15" i="3"/>
  <c r="O116" i="1"/>
  <c r="C15" i="2"/>
  <c r="O98" i="16"/>
  <c r="BQ100" i="16"/>
  <c r="G109" i="1"/>
  <c r="K146" i="1"/>
  <c r="K149" i="1"/>
  <c r="L145" i="1" s="1"/>
  <c r="H151" i="1"/>
  <c r="CX99" i="16"/>
  <c r="AI15" i="3"/>
  <c r="CX116" i="1"/>
  <c r="CX118" i="1" s="1"/>
  <c r="CX98" i="16"/>
  <c r="J15" i="2"/>
  <c r="BT100" i="16"/>
  <c r="L99" i="16"/>
  <c r="G5" i="6" s="1"/>
  <c r="E15" i="3"/>
  <c r="L116" i="1"/>
  <c r="L118" i="1" s="1"/>
  <c r="L98" i="16"/>
  <c r="C100" i="16"/>
  <c r="AV99" i="16"/>
  <c r="Q15" i="3"/>
  <c r="AV116" i="1"/>
  <c r="AV118" i="1" s="1"/>
  <c r="AV98" i="16"/>
  <c r="X99" i="16"/>
  <c r="I15" i="3"/>
  <c r="X116" i="1"/>
  <c r="X118" i="1" s="1"/>
  <c r="X98" i="16"/>
  <c r="F24" i="10"/>
  <c r="AM79" i="1"/>
  <c r="AM80" i="1" s="1"/>
  <c r="C36" i="11"/>
  <c r="C45" i="11"/>
  <c r="C46" i="11" s="1"/>
  <c r="D40" i="11"/>
  <c r="D41" i="11" s="1"/>
  <c r="D42" i="11" s="1"/>
  <c r="CF99" i="16"/>
  <c r="AC15" i="3"/>
  <c r="CF116" i="1"/>
  <c r="CF118" i="1" s="1"/>
  <c r="CF98" i="16"/>
  <c r="I182" i="1"/>
  <c r="F26" i="16"/>
  <c r="F27" i="16" s="1"/>
  <c r="G25" i="16" s="1"/>
  <c r="E27" i="11"/>
  <c r="E28" i="11" s="1"/>
  <c r="C34" i="3"/>
  <c r="BE99" i="16"/>
  <c r="T15" i="3"/>
  <c r="BE116" i="1"/>
  <c r="BE118" i="1" s="1"/>
  <c r="BE98" i="16"/>
  <c r="CI118" i="1"/>
  <c r="F100" i="16"/>
  <c r="BZ99" i="16"/>
  <c r="G11" i="6" s="1"/>
  <c r="AA15" i="3"/>
  <c r="BZ116" i="1"/>
  <c r="BZ118" i="1" s="1"/>
  <c r="BZ98" i="16"/>
  <c r="H15" i="2"/>
  <c r="AS99" i="16"/>
  <c r="P15" i="3"/>
  <c r="AS116" i="1"/>
  <c r="AS118" i="1" s="1"/>
  <c r="AS98" i="16"/>
  <c r="G10" i="6"/>
  <c r="R100" i="16"/>
  <c r="H156" i="1"/>
  <c r="H24" i="10"/>
  <c r="BK79" i="1"/>
  <c r="BK80" i="1" s="1"/>
  <c r="AD99" i="16"/>
  <c r="K15" i="3"/>
  <c r="AD116" i="1"/>
  <c r="AD118" i="1" s="1"/>
  <c r="AD98" i="16"/>
  <c r="AG100" i="16"/>
  <c r="CO99" i="16"/>
  <c r="G12" i="6" s="1"/>
  <c r="AF15" i="3"/>
  <c r="CO116" i="1"/>
  <c r="CO118" i="1" s="1"/>
  <c r="CO98" i="16"/>
  <c r="F25" i="3"/>
  <c r="O117" i="1"/>
  <c r="C25" i="2"/>
  <c r="C46" i="12" s="1"/>
  <c r="I141" i="1"/>
  <c r="I144" i="1" s="1"/>
  <c r="J140" i="1" s="1"/>
  <c r="BB99" i="16"/>
  <c r="G9" i="6" s="1"/>
  <c r="S15" i="3"/>
  <c r="BB116" i="1"/>
  <c r="BB118" i="1" s="1"/>
  <c r="BB98" i="16"/>
  <c r="I100" i="16"/>
  <c r="F120" i="1"/>
  <c r="F113" i="1"/>
  <c r="AM99" i="16"/>
  <c r="N15" i="3"/>
  <c r="AM116" i="1"/>
  <c r="E15" i="2"/>
  <c r="AM98" i="16"/>
  <c r="B15" i="2"/>
  <c r="CR99" i="16"/>
  <c r="AG15" i="3"/>
  <c r="CR116" i="1"/>
  <c r="CR118" i="1" s="1"/>
  <c r="CR98" i="16"/>
  <c r="CR100" i="16" s="1"/>
  <c r="B24" i="10" l="1"/>
  <c r="H10" i="6"/>
  <c r="H158" i="1"/>
  <c r="H159" i="1" s="1"/>
  <c r="I155" i="1" s="1"/>
  <c r="I156" i="1" s="1"/>
  <c r="I158" i="1" s="1"/>
  <c r="J141" i="1"/>
  <c r="J144" i="1" s="1"/>
  <c r="K140" i="1" s="1"/>
  <c r="O10" i="6"/>
  <c r="R10" i="6" s="1"/>
  <c r="J182" i="1"/>
  <c r="N25" i="3"/>
  <c r="AM117" i="1"/>
  <c r="E25" i="2"/>
  <c r="E46" i="12" s="1"/>
  <c r="L146" i="1"/>
  <c r="L149" i="1" s="1"/>
  <c r="M145" i="1" s="1"/>
  <c r="G7" i="6"/>
  <c r="F20" i="16"/>
  <c r="I108" i="1" s="1"/>
  <c r="F23" i="16"/>
  <c r="F24" i="16" s="1"/>
  <c r="G22" i="16" s="1"/>
  <c r="CO100" i="16"/>
  <c r="H12" i="6" s="1"/>
  <c r="L100" i="16"/>
  <c r="H5" i="6" s="1"/>
  <c r="O118" i="1"/>
  <c r="U100" i="16"/>
  <c r="AV100" i="16"/>
  <c r="D33" i="11"/>
  <c r="D35" i="11" s="1"/>
  <c r="D45" i="11" s="1"/>
  <c r="G111" i="1"/>
  <c r="AA100" i="16"/>
  <c r="DD100" i="16"/>
  <c r="BH100" i="16"/>
  <c r="AM118" i="1"/>
  <c r="BB100" i="16"/>
  <c r="F181" i="1"/>
  <c r="F185" i="1" s="1"/>
  <c r="G180" i="1" s="1"/>
  <c r="V25" i="3"/>
  <c r="BK117" i="1"/>
  <c r="BK118" i="1" s="1"/>
  <c r="G25" i="2"/>
  <c r="G46" i="12" s="1"/>
  <c r="BZ100" i="16"/>
  <c r="BE100" i="16"/>
  <c r="H153" i="1"/>
  <c r="H110" i="1" s="1"/>
  <c r="G6" i="6"/>
  <c r="G13" i="6" s="1"/>
  <c r="J131" i="1"/>
  <c r="K128" i="1" s="1"/>
  <c r="G26" i="16"/>
  <c r="G27" i="16" s="1"/>
  <c r="H25" i="16" s="1"/>
  <c r="G8" i="6"/>
  <c r="AM100" i="16"/>
  <c r="AS100" i="16"/>
  <c r="CF100" i="16"/>
  <c r="X100" i="16"/>
  <c r="CX100" i="16"/>
  <c r="CC100" i="16"/>
  <c r="AD100" i="16"/>
  <c r="E29" i="11"/>
  <c r="O100" i="16"/>
  <c r="AJ100" i="16"/>
  <c r="D46" i="11"/>
  <c r="F21" i="16" l="1"/>
  <c r="G19" i="16" s="1"/>
  <c r="H8" i="6"/>
  <c r="H109" i="1"/>
  <c r="H26" i="16"/>
  <c r="K141" i="1"/>
  <c r="K144" i="1" s="1"/>
  <c r="M146" i="1"/>
  <c r="M149" i="1" s="1"/>
  <c r="N145" i="1" s="1"/>
  <c r="E40" i="11"/>
  <c r="E41" i="11" s="1"/>
  <c r="C36" i="3"/>
  <c r="H111" i="1"/>
  <c r="G23" i="16"/>
  <c r="G20" i="16"/>
  <c r="J108" i="1" s="1"/>
  <c r="O5" i="6"/>
  <c r="P5" i="6" s="1"/>
  <c r="H154" i="1"/>
  <c r="P10" i="6"/>
  <c r="S10" i="6" s="1"/>
  <c r="G120" i="1"/>
  <c r="G113" i="1"/>
  <c r="C26" i="3"/>
  <c r="H11" i="6"/>
  <c r="K129" i="1"/>
  <c r="K130" i="1" s="1"/>
  <c r="H7" i="6"/>
  <c r="I159" i="1"/>
  <c r="J155" i="1" s="1"/>
  <c r="D36" i="11"/>
  <c r="H9" i="6"/>
  <c r="O12" i="6"/>
  <c r="R12" i="6" s="1"/>
  <c r="P12" i="6"/>
  <c r="S12" i="6" s="1"/>
  <c r="O8" i="6"/>
  <c r="R8" i="6" s="1"/>
  <c r="H6" i="6"/>
  <c r="I109" i="1"/>
  <c r="F27" i="11"/>
  <c r="F28" i="11" s="1"/>
  <c r="E33" i="11" l="1"/>
  <c r="E35" i="11" s="1"/>
  <c r="C35" i="3"/>
  <c r="E36" i="11"/>
  <c r="N146" i="1"/>
  <c r="N149" i="1" s="1"/>
  <c r="O145" i="1" s="1"/>
  <c r="L140" i="1"/>
  <c r="K182" i="1"/>
  <c r="D39" i="3"/>
  <c r="S5" i="6"/>
  <c r="O6" i="6"/>
  <c r="R6" i="6" s="1"/>
  <c r="E45" i="11"/>
  <c r="E46" i="11" s="1"/>
  <c r="E42" i="11"/>
  <c r="G21" i="16"/>
  <c r="H19" i="16" s="1"/>
  <c r="H13" i="6"/>
  <c r="K131" i="1"/>
  <c r="G27" i="11"/>
  <c r="G28" i="11" s="1"/>
  <c r="O11" i="6"/>
  <c r="R11" i="6" s="1"/>
  <c r="G24" i="16"/>
  <c r="H22" i="16" s="1"/>
  <c r="O9" i="6"/>
  <c r="R9" i="6" s="1"/>
  <c r="P9" i="6"/>
  <c r="S9" i="6" s="1"/>
  <c r="G181" i="1"/>
  <c r="G185" i="1" s="1"/>
  <c r="H180" i="1" s="1"/>
  <c r="P8" i="6"/>
  <c r="S8" i="6" s="1"/>
  <c r="O7" i="6"/>
  <c r="R7" i="6" s="1"/>
  <c r="I150" i="1"/>
  <c r="C44" i="3"/>
  <c r="F33" i="11"/>
  <c r="F35" i="11" s="1"/>
  <c r="F36" i="11" s="1"/>
  <c r="F29" i="11"/>
  <c r="J156" i="1"/>
  <c r="R5" i="6"/>
  <c r="H120" i="1"/>
  <c r="H113" i="1"/>
  <c r="H181" i="1" s="1"/>
  <c r="H27" i="16"/>
  <c r="I25" i="16" s="1"/>
  <c r="G29" i="11" l="1"/>
  <c r="O13" i="6"/>
  <c r="J158" i="1"/>
  <c r="J109" i="1" s="1"/>
  <c r="R13" i="6"/>
  <c r="Q13" i="6" s="1"/>
  <c r="P7" i="6"/>
  <c r="S7" i="6" s="1"/>
  <c r="P11" i="6"/>
  <c r="S11" i="6" s="1"/>
  <c r="G33" i="11"/>
  <c r="G35" i="11" s="1"/>
  <c r="G36" i="11" s="1"/>
  <c r="L141" i="1"/>
  <c r="L144" i="1" s="1"/>
  <c r="M140" i="1" s="1"/>
  <c r="C27" i="3"/>
  <c r="H185" i="1"/>
  <c r="I151" i="1"/>
  <c r="I153" i="1" s="1"/>
  <c r="I110" i="1" s="1"/>
  <c r="D40" i="3"/>
  <c r="L128" i="1"/>
  <c r="P6" i="6"/>
  <c r="H20" i="16"/>
  <c r="K108" i="1" s="1"/>
  <c r="I26" i="16"/>
  <c r="H23" i="16"/>
  <c r="H24" i="16"/>
  <c r="I22" i="16" s="1"/>
  <c r="O149" i="1"/>
  <c r="P145" i="1" s="1"/>
  <c r="O146" i="1"/>
  <c r="J159" i="1" l="1"/>
  <c r="K155" i="1" s="1"/>
  <c r="M141" i="1"/>
  <c r="M144" i="1" s="1"/>
  <c r="N140" i="1" s="1"/>
  <c r="F40" i="11"/>
  <c r="F41" i="11" s="1"/>
  <c r="I111" i="1"/>
  <c r="L129" i="1"/>
  <c r="L130" i="1" s="1"/>
  <c r="P146" i="1"/>
  <c r="P149" i="1" s="1"/>
  <c r="Q145" i="1" s="1"/>
  <c r="S6" i="6"/>
  <c r="S13" i="6" s="1"/>
  <c r="P13" i="6"/>
  <c r="I23" i="16"/>
  <c r="I24" i="16"/>
  <c r="J22" i="16" s="1"/>
  <c r="I154" i="1"/>
  <c r="J150" i="1" s="1"/>
  <c r="H27" i="11"/>
  <c r="H28" i="11" s="1"/>
  <c r="D34" i="3"/>
  <c r="I27" i="16"/>
  <c r="J25" i="16" s="1"/>
  <c r="C49" i="3"/>
  <c r="I180" i="1"/>
  <c r="H21" i="16"/>
  <c r="I19" i="16" s="1"/>
  <c r="K156" i="1" l="1"/>
  <c r="K158" i="1"/>
  <c r="L182" i="1"/>
  <c r="L131" i="1"/>
  <c r="M128" i="1" s="1"/>
  <c r="Q146" i="1"/>
  <c r="Q149" i="1" s="1"/>
  <c r="R145" i="1" s="1"/>
  <c r="N141" i="1"/>
  <c r="N144" i="1" s="1"/>
  <c r="I20" i="16"/>
  <c r="L108" i="1" s="1"/>
  <c r="I21" i="16"/>
  <c r="J19" i="16" s="1"/>
  <c r="J151" i="1"/>
  <c r="J153" i="1"/>
  <c r="J110" i="1" s="1"/>
  <c r="H29" i="11"/>
  <c r="J26" i="16"/>
  <c r="J27" i="16"/>
  <c r="K25" i="16" s="1"/>
  <c r="J23" i="16"/>
  <c r="F42" i="11"/>
  <c r="F45" i="11"/>
  <c r="F46" i="11" s="1"/>
  <c r="I120" i="1"/>
  <c r="I113" i="1"/>
  <c r="K159" i="1" l="1"/>
  <c r="L155" i="1" s="1"/>
  <c r="K109" i="1"/>
  <c r="J154" i="1"/>
  <c r="K150" i="1" s="1"/>
  <c r="K151" i="1"/>
  <c r="K153" i="1" s="1"/>
  <c r="K110" i="1" s="1"/>
  <c r="O140" i="1"/>
  <c r="R146" i="1"/>
  <c r="R149" i="1" s="1"/>
  <c r="S145" i="1" s="1"/>
  <c r="M129" i="1"/>
  <c r="M130" i="1" s="1"/>
  <c r="G40" i="11"/>
  <c r="G41" i="11" s="1"/>
  <c r="G45" i="11" s="1"/>
  <c r="G46" i="11" s="1"/>
  <c r="J111" i="1"/>
  <c r="J20" i="16"/>
  <c r="M108" i="1" s="1"/>
  <c r="J21" i="16"/>
  <c r="K19" i="16" s="1"/>
  <c r="I181" i="1"/>
  <c r="I185" i="1" s="1"/>
  <c r="J180" i="1" s="1"/>
  <c r="K26" i="16"/>
  <c r="I27" i="11"/>
  <c r="I28" i="11" s="1"/>
  <c r="I29" i="11" s="1"/>
  <c r="J24" i="16"/>
  <c r="K22" i="16" s="1"/>
  <c r="G42" i="11" l="1"/>
  <c r="H33" i="11"/>
  <c r="H35" i="11" s="1"/>
  <c r="H36" i="11" s="1"/>
  <c r="D35" i="3"/>
  <c r="L156" i="1"/>
  <c r="L158" i="1"/>
  <c r="L109" i="1" s="1"/>
  <c r="I33" i="11" s="1"/>
  <c r="I35" i="11" s="1"/>
  <c r="M182" i="1"/>
  <c r="M131" i="1"/>
  <c r="N128" i="1" s="1"/>
  <c r="J29" i="11"/>
  <c r="H40" i="11"/>
  <c r="H41" i="11" s="1"/>
  <c r="H45" i="11" s="1"/>
  <c r="H46" i="11" s="1"/>
  <c r="K111" i="1"/>
  <c r="D36" i="3"/>
  <c r="J27" i="11"/>
  <c r="J28" i="11" s="1"/>
  <c r="O141" i="1"/>
  <c r="O144" i="1" s="1"/>
  <c r="P140" i="1" s="1"/>
  <c r="S146" i="1"/>
  <c r="S149" i="1" s="1"/>
  <c r="T145" i="1" s="1"/>
  <c r="K27" i="16"/>
  <c r="L25" i="16" s="1"/>
  <c r="K20" i="16"/>
  <c r="N108" i="1" s="1"/>
  <c r="B34" i="2" s="1"/>
  <c r="J120" i="1"/>
  <c r="J113" i="1"/>
  <c r="K154" i="1"/>
  <c r="K23" i="16"/>
  <c r="L159" i="1" l="1"/>
  <c r="M155" i="1" s="1"/>
  <c r="M156" i="1" s="1"/>
  <c r="I36" i="11"/>
  <c r="P141" i="1"/>
  <c r="P144" i="1" s="1"/>
  <c r="Q140" i="1" s="1"/>
  <c r="K120" i="1"/>
  <c r="K113" i="1"/>
  <c r="K181" i="1" s="1"/>
  <c r="M158" i="1"/>
  <c r="M109" i="1" s="1"/>
  <c r="N129" i="1"/>
  <c r="K21" i="16"/>
  <c r="L19" i="16" s="1"/>
  <c r="T146" i="1"/>
  <c r="T149" i="1" s="1"/>
  <c r="U145" i="1" s="1"/>
  <c r="L26" i="16"/>
  <c r="D26" i="3"/>
  <c r="H42" i="11"/>
  <c r="K27" i="11"/>
  <c r="K28" i="11" s="1"/>
  <c r="K29" i="11" s="1"/>
  <c r="L150" i="1"/>
  <c r="D44" i="3"/>
  <c r="E34" i="3"/>
  <c r="K24" i="16"/>
  <c r="L22" i="16" s="1"/>
  <c r="J181" i="1"/>
  <c r="J185" i="1" s="1"/>
  <c r="K180" i="1" s="1"/>
  <c r="D27" i="3" l="1"/>
  <c r="U146" i="1"/>
  <c r="U149" i="1" s="1"/>
  <c r="V145" i="1" s="1"/>
  <c r="Q141" i="1"/>
  <c r="Q144" i="1" s="1"/>
  <c r="R140" i="1" s="1"/>
  <c r="J33" i="11"/>
  <c r="J35" i="11" s="1"/>
  <c r="L20" i="16"/>
  <c r="O108" i="1" s="1"/>
  <c r="L151" i="1"/>
  <c r="L153" i="1" s="1"/>
  <c r="M159" i="1"/>
  <c r="N155" i="1" s="1"/>
  <c r="L23" i="16"/>
  <c r="N130" i="1"/>
  <c r="K185" i="1"/>
  <c r="L27" i="16"/>
  <c r="M25" i="16" s="1"/>
  <c r="R141" i="1" l="1"/>
  <c r="R144" i="1" s="1"/>
  <c r="S140" i="1" s="1"/>
  <c r="L110" i="1"/>
  <c r="L154" i="1"/>
  <c r="M150" i="1" s="1"/>
  <c r="N182" i="1"/>
  <c r="E39" i="3"/>
  <c r="B39" i="2"/>
  <c r="M26" i="16"/>
  <c r="J36" i="11"/>
  <c r="L27" i="11"/>
  <c r="L28" i="11" s="1"/>
  <c r="N131" i="1"/>
  <c r="N156" i="1"/>
  <c r="D49" i="3"/>
  <c r="L180" i="1"/>
  <c r="L24" i="16"/>
  <c r="M22" i="16" s="1"/>
  <c r="L21" i="16"/>
  <c r="M19" i="16" s="1"/>
  <c r="V146" i="1"/>
  <c r="V149" i="1" s="1"/>
  <c r="W145" i="1" s="1"/>
  <c r="M20" i="16" l="1"/>
  <c r="P108" i="1" s="1"/>
  <c r="L29" i="11"/>
  <c r="M151" i="1"/>
  <c r="M153" i="1" s="1"/>
  <c r="I40" i="11"/>
  <c r="I41" i="11" s="1"/>
  <c r="L111" i="1"/>
  <c r="W146" i="1"/>
  <c r="W149" i="1" s="1"/>
  <c r="X145" i="1" s="1"/>
  <c r="M23" i="16"/>
  <c r="M24" i="16" s="1"/>
  <c r="N22" i="16" s="1"/>
  <c r="N158" i="1"/>
  <c r="N109" i="1" s="1"/>
  <c r="E40" i="3"/>
  <c r="O128" i="1"/>
  <c r="B40" i="2"/>
  <c r="M27" i="16"/>
  <c r="N25" i="16" s="1"/>
  <c r="S141" i="1"/>
  <c r="S144" i="1" s="1"/>
  <c r="T140" i="1" s="1"/>
  <c r="M110" i="1" l="1"/>
  <c r="M154" i="1"/>
  <c r="N150" i="1" s="1"/>
  <c r="X146" i="1"/>
  <c r="X149" i="1" s="1"/>
  <c r="Y145" i="1" s="1"/>
  <c r="O129" i="1"/>
  <c r="O130" i="1" s="1"/>
  <c r="I45" i="11"/>
  <c r="I46" i="11" s="1"/>
  <c r="I42" i="11"/>
  <c r="L120" i="1"/>
  <c r="L113" i="1"/>
  <c r="M27" i="11"/>
  <c r="M28" i="11" s="1"/>
  <c r="M29" i="11" s="1"/>
  <c r="N26" i="16"/>
  <c r="N23" i="16"/>
  <c r="M21" i="16"/>
  <c r="N19" i="16" s="1"/>
  <c r="K33" i="11"/>
  <c r="K35" i="11" s="1"/>
  <c r="B35" i="2"/>
  <c r="E35" i="3"/>
  <c r="T141" i="1"/>
  <c r="T144" i="1" s="1"/>
  <c r="U140" i="1" s="1"/>
  <c r="N159" i="1"/>
  <c r="O155" i="1" s="1"/>
  <c r="U141" i="1" l="1"/>
  <c r="U144" i="1" s="1"/>
  <c r="V140" i="1" s="1"/>
  <c r="Y146" i="1"/>
  <c r="Y149" i="1" s="1"/>
  <c r="Z145" i="1" s="1"/>
  <c r="O182" i="1"/>
  <c r="O131" i="1"/>
  <c r="P128" i="1" s="1"/>
  <c r="O156" i="1"/>
  <c r="N24" i="16"/>
  <c r="O22" i="16" s="1"/>
  <c r="L181" i="1"/>
  <c r="L185" i="1" s="1"/>
  <c r="M180" i="1" s="1"/>
  <c r="N20" i="16"/>
  <c r="Q108" i="1" s="1"/>
  <c r="N27" i="16"/>
  <c r="O25" i="16" s="1"/>
  <c r="N151" i="1"/>
  <c r="K36" i="11"/>
  <c r="J40" i="11"/>
  <c r="J41" i="11" s="1"/>
  <c r="J45" i="11" s="1"/>
  <c r="J46" i="11" s="1"/>
  <c r="M111" i="1"/>
  <c r="N153" i="1" l="1"/>
  <c r="N110" i="1" s="1"/>
  <c r="E36" i="3" s="1"/>
  <c r="N21" i="16"/>
  <c r="O19" i="16" s="1"/>
  <c r="Z146" i="1"/>
  <c r="Z149" i="1" s="1"/>
  <c r="AA145" i="1" s="1"/>
  <c r="V141" i="1"/>
  <c r="V144" i="1" s="1"/>
  <c r="W140" i="1" s="1"/>
  <c r="P129" i="1"/>
  <c r="P130" i="1"/>
  <c r="O158" i="1"/>
  <c r="O109" i="1" s="1"/>
  <c r="O23" i="16"/>
  <c r="K40" i="11"/>
  <c r="K41" i="11" s="1"/>
  <c r="K45" i="11" s="1"/>
  <c r="K46" i="11" s="1"/>
  <c r="N111" i="1"/>
  <c r="E26" i="3" s="1"/>
  <c r="J42" i="11"/>
  <c r="K42" i="11" s="1"/>
  <c r="O26" i="16"/>
  <c r="M120" i="1"/>
  <c r="M113" i="1"/>
  <c r="O20" i="16"/>
  <c r="R108" i="1" s="1"/>
  <c r="N27" i="11"/>
  <c r="N28" i="11" s="1"/>
  <c r="F34" i="3"/>
  <c r="B36" i="2"/>
  <c r="B26" i="2" l="1"/>
  <c r="P131" i="1"/>
  <c r="Q128" i="1" s="1"/>
  <c r="N154" i="1"/>
  <c r="W141" i="1"/>
  <c r="W144" i="1" s="1"/>
  <c r="X140" i="1" s="1"/>
  <c r="Q129" i="1"/>
  <c r="AA146" i="1"/>
  <c r="AA149" i="1"/>
  <c r="AB145" i="1" s="1"/>
  <c r="M181" i="1"/>
  <c r="M185" i="1" s="1"/>
  <c r="N180" i="1" s="1"/>
  <c r="O159" i="1"/>
  <c r="P155" i="1" s="1"/>
  <c r="P182" i="1"/>
  <c r="O27" i="11"/>
  <c r="O28" i="11" s="1"/>
  <c r="O24" i="16"/>
  <c r="P22" i="16" s="1"/>
  <c r="N29" i="11"/>
  <c r="O29" i="11" s="1"/>
  <c r="O21" i="16"/>
  <c r="P19" i="16" s="1"/>
  <c r="O27" i="16"/>
  <c r="P25" i="16" s="1"/>
  <c r="N120" i="1"/>
  <c r="N113" i="1"/>
  <c r="N181" i="1" s="1"/>
  <c r="L33" i="11"/>
  <c r="L35" i="11" s="1"/>
  <c r="E44" i="3" l="1"/>
  <c r="B44" i="2"/>
  <c r="O150" i="1"/>
  <c r="L36" i="11"/>
  <c r="P158" i="1"/>
  <c r="P109" i="1" s="1"/>
  <c r="P156" i="1"/>
  <c r="E27" i="3"/>
  <c r="Q130" i="1"/>
  <c r="Q131" i="1" s="1"/>
  <c r="B27" i="2"/>
  <c r="B48" i="12" s="1"/>
  <c r="N185" i="1"/>
  <c r="P23" i="16"/>
  <c r="P26" i="16"/>
  <c r="P27" i="16" s="1"/>
  <c r="Q25" i="16" s="1"/>
  <c r="AB146" i="1"/>
  <c r="AB149" i="1" s="1"/>
  <c r="AC145" i="1" s="1"/>
  <c r="P20" i="16"/>
  <c r="S108" i="1" s="1"/>
  <c r="X141" i="1"/>
  <c r="X144" i="1" s="1"/>
  <c r="Y140" i="1" s="1"/>
  <c r="O151" i="1" l="1"/>
  <c r="O153" i="1" s="1"/>
  <c r="O110" i="1" s="1"/>
  <c r="B54" i="12"/>
  <c r="B98" i="12"/>
  <c r="B99" i="12" s="1"/>
  <c r="F40" i="3"/>
  <c r="R128" i="1"/>
  <c r="Y141" i="1"/>
  <c r="Y144" i="1" s="1"/>
  <c r="Z140" i="1" s="1"/>
  <c r="M33" i="11"/>
  <c r="M35" i="11" s="1"/>
  <c r="Q26" i="16"/>
  <c r="Q27" i="16" s="1"/>
  <c r="R25" i="16" s="1"/>
  <c r="Q182" i="1"/>
  <c r="F39" i="3"/>
  <c r="P159" i="1"/>
  <c r="Q155" i="1" s="1"/>
  <c r="P27" i="11"/>
  <c r="P28" i="11" s="1"/>
  <c r="P21" i="16"/>
  <c r="Q19" i="16" s="1"/>
  <c r="E49" i="3"/>
  <c r="O180" i="1"/>
  <c r="B49" i="2"/>
  <c r="AC146" i="1"/>
  <c r="AC149" i="1" s="1"/>
  <c r="AD145" i="1" s="1"/>
  <c r="P24" i="16"/>
  <c r="Q22" i="16" s="1"/>
  <c r="L40" i="11" l="1"/>
  <c r="L41" i="11" s="1"/>
  <c r="O111" i="1"/>
  <c r="O154" i="1"/>
  <c r="P150" i="1" s="1"/>
  <c r="AD146" i="1"/>
  <c r="AD149" i="1" s="1"/>
  <c r="AE145" i="1" s="1"/>
  <c r="Z141" i="1"/>
  <c r="Z144" i="1" s="1"/>
  <c r="Q20" i="16"/>
  <c r="T108" i="1" s="1"/>
  <c r="P29" i="11"/>
  <c r="R26" i="16"/>
  <c r="R129" i="1"/>
  <c r="R130" i="1" s="1"/>
  <c r="Q23" i="16"/>
  <c r="M36" i="11"/>
  <c r="Q156" i="1"/>
  <c r="F44" i="3" s="1"/>
  <c r="P151" i="1" l="1"/>
  <c r="P153" i="1" s="1"/>
  <c r="O120" i="1"/>
  <c r="O113" i="1"/>
  <c r="O181" i="1" s="1"/>
  <c r="O185" i="1" s="1"/>
  <c r="P180" i="1" s="1"/>
  <c r="L42" i="11"/>
  <c r="L45" i="11"/>
  <c r="L46" i="11" s="1"/>
  <c r="R182" i="1"/>
  <c r="R131" i="1"/>
  <c r="S128" i="1" s="1"/>
  <c r="AA140" i="1"/>
  <c r="AE146" i="1"/>
  <c r="AE149" i="1" s="1"/>
  <c r="AF145" i="1" s="1"/>
  <c r="Q158" i="1"/>
  <c r="Q27" i="11"/>
  <c r="Q28" i="11" s="1"/>
  <c r="Q29" i="11" s="1"/>
  <c r="G34" i="3"/>
  <c r="Q21" i="16"/>
  <c r="R19" i="16" s="1"/>
  <c r="R27" i="16"/>
  <c r="S25" i="16" s="1"/>
  <c r="Q24" i="16"/>
  <c r="R22" i="16" s="1"/>
  <c r="P110" i="1" l="1"/>
  <c r="P154" i="1"/>
  <c r="Q150" i="1" s="1"/>
  <c r="R23" i="16"/>
  <c r="R24" i="16"/>
  <c r="S22" i="16" s="1"/>
  <c r="S26" i="16"/>
  <c r="S27" i="16" s="1"/>
  <c r="T25" i="16" s="1"/>
  <c r="Q109" i="1"/>
  <c r="Q159" i="1"/>
  <c r="R155" i="1" s="1"/>
  <c r="AA141" i="1"/>
  <c r="AA144" i="1" s="1"/>
  <c r="AB140" i="1" s="1"/>
  <c r="S129" i="1"/>
  <c r="S130" i="1"/>
  <c r="R20" i="16"/>
  <c r="U108" i="1" s="1"/>
  <c r="AF146" i="1"/>
  <c r="AF149" i="1" s="1"/>
  <c r="AG145" i="1" s="1"/>
  <c r="Q151" i="1" l="1"/>
  <c r="Q153" i="1" s="1"/>
  <c r="Q110" i="1" s="1"/>
  <c r="Q154" i="1"/>
  <c r="R150" i="1" s="1"/>
  <c r="R151" i="1" s="1"/>
  <c r="R153" i="1" s="1"/>
  <c r="M40" i="11"/>
  <c r="M41" i="11" s="1"/>
  <c r="P111" i="1"/>
  <c r="AG146" i="1"/>
  <c r="AG149" i="1" s="1"/>
  <c r="AH145" i="1" s="1"/>
  <c r="AB141" i="1"/>
  <c r="AB144" i="1" s="1"/>
  <c r="AC140" i="1" s="1"/>
  <c r="R110" i="1"/>
  <c r="T26" i="16"/>
  <c r="T27" i="16"/>
  <c r="U25" i="16" s="1"/>
  <c r="R156" i="1"/>
  <c r="R158" i="1" s="1"/>
  <c r="R109" i="1" s="1"/>
  <c r="R21" i="16"/>
  <c r="S19" i="16" s="1"/>
  <c r="S182" i="1"/>
  <c r="N33" i="11"/>
  <c r="N35" i="11" s="1"/>
  <c r="Q111" i="1"/>
  <c r="F35" i="3"/>
  <c r="S131" i="1"/>
  <c r="T128" i="1" s="1"/>
  <c r="R27" i="11"/>
  <c r="R28" i="11" s="1"/>
  <c r="S23" i="16"/>
  <c r="S24" i="16" s="1"/>
  <c r="T22" i="16" s="1"/>
  <c r="P113" i="1" l="1"/>
  <c r="P181" i="1" s="1"/>
  <c r="P120" i="1"/>
  <c r="M45" i="11"/>
  <c r="M46" i="11" s="1"/>
  <c r="M42" i="11"/>
  <c r="R154" i="1"/>
  <c r="S150" i="1" s="1"/>
  <c r="N40" i="11"/>
  <c r="N41" i="11" s="1"/>
  <c r="N42" i="11" s="1"/>
  <c r="F36" i="3"/>
  <c r="T24" i="16"/>
  <c r="U22" i="16" s="1"/>
  <c r="T23" i="16"/>
  <c r="O33" i="11"/>
  <c r="O35" i="11" s="1"/>
  <c r="AC141" i="1"/>
  <c r="AC144" i="1" s="1"/>
  <c r="AD140" i="1" s="1"/>
  <c r="Q120" i="1"/>
  <c r="Q113" i="1"/>
  <c r="F26" i="3"/>
  <c r="S151" i="1"/>
  <c r="U26" i="16"/>
  <c r="R29" i="11"/>
  <c r="O40" i="11"/>
  <c r="O41" i="11" s="1"/>
  <c r="R111" i="1"/>
  <c r="T129" i="1"/>
  <c r="S20" i="16"/>
  <c r="V108" i="1" s="1"/>
  <c r="R159" i="1"/>
  <c r="S155" i="1" s="1"/>
  <c r="N45" i="11"/>
  <c r="N46" i="11" s="1"/>
  <c r="N36" i="11"/>
  <c r="O36" i="11" s="1"/>
  <c r="AH146" i="1"/>
  <c r="AH149" i="1" s="1"/>
  <c r="AI145" i="1" s="1"/>
  <c r="O42" i="11" l="1"/>
  <c r="AD141" i="1"/>
  <c r="AD144" i="1"/>
  <c r="AE140" i="1" s="1"/>
  <c r="R120" i="1"/>
  <c r="R113" i="1"/>
  <c r="S153" i="1"/>
  <c r="S110" i="1" s="1"/>
  <c r="AI146" i="1"/>
  <c r="AI149" i="1" s="1"/>
  <c r="AJ145" i="1" s="1"/>
  <c r="S21" i="16"/>
  <c r="T19" i="16" s="1"/>
  <c r="S27" i="11"/>
  <c r="S28" i="11" s="1"/>
  <c r="S29" i="11"/>
  <c r="O45" i="11"/>
  <c r="O46" i="11" s="1"/>
  <c r="T130" i="1"/>
  <c r="S156" i="1"/>
  <c r="Q181" i="1"/>
  <c r="F27" i="3"/>
  <c r="U27" i="16"/>
  <c r="V25" i="16" s="1"/>
  <c r="U23" i="16"/>
  <c r="U24" i="16" s="1"/>
  <c r="V22" i="16" s="1"/>
  <c r="T20" i="16" l="1"/>
  <c r="W108" i="1" s="1"/>
  <c r="V26" i="16"/>
  <c r="V27" i="16"/>
  <c r="W25" i="16" s="1"/>
  <c r="AE141" i="1"/>
  <c r="AE144" i="1" s="1"/>
  <c r="AF140" i="1" s="1"/>
  <c r="AJ146" i="1"/>
  <c r="AJ149" i="1" s="1"/>
  <c r="AK145" i="1" s="1"/>
  <c r="T182" i="1"/>
  <c r="G39" i="3"/>
  <c r="S158" i="1"/>
  <c r="S109" i="1" s="1"/>
  <c r="P40" i="11"/>
  <c r="P41" i="11" s="1"/>
  <c r="P42" i="11" s="1"/>
  <c r="T131" i="1"/>
  <c r="V23" i="16"/>
  <c r="R181" i="1"/>
  <c r="S154" i="1"/>
  <c r="T150" i="1" s="1"/>
  <c r="T21" i="16" l="1"/>
  <c r="U19" i="16" s="1"/>
  <c r="AK146" i="1"/>
  <c r="AK149" i="1" s="1"/>
  <c r="AL145" i="1" s="1"/>
  <c r="AF141" i="1"/>
  <c r="AF144" i="1" s="1"/>
  <c r="AG140" i="1" s="1"/>
  <c r="W26" i="16"/>
  <c r="W27" i="16" s="1"/>
  <c r="X25" i="16" s="1"/>
  <c r="U20" i="16"/>
  <c r="X108" i="1" s="1"/>
  <c r="T151" i="1"/>
  <c r="T27" i="11"/>
  <c r="T28" i="11" s="1"/>
  <c r="H34" i="3"/>
  <c r="P33" i="11"/>
  <c r="P35" i="11" s="1"/>
  <c r="G40" i="3"/>
  <c r="U128" i="1"/>
  <c r="V24" i="16"/>
  <c r="W22" i="16" s="1"/>
  <c r="S111" i="1"/>
  <c r="S159" i="1"/>
  <c r="T155" i="1" s="1"/>
  <c r="U21" i="16" l="1"/>
  <c r="V19" i="16" s="1"/>
  <c r="X26" i="16"/>
  <c r="AG141" i="1"/>
  <c r="AG144" i="1" s="1"/>
  <c r="AH140" i="1" s="1"/>
  <c r="AL146" i="1"/>
  <c r="AL149" i="1" s="1"/>
  <c r="AM145" i="1" s="1"/>
  <c r="T29" i="11"/>
  <c r="U129" i="1"/>
  <c r="U130" i="1"/>
  <c r="W23" i="16"/>
  <c r="W24" i="16" s="1"/>
  <c r="X22" i="16" s="1"/>
  <c r="T153" i="1"/>
  <c r="T110" i="1" s="1"/>
  <c r="T156" i="1"/>
  <c r="G44" i="3" s="1"/>
  <c r="P45" i="11"/>
  <c r="P46" i="11" s="1"/>
  <c r="P36" i="11"/>
  <c r="U27" i="11"/>
  <c r="U28" i="11" s="1"/>
  <c r="S120" i="1"/>
  <c r="S113" i="1"/>
  <c r="V20" i="16"/>
  <c r="Y108" i="1" s="1"/>
  <c r="U131" i="1" l="1"/>
  <c r="V128" i="1" s="1"/>
  <c r="V129" i="1" s="1"/>
  <c r="AM146" i="1"/>
  <c r="AM149" i="1" s="1"/>
  <c r="AN145" i="1" s="1"/>
  <c r="X23" i="16"/>
  <c r="X24" i="16"/>
  <c r="Y22" i="16" s="1"/>
  <c r="AH141" i="1"/>
  <c r="AH144" i="1" s="1"/>
  <c r="AI140" i="1" s="1"/>
  <c r="Q40" i="11"/>
  <c r="Q41" i="11" s="1"/>
  <c r="Q42" i="11" s="1"/>
  <c r="G36" i="3"/>
  <c r="V27" i="11"/>
  <c r="V28" i="11" s="1"/>
  <c r="V21" i="16"/>
  <c r="W19" i="16" s="1"/>
  <c r="U182" i="1"/>
  <c r="S181" i="1"/>
  <c r="T158" i="1"/>
  <c r="T109" i="1" s="1"/>
  <c r="X27" i="16"/>
  <c r="Y25" i="16" s="1"/>
  <c r="T159" i="1"/>
  <c r="U155" i="1" s="1"/>
  <c r="U29" i="11"/>
  <c r="T154" i="1"/>
  <c r="U150" i="1" s="1"/>
  <c r="V130" i="1" l="1"/>
  <c r="V182" i="1" s="1"/>
  <c r="AI141" i="1"/>
  <c r="AI144" i="1" s="1"/>
  <c r="AJ140" i="1" s="1"/>
  <c r="AN146" i="1"/>
  <c r="AN149" i="1" s="1"/>
  <c r="AO145" i="1" s="1"/>
  <c r="U156" i="1"/>
  <c r="Y26" i="16"/>
  <c r="Y23" i="16"/>
  <c r="Q33" i="11"/>
  <c r="Q35" i="11" s="1"/>
  <c r="G35" i="3"/>
  <c r="U151" i="1"/>
  <c r="W20" i="16"/>
  <c r="Z108" i="1" s="1"/>
  <c r="T111" i="1"/>
  <c r="V29" i="11"/>
  <c r="U158" i="1" l="1"/>
  <c r="U109" i="1" s="1"/>
  <c r="V131" i="1"/>
  <c r="W128" i="1" s="1"/>
  <c r="W129" i="1" s="1"/>
  <c r="W130" i="1" s="1"/>
  <c r="AO146" i="1"/>
  <c r="AO149" i="1" s="1"/>
  <c r="AP145" i="1" s="1"/>
  <c r="W182" i="1"/>
  <c r="H39" i="3"/>
  <c r="W131" i="1"/>
  <c r="AJ141" i="1"/>
  <c r="AJ144" i="1" s="1"/>
  <c r="AK140" i="1" s="1"/>
  <c r="W27" i="11"/>
  <c r="W28" i="11" s="1"/>
  <c r="I34" i="3"/>
  <c r="C34" i="2"/>
  <c r="Q45" i="11"/>
  <c r="Q46" i="11" s="1"/>
  <c r="Q36" i="11"/>
  <c r="U153" i="1"/>
  <c r="U110" i="1" s="1"/>
  <c r="Y27" i="16"/>
  <c r="Z25" i="16" s="1"/>
  <c r="Y24" i="16"/>
  <c r="Z22" i="16" s="1"/>
  <c r="T120" i="1"/>
  <c r="T113" i="1"/>
  <c r="G26" i="3"/>
  <c r="W21" i="16"/>
  <c r="X19" i="16" s="1"/>
  <c r="R33" i="11"/>
  <c r="R35" i="11" s="1"/>
  <c r="U154" i="1" l="1"/>
  <c r="V150" i="1" s="1"/>
  <c r="U159" i="1"/>
  <c r="V155" i="1" s="1"/>
  <c r="V156" i="1" s="1"/>
  <c r="V158" i="1" s="1"/>
  <c r="V109" i="1" s="1"/>
  <c r="S33" i="11" s="1"/>
  <c r="S35" i="11" s="1"/>
  <c r="AK141" i="1"/>
  <c r="AK144" i="1" s="1"/>
  <c r="AL140" i="1" s="1"/>
  <c r="AP146" i="1"/>
  <c r="AP149" i="1" s="1"/>
  <c r="AQ145" i="1" s="1"/>
  <c r="V151" i="1"/>
  <c r="Z26" i="16"/>
  <c r="H40" i="3"/>
  <c r="X128" i="1"/>
  <c r="W29" i="11"/>
  <c r="R36" i="11"/>
  <c r="V159" i="1"/>
  <c r="W155" i="1" s="1"/>
  <c r="X20" i="16"/>
  <c r="AA108" i="1" s="1"/>
  <c r="R40" i="11"/>
  <c r="R41" i="11" s="1"/>
  <c r="R42" i="11" s="1"/>
  <c r="U111" i="1"/>
  <c r="T181" i="1"/>
  <c r="G27" i="3"/>
  <c r="Z23" i="16"/>
  <c r="Z24" i="16" s="1"/>
  <c r="AA22" i="16" s="1"/>
  <c r="S36" i="11" l="1"/>
  <c r="AQ146" i="1"/>
  <c r="AQ149" i="1" s="1"/>
  <c r="AR145" i="1" s="1"/>
  <c r="AL141" i="1"/>
  <c r="AL144" i="1" s="1"/>
  <c r="V153" i="1"/>
  <c r="V110" i="1" s="1"/>
  <c r="AA23" i="16"/>
  <c r="R45" i="11"/>
  <c r="R46" i="11" s="1"/>
  <c r="X129" i="1"/>
  <c r="X27" i="11"/>
  <c r="X28" i="11" s="1"/>
  <c r="X29" i="11" s="1"/>
  <c r="X21" i="16"/>
  <c r="Y19" i="16" s="1"/>
  <c r="Z27" i="16"/>
  <c r="AA25" i="16" s="1"/>
  <c r="U120" i="1"/>
  <c r="U113" i="1"/>
  <c r="W156" i="1"/>
  <c r="H44" i="3" s="1"/>
  <c r="AM140" i="1" l="1"/>
  <c r="X130" i="1"/>
  <c r="S40" i="11"/>
  <c r="S41" i="11" s="1"/>
  <c r="V111" i="1"/>
  <c r="AR146" i="1"/>
  <c r="AR149" i="1" s="1"/>
  <c r="AS145" i="1" s="1"/>
  <c r="AA26" i="16"/>
  <c r="AA27" i="16" s="1"/>
  <c r="AB25" i="16" s="1"/>
  <c r="Y20" i="16"/>
  <c r="AB108" i="1" s="1"/>
  <c r="W158" i="1"/>
  <c r="W109" i="1" s="1"/>
  <c r="U181" i="1"/>
  <c r="AA24" i="16"/>
  <c r="AB22" i="16" s="1"/>
  <c r="V154" i="1"/>
  <c r="W150" i="1" s="1"/>
  <c r="Y21" i="16" l="1"/>
  <c r="Z19" i="16" s="1"/>
  <c r="AB26" i="16"/>
  <c r="AB27" i="16" s="1"/>
  <c r="AC25" i="16" s="1"/>
  <c r="AS146" i="1"/>
  <c r="AS149" i="1" s="1"/>
  <c r="AT145" i="1" s="1"/>
  <c r="AB23" i="16"/>
  <c r="AB24" i="16"/>
  <c r="AC22" i="16" s="1"/>
  <c r="Z20" i="16"/>
  <c r="AC108" i="1" s="1"/>
  <c r="S42" i="11"/>
  <c r="S45" i="11"/>
  <c r="S46" i="11" s="1"/>
  <c r="V120" i="1"/>
  <c r="V113" i="1"/>
  <c r="X182" i="1"/>
  <c r="W159" i="1"/>
  <c r="X155" i="1" s="1"/>
  <c r="T33" i="11"/>
  <c r="T35" i="11" s="1"/>
  <c r="H35" i="3"/>
  <c r="AM141" i="1"/>
  <c r="AM144" i="1" s="1"/>
  <c r="AN140" i="1" s="1"/>
  <c r="W151" i="1"/>
  <c r="Y27" i="11"/>
  <c r="Y28" i="11" s="1"/>
  <c r="X131" i="1"/>
  <c r="Y128" i="1" s="1"/>
  <c r="AN141" i="1" l="1"/>
  <c r="AN144" i="1" s="1"/>
  <c r="AO140" i="1" s="1"/>
  <c r="AT146" i="1"/>
  <c r="AT149" i="1" s="1"/>
  <c r="AU145" i="1" s="1"/>
  <c r="AC26" i="16"/>
  <c r="Y129" i="1"/>
  <c r="Z21" i="16"/>
  <c r="AA19" i="16" s="1"/>
  <c r="T36" i="11"/>
  <c r="Z27" i="11"/>
  <c r="Z28" i="11" s="1"/>
  <c r="J34" i="3"/>
  <c r="Y29" i="11"/>
  <c r="V181" i="1"/>
  <c r="W153" i="1"/>
  <c r="W110" i="1" s="1"/>
  <c r="X156" i="1"/>
  <c r="AC23" i="16"/>
  <c r="AC24" i="16" s="1"/>
  <c r="AD22" i="16" s="1"/>
  <c r="AD23" i="16" l="1"/>
  <c r="AO141" i="1"/>
  <c r="AO144" i="1" s="1"/>
  <c r="AP140" i="1" s="1"/>
  <c r="AU146" i="1"/>
  <c r="AU149" i="1" s="1"/>
  <c r="AV145" i="1" s="1"/>
  <c r="T40" i="11"/>
  <c r="T41" i="11" s="1"/>
  <c r="W111" i="1"/>
  <c r="H36" i="3"/>
  <c r="AC27" i="16"/>
  <c r="AD25" i="16" s="1"/>
  <c r="Z29" i="11"/>
  <c r="AA20" i="16"/>
  <c r="AD108" i="1" s="1"/>
  <c r="X158" i="1"/>
  <c r="X109" i="1" s="1"/>
  <c r="Y130" i="1"/>
  <c r="W154" i="1"/>
  <c r="X150" i="1" s="1"/>
  <c r="AV146" i="1" l="1"/>
  <c r="AV149" i="1" s="1"/>
  <c r="AW145" i="1" s="1"/>
  <c r="AP141" i="1"/>
  <c r="AP144" i="1" s="1"/>
  <c r="AQ140" i="1" s="1"/>
  <c r="X151" i="1"/>
  <c r="X153" i="1"/>
  <c r="X110" i="1" s="1"/>
  <c r="AD26" i="16"/>
  <c r="AD27" i="16"/>
  <c r="AE25" i="16" s="1"/>
  <c r="Y182" i="1"/>
  <c r="X159" i="1"/>
  <c r="Y155" i="1" s="1"/>
  <c r="U33" i="11"/>
  <c r="U35" i="11" s="1"/>
  <c r="Y131" i="1"/>
  <c r="Z128" i="1" s="1"/>
  <c r="AA27" i="11"/>
  <c r="AA28" i="11" s="1"/>
  <c r="AA29" i="11" s="1"/>
  <c r="W120" i="1"/>
  <c r="W113" i="1"/>
  <c r="H26" i="3"/>
  <c r="AA21" i="16"/>
  <c r="AB19" i="16" s="1"/>
  <c r="T45" i="11"/>
  <c r="T46" i="11" s="1"/>
  <c r="T42" i="11"/>
  <c r="AD24" i="16"/>
  <c r="AE22" i="16" s="1"/>
  <c r="AW146" i="1" l="1"/>
  <c r="AW149" i="1" s="1"/>
  <c r="AX145" i="1" s="1"/>
  <c r="AQ141" i="1"/>
  <c r="AQ144" i="1"/>
  <c r="AR140" i="1" s="1"/>
  <c r="AE26" i="16"/>
  <c r="AE27" i="16" s="1"/>
  <c r="AF25" i="16" s="1"/>
  <c r="U36" i="11"/>
  <c r="Y156" i="1"/>
  <c r="Y158" i="1" s="1"/>
  <c r="Y109" i="1" s="1"/>
  <c r="W181" i="1"/>
  <c r="H27" i="3"/>
  <c r="AE23" i="16"/>
  <c r="U40" i="11"/>
  <c r="U41" i="11" s="1"/>
  <c r="U45" i="11" s="1"/>
  <c r="U46" i="11" s="1"/>
  <c r="X111" i="1"/>
  <c r="X154" i="1"/>
  <c r="Y150" i="1" s="1"/>
  <c r="AB20" i="16"/>
  <c r="AE108" i="1" s="1"/>
  <c r="AB21" i="16"/>
  <c r="AC19" i="16" s="1"/>
  <c r="Z130" i="1"/>
  <c r="Z131" i="1" s="1"/>
  <c r="Z129" i="1"/>
  <c r="AX146" i="1" l="1"/>
  <c r="AX149" i="1" s="1"/>
  <c r="AY145" i="1" s="1"/>
  <c r="I40" i="3"/>
  <c r="AA128" i="1"/>
  <c r="C40" i="2"/>
  <c r="V33" i="11"/>
  <c r="V35" i="11" s="1"/>
  <c r="V36" i="11" s="1"/>
  <c r="Y151" i="1"/>
  <c r="Y153" i="1" s="1"/>
  <c r="Y110" i="1" s="1"/>
  <c r="U42" i="11"/>
  <c r="X120" i="1"/>
  <c r="X113" i="1"/>
  <c r="Y159" i="1"/>
  <c r="Z155" i="1" s="1"/>
  <c r="Z182" i="1"/>
  <c r="I39" i="3"/>
  <c r="C39" i="2"/>
  <c r="AF26" i="16"/>
  <c r="AC20" i="16"/>
  <c r="AF108" i="1" s="1"/>
  <c r="AR141" i="1"/>
  <c r="AR144" i="1" s="1"/>
  <c r="AS140" i="1" s="1"/>
  <c r="AB27" i="11"/>
  <c r="AB28" i="11" s="1"/>
  <c r="AE24" i="16"/>
  <c r="AF22" i="16" s="1"/>
  <c r="V40" i="11" l="1"/>
  <c r="V41" i="11" s="1"/>
  <c r="V45" i="11" s="1"/>
  <c r="V46" i="11" s="1"/>
  <c r="Y111" i="1"/>
  <c r="AS141" i="1"/>
  <c r="AS144" i="1" s="1"/>
  <c r="AT140" i="1" s="1"/>
  <c r="AB29" i="11"/>
  <c r="AC27" i="11"/>
  <c r="AC28" i="11" s="1"/>
  <c r="AY146" i="1"/>
  <c r="AY149" i="1" s="1"/>
  <c r="AZ145" i="1" s="1"/>
  <c r="AF23" i="16"/>
  <c r="AF24" i="16" s="1"/>
  <c r="AG22" i="16" s="1"/>
  <c r="Z156" i="1"/>
  <c r="I44" i="3" s="1"/>
  <c r="Y154" i="1"/>
  <c r="Z150" i="1" s="1"/>
  <c r="AA129" i="1"/>
  <c r="AA130" i="1"/>
  <c r="AC21" i="16"/>
  <c r="AD19" i="16" s="1"/>
  <c r="K34" i="3"/>
  <c r="AF27" i="16"/>
  <c r="AG25" i="16" s="1"/>
  <c r="X181" i="1"/>
  <c r="AC29" i="11" l="1"/>
  <c r="Z158" i="1"/>
  <c r="Z109" i="1" s="1"/>
  <c r="AZ146" i="1"/>
  <c r="AZ149" i="1" s="1"/>
  <c r="BA145" i="1" s="1"/>
  <c r="AT141" i="1"/>
  <c r="AT144" i="1"/>
  <c r="AU140" i="1" s="1"/>
  <c r="AA182" i="1"/>
  <c r="AG23" i="16"/>
  <c r="AA131" i="1"/>
  <c r="AB128" i="1" s="1"/>
  <c r="V42" i="11"/>
  <c r="Z151" i="1"/>
  <c r="AG26" i="16"/>
  <c r="AG27" i="16" s="1"/>
  <c r="AH25" i="16" s="1"/>
  <c r="W33" i="11"/>
  <c r="W35" i="11" s="1"/>
  <c r="I35" i="3"/>
  <c r="C35" i="2"/>
  <c r="Z159" i="1"/>
  <c r="AA155" i="1" s="1"/>
  <c r="Y120" i="1"/>
  <c r="Y113" i="1"/>
  <c r="AD20" i="16"/>
  <c r="AG108" i="1" s="1"/>
  <c r="BA146" i="1" l="1"/>
  <c r="BA149" i="1" s="1"/>
  <c r="BB145" i="1" s="1"/>
  <c r="Y181" i="1"/>
  <c r="Z153" i="1"/>
  <c r="Z110" i="1" s="1"/>
  <c r="AA156" i="1"/>
  <c r="AU141" i="1"/>
  <c r="AU144" i="1" s="1"/>
  <c r="AV140" i="1" s="1"/>
  <c r="AD27" i="11"/>
  <c r="AD28" i="11" s="1"/>
  <c r="AD21" i="16"/>
  <c r="AE19" i="16" s="1"/>
  <c r="W36" i="11"/>
  <c r="AB129" i="1"/>
  <c r="AB130" i="1" s="1"/>
  <c r="AH26" i="16"/>
  <c r="AH27" i="16" s="1"/>
  <c r="AI25" i="16" s="1"/>
  <c r="AG24" i="16"/>
  <c r="AH22" i="16" s="1"/>
  <c r="AV141" i="1" l="1"/>
  <c r="AV144" i="1" s="1"/>
  <c r="AW140" i="1" s="1"/>
  <c r="AB182" i="1"/>
  <c r="AB131" i="1"/>
  <c r="AC128" i="1" s="1"/>
  <c r="BB146" i="1"/>
  <c r="BB149" i="1" s="1"/>
  <c r="BC145" i="1" s="1"/>
  <c r="AI26" i="16"/>
  <c r="AI27" i="16"/>
  <c r="AJ25" i="16" s="1"/>
  <c r="W40" i="11"/>
  <c r="W41" i="11" s="1"/>
  <c r="Z111" i="1"/>
  <c r="I36" i="3"/>
  <c r="C36" i="2"/>
  <c r="AH23" i="16"/>
  <c r="AH24" i="16" s="1"/>
  <c r="AI22" i="16" s="1"/>
  <c r="AD29" i="11"/>
  <c r="AE20" i="16"/>
  <c r="AH108" i="1" s="1"/>
  <c r="AA158" i="1"/>
  <c r="AA109" i="1" s="1"/>
  <c r="Z154" i="1"/>
  <c r="AW141" i="1" l="1"/>
  <c r="AW144" i="1" s="1"/>
  <c r="AX140" i="1" s="1"/>
  <c r="AI23" i="16"/>
  <c r="AI24" i="16" s="1"/>
  <c r="AJ22" i="16" s="1"/>
  <c r="BC146" i="1"/>
  <c r="BC149" i="1" s="1"/>
  <c r="BD145" i="1" s="1"/>
  <c r="X33" i="11"/>
  <c r="X35" i="11" s="1"/>
  <c r="AC129" i="1"/>
  <c r="AC130" i="1"/>
  <c r="AE27" i="11"/>
  <c r="AE28" i="11" s="1"/>
  <c r="AE29" i="11" s="1"/>
  <c r="AE21" i="16"/>
  <c r="AF19" i="16" s="1"/>
  <c r="Z120" i="1"/>
  <c r="Z113" i="1"/>
  <c r="I26" i="3"/>
  <c r="C26" i="2"/>
  <c r="W42" i="11"/>
  <c r="W45" i="11"/>
  <c r="W46" i="11" s="1"/>
  <c r="AJ26" i="16"/>
  <c r="AJ27" i="16" s="1"/>
  <c r="AK25" i="16" s="1"/>
  <c r="AA159" i="1"/>
  <c r="AB155" i="1" s="1"/>
  <c r="AA150" i="1"/>
  <c r="C44" i="2"/>
  <c r="AC131" i="1" l="1"/>
  <c r="J40" i="3"/>
  <c r="AD128" i="1"/>
  <c r="BD146" i="1"/>
  <c r="BD149" i="1"/>
  <c r="BE145" i="1" s="1"/>
  <c r="AX141" i="1"/>
  <c r="AX144" i="1" s="1"/>
  <c r="AA151" i="1"/>
  <c r="AA153" i="1" s="1"/>
  <c r="AC182" i="1"/>
  <c r="J39" i="3"/>
  <c r="AJ23" i="16"/>
  <c r="AJ24" i="16"/>
  <c r="AK22" i="16" s="1"/>
  <c r="X36" i="11"/>
  <c r="C98" i="12"/>
  <c r="C99" i="12" s="1"/>
  <c r="C54" i="12"/>
  <c r="AB156" i="1"/>
  <c r="AB158" i="1" s="1"/>
  <c r="AB109" i="1" s="1"/>
  <c r="Z181" i="1"/>
  <c r="I27" i="3"/>
  <c r="C27" i="2"/>
  <c r="C48" i="12" s="1"/>
  <c r="AK26" i="16"/>
  <c r="AK27" i="16" s="1"/>
  <c r="AL25" i="16" s="1"/>
  <c r="AF20" i="16"/>
  <c r="AI108" i="1" s="1"/>
  <c r="AF21" i="16" l="1"/>
  <c r="AG19" i="16" s="1"/>
  <c r="AY140" i="1"/>
  <c r="AA110" i="1"/>
  <c r="AA154" i="1"/>
  <c r="AB150" i="1" s="1"/>
  <c r="AK23" i="16"/>
  <c r="AD129" i="1"/>
  <c r="Y33" i="11"/>
  <c r="Y35" i="11" s="1"/>
  <c r="Y36" i="11" s="1"/>
  <c r="AL26" i="16"/>
  <c r="AB159" i="1"/>
  <c r="AC155" i="1" s="1"/>
  <c r="BE146" i="1"/>
  <c r="BE149" i="1" s="1"/>
  <c r="BF145" i="1" s="1"/>
  <c r="AG20" i="16"/>
  <c r="AJ108" i="1" s="1"/>
  <c r="AF27" i="11"/>
  <c r="AF28" i="11" s="1"/>
  <c r="L34" i="3"/>
  <c r="BF146" i="1" l="1"/>
  <c r="BF149" i="1" s="1"/>
  <c r="BG145" i="1" s="1"/>
  <c r="AG27" i="11"/>
  <c r="AG28" i="11" s="1"/>
  <c r="AG21" i="16"/>
  <c r="AH19" i="16" s="1"/>
  <c r="AB151" i="1"/>
  <c r="AB153" i="1" s="1"/>
  <c r="AB110" i="1" s="1"/>
  <c r="X40" i="11"/>
  <c r="X41" i="11" s="1"/>
  <c r="AA111" i="1"/>
  <c r="AD130" i="1"/>
  <c r="AF29" i="11"/>
  <c r="AL27" i="16"/>
  <c r="AM25" i="16" s="1"/>
  <c r="AK24" i="16"/>
  <c r="AL22" i="16" s="1"/>
  <c r="AC156" i="1"/>
  <c r="J44" i="3" s="1"/>
  <c r="AY141" i="1"/>
  <c r="AY144" i="1" s="1"/>
  <c r="AZ140" i="1" s="1"/>
  <c r="BG146" i="1" l="1"/>
  <c r="BG149" i="1" s="1"/>
  <c r="BH145" i="1" s="1"/>
  <c r="AD182" i="1"/>
  <c r="AA120" i="1"/>
  <c r="AA113" i="1"/>
  <c r="AL23" i="16"/>
  <c r="AG29" i="11"/>
  <c r="AB154" i="1"/>
  <c r="AC150" i="1" s="1"/>
  <c r="AH20" i="16"/>
  <c r="AK108" i="1" s="1"/>
  <c r="AZ141" i="1"/>
  <c r="AZ144" i="1" s="1"/>
  <c r="BA140" i="1" s="1"/>
  <c r="AM27" i="16"/>
  <c r="AN25" i="16" s="1"/>
  <c r="AM26" i="16"/>
  <c r="X45" i="11"/>
  <c r="X46" i="11" s="1"/>
  <c r="X42" i="11"/>
  <c r="Y40" i="11"/>
  <c r="Y41" i="11" s="1"/>
  <c r="Y45" i="11" s="1"/>
  <c r="AB111" i="1"/>
  <c r="AC158" i="1"/>
  <c r="AC109" i="1" s="1"/>
  <c r="AD131" i="1"/>
  <c r="AE128" i="1" s="1"/>
  <c r="AH21" i="16" l="1"/>
  <c r="AI19" i="16" s="1"/>
  <c r="BA141" i="1"/>
  <c r="BA144" i="1" s="1"/>
  <c r="BB140" i="1" s="1"/>
  <c r="BH146" i="1"/>
  <c r="BH149" i="1" s="1"/>
  <c r="BI145" i="1" s="1"/>
  <c r="AB120" i="1"/>
  <c r="AB113" i="1"/>
  <c r="AB181" i="1" s="1"/>
  <c r="AH27" i="11"/>
  <c r="AH28" i="11" s="1"/>
  <c r="AH29" i="11" s="1"/>
  <c r="AC151" i="1"/>
  <c r="AC153" i="1"/>
  <c r="AC110" i="1" s="1"/>
  <c r="Y46" i="11"/>
  <c r="AE129" i="1"/>
  <c r="AE130" i="1" s="1"/>
  <c r="AC159" i="1"/>
  <c r="AD155" i="1" s="1"/>
  <c r="AL24" i="16"/>
  <c r="AM22" i="16" s="1"/>
  <c r="AI20" i="16"/>
  <c r="AL108" i="1" s="1"/>
  <c r="Y42" i="11"/>
  <c r="AN26" i="16"/>
  <c r="Z33" i="11"/>
  <c r="Z35" i="11" s="1"/>
  <c r="J35" i="3"/>
  <c r="AA181" i="1"/>
  <c r="AC154" i="1" l="1"/>
  <c r="AD150" i="1" s="1"/>
  <c r="AD151" i="1"/>
  <c r="AD153" i="1" s="1"/>
  <c r="BI146" i="1"/>
  <c r="BI149" i="1" s="1"/>
  <c r="BJ145" i="1" s="1"/>
  <c r="AE182" i="1"/>
  <c r="BB141" i="1"/>
  <c r="BB144" i="1"/>
  <c r="BC140" i="1" s="1"/>
  <c r="AI27" i="11"/>
  <c r="AI28" i="11" s="1"/>
  <c r="AM23" i="16"/>
  <c r="AM24" i="16"/>
  <c r="AN22" i="16" s="1"/>
  <c r="AI21" i="16"/>
  <c r="AJ19" i="16" s="1"/>
  <c r="AE131" i="1"/>
  <c r="AF128" i="1" s="1"/>
  <c r="Z36" i="11"/>
  <c r="AD156" i="1"/>
  <c r="M34" i="3"/>
  <c r="Z40" i="11"/>
  <c r="Z41" i="11" s="1"/>
  <c r="Z42" i="11" s="1"/>
  <c r="AC111" i="1"/>
  <c r="J36" i="3"/>
  <c r="AN27" i="16"/>
  <c r="AO25" i="16" s="1"/>
  <c r="D34" i="2"/>
  <c r="AD110" i="1" l="1"/>
  <c r="AD154" i="1"/>
  <c r="AE150" i="1" s="1"/>
  <c r="AD158" i="1"/>
  <c r="AD109" i="1" s="1"/>
  <c r="AC120" i="1"/>
  <c r="AC113" i="1"/>
  <c r="J26" i="3"/>
  <c r="BC141" i="1"/>
  <c r="BC144" i="1" s="1"/>
  <c r="BD140" i="1" s="1"/>
  <c r="AO26" i="16"/>
  <c r="AJ20" i="16"/>
  <c r="AM108" i="1" s="1"/>
  <c r="AN23" i="16"/>
  <c r="BJ146" i="1"/>
  <c r="BJ149" i="1" s="1"/>
  <c r="BK145" i="1" s="1"/>
  <c r="Z45" i="11"/>
  <c r="Z46" i="11" s="1"/>
  <c r="AF129" i="1"/>
  <c r="AF130" i="1" s="1"/>
  <c r="AI29" i="11"/>
  <c r="BD141" i="1" l="1"/>
  <c r="BD144" i="1" s="1"/>
  <c r="BE140" i="1" s="1"/>
  <c r="AF182" i="1"/>
  <c r="K39" i="3"/>
  <c r="AF131" i="1"/>
  <c r="AO27" i="16"/>
  <c r="AP25" i="16" s="1"/>
  <c r="BK146" i="1"/>
  <c r="BK149" i="1" s="1"/>
  <c r="BL145" i="1" s="1"/>
  <c r="AA33" i="11"/>
  <c r="AA35" i="11" s="1"/>
  <c r="AN24" i="16"/>
  <c r="AO22" i="16" s="1"/>
  <c r="AA40" i="11"/>
  <c r="AA41" i="11" s="1"/>
  <c r="AA42" i="11" s="1"/>
  <c r="AD111" i="1"/>
  <c r="AJ21" i="16"/>
  <c r="AK19" i="16" s="1"/>
  <c r="AE151" i="1"/>
  <c r="AE153" i="1" s="1"/>
  <c r="AE110" i="1" s="1"/>
  <c r="AJ27" i="11"/>
  <c r="AJ28" i="11" s="1"/>
  <c r="AJ29" i="11" s="1"/>
  <c r="AC181" i="1"/>
  <c r="J27" i="3"/>
  <c r="AD159" i="1"/>
  <c r="AE155" i="1" s="1"/>
  <c r="BL146" i="1" l="1"/>
  <c r="BL149" i="1" s="1"/>
  <c r="BM145" i="1" s="1"/>
  <c r="BE141" i="1"/>
  <c r="BE144" i="1" s="1"/>
  <c r="BF140" i="1" s="1"/>
  <c r="AP26" i="16"/>
  <c r="AP27" i="16" s="1"/>
  <c r="AQ25" i="16" s="1"/>
  <c r="AK20" i="16"/>
  <c r="AN108" i="1" s="1"/>
  <c r="AA45" i="11"/>
  <c r="AA46" i="11" s="1"/>
  <c r="AA36" i="11"/>
  <c r="AD120" i="1"/>
  <c r="AD113" i="1"/>
  <c r="AB40" i="11"/>
  <c r="AB41" i="11" s="1"/>
  <c r="AB42" i="11" s="1"/>
  <c r="AO23" i="16"/>
  <c r="K40" i="3"/>
  <c r="AG128" i="1"/>
  <c r="AE154" i="1"/>
  <c r="AF150" i="1" s="1"/>
  <c r="AE156" i="1"/>
  <c r="AQ26" i="16" l="1"/>
  <c r="AQ27" i="16" s="1"/>
  <c r="AR25" i="16" s="1"/>
  <c r="BF141" i="1"/>
  <c r="BF144" i="1" s="1"/>
  <c r="BG140" i="1" s="1"/>
  <c r="AF151" i="1"/>
  <c r="AF153" i="1" s="1"/>
  <c r="AK21" i="16"/>
  <c r="AL19" i="16" s="1"/>
  <c r="AE158" i="1"/>
  <c r="AE109" i="1" s="1"/>
  <c r="AK27" i="11"/>
  <c r="AK28" i="11" s="1"/>
  <c r="AD181" i="1"/>
  <c r="BM146" i="1"/>
  <c r="BM149" i="1" s="1"/>
  <c r="BN145" i="1" s="1"/>
  <c r="AG129" i="1"/>
  <c r="AG130" i="1" s="1"/>
  <c r="AO24" i="16"/>
  <c r="AP22" i="16" s="1"/>
  <c r="AF110" i="1" l="1"/>
  <c r="AF154" i="1"/>
  <c r="AG150" i="1" s="1"/>
  <c r="BG141" i="1"/>
  <c r="BG144" i="1"/>
  <c r="BH140" i="1" s="1"/>
  <c r="BN146" i="1"/>
  <c r="BN149" i="1" s="1"/>
  <c r="BO145" i="1" s="1"/>
  <c r="AG182" i="1"/>
  <c r="AB33" i="11"/>
  <c r="AB35" i="11" s="1"/>
  <c r="AE111" i="1"/>
  <c r="AR26" i="16"/>
  <c r="AR27" i="16" s="1"/>
  <c r="AS25" i="16" s="1"/>
  <c r="AG131" i="1"/>
  <c r="AH128" i="1" s="1"/>
  <c r="AK29" i="11"/>
  <c r="AP23" i="16"/>
  <c r="AE159" i="1"/>
  <c r="AF155" i="1" s="1"/>
  <c r="AL20" i="16"/>
  <c r="AO108" i="1" s="1"/>
  <c r="AL21" i="16"/>
  <c r="AM19" i="16" s="1"/>
  <c r="BO146" i="1" l="1"/>
  <c r="BO149" i="1" s="1"/>
  <c r="BP145" i="1" s="1"/>
  <c r="AH129" i="1"/>
  <c r="AH130" i="1" s="1"/>
  <c r="AS26" i="16"/>
  <c r="AS27" i="16" s="1"/>
  <c r="AT25" i="16" s="1"/>
  <c r="AG151" i="1"/>
  <c r="AM20" i="16"/>
  <c r="AP108" i="1" s="1"/>
  <c r="AM21" i="16"/>
  <c r="AN19" i="16" s="1"/>
  <c r="AL27" i="11"/>
  <c r="AL28" i="11" s="1"/>
  <c r="N34" i="3"/>
  <c r="AF156" i="1"/>
  <c r="K44" i="3" s="1"/>
  <c r="AE120" i="1"/>
  <c r="AE113" i="1"/>
  <c r="BH141" i="1"/>
  <c r="BH144" i="1" s="1"/>
  <c r="BI140" i="1" s="1"/>
  <c r="AP24" i="16"/>
  <c r="AQ22" i="16" s="1"/>
  <c r="AB45" i="11"/>
  <c r="AB46" i="11" s="1"/>
  <c r="AB36" i="11"/>
  <c r="AC40" i="11"/>
  <c r="AC41" i="11" s="1"/>
  <c r="AC42" i="11" s="1"/>
  <c r="K36" i="3"/>
  <c r="AG153" i="1" l="1"/>
  <c r="AG110" i="1" s="1"/>
  <c r="AT26" i="16"/>
  <c r="AT27" i="16" s="1"/>
  <c r="AU25" i="16" s="1"/>
  <c r="AH182" i="1"/>
  <c r="AH131" i="1"/>
  <c r="AI128" i="1" s="1"/>
  <c r="AN20" i="16"/>
  <c r="AQ108" i="1" s="1"/>
  <c r="AL29" i="11"/>
  <c r="AM27" i="11"/>
  <c r="AM28" i="11" s="1"/>
  <c r="AQ23" i="16"/>
  <c r="AQ24" i="16"/>
  <c r="AR22" i="16" s="1"/>
  <c r="AF158" i="1"/>
  <c r="AF109" i="1" s="1"/>
  <c r="AE181" i="1"/>
  <c r="AD40" i="11"/>
  <c r="AD41" i="11" s="1"/>
  <c r="AD42" i="11" s="1"/>
  <c r="BP146" i="1"/>
  <c r="BP149" i="1" s="1"/>
  <c r="BQ145" i="1" s="1"/>
  <c r="BI141" i="1"/>
  <c r="BI144" i="1" s="1"/>
  <c r="BJ140" i="1" s="1"/>
  <c r="AF159" i="1" l="1"/>
  <c r="AG155" i="1" s="1"/>
  <c r="AG154" i="1"/>
  <c r="AH150" i="1" s="1"/>
  <c r="AH151" i="1" s="1"/>
  <c r="AU26" i="16"/>
  <c r="AU27" i="16" s="1"/>
  <c r="AV25" i="16" s="1"/>
  <c r="AG156" i="1"/>
  <c r="AG158" i="1" s="1"/>
  <c r="AG109" i="1" s="1"/>
  <c r="BJ141" i="1"/>
  <c r="BJ144" i="1"/>
  <c r="AM29" i="11"/>
  <c r="AN27" i="11"/>
  <c r="AN28" i="11" s="1"/>
  <c r="AR23" i="16"/>
  <c r="AR24" i="16"/>
  <c r="AS22" i="16" s="1"/>
  <c r="AH153" i="1"/>
  <c r="AH110" i="1" s="1"/>
  <c r="BQ146" i="1"/>
  <c r="BQ149" i="1" s="1"/>
  <c r="BR145" i="1" s="1"/>
  <c r="AC33" i="11"/>
  <c r="AC35" i="11" s="1"/>
  <c r="K35" i="3"/>
  <c r="AF111" i="1"/>
  <c r="AN21" i="16"/>
  <c r="AO19" i="16" s="1"/>
  <c r="AI129" i="1"/>
  <c r="AI130" i="1"/>
  <c r="BR146" i="1" l="1"/>
  <c r="BR149" i="1" s="1"/>
  <c r="BS145" i="1" s="1"/>
  <c r="AD33" i="11"/>
  <c r="AD35" i="11" s="1"/>
  <c r="AD45" i="11" s="1"/>
  <c r="AG111" i="1"/>
  <c r="AG159" i="1"/>
  <c r="AH155" i="1" s="1"/>
  <c r="AC45" i="11"/>
  <c r="AC46" i="11" s="1"/>
  <c r="AC36" i="11"/>
  <c r="BK140" i="1"/>
  <c r="AI182" i="1"/>
  <c r="L39" i="3"/>
  <c r="AN29" i="11"/>
  <c r="AH154" i="1"/>
  <c r="AI150" i="1" s="1"/>
  <c r="AS23" i="16"/>
  <c r="AS24" i="16"/>
  <c r="AT22" i="16" s="1"/>
  <c r="AV26" i="16"/>
  <c r="AV27" i="16" s="1"/>
  <c r="AW25" i="16" s="1"/>
  <c r="AF120" i="1"/>
  <c r="AF113" i="1"/>
  <c r="K26" i="3"/>
  <c r="AI131" i="1"/>
  <c r="AO20" i="16"/>
  <c r="AR108" i="1" s="1"/>
  <c r="AO21" i="16"/>
  <c r="AP19" i="16" s="1"/>
  <c r="AE40" i="11"/>
  <c r="AE41" i="11" s="1"/>
  <c r="AE42" i="11" s="1"/>
  <c r="AW26" i="16" l="1"/>
  <c r="BS146" i="1"/>
  <c r="BS149" i="1" s="1"/>
  <c r="BT145" i="1" s="1"/>
  <c r="AF181" i="1"/>
  <c r="K27" i="3"/>
  <c r="BK141" i="1"/>
  <c r="BK144" i="1" s="1"/>
  <c r="BL140" i="1" s="1"/>
  <c r="L40" i="3"/>
  <c r="AJ128" i="1"/>
  <c r="AH156" i="1"/>
  <c r="AH158" i="1" s="1"/>
  <c r="AO27" i="11"/>
  <c r="AO28" i="11" s="1"/>
  <c r="O34" i="3"/>
  <c r="AT23" i="16"/>
  <c r="AI151" i="1"/>
  <c r="AI153" i="1" s="1"/>
  <c r="AI110" i="1" s="1"/>
  <c r="AD36" i="11"/>
  <c r="AP20" i="16"/>
  <c r="AS108" i="1" s="1"/>
  <c r="AG120" i="1"/>
  <c r="AG113" i="1"/>
  <c r="AO29" i="11"/>
  <c r="AD46" i="11"/>
  <c r="AP21" i="16" l="1"/>
  <c r="AQ19" i="16" s="1"/>
  <c r="BT146" i="1"/>
  <c r="BT149" i="1" s="1"/>
  <c r="BU145" i="1" s="1"/>
  <c r="AH109" i="1"/>
  <c r="AH159" i="1"/>
  <c r="AI155" i="1" s="1"/>
  <c r="BL141" i="1"/>
  <c r="BL144" i="1" s="1"/>
  <c r="BM140" i="1" s="1"/>
  <c r="AG181" i="1"/>
  <c r="AJ129" i="1"/>
  <c r="AQ20" i="16"/>
  <c r="AT108" i="1" s="1"/>
  <c r="AF40" i="11"/>
  <c r="AF41" i="11" s="1"/>
  <c r="AF42" i="11" s="1"/>
  <c r="L36" i="3"/>
  <c r="AI154" i="1"/>
  <c r="AJ150" i="1" s="1"/>
  <c r="AT24" i="16"/>
  <c r="AU22" i="16" s="1"/>
  <c r="AP27" i="11"/>
  <c r="AP28" i="11" s="1"/>
  <c r="AP29" i="11"/>
  <c r="AW27" i="16"/>
  <c r="AX25" i="16" s="1"/>
  <c r="AJ130" i="1" l="1"/>
  <c r="AJ131" i="1" s="1"/>
  <c r="AK128" i="1" s="1"/>
  <c r="BM141" i="1"/>
  <c r="BM144" i="1" s="1"/>
  <c r="BN140" i="1" s="1"/>
  <c r="BU146" i="1"/>
  <c r="BU149" i="1"/>
  <c r="BV145" i="1" s="1"/>
  <c r="AI156" i="1"/>
  <c r="L44" i="3" s="1"/>
  <c r="AJ151" i="1"/>
  <c r="AE33" i="11"/>
  <c r="AE35" i="11" s="1"/>
  <c r="AH111" i="1"/>
  <c r="AU23" i="16"/>
  <c r="AX26" i="16"/>
  <c r="AQ27" i="11"/>
  <c r="AQ28" i="11" s="1"/>
  <c r="AQ21" i="16"/>
  <c r="AR19" i="16" s="1"/>
  <c r="AJ182" i="1"/>
  <c r="AK129" i="1" l="1"/>
  <c r="AK130" i="1"/>
  <c r="AK182" i="1" s="1"/>
  <c r="AK131" i="1"/>
  <c r="AL128" i="1" s="1"/>
  <c r="AL129" i="1" s="1"/>
  <c r="AI158" i="1"/>
  <c r="AI109" i="1" s="1"/>
  <c r="L35" i="3" s="1"/>
  <c r="AJ153" i="1"/>
  <c r="AJ110" i="1" s="1"/>
  <c r="AG40" i="11" s="1"/>
  <c r="AG41" i="11" s="1"/>
  <c r="AG42" i="11" s="1"/>
  <c r="BN141" i="1"/>
  <c r="BN144" i="1" s="1"/>
  <c r="BO140" i="1" s="1"/>
  <c r="BV146" i="1"/>
  <c r="BV149" i="1" s="1"/>
  <c r="BW145" i="1" s="1"/>
  <c r="AH120" i="1"/>
  <c r="AH113" i="1"/>
  <c r="AE45" i="11"/>
  <c r="AE46" i="11" s="1"/>
  <c r="AE36" i="11"/>
  <c r="AR20" i="16"/>
  <c r="AU108" i="1" s="1"/>
  <c r="AX27" i="16"/>
  <c r="AY25" i="16" s="1"/>
  <c r="AU24" i="16"/>
  <c r="AV22" i="16" s="1"/>
  <c r="AQ29" i="11"/>
  <c r="AI159" i="1" l="1"/>
  <c r="AJ155" i="1" s="1"/>
  <c r="AJ154" i="1"/>
  <c r="AK150" i="1" s="1"/>
  <c r="AK151" i="1" s="1"/>
  <c r="AI111" i="1"/>
  <c r="AI113" i="1" s="1"/>
  <c r="AF33" i="11"/>
  <c r="AF35" i="11" s="1"/>
  <c r="AF45" i="11" s="1"/>
  <c r="AF46" i="11" s="1"/>
  <c r="BO141" i="1"/>
  <c r="BO144" i="1"/>
  <c r="BP140" i="1" s="1"/>
  <c r="BW146" i="1"/>
  <c r="BW149" i="1" s="1"/>
  <c r="BX145" i="1" s="1"/>
  <c r="AL130" i="1"/>
  <c r="L26" i="3"/>
  <c r="AY26" i="16"/>
  <c r="AY27" i="16" s="1"/>
  <c r="AZ25" i="16" s="1"/>
  <c r="AH181" i="1"/>
  <c r="AR27" i="11"/>
  <c r="AR28" i="11" s="1"/>
  <c r="P34" i="3"/>
  <c r="AK153" i="1"/>
  <c r="AK110" i="1" s="1"/>
  <c r="AV23" i="16"/>
  <c r="AV24" i="16"/>
  <c r="AW22" i="16" s="1"/>
  <c r="AR21" i="16"/>
  <c r="AS19" i="16" s="1"/>
  <c r="AR29" i="11"/>
  <c r="AJ156" i="1"/>
  <c r="AI181" i="1" l="1"/>
  <c r="L27" i="3"/>
  <c r="AI120" i="1"/>
  <c r="AF36" i="11"/>
  <c r="AL182" i="1"/>
  <c r="D39" i="2"/>
  <c r="M39" i="3"/>
  <c r="AK154" i="1"/>
  <c r="AL150" i="1" s="1"/>
  <c r="AS20" i="16"/>
  <c r="AV108" i="1" s="1"/>
  <c r="AH40" i="11"/>
  <c r="AH41" i="11" s="1"/>
  <c r="AH42" i="11" s="1"/>
  <c r="AW23" i="16"/>
  <c r="AJ158" i="1"/>
  <c r="AJ109" i="1" s="1"/>
  <c r="BP141" i="1"/>
  <c r="BP144" i="1" s="1"/>
  <c r="BQ140" i="1" s="1"/>
  <c r="AZ26" i="16"/>
  <c r="AZ27" i="16"/>
  <c r="BA25" i="16" s="1"/>
  <c r="BX146" i="1"/>
  <c r="BX149" i="1" s="1"/>
  <c r="BY145" i="1" s="1"/>
  <c r="AL131" i="1"/>
  <c r="BQ141" i="1" l="1"/>
  <c r="BQ144" i="1" s="1"/>
  <c r="BR140" i="1" s="1"/>
  <c r="BY146" i="1"/>
  <c r="BY149" i="1"/>
  <c r="BZ145" i="1" s="1"/>
  <c r="AJ159" i="1"/>
  <c r="AK155" i="1" s="1"/>
  <c r="AS27" i="11"/>
  <c r="AS28" i="11" s="1"/>
  <c r="AS21" i="16"/>
  <c r="AT19" i="16" s="1"/>
  <c r="BA26" i="16"/>
  <c r="BA27" i="16" s="1"/>
  <c r="BB25" i="16" s="1"/>
  <c r="AG33" i="11"/>
  <c r="AG35" i="11" s="1"/>
  <c r="AJ111" i="1"/>
  <c r="AW24" i="16"/>
  <c r="AX22" i="16" s="1"/>
  <c r="AL151" i="1"/>
  <c r="AL153" i="1" s="1"/>
  <c r="M40" i="3"/>
  <c r="AM128" i="1"/>
  <c r="D40" i="2"/>
  <c r="AL110" i="1" l="1"/>
  <c r="AL154" i="1"/>
  <c r="BR141" i="1"/>
  <c r="BR144" i="1"/>
  <c r="BS140" i="1" s="1"/>
  <c r="AS29" i="11"/>
  <c r="BZ146" i="1"/>
  <c r="BZ149" i="1" s="1"/>
  <c r="CA145" i="1" s="1"/>
  <c r="BB26" i="16"/>
  <c r="AT20" i="16"/>
  <c r="AW108" i="1" s="1"/>
  <c r="AG45" i="11"/>
  <c r="AG46" i="11" s="1"/>
  <c r="AG36" i="11"/>
  <c r="AX23" i="16"/>
  <c r="AM129" i="1"/>
  <c r="AM130" i="1" s="1"/>
  <c r="AK156" i="1"/>
  <c r="AK158" i="1" s="1"/>
  <c r="AK109" i="1" s="1"/>
  <c r="AJ120" i="1"/>
  <c r="AJ113" i="1"/>
  <c r="AT21" i="16" l="1"/>
  <c r="AU19" i="16" s="1"/>
  <c r="CA146" i="1"/>
  <c r="CA149" i="1" s="1"/>
  <c r="CB145" i="1" s="1"/>
  <c r="AH33" i="11"/>
  <c r="AH35" i="11" s="1"/>
  <c r="AH45" i="11" s="1"/>
  <c r="AK111" i="1"/>
  <c r="AM182" i="1"/>
  <c r="AM131" i="1"/>
  <c r="AN128" i="1" s="1"/>
  <c r="BS141" i="1"/>
  <c r="BS144" i="1" s="1"/>
  <c r="BT140" i="1" s="1"/>
  <c r="AK159" i="1"/>
  <c r="AL155" i="1" s="1"/>
  <c r="AH46" i="11"/>
  <c r="AT27" i="11"/>
  <c r="AT28" i="11" s="1"/>
  <c r="Q34" i="3"/>
  <c r="E34" i="2"/>
  <c r="AM150" i="1"/>
  <c r="AT29" i="11"/>
  <c r="AU20" i="16"/>
  <c r="AX108" i="1" s="1"/>
  <c r="AJ181" i="1"/>
  <c r="AX24" i="16"/>
  <c r="AY22" i="16" s="1"/>
  <c r="BB27" i="16"/>
  <c r="BC25" i="16" s="1"/>
  <c r="AI40" i="11"/>
  <c r="AI41" i="11" s="1"/>
  <c r="AI42" i="11" s="1"/>
  <c r="M36" i="3"/>
  <c r="D36" i="2"/>
  <c r="AU21" i="16" l="1"/>
  <c r="AV19" i="16" s="1"/>
  <c r="AH36" i="11"/>
  <c r="CB146" i="1"/>
  <c r="CB149" i="1"/>
  <c r="CC145" i="1" s="1"/>
  <c r="AV20" i="16"/>
  <c r="AY108" i="1" s="1"/>
  <c r="AL156" i="1"/>
  <c r="M44" i="3" s="1"/>
  <c r="AK120" i="1"/>
  <c r="AK113" i="1"/>
  <c r="AY23" i="16"/>
  <c r="AM151" i="1"/>
  <c r="AM153" i="1" s="1"/>
  <c r="AM110" i="1" s="1"/>
  <c r="BT141" i="1"/>
  <c r="BT144" i="1" s="1"/>
  <c r="BU140" i="1" s="1"/>
  <c r="AN129" i="1"/>
  <c r="AN130" i="1" s="1"/>
  <c r="BC26" i="16"/>
  <c r="AU27" i="11"/>
  <c r="AU28" i="11" s="1"/>
  <c r="AN182" i="1" l="1"/>
  <c r="AJ40" i="11"/>
  <c r="AJ41" i="11" s="1"/>
  <c r="AJ42" i="11" s="1"/>
  <c r="BU141" i="1"/>
  <c r="BU144" i="1" s="1"/>
  <c r="BV140" i="1" s="1"/>
  <c r="AN131" i="1"/>
  <c r="AO128" i="1" s="1"/>
  <c r="AV21" i="16"/>
  <c r="AW19" i="16" s="1"/>
  <c r="AK181" i="1"/>
  <c r="AM154" i="1"/>
  <c r="AN150" i="1" s="1"/>
  <c r="CC146" i="1"/>
  <c r="CC149" i="1" s="1"/>
  <c r="CD145" i="1" s="1"/>
  <c r="AL158" i="1"/>
  <c r="AL109" i="1" s="1"/>
  <c r="AV27" i="11"/>
  <c r="AV28" i="11" s="1"/>
  <c r="BC27" i="16"/>
  <c r="BD25" i="16" s="1"/>
  <c r="AY24" i="16"/>
  <c r="AZ22" i="16" s="1"/>
  <c r="AU29" i="11"/>
  <c r="CD146" i="1" l="1"/>
  <c r="CD149" i="1" s="1"/>
  <c r="CE145" i="1" s="1"/>
  <c r="BV141" i="1"/>
  <c r="BV144" i="1" s="1"/>
  <c r="AZ23" i="16"/>
  <c r="AL159" i="1"/>
  <c r="AW20" i="16"/>
  <c r="AZ108" i="1" s="1"/>
  <c r="AN151" i="1"/>
  <c r="AN153" i="1"/>
  <c r="AN110" i="1" s="1"/>
  <c r="AO130" i="1"/>
  <c r="AO129" i="1"/>
  <c r="AI33" i="11"/>
  <c r="AI35" i="11" s="1"/>
  <c r="AL111" i="1"/>
  <c r="D35" i="2"/>
  <c r="M35" i="3"/>
  <c r="AV29" i="11"/>
  <c r="BD26" i="16"/>
  <c r="BW140" i="1" l="1"/>
  <c r="CE146" i="1"/>
  <c r="CE149" i="1"/>
  <c r="CF145" i="1" s="1"/>
  <c r="BD27" i="16"/>
  <c r="BE25" i="16" s="1"/>
  <c r="AZ24" i="16"/>
  <c r="BA22" i="16" s="1"/>
  <c r="AN154" i="1"/>
  <c r="AO150" i="1" s="1"/>
  <c r="AW27" i="11"/>
  <c r="AW28" i="11" s="1"/>
  <c r="AW29" i="11" s="1"/>
  <c r="AO182" i="1"/>
  <c r="N39" i="3"/>
  <c r="AO131" i="1"/>
  <c r="AL120" i="1"/>
  <c r="AL113" i="1"/>
  <c r="D26" i="2"/>
  <c r="M26" i="3"/>
  <c r="AK40" i="11"/>
  <c r="AK41" i="11" s="1"/>
  <c r="AK42" i="11" s="1"/>
  <c r="AI45" i="11"/>
  <c r="AI46" i="11" s="1"/>
  <c r="AI36" i="11"/>
  <c r="AW21" i="16"/>
  <c r="AX19" i="16" s="1"/>
  <c r="AM155" i="1"/>
  <c r="D44" i="2"/>
  <c r="BA23" i="16" l="1"/>
  <c r="BE26" i="16"/>
  <c r="BE27" i="16" s="1"/>
  <c r="BF25" i="16" s="1"/>
  <c r="CF146" i="1"/>
  <c r="CF149" i="1" s="1"/>
  <c r="CG145" i="1" s="1"/>
  <c r="D54" i="12"/>
  <c r="D98" i="12"/>
  <c r="D99" i="12" s="1"/>
  <c r="AM156" i="1"/>
  <c r="AX20" i="16"/>
  <c r="BA108" i="1" s="1"/>
  <c r="AL181" i="1"/>
  <c r="M27" i="3"/>
  <c r="D27" i="2"/>
  <c r="D48" i="12" s="1"/>
  <c r="N40" i="3"/>
  <c r="AP128" i="1"/>
  <c r="AO151" i="1"/>
  <c r="BW141" i="1"/>
  <c r="BW144" i="1" s="1"/>
  <c r="BX140" i="1" s="1"/>
  <c r="AX21" i="16" l="1"/>
  <c r="AY19" i="16" s="1"/>
  <c r="AO153" i="1"/>
  <c r="AO110" i="1" s="1"/>
  <c r="CG146" i="1"/>
  <c r="CG149" i="1" s="1"/>
  <c r="CH145" i="1" s="1"/>
  <c r="AM159" i="1"/>
  <c r="AN155" i="1" s="1"/>
  <c r="BF26" i="16"/>
  <c r="AP129" i="1"/>
  <c r="AP130" i="1" s="1"/>
  <c r="AY20" i="16"/>
  <c r="BB108" i="1" s="1"/>
  <c r="AY21" i="16"/>
  <c r="AZ19" i="16" s="1"/>
  <c r="AX27" i="11"/>
  <c r="AX28" i="11" s="1"/>
  <c r="R34" i="3"/>
  <c r="BX141" i="1"/>
  <c r="BX144" i="1" s="1"/>
  <c r="BY140" i="1" s="1"/>
  <c r="AL40" i="11"/>
  <c r="AL41" i="11" s="1"/>
  <c r="AL42" i="11" s="1"/>
  <c r="N36" i="3"/>
  <c r="AM158" i="1"/>
  <c r="AM109" i="1" s="1"/>
  <c r="BA24" i="16"/>
  <c r="BB22" i="16" s="1"/>
  <c r="AO154" i="1" l="1"/>
  <c r="AP150" i="1" s="1"/>
  <c r="AP182" i="1"/>
  <c r="AP131" i="1"/>
  <c r="AQ128" i="1" s="1"/>
  <c r="BY141" i="1"/>
  <c r="BY144" i="1" s="1"/>
  <c r="BZ140" i="1" s="1"/>
  <c r="CH146" i="1"/>
  <c r="CH149" i="1" s="1"/>
  <c r="CI145" i="1" s="1"/>
  <c r="BF27" i="16"/>
  <c r="BG25" i="16" s="1"/>
  <c r="AX29" i="11"/>
  <c r="AZ20" i="16"/>
  <c r="BC108" i="1" s="1"/>
  <c r="AN156" i="1"/>
  <c r="AY27" i="11"/>
  <c r="AY28" i="11" s="1"/>
  <c r="BB23" i="16"/>
  <c r="AJ33" i="11"/>
  <c r="AJ35" i="11" s="1"/>
  <c r="AM111" i="1"/>
  <c r="AY29" i="11" l="1"/>
  <c r="AP151" i="1"/>
  <c r="AP153" i="1"/>
  <c r="AP110" i="1" s="1"/>
  <c r="AM40" i="11" s="1"/>
  <c r="AM41" i="11" s="1"/>
  <c r="AM42" i="11" s="1"/>
  <c r="AZ29" i="11"/>
  <c r="BZ141" i="1"/>
  <c r="BZ144" i="1" s="1"/>
  <c r="CA140" i="1" s="1"/>
  <c r="BG26" i="16"/>
  <c r="BG27" i="16"/>
  <c r="BH25" i="16" s="1"/>
  <c r="CI146" i="1"/>
  <c r="CI149" i="1" s="1"/>
  <c r="CJ145" i="1" s="1"/>
  <c r="AN158" i="1"/>
  <c r="AN109" i="1" s="1"/>
  <c r="AZ27" i="11"/>
  <c r="AZ28" i="11" s="1"/>
  <c r="AJ45" i="11"/>
  <c r="AJ46" i="11" s="1"/>
  <c r="AJ36" i="11"/>
  <c r="AQ129" i="1"/>
  <c r="AQ130" i="1" s="1"/>
  <c r="AM120" i="1"/>
  <c r="AM113" i="1"/>
  <c r="BB24" i="16"/>
  <c r="BC22" i="16" s="1"/>
  <c r="AZ21" i="16"/>
  <c r="BA19" i="16" s="1"/>
  <c r="AP154" i="1" l="1"/>
  <c r="AQ150" i="1" s="1"/>
  <c r="CJ146" i="1"/>
  <c r="CJ149" i="1" s="1"/>
  <c r="CK145" i="1" s="1"/>
  <c r="CA141" i="1"/>
  <c r="CA144" i="1" s="1"/>
  <c r="CB140" i="1" s="1"/>
  <c r="AK33" i="11"/>
  <c r="AK35" i="11" s="1"/>
  <c r="AK45" i="11" s="1"/>
  <c r="AK46" i="11" s="1"/>
  <c r="AN111" i="1"/>
  <c r="AQ182" i="1"/>
  <c r="BC23" i="16"/>
  <c r="AM181" i="1"/>
  <c r="AQ131" i="1"/>
  <c r="AR128" i="1" s="1"/>
  <c r="BA20" i="16"/>
  <c r="BD108" i="1" s="1"/>
  <c r="BH26" i="16"/>
  <c r="BH27" i="16" s="1"/>
  <c r="BI25" i="16" s="1"/>
  <c r="AN159" i="1"/>
  <c r="AO155" i="1" s="1"/>
  <c r="AK36" i="11" l="1"/>
  <c r="AQ151" i="1"/>
  <c r="AQ153" i="1" s="1"/>
  <c r="AQ110" i="1" s="1"/>
  <c r="AN40" i="11" s="1"/>
  <c r="AN41" i="11" s="1"/>
  <c r="AN42" i="11" s="1"/>
  <c r="AQ154" i="1"/>
  <c r="AR150" i="1" s="1"/>
  <c r="AR151" i="1" s="1"/>
  <c r="AR153" i="1" s="1"/>
  <c r="AR110" i="1" s="1"/>
  <c r="O36" i="3" s="1"/>
  <c r="CB141" i="1"/>
  <c r="CB144" i="1" s="1"/>
  <c r="CC140" i="1" s="1"/>
  <c r="BI26" i="16"/>
  <c r="BI27" i="16" s="1"/>
  <c r="BJ25" i="16" s="1"/>
  <c r="CK146" i="1"/>
  <c r="CK149" i="1" s="1"/>
  <c r="CL145" i="1" s="1"/>
  <c r="AN120" i="1"/>
  <c r="AN113" i="1"/>
  <c r="AO156" i="1"/>
  <c r="N44" i="3" s="1"/>
  <c r="BA27" i="11"/>
  <c r="BA28" i="11" s="1"/>
  <c r="S34" i="3"/>
  <c r="AR129" i="1"/>
  <c r="BA21" i="16"/>
  <c r="BB19" i="16" s="1"/>
  <c r="BC24" i="16"/>
  <c r="BD22" i="16" s="1"/>
  <c r="AR154" i="1" l="1"/>
  <c r="AS150" i="1" s="1"/>
  <c r="AO40" i="11"/>
  <c r="AO41" i="11" s="1"/>
  <c r="AO42" i="11" s="1"/>
  <c r="AO158" i="1"/>
  <c r="AO109" i="1" s="1"/>
  <c r="AR130" i="1"/>
  <c r="AR182" i="1" s="1"/>
  <c r="CL146" i="1"/>
  <c r="CL149" i="1" s="1"/>
  <c r="CM145" i="1" s="1"/>
  <c r="CC141" i="1"/>
  <c r="CC144" i="1" s="1"/>
  <c r="CD140" i="1" s="1"/>
  <c r="AS151" i="1"/>
  <c r="AS153" i="1" s="1"/>
  <c r="AS110" i="1" s="1"/>
  <c r="BJ26" i="16"/>
  <c r="BD23" i="16"/>
  <c r="BA29" i="11"/>
  <c r="AN181" i="1"/>
  <c r="BB20" i="16"/>
  <c r="BE108" i="1" s="1"/>
  <c r="AL33" i="11"/>
  <c r="AL35" i="11" s="1"/>
  <c r="AO111" i="1"/>
  <c r="N35" i="3"/>
  <c r="AR131" i="1" l="1"/>
  <c r="O39" i="3"/>
  <c r="AO159" i="1"/>
  <c r="AP155" i="1" s="1"/>
  <c r="AP40" i="11"/>
  <c r="AP41" i="11" s="1"/>
  <c r="AP42" i="11" s="1"/>
  <c r="CD141" i="1"/>
  <c r="CD144" i="1" s="1"/>
  <c r="CE140" i="1" s="1"/>
  <c r="CM146" i="1"/>
  <c r="CM149" i="1"/>
  <c r="CN145" i="1" s="1"/>
  <c r="AS154" i="1"/>
  <c r="AT150" i="1" s="1"/>
  <c r="BB27" i="11"/>
  <c r="BB28" i="11" s="1"/>
  <c r="BB21" i="16"/>
  <c r="BC19" i="16" s="1"/>
  <c r="BD24" i="16"/>
  <c r="BE22" i="16" s="1"/>
  <c r="AO120" i="1"/>
  <c r="AO113" i="1"/>
  <c r="N26" i="3"/>
  <c r="AL45" i="11"/>
  <c r="AL46" i="11" s="1"/>
  <c r="AL36" i="11"/>
  <c r="BB29" i="11"/>
  <c r="BJ27" i="16"/>
  <c r="BK25" i="16" s="1"/>
  <c r="AP156" i="1"/>
  <c r="AP158" i="1"/>
  <c r="AP109" i="1" s="1"/>
  <c r="AS128" i="1" l="1"/>
  <c r="O40" i="3"/>
  <c r="CE141" i="1"/>
  <c r="CE144" i="1" s="1"/>
  <c r="CF140" i="1" s="1"/>
  <c r="CN146" i="1"/>
  <c r="CN149" i="1" s="1"/>
  <c r="CO145" i="1" s="1"/>
  <c r="BC20" i="16"/>
  <c r="BF108" i="1" s="1"/>
  <c r="AM33" i="11"/>
  <c r="AM35" i="11" s="1"/>
  <c r="AM45" i="11" s="1"/>
  <c r="AM46" i="11" s="1"/>
  <c r="AP111" i="1"/>
  <c r="AO181" i="1"/>
  <c r="N27" i="3"/>
  <c r="AT153" i="1"/>
  <c r="AT110" i="1" s="1"/>
  <c r="AT151" i="1"/>
  <c r="AP159" i="1"/>
  <c r="AQ155" i="1" s="1"/>
  <c r="BK26" i="16"/>
  <c r="BK27" i="16" s="1"/>
  <c r="BL25" i="16" s="1"/>
  <c r="BE23" i="16"/>
  <c r="BE24" i="16" s="1"/>
  <c r="BF22" i="16" s="1"/>
  <c r="AS129" i="1" l="1"/>
  <c r="AS130" i="1" s="1"/>
  <c r="AS182" i="1" s="1"/>
  <c r="BF23" i="16"/>
  <c r="CO146" i="1"/>
  <c r="CO149" i="1" s="1"/>
  <c r="CP145" i="1" s="1"/>
  <c r="AT154" i="1"/>
  <c r="AU150" i="1" s="1"/>
  <c r="AQ40" i="11"/>
  <c r="AQ41" i="11" s="1"/>
  <c r="AQ42" i="11" s="1"/>
  <c r="CF141" i="1"/>
  <c r="CF144" i="1" s="1"/>
  <c r="CG140" i="1" s="1"/>
  <c r="BL26" i="16"/>
  <c r="AP120" i="1"/>
  <c r="AP113" i="1"/>
  <c r="AQ156" i="1"/>
  <c r="AQ158" i="1"/>
  <c r="AQ109" i="1" s="1"/>
  <c r="AM36" i="11"/>
  <c r="BC21" i="16"/>
  <c r="BD19" i="16" s="1"/>
  <c r="BC27" i="11"/>
  <c r="BC28" i="11" s="1"/>
  <c r="AS131" i="1" l="1"/>
  <c r="AT128" i="1" s="1"/>
  <c r="CG141" i="1"/>
  <c r="CG144" i="1" s="1"/>
  <c r="CH140" i="1" s="1"/>
  <c r="CP146" i="1"/>
  <c r="CP149" i="1"/>
  <c r="CQ145" i="1" s="1"/>
  <c r="AN33" i="11"/>
  <c r="AN35" i="11" s="1"/>
  <c r="AN45" i="11" s="1"/>
  <c r="AN46" i="11" s="1"/>
  <c r="AQ111" i="1"/>
  <c r="BC29" i="11"/>
  <c r="AP181" i="1"/>
  <c r="AQ159" i="1"/>
  <c r="AR155" i="1" s="1"/>
  <c r="BD20" i="16"/>
  <c r="BG108" i="1" s="1"/>
  <c r="AU151" i="1"/>
  <c r="AU153" i="1" s="1"/>
  <c r="AU110" i="1" s="1"/>
  <c r="BL27" i="16"/>
  <c r="BM25" i="16" s="1"/>
  <c r="BF24" i="16"/>
  <c r="BG22" i="16" s="1"/>
  <c r="AT129" i="1" l="1"/>
  <c r="AR40" i="11"/>
  <c r="AR41" i="11" s="1"/>
  <c r="AR42" i="11" s="1"/>
  <c r="P36" i="3"/>
  <c r="CH141" i="1"/>
  <c r="CH144" i="1" s="1"/>
  <c r="BD27" i="11"/>
  <c r="BD28" i="11" s="1"/>
  <c r="T34" i="3"/>
  <c r="BD21" i="16"/>
  <c r="BE19" i="16" s="1"/>
  <c r="BM26" i="16"/>
  <c r="AN36" i="11"/>
  <c r="BG23" i="16"/>
  <c r="BG24" i="16" s="1"/>
  <c r="BH22" i="16" s="1"/>
  <c r="AQ120" i="1"/>
  <c r="AQ113" i="1"/>
  <c r="CQ146" i="1"/>
  <c r="CQ149" i="1" s="1"/>
  <c r="CR145" i="1" s="1"/>
  <c r="AR156" i="1"/>
  <c r="O44" i="3" s="1"/>
  <c r="AU154" i="1"/>
  <c r="AV150" i="1" s="1"/>
  <c r="BD29" i="11"/>
  <c r="AT130" i="1" l="1"/>
  <c r="CR146" i="1"/>
  <c r="CR149" i="1" s="1"/>
  <c r="CS145" i="1" s="1"/>
  <c r="BH23" i="16"/>
  <c r="BH24" i="16" s="1"/>
  <c r="BI22" i="16" s="1"/>
  <c r="BE20" i="16"/>
  <c r="BH108" i="1" s="1"/>
  <c r="AV151" i="1"/>
  <c r="AV153" i="1" s="1"/>
  <c r="AV110" i="1" s="1"/>
  <c r="AR158" i="1"/>
  <c r="AR109" i="1" s="1"/>
  <c r="CI140" i="1"/>
  <c r="AQ181" i="1"/>
  <c r="BM27" i="16"/>
  <c r="BN25" i="16" s="1"/>
  <c r="AT182" i="1" l="1"/>
  <c r="BE21" i="16"/>
  <c r="BF19" i="16" s="1"/>
  <c r="BF21" i="16" s="1"/>
  <c r="BG19" i="16" s="1"/>
  <c r="AT131" i="1"/>
  <c r="AU128" i="1" s="1"/>
  <c r="BI23" i="16"/>
  <c r="CS146" i="1"/>
  <c r="CS149" i="1" s="1"/>
  <c r="CT145" i="1" s="1"/>
  <c r="BE27" i="11"/>
  <c r="BE28" i="11" s="1"/>
  <c r="BF20" i="16"/>
  <c r="BI108" i="1" s="1"/>
  <c r="AS40" i="11"/>
  <c r="AS41" i="11" s="1"/>
  <c r="AS42" i="11" s="1"/>
  <c r="AV154" i="1"/>
  <c r="AW150" i="1" s="1"/>
  <c r="AO33" i="11"/>
  <c r="AO35" i="11" s="1"/>
  <c r="AR111" i="1"/>
  <c r="O35" i="3"/>
  <c r="AR159" i="1"/>
  <c r="AS155" i="1" s="1"/>
  <c r="BN26" i="16"/>
  <c r="BN27" i="16"/>
  <c r="BO25" i="16" s="1"/>
  <c r="CI141" i="1"/>
  <c r="CI144" i="1" s="1"/>
  <c r="CJ140" i="1" s="1"/>
  <c r="AU129" i="1" l="1"/>
  <c r="AU130" i="1" s="1"/>
  <c r="CJ141" i="1"/>
  <c r="CJ144" i="1" s="1"/>
  <c r="CK140" i="1" s="1"/>
  <c r="CT146" i="1"/>
  <c r="CT149" i="1" s="1"/>
  <c r="CU145" i="1" s="1"/>
  <c r="BE29" i="11"/>
  <c r="AS156" i="1"/>
  <c r="AR120" i="1"/>
  <c r="AR113" i="1"/>
  <c r="O26" i="3"/>
  <c r="AO45" i="11"/>
  <c r="AO46" i="11" s="1"/>
  <c r="AO36" i="11"/>
  <c r="AW151" i="1"/>
  <c r="AW153" i="1" s="1"/>
  <c r="AW110" i="1" s="1"/>
  <c r="BG20" i="16"/>
  <c r="BJ108" i="1" s="1"/>
  <c r="BG21" i="16"/>
  <c r="BH19" i="16" s="1"/>
  <c r="BO26" i="16"/>
  <c r="BF27" i="11"/>
  <c r="BF28" i="11" s="1"/>
  <c r="BI24" i="16"/>
  <c r="BJ22" i="16" s="1"/>
  <c r="AU131" i="1" l="1"/>
  <c r="AU182" i="1"/>
  <c r="P39" i="3"/>
  <c r="CU146" i="1"/>
  <c r="CU149" i="1" s="1"/>
  <c r="CV145" i="1" s="1"/>
  <c r="AT40" i="11"/>
  <c r="AT41" i="11" s="1"/>
  <c r="AT42" i="11" s="1"/>
  <c r="CK141" i="1"/>
  <c r="CK144" i="1" s="1"/>
  <c r="CL140" i="1" s="1"/>
  <c r="AR181" i="1"/>
  <c r="O27" i="3"/>
  <c r="BH20" i="16"/>
  <c r="BK108" i="1" s="1"/>
  <c r="BH21" i="16"/>
  <c r="BI19" i="16" s="1"/>
  <c r="AS158" i="1"/>
  <c r="AS109" i="1" s="1"/>
  <c r="BO27" i="16"/>
  <c r="BP25" i="16" s="1"/>
  <c r="AW154" i="1"/>
  <c r="AX150" i="1" s="1"/>
  <c r="BG27" i="11"/>
  <c r="BG28" i="11" s="1"/>
  <c r="U34" i="3"/>
  <c r="F34" i="2"/>
  <c r="BJ23" i="16"/>
  <c r="BJ24" i="16" s="1"/>
  <c r="BK22" i="16" s="1"/>
  <c r="BF29" i="11"/>
  <c r="AS159" i="1" l="1"/>
  <c r="AT155" i="1" s="1"/>
  <c r="P40" i="3"/>
  <c r="AV128" i="1"/>
  <c r="BK23" i="16"/>
  <c r="BK24" i="16"/>
  <c r="BL22" i="16" s="1"/>
  <c r="CV146" i="1"/>
  <c r="CV149" i="1" s="1"/>
  <c r="CW145" i="1" s="1"/>
  <c r="CL144" i="1"/>
  <c r="CM140" i="1" s="1"/>
  <c r="CL141" i="1"/>
  <c r="BI20" i="16"/>
  <c r="BL108" i="1" s="1"/>
  <c r="BG29" i="11"/>
  <c r="AT156" i="1"/>
  <c r="AT158" i="1" s="1"/>
  <c r="AT109" i="1" s="1"/>
  <c r="AX151" i="1"/>
  <c r="AP33" i="11"/>
  <c r="AP35" i="11" s="1"/>
  <c r="AS111" i="1"/>
  <c r="BH27" i="11"/>
  <c r="BH28" i="11" s="1"/>
  <c r="BP26" i="16"/>
  <c r="BP27" i="16" s="1"/>
  <c r="BQ25" i="16" s="1"/>
  <c r="BH29" i="11" l="1"/>
  <c r="AV129" i="1"/>
  <c r="AV130" i="1"/>
  <c r="AV182" i="1" s="1"/>
  <c r="AQ33" i="11"/>
  <c r="AQ35" i="11" s="1"/>
  <c r="AQ45" i="11" s="1"/>
  <c r="AT111" i="1"/>
  <c r="CW146" i="1"/>
  <c r="CW149" i="1"/>
  <c r="CX145" i="1" s="1"/>
  <c r="AX154" i="1"/>
  <c r="BL23" i="16"/>
  <c r="BL24" i="16"/>
  <c r="BM22" i="16" s="1"/>
  <c r="AT159" i="1"/>
  <c r="AU155" i="1" s="1"/>
  <c r="BI27" i="11"/>
  <c r="BI28" i="11" s="1"/>
  <c r="BI29" i="11" s="1"/>
  <c r="CM141" i="1"/>
  <c r="CM144" i="1" s="1"/>
  <c r="CN140" i="1" s="1"/>
  <c r="AP45" i="11"/>
  <c r="AP46" i="11" s="1"/>
  <c r="AP36" i="11"/>
  <c r="BQ26" i="16"/>
  <c r="AX153" i="1"/>
  <c r="AX110" i="1" s="1"/>
  <c r="BI21" i="16"/>
  <c r="BJ19" i="16" s="1"/>
  <c r="AS120" i="1"/>
  <c r="AS113" i="1"/>
  <c r="AQ46" i="11" l="1"/>
  <c r="AV131" i="1"/>
  <c r="AW128" i="1" s="1"/>
  <c r="AQ36" i="11"/>
  <c r="CN141" i="1"/>
  <c r="CN144" i="1" s="1"/>
  <c r="CO140" i="1" s="1"/>
  <c r="AS181" i="1"/>
  <c r="BM23" i="16"/>
  <c r="BM24" i="16" s="1"/>
  <c r="BN22" i="16" s="1"/>
  <c r="BQ27" i="16"/>
  <c r="BR25" i="16" s="1"/>
  <c r="CX146" i="1"/>
  <c r="CX149" i="1" s="1"/>
  <c r="CY145" i="1" s="1"/>
  <c r="BJ20" i="16"/>
  <c r="BM108" i="1" s="1"/>
  <c r="AU156" i="1"/>
  <c r="P44" i="3" s="1"/>
  <c r="AU40" i="11"/>
  <c r="AU41" i="11" s="1"/>
  <c r="AU42" i="11" s="1"/>
  <c r="E36" i="2"/>
  <c r="Q36" i="3"/>
  <c r="AT120" i="1"/>
  <c r="AT113" i="1"/>
  <c r="AT181" i="1" s="1"/>
  <c r="AY150" i="1"/>
  <c r="AW129" i="1" l="1"/>
  <c r="AW130" i="1" s="1"/>
  <c r="CY146" i="1"/>
  <c r="CY149" i="1" s="1"/>
  <c r="CZ145" i="1" s="1"/>
  <c r="CO141" i="1"/>
  <c r="CO144" i="1" s="1"/>
  <c r="CP140" i="1" s="1"/>
  <c r="BN23" i="16"/>
  <c r="BN24" i="16" s="1"/>
  <c r="BO22" i="16" s="1"/>
  <c r="AU158" i="1"/>
  <c r="AU109" i="1" s="1"/>
  <c r="BR26" i="16"/>
  <c r="BJ27" i="11"/>
  <c r="BJ28" i="11" s="1"/>
  <c r="V34" i="3"/>
  <c r="AY151" i="1"/>
  <c r="BJ21" i="16"/>
  <c r="BK19" i="16" s="1"/>
  <c r="AW131" i="1" l="1"/>
  <c r="AX128" i="1" s="1"/>
  <c r="AW182" i="1"/>
  <c r="BO23" i="16"/>
  <c r="BO24" i="16" s="1"/>
  <c r="BP22" i="16" s="1"/>
  <c r="CP141" i="1"/>
  <c r="CP144" i="1" s="1"/>
  <c r="CQ140" i="1" s="1"/>
  <c r="AY154" i="1"/>
  <c r="AZ150" i="1" s="1"/>
  <c r="CZ146" i="1"/>
  <c r="CZ149" i="1" s="1"/>
  <c r="DA145" i="1" s="1"/>
  <c r="BK20" i="16"/>
  <c r="BN108" i="1" s="1"/>
  <c r="AR33" i="11"/>
  <c r="AR35" i="11" s="1"/>
  <c r="AU111" i="1"/>
  <c r="P35" i="3"/>
  <c r="AU159" i="1"/>
  <c r="AV155" i="1" s="1"/>
  <c r="AY153" i="1"/>
  <c r="AY110" i="1" s="1"/>
  <c r="BJ29" i="11"/>
  <c r="BR27" i="16"/>
  <c r="BS25" i="16" s="1"/>
  <c r="AX129" i="1" l="1"/>
  <c r="AX130" i="1" s="1"/>
  <c r="AX131" i="1"/>
  <c r="DA146" i="1"/>
  <c r="DA149" i="1" s="1"/>
  <c r="DB145" i="1" s="1"/>
  <c r="BP23" i="16"/>
  <c r="CQ141" i="1"/>
  <c r="CQ144" i="1" s="1"/>
  <c r="CR140" i="1" s="1"/>
  <c r="AZ151" i="1"/>
  <c r="AZ153" i="1" s="1"/>
  <c r="AZ110" i="1" s="1"/>
  <c r="AU120" i="1"/>
  <c r="AU113" i="1"/>
  <c r="P26" i="3"/>
  <c r="AR45" i="11"/>
  <c r="AR46" i="11" s="1"/>
  <c r="AR36" i="11"/>
  <c r="AV156" i="1"/>
  <c r="AV158" i="1" s="1"/>
  <c r="BK29" i="11"/>
  <c r="BS27" i="16"/>
  <c r="BT25" i="16" s="1"/>
  <c r="BS26" i="16"/>
  <c r="BK27" i="11"/>
  <c r="BK28" i="11" s="1"/>
  <c r="AV40" i="11"/>
  <c r="AV41" i="11" s="1"/>
  <c r="AV42" i="11" s="1"/>
  <c r="BK21" i="16"/>
  <c r="BL19" i="16" s="1"/>
  <c r="AY128" i="1" l="1"/>
  <c r="Q40" i="3"/>
  <c r="E40" i="2"/>
  <c r="AX182" i="1"/>
  <c r="Q39" i="3"/>
  <c r="E39" i="2"/>
  <c r="AV109" i="1"/>
  <c r="AV159" i="1"/>
  <c r="AW155" i="1" s="1"/>
  <c r="CR141" i="1"/>
  <c r="CR144" i="1" s="1"/>
  <c r="CS140" i="1" s="1"/>
  <c r="DB146" i="1"/>
  <c r="DB149" i="1" s="1"/>
  <c r="DC145" i="1" s="1"/>
  <c r="AW40" i="11"/>
  <c r="AW41" i="11" s="1"/>
  <c r="AW42" i="11" s="1"/>
  <c r="AZ154" i="1"/>
  <c r="BA150" i="1" s="1"/>
  <c r="AU181" i="1"/>
  <c r="P27" i="3"/>
  <c r="BP24" i="16"/>
  <c r="BQ22" i="16" s="1"/>
  <c r="BT26" i="16"/>
  <c r="BL20" i="16"/>
  <c r="BO108" i="1" s="1"/>
  <c r="BL21" i="16"/>
  <c r="BM19" i="16" s="1"/>
  <c r="AY129" i="1" l="1"/>
  <c r="AY130" i="1"/>
  <c r="AY182" i="1" s="1"/>
  <c r="AY131" i="1"/>
  <c r="AZ128" i="1" s="1"/>
  <c r="AZ129" i="1" s="1"/>
  <c r="AZ130" i="1" s="1"/>
  <c r="AZ182" i="1" s="1"/>
  <c r="DC146" i="1"/>
  <c r="DC149" i="1" s="1"/>
  <c r="DD145" i="1" s="1"/>
  <c r="CS141" i="1"/>
  <c r="CS144" i="1" s="1"/>
  <c r="CT140" i="1" s="1"/>
  <c r="BM20" i="16"/>
  <c r="BP108" i="1" s="1"/>
  <c r="BM21" i="16"/>
  <c r="BN19" i="16" s="1"/>
  <c r="BT27" i="16"/>
  <c r="BU25" i="16" s="1"/>
  <c r="AW156" i="1"/>
  <c r="AW158" i="1" s="1"/>
  <c r="AW109" i="1" s="1"/>
  <c r="BL27" i="11"/>
  <c r="BL28" i="11" s="1"/>
  <c r="W34" i="3"/>
  <c r="BQ23" i="16"/>
  <c r="BQ24" i="16" s="1"/>
  <c r="BR22" i="16" s="1"/>
  <c r="BA151" i="1"/>
  <c r="BA153" i="1" s="1"/>
  <c r="BA110" i="1" s="1"/>
  <c r="AS33" i="11"/>
  <c r="AS35" i="11" s="1"/>
  <c r="AV111" i="1"/>
  <c r="AZ131" i="1" l="1"/>
  <c r="BA128" i="1" s="1"/>
  <c r="BA130" i="1" s="1"/>
  <c r="AX40" i="11"/>
  <c r="AX41" i="11" s="1"/>
  <c r="AX42" i="11" s="1"/>
  <c r="R36" i="3"/>
  <c r="DD146" i="1"/>
  <c r="DD149" i="1" s="1"/>
  <c r="DE145" i="1" s="1"/>
  <c r="BR23" i="16"/>
  <c r="BR24" i="16" s="1"/>
  <c r="BS22" i="16" s="1"/>
  <c r="AT33" i="11"/>
  <c r="AT35" i="11" s="1"/>
  <c r="AT45" i="11" s="1"/>
  <c r="AW111" i="1"/>
  <c r="BA129" i="1"/>
  <c r="BN20" i="16"/>
  <c r="BQ108" i="1" s="1"/>
  <c r="AW159" i="1"/>
  <c r="AX155" i="1" s="1"/>
  <c r="BA154" i="1"/>
  <c r="BB150" i="1" s="1"/>
  <c r="AV120" i="1"/>
  <c r="AV113" i="1"/>
  <c r="BM27" i="11"/>
  <c r="BM28" i="11" s="1"/>
  <c r="CT141" i="1"/>
  <c r="CT144" i="1" s="1"/>
  <c r="BU26" i="16"/>
  <c r="BU27" i="16"/>
  <c r="BV25" i="16" s="1"/>
  <c r="AS45" i="11"/>
  <c r="AS46" i="11" s="1"/>
  <c r="AS36" i="11"/>
  <c r="BL29" i="11"/>
  <c r="AT36" i="11" l="1"/>
  <c r="AT46" i="11"/>
  <c r="BA131" i="1"/>
  <c r="R40" i="3"/>
  <c r="BB128" i="1"/>
  <c r="CU140" i="1"/>
  <c r="DE146" i="1"/>
  <c r="DE149" i="1" s="1"/>
  <c r="DF145" i="1" s="1"/>
  <c r="BN27" i="11"/>
  <c r="BN28" i="11" s="1"/>
  <c r="BS23" i="16"/>
  <c r="BS24" i="16" s="1"/>
  <c r="BT22" i="16" s="1"/>
  <c r="BV26" i="16"/>
  <c r="BV27" i="16" s="1"/>
  <c r="BW25" i="16" s="1"/>
  <c r="AV181" i="1"/>
  <c r="BB151" i="1"/>
  <c r="BB153" i="1" s="1"/>
  <c r="BA182" i="1"/>
  <c r="R39" i="3"/>
  <c r="BM29" i="11"/>
  <c r="AX156" i="1"/>
  <c r="Q44" i="3" s="1"/>
  <c r="AW120" i="1"/>
  <c r="AW113" i="1"/>
  <c r="AW181" i="1" s="1"/>
  <c r="BN21" i="16"/>
  <c r="BO19" i="16" s="1"/>
  <c r="BN29" i="11" l="1"/>
  <c r="DF146" i="1"/>
  <c r="DF149" i="1" s="1"/>
  <c r="BW26" i="16"/>
  <c r="BW27" i="16" s="1"/>
  <c r="BX25" i="16" s="1"/>
  <c r="BT23" i="16"/>
  <c r="BT24" i="16" s="1"/>
  <c r="BU22" i="16" s="1"/>
  <c r="BB110" i="1"/>
  <c r="BB154" i="1"/>
  <c r="BC150" i="1" s="1"/>
  <c r="AX158" i="1"/>
  <c r="AX109" i="1" s="1"/>
  <c r="BO20" i="16"/>
  <c r="BR108" i="1" s="1"/>
  <c r="CU141" i="1"/>
  <c r="CU144" i="1"/>
  <c r="CV140" i="1" s="1"/>
  <c r="BB129" i="1"/>
  <c r="BB130" i="1" s="1"/>
  <c r="BB182" i="1" l="1"/>
  <c r="BB131" i="1"/>
  <c r="BC128" i="1" s="1"/>
  <c r="BX26" i="16"/>
  <c r="BX27" i="16" s="1"/>
  <c r="BY25" i="16" s="1"/>
  <c r="AY40" i="11"/>
  <c r="AY41" i="11" s="1"/>
  <c r="AY42" i="11" s="1"/>
  <c r="BC151" i="1"/>
  <c r="BC153" i="1"/>
  <c r="BC110" i="1" s="1"/>
  <c r="BO21" i="16"/>
  <c r="BP19" i="16" s="1"/>
  <c r="BU24" i="16"/>
  <c r="BV22" i="16" s="1"/>
  <c r="BU23" i="16"/>
  <c r="BO27" i="11"/>
  <c r="BO28" i="11" s="1"/>
  <c r="CV141" i="1"/>
  <c r="CV144" i="1" s="1"/>
  <c r="CW140" i="1" s="1"/>
  <c r="AU33" i="11"/>
  <c r="AU35" i="11" s="1"/>
  <c r="AX111" i="1"/>
  <c r="Q35" i="3"/>
  <c r="E35" i="2"/>
  <c r="AX159" i="1"/>
  <c r="CW141" i="1" l="1"/>
  <c r="CW144" i="1" s="1"/>
  <c r="CX140" i="1" s="1"/>
  <c r="BY26" i="16"/>
  <c r="BY27" i="16"/>
  <c r="BZ25" i="16" s="1"/>
  <c r="AZ40" i="11"/>
  <c r="AZ41" i="11" s="1"/>
  <c r="AZ42" i="11" s="1"/>
  <c r="BC129" i="1"/>
  <c r="BP20" i="16"/>
  <c r="BS108" i="1" s="1"/>
  <c r="AY155" i="1"/>
  <c r="E44" i="2"/>
  <c r="AX120" i="1"/>
  <c r="AX113" i="1"/>
  <c r="Q26" i="3"/>
  <c r="E26" i="2"/>
  <c r="BO29" i="11"/>
  <c r="BV23" i="16"/>
  <c r="BV24" i="16" s="1"/>
  <c r="BW22" i="16" s="1"/>
  <c r="BC154" i="1"/>
  <c r="BD150" i="1" s="1"/>
  <c r="AU45" i="11"/>
  <c r="AU46" i="11" s="1"/>
  <c r="AU36" i="11"/>
  <c r="BW23" i="16" l="1"/>
  <c r="BW24" i="16" s="1"/>
  <c r="BX22" i="16" s="1"/>
  <c r="CX141" i="1"/>
  <c r="CX144" i="1" s="1"/>
  <c r="CY140" i="1" s="1"/>
  <c r="AY156" i="1"/>
  <c r="AY158" i="1" s="1"/>
  <c r="BZ26" i="16"/>
  <c r="AX181" i="1"/>
  <c r="Q27" i="3"/>
  <c r="E27" i="2"/>
  <c r="E48" i="12" s="1"/>
  <c r="E54" i="12"/>
  <c r="E98" i="12"/>
  <c r="E99" i="12" s="1"/>
  <c r="BP27" i="11"/>
  <c r="BP28" i="11" s="1"/>
  <c r="X34" i="3"/>
  <c r="BP21" i="16"/>
  <c r="BQ19" i="16" s="1"/>
  <c r="BC130" i="1"/>
  <c r="BC131" i="1" s="1"/>
  <c r="BD128" i="1" s="1"/>
  <c r="BD151" i="1"/>
  <c r="BD153" i="1" s="1"/>
  <c r="BD110" i="1" s="1"/>
  <c r="BD154" i="1" l="1"/>
  <c r="BE150" i="1" s="1"/>
  <c r="BE151" i="1"/>
  <c r="BE153" i="1" s="1"/>
  <c r="BE110" i="1" s="1"/>
  <c r="AY109" i="1"/>
  <c r="AY159" i="1"/>
  <c r="AZ155" i="1" s="1"/>
  <c r="BD129" i="1"/>
  <c r="BX23" i="16"/>
  <c r="BX24" i="16" s="1"/>
  <c r="BY22" i="16" s="1"/>
  <c r="CY141" i="1"/>
  <c r="CY144" i="1" s="1"/>
  <c r="CZ140" i="1" s="1"/>
  <c r="BZ27" i="16"/>
  <c r="CA25" i="16" s="1"/>
  <c r="BP29" i="11"/>
  <c r="BC182" i="1"/>
  <c r="BA40" i="11"/>
  <c r="BA41" i="11" s="1"/>
  <c r="BA42" i="11" s="1"/>
  <c r="S36" i="3"/>
  <c r="BQ20" i="16"/>
  <c r="BT108" i="1" s="1"/>
  <c r="BQ21" i="16" l="1"/>
  <c r="BR19" i="16" s="1"/>
  <c r="CZ141" i="1"/>
  <c r="CZ144" i="1" s="1"/>
  <c r="DA140" i="1" s="1"/>
  <c r="BB40" i="11"/>
  <c r="BB41" i="11" s="1"/>
  <c r="BD130" i="1"/>
  <c r="BD131" i="1" s="1"/>
  <c r="AV33" i="11"/>
  <c r="AV35" i="11" s="1"/>
  <c r="AY111" i="1"/>
  <c r="BB42" i="11"/>
  <c r="CA26" i="16"/>
  <c r="BY23" i="16"/>
  <c r="BY24" i="16" s="1"/>
  <c r="BZ22" i="16" s="1"/>
  <c r="BE154" i="1"/>
  <c r="BF150" i="1" s="1"/>
  <c r="BR20" i="16"/>
  <c r="BU108" i="1" s="1"/>
  <c r="AZ156" i="1"/>
  <c r="AZ158" i="1" s="1"/>
  <c r="AZ109" i="1" s="1"/>
  <c r="BQ27" i="11"/>
  <c r="BQ28" i="11" s="1"/>
  <c r="BQ29" i="11" s="1"/>
  <c r="S40" i="3" l="1"/>
  <c r="BE128" i="1"/>
  <c r="AW33" i="11"/>
  <c r="AW35" i="11" s="1"/>
  <c r="AW45" i="11" s="1"/>
  <c r="AZ111" i="1"/>
  <c r="DA141" i="1"/>
  <c r="DA144" i="1" s="1"/>
  <c r="DB140" i="1" s="1"/>
  <c r="BZ23" i="16"/>
  <c r="AZ159" i="1"/>
  <c r="BA155" i="1" s="1"/>
  <c r="BR27" i="11"/>
  <c r="BR28" i="11" s="1"/>
  <c r="AY120" i="1"/>
  <c r="AY113" i="1"/>
  <c r="BR21" i="16"/>
  <c r="BS19" i="16" s="1"/>
  <c r="BD182" i="1"/>
  <c r="S39" i="3"/>
  <c r="CA27" i="16"/>
  <c r="CB25" i="16" s="1"/>
  <c r="BF151" i="1"/>
  <c r="AV45" i="11"/>
  <c r="AV46" i="11" s="1"/>
  <c r="AW46" i="11" s="1"/>
  <c r="AV36" i="11"/>
  <c r="DB141" i="1" l="1"/>
  <c r="DB144" i="1" s="1"/>
  <c r="DC140" i="1" s="1"/>
  <c r="BS20" i="16"/>
  <c r="BV108" i="1" s="1"/>
  <c r="AZ120" i="1"/>
  <c r="AZ113" i="1"/>
  <c r="AZ181" i="1" s="1"/>
  <c r="BA156" i="1"/>
  <c r="R44" i="3" s="1"/>
  <c r="BF153" i="1"/>
  <c r="BF110" i="1" s="1"/>
  <c r="BZ24" i="16"/>
  <c r="CA22" i="16" s="1"/>
  <c r="BE129" i="1"/>
  <c r="AY181" i="1"/>
  <c r="AW36" i="11"/>
  <c r="CB26" i="16"/>
  <c r="CB27" i="16" s="1"/>
  <c r="CC25" i="16" s="1"/>
  <c r="BR29" i="11"/>
  <c r="DC141" i="1" l="1"/>
  <c r="DC144" i="1" s="1"/>
  <c r="DD140" i="1" s="1"/>
  <c r="BS27" i="11"/>
  <c r="BS28" i="11" s="1"/>
  <c r="G34" i="2"/>
  <c r="Y34" i="3"/>
  <c r="BC40" i="11"/>
  <c r="BC41" i="11" s="1"/>
  <c r="BC42" i="11" s="1"/>
  <c r="BS21" i="16"/>
  <c r="BT19" i="16" s="1"/>
  <c r="CC26" i="16"/>
  <c r="CC27" i="16" s="1"/>
  <c r="CD25" i="16" s="1"/>
  <c r="CA23" i="16"/>
  <c r="BE130" i="1"/>
  <c r="BS29" i="11"/>
  <c r="BA158" i="1"/>
  <c r="BF154" i="1"/>
  <c r="BG150" i="1" s="1"/>
  <c r="CD26" i="16" l="1"/>
  <c r="BG151" i="1"/>
  <c r="CA24" i="16"/>
  <c r="CB22" i="16" s="1"/>
  <c r="BA109" i="1"/>
  <c r="BA159" i="1"/>
  <c r="BB155" i="1" s="1"/>
  <c r="BT20" i="16"/>
  <c r="BW108" i="1" s="1"/>
  <c r="DD141" i="1"/>
  <c r="DD144" i="1" s="1"/>
  <c r="DE140" i="1" s="1"/>
  <c r="BE182" i="1"/>
  <c r="BE131" i="1"/>
  <c r="BF128" i="1" s="1"/>
  <c r="BF129" i="1" l="1"/>
  <c r="BF130" i="1" s="1"/>
  <c r="BG153" i="1"/>
  <c r="BG110" i="1" s="1"/>
  <c r="BT27" i="11"/>
  <c r="BT28" i="11" s="1"/>
  <c r="BT21" i="16"/>
  <c r="BU19" i="16" s="1"/>
  <c r="CB23" i="16"/>
  <c r="BB156" i="1"/>
  <c r="BB158" i="1" s="1"/>
  <c r="BB109" i="1" s="1"/>
  <c r="DE141" i="1"/>
  <c r="DE144" i="1" s="1"/>
  <c r="DF140" i="1" s="1"/>
  <c r="AX33" i="11"/>
  <c r="AX35" i="11" s="1"/>
  <c r="BA111" i="1"/>
  <c r="R35" i="3"/>
  <c r="CD27" i="16"/>
  <c r="CE25" i="16" s="1"/>
  <c r="AY33" i="11" l="1"/>
  <c r="AY35" i="11" s="1"/>
  <c r="AY45" i="11" s="1"/>
  <c r="BB111" i="1"/>
  <c r="BF182" i="1"/>
  <c r="BD40" i="11"/>
  <c r="BD41" i="11" s="1"/>
  <c r="BD42" i="11" s="1"/>
  <c r="T36" i="3"/>
  <c r="DF141" i="1"/>
  <c r="DF144" i="1" s="1"/>
  <c r="BA120" i="1"/>
  <c r="BA113" i="1"/>
  <c r="R26" i="3"/>
  <c r="BF131" i="1"/>
  <c r="BG128" i="1" s="1"/>
  <c r="BB159" i="1"/>
  <c r="BC155" i="1" s="1"/>
  <c r="CE26" i="16"/>
  <c r="CE27" i="16" s="1"/>
  <c r="CF25" i="16" s="1"/>
  <c r="BT29" i="11"/>
  <c r="AX45" i="11"/>
  <c r="AX46" i="11" s="1"/>
  <c r="AY46" i="11" s="1"/>
  <c r="AX36" i="11"/>
  <c r="AY36" i="11" s="1"/>
  <c r="BU20" i="16"/>
  <c r="BX108" i="1" s="1"/>
  <c r="CB24" i="16"/>
  <c r="CC22" i="16" s="1"/>
  <c r="BG154" i="1"/>
  <c r="BH150" i="1" s="1"/>
  <c r="BU21" i="16" l="1"/>
  <c r="BV19" i="16" s="1"/>
  <c r="CF26" i="16"/>
  <c r="CF27" i="16" s="1"/>
  <c r="CG25" i="16" s="1"/>
  <c r="BA181" i="1"/>
  <c r="R27" i="3"/>
  <c r="BV20" i="16"/>
  <c r="BY108" i="1" s="1"/>
  <c r="Z34" i="3" s="1"/>
  <c r="BC156" i="1"/>
  <c r="BB120" i="1"/>
  <c r="BB113" i="1"/>
  <c r="BH151" i="1"/>
  <c r="BU27" i="11"/>
  <c r="BU28" i="11" s="1"/>
  <c r="BG129" i="1"/>
  <c r="CC23" i="16"/>
  <c r="CC24" i="16"/>
  <c r="CD22" i="16" s="1"/>
  <c r="CG26" i="16" l="1"/>
  <c r="CD23" i="16"/>
  <c r="BC158" i="1"/>
  <c r="BC109" i="1" s="1"/>
  <c r="BG130" i="1"/>
  <c r="BH153" i="1"/>
  <c r="BH110" i="1" s="1"/>
  <c r="BV21" i="16"/>
  <c r="BW19" i="16" s="1"/>
  <c r="BV27" i="11"/>
  <c r="BV28" i="11" s="1"/>
  <c r="BB181" i="1"/>
  <c r="BU29" i="11"/>
  <c r="CD24" i="16" l="1"/>
  <c r="CE22" i="16" s="1"/>
  <c r="BE40" i="11"/>
  <c r="BE41" i="11" s="1"/>
  <c r="BE42" i="11" s="1"/>
  <c r="BG182" i="1"/>
  <c r="T39" i="3"/>
  <c r="BG131" i="1"/>
  <c r="AZ33" i="11"/>
  <c r="AZ35" i="11" s="1"/>
  <c r="BC111" i="1"/>
  <c r="BW20" i="16"/>
  <c r="BZ108" i="1" s="1"/>
  <c r="BV29" i="11"/>
  <c r="CG27" i="16"/>
  <c r="CH25" i="16" s="1"/>
  <c r="BC159" i="1"/>
  <c r="BD155" i="1" s="1"/>
  <c r="BH154" i="1"/>
  <c r="BI150" i="1" s="1"/>
  <c r="BW21" i="16" l="1"/>
  <c r="BX19" i="16" s="1"/>
  <c r="BI151" i="1"/>
  <c r="BI153" i="1"/>
  <c r="BI110" i="1" s="1"/>
  <c r="BC120" i="1"/>
  <c r="BC113" i="1"/>
  <c r="T40" i="3"/>
  <c r="BH128" i="1"/>
  <c r="CE23" i="16"/>
  <c r="CE24" i="16" s="1"/>
  <c r="CF22" i="16" s="1"/>
  <c r="BD156" i="1"/>
  <c r="S44" i="3" s="1"/>
  <c r="CH26" i="16"/>
  <c r="CH27" i="16" s="1"/>
  <c r="BX20" i="16"/>
  <c r="CA108" i="1" s="1"/>
  <c r="AZ45" i="11"/>
  <c r="AZ46" i="11" s="1"/>
  <c r="AZ36" i="11"/>
  <c r="BW27" i="11"/>
  <c r="BW28" i="11" s="1"/>
  <c r="BI154" i="1" l="1"/>
  <c r="BJ150" i="1" s="1"/>
  <c r="CF23" i="16"/>
  <c r="BJ151" i="1"/>
  <c r="BJ153" i="1" s="1"/>
  <c r="CI25" i="16"/>
  <c r="C53" i="16"/>
  <c r="BD158" i="1"/>
  <c r="BD109" i="1" s="1"/>
  <c r="BC181" i="1"/>
  <c r="BX27" i="11"/>
  <c r="BX28" i="11" s="1"/>
  <c r="BF40" i="11"/>
  <c r="BF41" i="11" s="1"/>
  <c r="BF42" i="11" s="1"/>
  <c r="BX21" i="16"/>
  <c r="BY19" i="16" s="1"/>
  <c r="BW29" i="11"/>
  <c r="BH129" i="1"/>
  <c r="BH130" i="1" s="1"/>
  <c r="BH131" i="1" s="1"/>
  <c r="BI128" i="1" s="1"/>
  <c r="BD159" i="1" l="1"/>
  <c r="BE155" i="1" s="1"/>
  <c r="BJ110" i="1"/>
  <c r="BJ154" i="1"/>
  <c r="BI129" i="1"/>
  <c r="BI130" i="1"/>
  <c r="BI182" i="1" s="1"/>
  <c r="BA33" i="11"/>
  <c r="BA35" i="11" s="1"/>
  <c r="BD111" i="1"/>
  <c r="S35" i="3"/>
  <c r="BY20" i="16"/>
  <c r="CB108" i="1" s="1"/>
  <c r="CI26" i="16"/>
  <c r="CI27" i="16"/>
  <c r="CJ25" i="16" s="1"/>
  <c r="D53" i="16"/>
  <c r="BE156" i="1"/>
  <c r="BE158" i="1" s="1"/>
  <c r="BH182" i="1"/>
  <c r="BX29" i="11"/>
  <c r="CF24" i="16"/>
  <c r="CG22" i="16" s="1"/>
  <c r="BI131" i="1" l="1"/>
  <c r="BJ128" i="1" s="1"/>
  <c r="BE109" i="1"/>
  <c r="BE159" i="1"/>
  <c r="BF155" i="1" s="1"/>
  <c r="BJ129" i="1"/>
  <c r="CJ26" i="16"/>
  <c r="CJ27" i="16" s="1"/>
  <c r="CK25" i="16" s="1"/>
  <c r="BA45" i="11"/>
  <c r="BA46" i="11" s="1"/>
  <c r="BA36" i="11"/>
  <c r="BK150" i="1"/>
  <c r="BD120" i="1"/>
  <c r="BD113" i="1"/>
  <c r="S26" i="3"/>
  <c r="BY27" i="11"/>
  <c r="BY28" i="11" s="1"/>
  <c r="AA34" i="3"/>
  <c r="CG23" i="16"/>
  <c r="BY21" i="16"/>
  <c r="BZ19" i="16" s="1"/>
  <c r="BY29" i="11"/>
  <c r="C54" i="16"/>
  <c r="BG40" i="11"/>
  <c r="BG41" i="11" s="1"/>
  <c r="BG42" i="11" s="1"/>
  <c r="F36" i="2"/>
  <c r="U36" i="3"/>
  <c r="CK26" i="16" l="1"/>
  <c r="CK27" i="16" s="1"/>
  <c r="CL25" i="16" s="1"/>
  <c r="BZ20" i="16"/>
  <c r="CC108" i="1" s="1"/>
  <c r="BD181" i="1"/>
  <c r="S27" i="3"/>
  <c r="CG24" i="16"/>
  <c r="CH22" i="16" s="1"/>
  <c r="BJ130" i="1"/>
  <c r="BK151" i="1"/>
  <c r="BK153" i="1" s="1"/>
  <c r="D54" i="16"/>
  <c r="C55" i="16" s="1"/>
  <c r="BF156" i="1"/>
  <c r="BF158" i="1" s="1"/>
  <c r="BF109" i="1" s="1"/>
  <c r="BB33" i="11"/>
  <c r="BB35" i="11" s="1"/>
  <c r="BB45" i="11" s="1"/>
  <c r="BB46" i="11" s="1"/>
  <c r="BE111" i="1"/>
  <c r="BZ21" i="16" l="1"/>
  <c r="CA19" i="16" s="1"/>
  <c r="BB36" i="11"/>
  <c r="D55" i="16"/>
  <c r="C56" i="16" s="1"/>
  <c r="BK110" i="1"/>
  <c r="BK154" i="1"/>
  <c r="BL150" i="1" s="1"/>
  <c r="CL26" i="16"/>
  <c r="CL27" i="16"/>
  <c r="CM25" i="16" s="1"/>
  <c r="BZ27" i="11"/>
  <c r="BZ28" i="11" s="1"/>
  <c r="CA20" i="16"/>
  <c r="CD108" i="1" s="1"/>
  <c r="BE120" i="1"/>
  <c r="BE113" i="1"/>
  <c r="BJ182" i="1"/>
  <c r="U39" i="3"/>
  <c r="F39" i="2"/>
  <c r="CH23" i="16"/>
  <c r="BJ131" i="1"/>
  <c r="BC33" i="11"/>
  <c r="BC35" i="11" s="1"/>
  <c r="BC45" i="11" s="1"/>
  <c r="BC46" i="11" s="1"/>
  <c r="BF111" i="1"/>
  <c r="BF159" i="1"/>
  <c r="BG155" i="1" s="1"/>
  <c r="D56" i="16" l="1"/>
  <c r="U40" i="3"/>
  <c r="BK128" i="1"/>
  <c r="F40" i="2"/>
  <c r="CA27" i="11"/>
  <c r="CA28" i="11" s="1"/>
  <c r="BL151" i="1"/>
  <c r="BL153" i="1"/>
  <c r="BL110" i="1" s="1"/>
  <c r="CM26" i="16"/>
  <c r="BC36" i="11"/>
  <c r="CA21" i="16"/>
  <c r="CB19" i="16" s="1"/>
  <c r="BH40" i="11"/>
  <c r="BH41" i="11" s="1"/>
  <c r="BH42" i="11" s="1"/>
  <c r="BE181" i="1"/>
  <c r="CH24" i="16"/>
  <c r="CI22" i="16" s="1"/>
  <c r="BG156" i="1"/>
  <c r="T44" i="3" s="1"/>
  <c r="BG158" i="1"/>
  <c r="BG109" i="1" s="1"/>
  <c r="BZ29" i="11"/>
  <c r="CA29" i="11" s="1"/>
  <c r="BF120" i="1"/>
  <c r="BF113" i="1"/>
  <c r="BF181" i="1" s="1"/>
  <c r="BI40" i="11" l="1"/>
  <c r="BI41" i="11" s="1"/>
  <c r="BK129" i="1"/>
  <c r="BK130" i="1" s="1"/>
  <c r="CM27" i="16"/>
  <c r="CN25" i="16" s="1"/>
  <c r="BL154" i="1"/>
  <c r="BM150" i="1" s="1"/>
  <c r="BG159" i="1"/>
  <c r="BH155" i="1" s="1"/>
  <c r="BI42" i="11"/>
  <c r="C57" i="16"/>
  <c r="BD33" i="11"/>
  <c r="BD35" i="11" s="1"/>
  <c r="BD45" i="11" s="1"/>
  <c r="BD46" i="11" s="1"/>
  <c r="BG111" i="1"/>
  <c r="T35" i="3"/>
  <c r="CI23" i="16"/>
  <c r="CI24" i="16"/>
  <c r="CJ22" i="16" s="1"/>
  <c r="CB20" i="16"/>
  <c r="CE108" i="1" s="1"/>
  <c r="BK182" i="1" l="1"/>
  <c r="CN26" i="16"/>
  <c r="CN27" i="16" s="1"/>
  <c r="CO25" i="16" s="1"/>
  <c r="CJ23" i="16"/>
  <c r="CJ24" i="16" s="1"/>
  <c r="CK22" i="16" s="1"/>
  <c r="BK131" i="1"/>
  <c r="BL128" i="1" s="1"/>
  <c r="D57" i="16"/>
  <c r="C58" i="16"/>
  <c r="BH156" i="1"/>
  <c r="BG120" i="1"/>
  <c r="BG113" i="1"/>
  <c r="T26" i="3"/>
  <c r="CB27" i="11"/>
  <c r="CB28" i="11" s="1"/>
  <c r="AB34" i="3"/>
  <c r="CB21" i="16"/>
  <c r="CC19" i="16" s="1"/>
  <c r="BM153" i="1"/>
  <c r="BM110" i="1" s="1"/>
  <c r="BM151" i="1"/>
  <c r="BD36" i="11"/>
  <c r="BM154" i="1" l="1"/>
  <c r="BN150" i="1" s="1"/>
  <c r="BN151" i="1" s="1"/>
  <c r="CO26" i="16"/>
  <c r="CK23" i="16"/>
  <c r="CK24" i="16" s="1"/>
  <c r="CL22" i="16" s="1"/>
  <c r="CC20" i="16"/>
  <c r="CF108" i="1" s="1"/>
  <c r="BH158" i="1"/>
  <c r="BH109" i="1" s="1"/>
  <c r="CB29" i="11"/>
  <c r="D58" i="16"/>
  <c r="C59" i="16" s="1"/>
  <c r="BG181" i="1"/>
  <c r="T27" i="3"/>
  <c r="BJ40" i="11"/>
  <c r="BJ41" i="11" s="1"/>
  <c r="BJ42" i="11" s="1"/>
  <c r="V36" i="3"/>
  <c r="BL129" i="1"/>
  <c r="BL130" i="1" s="1"/>
  <c r="BL131" i="1" s="1"/>
  <c r="BM128" i="1" s="1"/>
  <c r="BN153" i="1" l="1"/>
  <c r="BN110" i="1" s="1"/>
  <c r="D59" i="16"/>
  <c r="C60" i="16" s="1"/>
  <c r="CO27" i="16"/>
  <c r="CP25" i="16" s="1"/>
  <c r="CC29" i="11"/>
  <c r="CL23" i="16"/>
  <c r="CL24" i="16" s="1"/>
  <c r="CM22" i="16" s="1"/>
  <c r="BH159" i="1"/>
  <c r="BI155" i="1" s="1"/>
  <c r="CC27" i="11"/>
  <c r="CC28" i="11" s="1"/>
  <c r="CC21" i="16"/>
  <c r="CD19" i="16" s="1"/>
  <c r="BK40" i="11"/>
  <c r="BK41" i="11" s="1"/>
  <c r="BK42" i="11" s="1"/>
  <c r="BE33" i="11"/>
  <c r="BE35" i="11" s="1"/>
  <c r="BH111" i="1"/>
  <c r="BL182" i="1"/>
  <c r="BM129" i="1"/>
  <c r="BM130" i="1" s="1"/>
  <c r="BN154" i="1" l="1"/>
  <c r="BO150" i="1" s="1"/>
  <c r="BO151" i="1" s="1"/>
  <c r="CM23" i="16"/>
  <c r="CM24" i="16" s="1"/>
  <c r="CN22" i="16" s="1"/>
  <c r="BM182" i="1"/>
  <c r="V39" i="3"/>
  <c r="D60" i="16"/>
  <c r="C61" i="16" s="1"/>
  <c r="CP26" i="16"/>
  <c r="BE45" i="11"/>
  <c r="BE46" i="11" s="1"/>
  <c r="BE36" i="11"/>
  <c r="BO153" i="1"/>
  <c r="BO110" i="1" s="1"/>
  <c r="CD20" i="16"/>
  <c r="CG108" i="1" s="1"/>
  <c r="BI156" i="1"/>
  <c r="BM131" i="1"/>
  <c r="BH120" i="1"/>
  <c r="BH113" i="1"/>
  <c r="D61" i="16" l="1"/>
  <c r="C62" i="16" s="1"/>
  <c r="CN23" i="16"/>
  <c r="V40" i="3"/>
  <c r="BN128" i="1"/>
  <c r="BL40" i="11"/>
  <c r="BL41" i="11" s="1"/>
  <c r="BL42" i="11" s="1"/>
  <c r="BI158" i="1"/>
  <c r="BI109" i="1" s="1"/>
  <c r="CP27" i="16"/>
  <c r="CQ25" i="16" s="1"/>
  <c r="CD27" i="11"/>
  <c r="CD28" i="11" s="1"/>
  <c r="BO154" i="1"/>
  <c r="BP150" i="1" s="1"/>
  <c r="BH181" i="1"/>
  <c r="CD21" i="16"/>
  <c r="CE19" i="16" s="1"/>
  <c r="D62" i="16" l="1"/>
  <c r="C63" i="16" s="1"/>
  <c r="BN129" i="1"/>
  <c r="BN130" i="1" s="1"/>
  <c r="BF33" i="11"/>
  <c r="BF35" i="11" s="1"/>
  <c r="BI111" i="1"/>
  <c r="BP151" i="1"/>
  <c r="CN24" i="16"/>
  <c r="CO22" i="16" s="1"/>
  <c r="BI159" i="1"/>
  <c r="BJ155" i="1" s="1"/>
  <c r="CQ27" i="16"/>
  <c r="CQ26" i="16"/>
  <c r="CE20" i="16"/>
  <c r="CH108" i="1" s="1"/>
  <c r="CD29" i="11"/>
  <c r="CE21" i="16" l="1"/>
  <c r="CF19" i="16" s="1"/>
  <c r="BN182" i="1"/>
  <c r="BI120" i="1"/>
  <c r="BI113" i="1"/>
  <c r="BN131" i="1"/>
  <c r="BO128" i="1" s="1"/>
  <c r="CO23" i="16"/>
  <c r="BP153" i="1"/>
  <c r="BP110" i="1" s="1"/>
  <c r="BF45" i="11"/>
  <c r="BF46" i="11" s="1"/>
  <c r="BF36" i="11"/>
  <c r="BJ156" i="1"/>
  <c r="U44" i="3" s="1"/>
  <c r="CE27" i="11"/>
  <c r="CE28" i="11" s="1"/>
  <c r="H34" i="2"/>
  <c r="AC34" i="3"/>
  <c r="D63" i="16"/>
  <c r="C64" i="16" s="1"/>
  <c r="CE29" i="11"/>
  <c r="CF20" i="16"/>
  <c r="CI108" i="1" s="1"/>
  <c r="BJ158" i="1" l="1"/>
  <c r="BJ109" i="1" s="1"/>
  <c r="D64" i="16"/>
  <c r="C65" i="16" s="1"/>
  <c r="BG33" i="11"/>
  <c r="BG35" i="11" s="1"/>
  <c r="BG45" i="11" s="1"/>
  <c r="BG46" i="11" s="1"/>
  <c r="BJ111" i="1"/>
  <c r="U35" i="3"/>
  <c r="F35" i="2"/>
  <c r="BI181" i="1"/>
  <c r="CO24" i="16"/>
  <c r="CP22" i="16" s="1"/>
  <c r="BJ159" i="1"/>
  <c r="BM40" i="11"/>
  <c r="BM41" i="11" s="1"/>
  <c r="BM42" i="11" s="1"/>
  <c r="W36" i="3"/>
  <c r="CF27" i="11"/>
  <c r="CF28" i="11" s="1"/>
  <c r="CF21" i="16"/>
  <c r="CG19" i="16" s="1"/>
  <c r="BO129" i="1"/>
  <c r="BP154" i="1"/>
  <c r="BQ150" i="1" s="1"/>
  <c r="D65" i="16" l="1"/>
  <c r="C66" i="16" s="1"/>
  <c r="CF29" i="11"/>
  <c r="CP23" i="16"/>
  <c r="BG36" i="11"/>
  <c r="BQ151" i="1"/>
  <c r="BO130" i="1"/>
  <c r="BJ120" i="1"/>
  <c r="BJ113" i="1"/>
  <c r="U26" i="3"/>
  <c r="F26" i="2"/>
  <c r="BK155" i="1"/>
  <c r="F44" i="2"/>
  <c r="F54" i="12" s="1"/>
  <c r="CG20" i="16"/>
  <c r="CJ108" i="1" s="1"/>
  <c r="D66" i="16" l="1"/>
  <c r="C67" i="16" s="1"/>
  <c r="CG27" i="11"/>
  <c r="CG28" i="11" s="1"/>
  <c r="BO182" i="1"/>
  <c r="CG21" i="16"/>
  <c r="CH19" i="16" s="1"/>
  <c r="BQ153" i="1"/>
  <c r="BQ110" i="1" s="1"/>
  <c r="CP24" i="16"/>
  <c r="CQ22" i="16" s="1"/>
  <c r="BK156" i="1"/>
  <c r="BK158" i="1" s="1"/>
  <c r="BO131" i="1"/>
  <c r="BP128" i="1" s="1"/>
  <c r="BJ181" i="1"/>
  <c r="U27" i="3"/>
  <c r="F27" i="2"/>
  <c r="F48" i="12" s="1"/>
  <c r="CG29" i="11"/>
  <c r="D67" i="16" l="1"/>
  <c r="C68" i="16"/>
  <c r="BK109" i="1"/>
  <c r="BK159" i="1"/>
  <c r="BL155" i="1" s="1"/>
  <c r="CH20" i="16"/>
  <c r="CK108" i="1" s="1"/>
  <c r="BN40" i="11"/>
  <c r="BN41" i="11" s="1"/>
  <c r="BN42" i="11" s="1"/>
  <c r="BQ154" i="1"/>
  <c r="BR150" i="1" s="1"/>
  <c r="CQ23" i="16"/>
  <c r="CQ24" i="16" s="1"/>
  <c r="BP129" i="1"/>
  <c r="BP130" i="1" l="1"/>
  <c r="BP131" i="1" s="1"/>
  <c r="CH27" i="11"/>
  <c r="CH28" i="11" s="1"/>
  <c r="AD34" i="3"/>
  <c r="BL156" i="1"/>
  <c r="BL158" i="1" s="1"/>
  <c r="BL109" i="1" s="1"/>
  <c r="W39" i="3"/>
  <c r="CH21" i="16"/>
  <c r="CI19" i="16" s="1"/>
  <c r="BH33" i="11"/>
  <c r="BH35" i="11" s="1"/>
  <c r="BK111" i="1"/>
  <c r="D68" i="16"/>
  <c r="C69" i="16"/>
  <c r="BR151" i="1"/>
  <c r="BR153" i="1" s="1"/>
  <c r="BR110" i="1" s="1"/>
  <c r="W40" i="3" l="1"/>
  <c r="BQ128" i="1"/>
  <c r="BP182" i="1"/>
  <c r="BO40" i="11"/>
  <c r="BO41" i="11" s="1"/>
  <c r="BO42" i="11" s="1"/>
  <c r="BR154" i="1"/>
  <c r="BS150" i="1" s="1"/>
  <c r="BI33" i="11"/>
  <c r="BI35" i="11" s="1"/>
  <c r="BI45" i="11" s="1"/>
  <c r="BL111" i="1"/>
  <c r="D69" i="16"/>
  <c r="C70" i="16" s="1"/>
  <c r="BH45" i="11"/>
  <c r="BH46" i="11" s="1"/>
  <c r="BH36" i="11"/>
  <c r="BL159" i="1"/>
  <c r="BM155" i="1" s="1"/>
  <c r="CI20" i="16"/>
  <c r="CL108" i="1" s="1"/>
  <c r="CH29" i="11"/>
  <c r="BQ129" i="1"/>
  <c r="BQ130" i="1"/>
  <c r="BK120" i="1"/>
  <c r="BK113" i="1"/>
  <c r="BQ131" i="1" l="1"/>
  <c r="BR128" i="1" s="1"/>
  <c r="D70" i="16"/>
  <c r="C71" i="16" s="1"/>
  <c r="BR129" i="1"/>
  <c r="BL120" i="1"/>
  <c r="BL113" i="1"/>
  <c r="BL181" i="1" s="1"/>
  <c r="BQ182" i="1"/>
  <c r="BI36" i="11"/>
  <c r="BM156" i="1"/>
  <c r="V44" i="3" s="1"/>
  <c r="BI46" i="11"/>
  <c r="BS151" i="1"/>
  <c r="CI21" i="16"/>
  <c r="CJ19" i="16" s="1"/>
  <c r="BK181" i="1"/>
  <c r="D71" i="16" l="1"/>
  <c r="C72" i="16" s="1"/>
  <c r="BS153" i="1"/>
  <c r="BS110" i="1" s="1"/>
  <c r="BR130" i="1"/>
  <c r="CJ20" i="16"/>
  <c r="CM108" i="1" s="1"/>
  <c r="BM158" i="1"/>
  <c r="BM109" i="1" s="1"/>
  <c r="D72" i="16" l="1"/>
  <c r="C73" i="16" s="1"/>
  <c r="BP40" i="11"/>
  <c r="BP41" i="11" s="1"/>
  <c r="BP42" i="11" s="1"/>
  <c r="X36" i="3"/>
  <c r="BJ33" i="11"/>
  <c r="BJ35" i="11" s="1"/>
  <c r="BM111" i="1"/>
  <c r="V35" i="3"/>
  <c r="BR182" i="1"/>
  <c r="BM159" i="1"/>
  <c r="BN155" i="1" s="1"/>
  <c r="BR131" i="1"/>
  <c r="BS128" i="1" s="1"/>
  <c r="CJ21" i="16"/>
  <c r="CK19" i="16" s="1"/>
  <c r="BS154" i="1"/>
  <c r="BT150" i="1" s="1"/>
  <c r="D73" i="16" l="1"/>
  <c r="C74" i="16" s="1"/>
  <c r="BM120" i="1"/>
  <c r="BM113" i="1"/>
  <c r="V26" i="3"/>
  <c r="BT151" i="1"/>
  <c r="CK20" i="16"/>
  <c r="CN108" i="1" s="1"/>
  <c r="BS129" i="1"/>
  <c r="BS130" i="1" s="1"/>
  <c r="BJ45" i="11"/>
  <c r="BJ46" i="11" s="1"/>
  <c r="BJ36" i="11"/>
  <c r="BN156" i="1"/>
  <c r="BN158" i="1" s="1"/>
  <c r="BS182" i="1" l="1"/>
  <c r="X39" i="3"/>
  <c r="BN109" i="1"/>
  <c r="BN159" i="1"/>
  <c r="BO155" i="1" s="1"/>
  <c r="BS131" i="1"/>
  <c r="AE34" i="3"/>
  <c r="BT153" i="1"/>
  <c r="BT110" i="1" s="1"/>
  <c r="D74" i="16"/>
  <c r="C75" i="16" s="1"/>
  <c r="BM181" i="1"/>
  <c r="V27" i="3"/>
  <c r="CK21" i="16"/>
  <c r="CL19" i="16" s="1"/>
  <c r="D75" i="16" l="1"/>
  <c r="C76" i="16" s="1"/>
  <c r="BK33" i="11"/>
  <c r="BK35" i="11" s="1"/>
  <c r="BN111" i="1"/>
  <c r="BT154" i="1"/>
  <c r="BU150" i="1" s="1"/>
  <c r="X40" i="3"/>
  <c r="BT128" i="1"/>
  <c r="BQ40" i="11"/>
  <c r="BQ41" i="11" s="1"/>
  <c r="BQ42" i="11" s="1"/>
  <c r="CL20" i="16"/>
  <c r="CO108" i="1" s="1"/>
  <c r="BO156" i="1"/>
  <c r="CL21" i="16" l="1"/>
  <c r="CM19" i="16" s="1"/>
  <c r="D76" i="16"/>
  <c r="C77" i="16"/>
  <c r="BU151" i="1"/>
  <c r="BU153" i="1" s="1"/>
  <c r="BN120" i="1"/>
  <c r="BN113" i="1"/>
  <c r="BO158" i="1"/>
  <c r="BO109" i="1" s="1"/>
  <c r="CM20" i="16"/>
  <c r="CP108" i="1" s="1"/>
  <c r="BK45" i="11"/>
  <c r="BK46" i="11" s="1"/>
  <c r="BK36" i="11"/>
  <c r="BT129" i="1"/>
  <c r="BT130" i="1"/>
  <c r="BT131" i="1" l="1"/>
  <c r="BU128" i="1" s="1"/>
  <c r="BU129" i="1" s="1"/>
  <c r="BU110" i="1"/>
  <c r="BU154" i="1"/>
  <c r="BV150" i="1" s="1"/>
  <c r="BL33" i="11"/>
  <c r="BL35" i="11" s="1"/>
  <c r="BL45" i="11" s="1"/>
  <c r="BL46" i="11" s="1"/>
  <c r="BO111" i="1"/>
  <c r="D77" i="16"/>
  <c r="C78" i="16" s="1"/>
  <c r="BN181" i="1"/>
  <c r="CM21" i="16"/>
  <c r="CN19" i="16" s="1"/>
  <c r="BT182" i="1"/>
  <c r="BO159" i="1"/>
  <c r="BP155" i="1" s="1"/>
  <c r="BU130" i="1" l="1"/>
  <c r="D78" i="16"/>
  <c r="C79" i="16" s="1"/>
  <c r="BP156" i="1"/>
  <c r="W44" i="3" s="1"/>
  <c r="BL36" i="11"/>
  <c r="BV151" i="1"/>
  <c r="BO120" i="1"/>
  <c r="BO113" i="1"/>
  <c r="CN20" i="16"/>
  <c r="CQ108" i="1" s="1"/>
  <c r="BR40" i="11"/>
  <c r="BR41" i="11" s="1"/>
  <c r="BR42" i="11" s="1"/>
  <c r="BV153" i="1" l="1"/>
  <c r="BV110" i="1" s="1"/>
  <c r="BP158" i="1"/>
  <c r="BP109" i="1" s="1"/>
  <c r="BO181" i="1"/>
  <c r="BU182" i="1"/>
  <c r="CN21" i="16"/>
  <c r="CO19" i="16" s="1"/>
  <c r="BU131" i="1"/>
  <c r="BV128" i="1" s="1"/>
  <c r="BP159" i="1"/>
  <c r="BQ155" i="1" s="1"/>
  <c r="D79" i="16"/>
  <c r="C80" i="16" s="1"/>
  <c r="AF34" i="3"/>
  <c r="D80" i="16" l="1"/>
  <c r="C81" i="16" s="1"/>
  <c r="BV129" i="1"/>
  <c r="BV130" i="1" s="1"/>
  <c r="BM33" i="11"/>
  <c r="BM35" i="11" s="1"/>
  <c r="BP111" i="1"/>
  <c r="W35" i="3"/>
  <c r="BQ156" i="1"/>
  <c r="CO20" i="16"/>
  <c r="CR108" i="1" s="1"/>
  <c r="BS40" i="11"/>
  <c r="BS41" i="11" s="1"/>
  <c r="BS42" i="11" s="1"/>
  <c r="Y36" i="3"/>
  <c r="G36" i="2"/>
  <c r="BV154" i="1"/>
  <c r="BV182" i="1" l="1"/>
  <c r="Y39" i="3"/>
  <c r="G39" i="2"/>
  <c r="BP120" i="1"/>
  <c r="BP113" i="1"/>
  <c r="W26" i="3"/>
  <c r="BV131" i="1"/>
  <c r="BW150" i="1"/>
  <c r="CO21" i="16"/>
  <c r="CP19" i="16" s="1"/>
  <c r="D81" i="16"/>
  <c r="C82" i="16" s="1"/>
  <c r="BM45" i="11"/>
  <c r="BM46" i="11" s="1"/>
  <c r="BM36" i="11"/>
  <c r="BQ158" i="1"/>
  <c r="BQ109" i="1" s="1"/>
  <c r="D82" i="16" l="1"/>
  <c r="C83" i="16" s="1"/>
  <c r="BN33" i="11"/>
  <c r="BN35" i="11" s="1"/>
  <c r="BN45" i="11" s="1"/>
  <c r="BQ111" i="1"/>
  <c r="CP20" i="16"/>
  <c r="CS108" i="1" s="1"/>
  <c r="BW151" i="1"/>
  <c r="BW153" i="1" s="1"/>
  <c r="BW110" i="1" s="1"/>
  <c r="Y40" i="3"/>
  <c r="BW128" i="1"/>
  <c r="G40" i="2"/>
  <c r="BP181" i="1"/>
  <c r="W27" i="3"/>
  <c r="BN46" i="11"/>
  <c r="BQ159" i="1"/>
  <c r="BR155" i="1" s="1"/>
  <c r="BT40" i="11" l="1"/>
  <c r="BT41" i="11" s="1"/>
  <c r="BT42" i="11" s="1"/>
  <c r="CP21" i="16"/>
  <c r="CQ19" i="16" s="1"/>
  <c r="BQ120" i="1"/>
  <c r="BQ113" i="1"/>
  <c r="BR156" i="1"/>
  <c r="BW129" i="1"/>
  <c r="BW154" i="1"/>
  <c r="BX150" i="1" s="1"/>
  <c r="D83" i="16"/>
  <c r="C84" i="16" s="1"/>
  <c r="BN36" i="11"/>
  <c r="D84" i="16" l="1"/>
  <c r="C85" i="16" s="1"/>
  <c r="BQ181" i="1"/>
  <c r="CQ20" i="16"/>
  <c r="CT108" i="1" s="1"/>
  <c r="BW130" i="1"/>
  <c r="BR158" i="1"/>
  <c r="BR109" i="1" s="1"/>
  <c r="BX151" i="1"/>
  <c r="D85" i="16" l="1"/>
  <c r="C86" i="16"/>
  <c r="I34" i="2"/>
  <c r="AG34" i="3"/>
  <c r="BO33" i="11"/>
  <c r="BO35" i="11" s="1"/>
  <c r="BR111" i="1"/>
  <c r="BX153" i="1"/>
  <c r="BX110" i="1" s="1"/>
  <c r="BR159" i="1"/>
  <c r="BS155" i="1" s="1"/>
  <c r="BW182" i="1"/>
  <c r="CQ21" i="16"/>
  <c r="BW131" i="1"/>
  <c r="BX128" i="1" s="1"/>
  <c r="BU40" i="11" l="1"/>
  <c r="BU41" i="11" s="1"/>
  <c r="BU42" i="11" s="1"/>
  <c r="D86" i="16"/>
  <c r="C87" i="16" s="1"/>
  <c r="BO45" i="11"/>
  <c r="BO46" i="11" s="1"/>
  <c r="BO36" i="11"/>
  <c r="BS156" i="1"/>
  <c r="X44" i="3" s="1"/>
  <c r="BR120" i="1"/>
  <c r="BR113" i="1"/>
  <c r="BX129" i="1"/>
  <c r="BX130" i="1" s="1"/>
  <c r="BX154" i="1"/>
  <c r="BY150" i="1" s="1"/>
  <c r="BX182" i="1" l="1"/>
  <c r="BS158" i="1"/>
  <c r="BS109" i="1" s="1"/>
  <c r="D87" i="16"/>
  <c r="C88" i="16" s="1"/>
  <c r="BR181" i="1"/>
  <c r="BY151" i="1"/>
  <c r="BX131" i="1"/>
  <c r="BY128" i="1" s="1"/>
  <c r="BS159" i="1"/>
  <c r="BT155" i="1" s="1"/>
  <c r="BY153" i="1" l="1"/>
  <c r="BY110" i="1" s="1"/>
  <c r="D88" i="16"/>
  <c r="C89" i="16" s="1"/>
  <c r="BV40" i="11"/>
  <c r="BV41" i="11" s="1"/>
  <c r="BV42" i="11" s="1"/>
  <c r="Z36" i="3"/>
  <c r="BP33" i="11"/>
  <c r="BP35" i="11" s="1"/>
  <c r="BS111" i="1"/>
  <c r="X35" i="3"/>
  <c r="BT156" i="1"/>
  <c r="BT158" i="1" s="1"/>
  <c r="BT109" i="1" s="1"/>
  <c r="BY129" i="1"/>
  <c r="BY154" i="1" l="1"/>
  <c r="BZ150" i="1" s="1"/>
  <c r="BZ151" i="1" s="1"/>
  <c r="BZ153" i="1" s="1"/>
  <c r="BZ110" i="1" s="1"/>
  <c r="BQ33" i="11"/>
  <c r="BQ35" i="11" s="1"/>
  <c r="BQ45" i="11" s="1"/>
  <c r="BT111" i="1"/>
  <c r="D89" i="16"/>
  <c r="C90" i="16" s="1"/>
  <c r="BW40" i="11"/>
  <c r="BW41" i="11" s="1"/>
  <c r="BW42" i="11" s="1"/>
  <c r="BT159" i="1"/>
  <c r="BU155" i="1" s="1"/>
  <c r="BS120" i="1"/>
  <c r="BS113" i="1"/>
  <c r="X26" i="3"/>
  <c r="BP45" i="11"/>
  <c r="BP46" i="11" s="1"/>
  <c r="BQ46" i="11" s="1"/>
  <c r="BP36" i="11"/>
  <c r="BQ36" i="11" s="1"/>
  <c r="BZ154" i="1"/>
  <c r="CA150" i="1" s="1"/>
  <c r="BY130" i="1"/>
  <c r="D90" i="16" l="1"/>
  <c r="C91" i="16" s="1"/>
  <c r="BY182" i="1"/>
  <c r="Z39" i="3"/>
  <c r="BU156" i="1"/>
  <c r="BY131" i="1"/>
  <c r="CA151" i="1"/>
  <c r="BS181" i="1"/>
  <c r="X27" i="3"/>
  <c r="BT120" i="1"/>
  <c r="BT113" i="1"/>
  <c r="D91" i="16" l="1"/>
  <c r="C92" i="16" s="1"/>
  <c r="D92" i="16" s="1"/>
  <c r="D93" i="16" s="1"/>
  <c r="Z40" i="3"/>
  <c r="BZ128" i="1"/>
  <c r="BU158" i="1"/>
  <c r="BU109" i="1" s="1"/>
  <c r="CA153" i="1"/>
  <c r="CA110" i="1" s="1"/>
  <c r="BT181" i="1"/>
  <c r="BX40" i="11" l="1"/>
  <c r="BX41" i="11" s="1"/>
  <c r="BX42" i="11" s="1"/>
  <c r="BZ129" i="1"/>
  <c r="BU159" i="1"/>
  <c r="BV155" i="1" s="1"/>
  <c r="BR33" i="11"/>
  <c r="BR35" i="11" s="1"/>
  <c r="BU111" i="1"/>
  <c r="CA154" i="1"/>
  <c r="CB150" i="1" s="1"/>
  <c r="CB151" i="1" l="1"/>
  <c r="BU120" i="1"/>
  <c r="BU113" i="1"/>
  <c r="BV156" i="1"/>
  <c r="Y44" i="3" s="1"/>
  <c r="BZ130" i="1"/>
  <c r="BR45" i="11"/>
  <c r="BR46" i="11" s="1"/>
  <c r="BR36" i="11"/>
  <c r="BU181" i="1" l="1"/>
  <c r="BZ182" i="1"/>
  <c r="CB153" i="1"/>
  <c r="CB110" i="1" s="1"/>
  <c r="BV158" i="1"/>
  <c r="BZ131" i="1"/>
  <c r="CA128" i="1" s="1"/>
  <c r="CA129" i="1" l="1"/>
  <c r="CA130" i="1" s="1"/>
  <c r="BV109" i="1"/>
  <c r="BV159" i="1"/>
  <c r="BY40" i="11"/>
  <c r="BY41" i="11" s="1"/>
  <c r="BY42" i="11" s="1"/>
  <c r="AA36" i="3"/>
  <c r="CB154" i="1"/>
  <c r="CC150" i="1" s="1"/>
  <c r="CA182" i="1" l="1"/>
  <c r="BW155" i="1"/>
  <c r="G44" i="2"/>
  <c r="G54" i="12" s="1"/>
  <c r="CA131" i="1"/>
  <c r="CB128" i="1" s="1"/>
  <c r="BS33" i="11"/>
  <c r="BS35" i="11" s="1"/>
  <c r="BV111" i="1"/>
  <c r="Y35" i="3"/>
  <c r="G35" i="2"/>
  <c r="CC151" i="1"/>
  <c r="CC153" i="1" s="1"/>
  <c r="CC110" i="1" l="1"/>
  <c r="CC154" i="1"/>
  <c r="CD150" i="1" s="1"/>
  <c r="BS45" i="11"/>
  <c r="BS46" i="11" s="1"/>
  <c r="BS36" i="11"/>
  <c r="BW156" i="1"/>
  <c r="BW158" i="1"/>
  <c r="BW109" i="1" s="1"/>
  <c r="CB129" i="1"/>
  <c r="CB130" i="1" s="1"/>
  <c r="BV120" i="1"/>
  <c r="BV113" i="1"/>
  <c r="G26" i="2"/>
  <c r="Y26" i="3"/>
  <c r="CB131" i="1" l="1"/>
  <c r="AA40" i="3" s="1"/>
  <c r="CC128" i="1"/>
  <c r="BW159" i="1"/>
  <c r="BX155" i="1" s="1"/>
  <c r="BV181" i="1"/>
  <c r="G27" i="2"/>
  <c r="G48" i="12" s="1"/>
  <c r="Y27" i="3"/>
  <c r="CB182" i="1"/>
  <c r="AA39" i="3"/>
  <c r="CD151" i="1"/>
  <c r="BT33" i="11"/>
  <c r="BT35" i="11" s="1"/>
  <c r="BT45" i="11" s="1"/>
  <c r="BT46" i="11" s="1"/>
  <c r="BW111" i="1"/>
  <c r="BZ40" i="11"/>
  <c r="BZ41" i="11" s="1"/>
  <c r="BZ42" i="11" s="1"/>
  <c r="CD153" i="1" l="1"/>
  <c r="CD110" i="1" s="1"/>
  <c r="BT36" i="11"/>
  <c r="CC129" i="1"/>
  <c r="BX156" i="1"/>
  <c r="BW120" i="1"/>
  <c r="BW113" i="1"/>
  <c r="CC130" i="1" l="1"/>
  <c r="CC131" i="1" s="1"/>
  <c r="CD128" i="1" s="1"/>
  <c r="BW181" i="1"/>
  <c r="CD154" i="1"/>
  <c r="CE150" i="1" s="1"/>
  <c r="CA40" i="11"/>
  <c r="CA41" i="11" s="1"/>
  <c r="CA42" i="11" s="1"/>
  <c r="BX158" i="1"/>
  <c r="BX109" i="1" s="1"/>
  <c r="CD129" i="1" l="1"/>
  <c r="CD130" i="1" s="1"/>
  <c r="BU33" i="11"/>
  <c r="BU35" i="11" s="1"/>
  <c r="BX111" i="1"/>
  <c r="CE151" i="1"/>
  <c r="CE153" i="1" s="1"/>
  <c r="CC182" i="1"/>
  <c r="BX159" i="1"/>
  <c r="BY155" i="1" s="1"/>
  <c r="CE110" i="1" l="1"/>
  <c r="CE154" i="1"/>
  <c r="CF150" i="1" s="1"/>
  <c r="CD182" i="1"/>
  <c r="CD131" i="1"/>
  <c r="CE128" i="1" s="1"/>
  <c r="BX120" i="1"/>
  <c r="BX113" i="1"/>
  <c r="BY156" i="1"/>
  <c r="Z44" i="3" s="1"/>
  <c r="BU45" i="11"/>
  <c r="BU46" i="11" s="1"/>
  <c r="BU36" i="11"/>
  <c r="BX181" i="1" l="1"/>
  <c r="BY158" i="1"/>
  <c r="BY109" i="1" s="1"/>
  <c r="CE129" i="1"/>
  <c r="CE130" i="1" s="1"/>
  <c r="CF151" i="1"/>
  <c r="CF153" i="1" s="1"/>
  <c r="CF110" i="1" s="1"/>
  <c r="CB40" i="11"/>
  <c r="CB41" i="11" s="1"/>
  <c r="CB42" i="11" s="1"/>
  <c r="AB36" i="3"/>
  <c r="CC40" i="11" l="1"/>
  <c r="CC41" i="11" s="1"/>
  <c r="CE182" i="1"/>
  <c r="AB39" i="3"/>
  <c r="CE131" i="1"/>
  <c r="CC42" i="11"/>
  <c r="CF154" i="1"/>
  <c r="CG150" i="1" s="1"/>
  <c r="BV33" i="11"/>
  <c r="BV35" i="11" s="1"/>
  <c r="BY111" i="1"/>
  <c r="Z35" i="3"/>
  <c r="BY159" i="1"/>
  <c r="BZ155" i="1" s="1"/>
  <c r="BZ156" i="1" l="1"/>
  <c r="CG151" i="1"/>
  <c r="AB40" i="3"/>
  <c r="CF128" i="1"/>
  <c r="BY120" i="1"/>
  <c r="BY113" i="1"/>
  <c r="Z26" i="3"/>
  <c r="BV45" i="11"/>
  <c r="BV46" i="11" s="1"/>
  <c r="BV36" i="11"/>
  <c r="CG153" i="1" l="1"/>
  <c r="CG110" i="1" s="1"/>
  <c r="CF129" i="1"/>
  <c r="CF130" i="1" s="1"/>
  <c r="BZ158" i="1"/>
  <c r="BZ109" i="1" s="1"/>
  <c r="BY181" i="1"/>
  <c r="Z27" i="3"/>
  <c r="CF182" i="1" l="1"/>
  <c r="CF131" i="1"/>
  <c r="CG128" i="1" s="1"/>
  <c r="CD40" i="11"/>
  <c r="CD41" i="11" s="1"/>
  <c r="CD42" i="11" s="1"/>
  <c r="BZ159" i="1"/>
  <c r="CA155" i="1" s="1"/>
  <c r="BW33" i="11"/>
  <c r="BW35" i="11" s="1"/>
  <c r="BZ111" i="1"/>
  <c r="CG154" i="1"/>
  <c r="CH150" i="1" s="1"/>
  <c r="CG129" i="1" l="1"/>
  <c r="CH151" i="1"/>
  <c r="B16" i="17" s="1"/>
  <c r="BW45" i="11"/>
  <c r="BW46" i="11" s="1"/>
  <c r="BW36" i="11"/>
  <c r="BZ120" i="1"/>
  <c r="BZ113" i="1"/>
  <c r="CA156" i="1"/>
  <c r="B17" i="17" l="1"/>
  <c r="CG130" i="1"/>
  <c r="BZ181" i="1"/>
  <c r="CA158" i="1"/>
  <c r="CA109" i="1" s="1"/>
  <c r="CH153" i="1"/>
  <c r="CH110" i="1" s="1"/>
  <c r="CH154" i="1" l="1"/>
  <c r="CG182" i="1"/>
  <c r="CE40" i="11"/>
  <c r="CE41" i="11" s="1"/>
  <c r="CE42" i="11" s="1"/>
  <c r="H36" i="2"/>
  <c r="AC36" i="3"/>
  <c r="CG131" i="1"/>
  <c r="CH128" i="1" s="1"/>
  <c r="CI150" i="1"/>
  <c r="BX33" i="11"/>
  <c r="BX35" i="11" s="1"/>
  <c r="CA111" i="1"/>
  <c r="CA159" i="1"/>
  <c r="CB155" i="1" s="1"/>
  <c r="CA120" i="1" l="1"/>
  <c r="CA113" i="1"/>
  <c r="CB156" i="1"/>
  <c r="AA44" i="3" s="1"/>
  <c r="BX45" i="11"/>
  <c r="BX46" i="11" s="1"/>
  <c r="BX36" i="11"/>
  <c r="CI151" i="1"/>
  <c r="CH129" i="1"/>
  <c r="CB158" i="1" l="1"/>
  <c r="CB109" i="1" s="1"/>
  <c r="CH130" i="1"/>
  <c r="CI153" i="1"/>
  <c r="CI110" i="1" s="1"/>
  <c r="CA181" i="1"/>
  <c r="CH182" i="1" l="1"/>
  <c r="H39" i="2"/>
  <c r="AC39" i="3"/>
  <c r="BY33" i="11"/>
  <c r="BY35" i="11" s="1"/>
  <c r="CB111" i="1"/>
  <c r="AA35" i="3"/>
  <c r="CB159" i="1"/>
  <c r="CC155" i="1" s="1"/>
  <c r="CI154" i="1"/>
  <c r="CJ150" i="1" s="1"/>
  <c r="CF40" i="11"/>
  <c r="CF41" i="11" s="1"/>
  <c r="CF42" i="11" s="1"/>
  <c r="CH131" i="1"/>
  <c r="CB120" i="1" l="1"/>
  <c r="CB113" i="1"/>
  <c r="AA26" i="3"/>
  <c r="CC156" i="1"/>
  <c r="CC158" i="1" s="1"/>
  <c r="AC40" i="3"/>
  <c r="CI128" i="1"/>
  <c r="H40" i="2"/>
  <c r="BY45" i="11"/>
  <c r="BY46" i="11" s="1"/>
  <c r="BY36" i="11"/>
  <c r="CJ151" i="1"/>
  <c r="CJ153" i="1" s="1"/>
  <c r="CJ110" i="1" s="1"/>
  <c r="CC109" i="1" l="1"/>
  <c r="CC159" i="1"/>
  <c r="CD155" i="1" s="1"/>
  <c r="CG40" i="11"/>
  <c r="CG41" i="11" s="1"/>
  <c r="CG42" i="11" s="1"/>
  <c r="CJ154" i="1"/>
  <c r="CK150" i="1" s="1"/>
  <c r="CB181" i="1"/>
  <c r="AA27" i="3"/>
  <c r="CI129" i="1"/>
  <c r="CI130" i="1" s="1"/>
  <c r="CI182" i="1" l="1"/>
  <c r="CI131" i="1"/>
  <c r="CJ128" i="1" s="1"/>
  <c r="CK151" i="1"/>
  <c r="CK153" i="1" s="1"/>
  <c r="CK110" i="1" s="1"/>
  <c r="CD156" i="1"/>
  <c r="CD158" i="1" s="1"/>
  <c r="CD109" i="1" s="1"/>
  <c r="BZ33" i="11"/>
  <c r="BZ35" i="11" s="1"/>
  <c r="CC111" i="1"/>
  <c r="CA33" i="11" l="1"/>
  <c r="CA35" i="11" s="1"/>
  <c r="CA45" i="11" s="1"/>
  <c r="CD111" i="1"/>
  <c r="CH40" i="11"/>
  <c r="CH41" i="11" s="1"/>
  <c r="CH42" i="11" s="1"/>
  <c r="AD36" i="3"/>
  <c r="CK154" i="1"/>
  <c r="BZ45" i="11"/>
  <c r="BZ46" i="11" s="1"/>
  <c r="CA46" i="11" s="1"/>
  <c r="BZ36" i="11"/>
  <c r="CA36" i="11" s="1"/>
  <c r="CC120" i="1"/>
  <c r="CC113" i="1"/>
  <c r="CJ129" i="1"/>
  <c r="CJ130" i="1" s="1"/>
  <c r="CD159" i="1"/>
  <c r="CE155" i="1" s="1"/>
  <c r="CJ182" i="1" l="1"/>
  <c r="CC181" i="1"/>
  <c r="CJ131" i="1"/>
  <c r="CK128" i="1" s="1"/>
  <c r="CE156" i="1"/>
  <c r="AB44" i="3" s="1"/>
  <c r="CD120" i="1"/>
  <c r="CD113" i="1"/>
  <c r="CD181" i="1" s="1"/>
  <c r="E53" i="16"/>
  <c r="CL150" i="1"/>
  <c r="CL151" i="1" l="1"/>
  <c r="CK129" i="1"/>
  <c r="F53" i="16"/>
  <c r="G53" i="16" s="1"/>
  <c r="CE158" i="1"/>
  <c r="CE109" i="1" s="1"/>
  <c r="CE159" i="1"/>
  <c r="CF155" i="1" s="1"/>
  <c r="CK130" i="1" l="1"/>
  <c r="CB33" i="11"/>
  <c r="CB35" i="11" s="1"/>
  <c r="CE111" i="1"/>
  <c r="AB35" i="3"/>
  <c r="CL153" i="1"/>
  <c r="CL110" i="1" s="1"/>
  <c r="CF156" i="1"/>
  <c r="E54" i="16"/>
  <c r="CE120" i="1" l="1"/>
  <c r="CE113" i="1"/>
  <c r="AB26" i="3"/>
  <c r="CB45" i="11"/>
  <c r="CB46" i="11" s="1"/>
  <c r="CB36" i="11"/>
  <c r="CF158" i="1"/>
  <c r="CF109" i="1" s="1"/>
  <c r="CK182" i="1"/>
  <c r="AD39" i="3"/>
  <c r="CL154" i="1"/>
  <c r="CM150" i="1" s="1"/>
  <c r="F54" i="16"/>
  <c r="G54" i="16"/>
  <c r="E55" i="16" s="1"/>
  <c r="CK131" i="1"/>
  <c r="F55" i="16" l="1"/>
  <c r="G55" i="16"/>
  <c r="CC33" i="11"/>
  <c r="CC35" i="11" s="1"/>
  <c r="CC45" i="11" s="1"/>
  <c r="CC46" i="11" s="1"/>
  <c r="CF111" i="1"/>
  <c r="CM151" i="1"/>
  <c r="AD40" i="3"/>
  <c r="CL128" i="1"/>
  <c r="CE181" i="1"/>
  <c r="AB27" i="3"/>
  <c r="CF159" i="1"/>
  <c r="CG155" i="1" s="1"/>
  <c r="E56" i="16" l="1"/>
  <c r="F56" i="16" s="1"/>
  <c r="G56" i="16" s="1"/>
  <c r="CF120" i="1"/>
  <c r="CF113" i="1"/>
  <c r="CL129" i="1"/>
  <c r="CL130" i="1" s="1"/>
  <c r="CG156" i="1"/>
  <c r="CG158" i="1" s="1"/>
  <c r="CG109" i="1" s="1"/>
  <c r="CM153" i="1"/>
  <c r="CM110" i="1" s="1"/>
  <c r="CC36" i="11"/>
  <c r="CD33" i="11" l="1"/>
  <c r="CD35" i="11" s="1"/>
  <c r="CD45" i="11" s="1"/>
  <c r="CD46" i="11" s="1"/>
  <c r="CG111" i="1"/>
  <c r="CL182" i="1"/>
  <c r="CL131" i="1"/>
  <c r="CM128" i="1" s="1"/>
  <c r="E57" i="16"/>
  <c r="CF181" i="1"/>
  <c r="CG159" i="1"/>
  <c r="CH155" i="1" s="1"/>
  <c r="CD36" i="11"/>
  <c r="CM154" i="1"/>
  <c r="CN150" i="1" s="1"/>
  <c r="CN151" i="1" l="1"/>
  <c r="CN153" i="1"/>
  <c r="CN110" i="1" s="1"/>
  <c r="CH156" i="1"/>
  <c r="CH158" i="1" s="1"/>
  <c r="CH109" i="1" s="1"/>
  <c r="F57" i="16"/>
  <c r="E58" i="16" s="1"/>
  <c r="G57" i="16"/>
  <c r="CG120" i="1"/>
  <c r="CG113" i="1"/>
  <c r="CM129" i="1"/>
  <c r="CM130" i="1" s="1"/>
  <c r="CN154" i="1" l="1"/>
  <c r="CO150" i="1" s="1"/>
  <c r="CE33" i="11"/>
  <c r="CE35" i="11" s="1"/>
  <c r="CH111" i="1"/>
  <c r="AC35" i="3"/>
  <c r="H35" i="2"/>
  <c r="CM182" i="1"/>
  <c r="CM131" i="1"/>
  <c r="CN128" i="1" s="1"/>
  <c r="CO151" i="1"/>
  <c r="F58" i="16"/>
  <c r="G58" i="16"/>
  <c r="E59" i="16" s="1"/>
  <c r="AE36" i="3"/>
  <c r="CG181" i="1"/>
  <c r="AC44" i="3"/>
  <c r="B23" i="17"/>
  <c r="CH159" i="1"/>
  <c r="CO153" i="1" l="1"/>
  <c r="CO110" i="1" s="1"/>
  <c r="F59" i="16"/>
  <c r="G59" i="16" s="1"/>
  <c r="CI155" i="1"/>
  <c r="H44" i="2"/>
  <c r="H54" i="12" s="1"/>
  <c r="CN129" i="1"/>
  <c r="CN130" i="1" s="1"/>
  <c r="D23" i="17"/>
  <c r="D24" i="17" s="1"/>
  <c r="B24" i="17"/>
  <c r="B31" i="17" s="1"/>
  <c r="B30" i="17"/>
  <c r="CH120" i="1"/>
  <c r="CH113" i="1"/>
  <c r="H26" i="2"/>
  <c r="AC26" i="3"/>
  <c r="CE45" i="11"/>
  <c r="CE46" i="11" s="1"/>
  <c r="CE36" i="11"/>
  <c r="CO154" i="1" l="1"/>
  <c r="CP150" i="1" s="1"/>
  <c r="CP151" i="1" s="1"/>
  <c r="CP153" i="1" s="1"/>
  <c r="CP110" i="1"/>
  <c r="CP154" i="1"/>
  <c r="CQ150" i="1" s="1"/>
  <c r="CN182" i="1"/>
  <c r="AE39" i="3"/>
  <c r="CN131" i="1"/>
  <c r="CI156" i="1"/>
  <c r="CH181" i="1"/>
  <c r="AC27" i="3"/>
  <c r="H27" i="2"/>
  <c r="H48" i="12" s="1"/>
  <c r="E60" i="16"/>
  <c r="AE40" i="3" l="1"/>
  <c r="CO128" i="1"/>
  <c r="F60" i="16"/>
  <c r="CI158" i="1"/>
  <c r="CI109" i="1" s="1"/>
  <c r="CQ151" i="1"/>
  <c r="CQ153" i="1" s="1"/>
  <c r="CQ110" i="1" s="1"/>
  <c r="CO129" i="1" l="1"/>
  <c r="CO130" i="1" s="1"/>
  <c r="CF33" i="11"/>
  <c r="CF35" i="11" s="1"/>
  <c r="CI111" i="1"/>
  <c r="G60" i="16"/>
  <c r="E61" i="16" s="1"/>
  <c r="AF36" i="3"/>
  <c r="CQ154" i="1"/>
  <c r="CR150" i="1" s="1"/>
  <c r="CI159" i="1"/>
  <c r="CJ155" i="1" s="1"/>
  <c r="CO131" i="1" l="1"/>
  <c r="CP128" i="1" s="1"/>
  <c r="CP129" i="1" s="1"/>
  <c r="F61" i="16"/>
  <c r="G61" i="16" s="1"/>
  <c r="CR151" i="1"/>
  <c r="CR153" i="1" s="1"/>
  <c r="CF45" i="11"/>
  <c r="CF46" i="11" s="1"/>
  <c r="CF36" i="11"/>
  <c r="CJ156" i="1"/>
  <c r="CO182" i="1"/>
  <c r="CI120" i="1"/>
  <c r="CI113" i="1"/>
  <c r="E62" i="16" l="1"/>
  <c r="F62" i="16" s="1"/>
  <c r="CR110" i="1"/>
  <c r="CR154" i="1"/>
  <c r="CS150" i="1" s="1"/>
  <c r="CI181" i="1"/>
  <c r="CJ158" i="1"/>
  <c r="CJ109" i="1" s="1"/>
  <c r="CP130" i="1"/>
  <c r="CP131" i="1" s="1"/>
  <c r="CQ128" i="1" s="1"/>
  <c r="G62" i="16" l="1"/>
  <c r="E63" i="16" s="1"/>
  <c r="CQ129" i="1"/>
  <c r="CQ130" i="1" s="1"/>
  <c r="F63" i="16"/>
  <c r="CP182" i="1"/>
  <c r="CG33" i="11"/>
  <c r="CG35" i="11" s="1"/>
  <c r="CJ111" i="1"/>
  <c r="CS151" i="1"/>
  <c r="CS153" i="1" s="1"/>
  <c r="CS110" i="1" s="1"/>
  <c r="CJ159" i="1"/>
  <c r="CK155" i="1" s="1"/>
  <c r="CQ182" i="1" l="1"/>
  <c r="AF39" i="3"/>
  <c r="CS154" i="1"/>
  <c r="CT150" i="1" s="1"/>
  <c r="G63" i="16"/>
  <c r="E64" i="16" s="1"/>
  <c r="CK156" i="1"/>
  <c r="AD44" i="3" s="1"/>
  <c r="CJ120" i="1"/>
  <c r="CJ113" i="1"/>
  <c r="CQ131" i="1"/>
  <c r="CG45" i="11"/>
  <c r="CG46" i="11" s="1"/>
  <c r="CG36" i="11"/>
  <c r="F64" i="16" l="1"/>
  <c r="AF40" i="3"/>
  <c r="CR128" i="1"/>
  <c r="CT151" i="1"/>
  <c r="CT153" i="1" s="1"/>
  <c r="CT110" i="1" s="1"/>
  <c r="CJ181" i="1"/>
  <c r="CK158" i="1"/>
  <c r="CK109" i="1" s="1"/>
  <c r="G64" i="16" l="1"/>
  <c r="E65" i="16" s="1"/>
  <c r="F65" i="16" s="1"/>
  <c r="G65" i="16" s="1"/>
  <c r="CT154" i="1"/>
  <c r="AG36" i="3"/>
  <c r="I36" i="2"/>
  <c r="CH33" i="11"/>
  <c r="CH35" i="11" s="1"/>
  <c r="CK111" i="1"/>
  <c r="AD35" i="3"/>
  <c r="CK159" i="1"/>
  <c r="CL155" i="1" s="1"/>
  <c r="CR129" i="1"/>
  <c r="CR130" i="1" l="1"/>
  <c r="CH45" i="11"/>
  <c r="CH46" i="11" s="1"/>
  <c r="CH36" i="11"/>
  <c r="CU150" i="1"/>
  <c r="CL156" i="1"/>
  <c r="CL158" i="1" s="1"/>
  <c r="CL109" i="1" s="1"/>
  <c r="E66" i="16"/>
  <c r="CK120" i="1"/>
  <c r="CK113" i="1"/>
  <c r="AD26" i="3"/>
  <c r="CL111" i="1" l="1"/>
  <c r="CL159" i="1"/>
  <c r="CM155" i="1" s="1"/>
  <c r="CR182" i="1"/>
  <c r="CU151" i="1"/>
  <c r="CU153" i="1" s="1"/>
  <c r="CK181" i="1"/>
  <c r="AD27" i="3"/>
  <c r="F66" i="16"/>
  <c r="CR131" i="1"/>
  <c r="CS128" i="1" s="1"/>
  <c r="CU110" i="1" l="1"/>
  <c r="CU154" i="1"/>
  <c r="CV150" i="1" s="1"/>
  <c r="G66" i="16"/>
  <c r="E67" i="16" s="1"/>
  <c r="CL120" i="1"/>
  <c r="CL113" i="1"/>
  <c r="CM156" i="1"/>
  <c r="CS129" i="1"/>
  <c r="F67" i="16" l="1"/>
  <c r="G67" i="16" s="1"/>
  <c r="CM158" i="1"/>
  <c r="CM109" i="1" s="1"/>
  <c r="CV151" i="1"/>
  <c r="CV153" i="1" s="1"/>
  <c r="CV110" i="1" s="1"/>
  <c r="CL181" i="1"/>
  <c r="CS130" i="1"/>
  <c r="E68" i="16" l="1"/>
  <c r="F68" i="16" s="1"/>
  <c r="G68" i="16" s="1"/>
  <c r="CM111" i="1"/>
  <c r="CV154" i="1"/>
  <c r="CW150" i="1" s="1"/>
  <c r="CM159" i="1"/>
  <c r="CN155" i="1" s="1"/>
  <c r="CS182" i="1"/>
  <c r="CS131" i="1"/>
  <c r="CT128" i="1" s="1"/>
  <c r="E69" i="16" l="1"/>
  <c r="CM120" i="1"/>
  <c r="CM113" i="1"/>
  <c r="CN156" i="1"/>
  <c r="AE44" i="3" s="1"/>
  <c r="CT129" i="1"/>
  <c r="CT130" i="1" s="1"/>
  <c r="CW151" i="1"/>
  <c r="CT182" i="1" l="1"/>
  <c r="I39" i="2"/>
  <c r="AG39" i="3"/>
  <c r="CT131" i="1"/>
  <c r="CN158" i="1"/>
  <c r="CN109" i="1" s="1"/>
  <c r="CW153" i="1"/>
  <c r="CW110" i="1" s="1"/>
  <c r="CM181" i="1"/>
  <c r="F69" i="16"/>
  <c r="CN111" i="1" l="1"/>
  <c r="AE35" i="3"/>
  <c r="AH36" i="3"/>
  <c r="G69" i="16"/>
  <c r="E70" i="16" s="1"/>
  <c r="CN159" i="1"/>
  <c r="CO155" i="1" s="1"/>
  <c r="AG40" i="3"/>
  <c r="CU128" i="1"/>
  <c r="I40" i="2"/>
  <c r="CW154" i="1"/>
  <c r="CX150" i="1" s="1"/>
  <c r="F70" i="16" l="1"/>
  <c r="G70" i="16" s="1"/>
  <c r="E71" i="16" s="1"/>
  <c r="CU129" i="1"/>
  <c r="CU130" i="1"/>
  <c r="CO156" i="1"/>
  <c r="CO158" i="1" s="1"/>
  <c r="CO109" i="1" s="1"/>
  <c r="CX151" i="1"/>
  <c r="CX153" i="1" s="1"/>
  <c r="CX110" i="1" s="1"/>
  <c r="CN120" i="1"/>
  <c r="CN113" i="1"/>
  <c r="AE26" i="3"/>
  <c r="F71" i="16" l="1"/>
  <c r="G71" i="16" s="1"/>
  <c r="CN181" i="1"/>
  <c r="AE27" i="3"/>
  <c r="CX154" i="1"/>
  <c r="CY150" i="1" s="1"/>
  <c r="CU182" i="1"/>
  <c r="CO111" i="1"/>
  <c r="CO159" i="1"/>
  <c r="CP155" i="1" s="1"/>
  <c r="CU131" i="1"/>
  <c r="CV128" i="1" s="1"/>
  <c r="E72" i="16" l="1"/>
  <c r="F72" i="16"/>
  <c r="G72" i="16" s="1"/>
  <c r="CO120" i="1"/>
  <c r="CO113" i="1"/>
  <c r="CP156" i="1"/>
  <c r="CP158" i="1" s="1"/>
  <c r="CV129" i="1"/>
  <c r="CV130" i="1" s="1"/>
  <c r="CY151" i="1"/>
  <c r="CY153" i="1" s="1"/>
  <c r="CY110" i="1" s="1"/>
  <c r="CP109" i="1" l="1"/>
  <c r="CP159" i="1"/>
  <c r="CQ155" i="1" s="1"/>
  <c r="CV182" i="1"/>
  <c r="CV131" i="1"/>
  <c r="CW128" i="1" s="1"/>
  <c r="CY154" i="1"/>
  <c r="CZ150" i="1" s="1"/>
  <c r="CO181" i="1"/>
  <c r="E73" i="16"/>
  <c r="CW129" i="1" l="1"/>
  <c r="CW130" i="1" s="1"/>
  <c r="F73" i="16"/>
  <c r="G73" i="16"/>
  <c r="E74" i="16" s="1"/>
  <c r="CP111" i="1"/>
  <c r="CQ156" i="1"/>
  <c r="AF44" i="3" s="1"/>
  <c r="CZ151" i="1"/>
  <c r="CZ153" i="1"/>
  <c r="CZ110" i="1" s="1"/>
  <c r="CW131" i="1" l="1"/>
  <c r="F74" i="16"/>
  <c r="G74" i="16" s="1"/>
  <c r="AH40" i="3"/>
  <c r="CX128" i="1"/>
  <c r="AI36" i="3"/>
  <c r="CW182" i="1"/>
  <c r="AH39" i="3"/>
  <c r="CP120" i="1"/>
  <c r="CP113" i="1"/>
  <c r="CZ154" i="1"/>
  <c r="DA150" i="1" s="1"/>
  <c r="CQ158" i="1"/>
  <c r="CQ109" i="1" s="1"/>
  <c r="E75" i="16" l="1"/>
  <c r="F75" i="16"/>
  <c r="G75" i="16"/>
  <c r="E76" i="16" s="1"/>
  <c r="CP181" i="1"/>
  <c r="DA151" i="1"/>
  <c r="CQ111" i="1"/>
  <c r="AF35" i="3"/>
  <c r="CX129" i="1"/>
  <c r="CQ159" i="1"/>
  <c r="CR155" i="1" s="1"/>
  <c r="F76" i="16" l="1"/>
  <c r="G76" i="16" s="1"/>
  <c r="E77" i="16" s="1"/>
  <c r="CQ120" i="1"/>
  <c r="CQ113" i="1"/>
  <c r="AF26" i="3"/>
  <c r="CR156" i="1"/>
  <c r="CR158" i="1" s="1"/>
  <c r="CR109" i="1" s="1"/>
  <c r="DA153" i="1"/>
  <c r="DA110" i="1" s="1"/>
  <c r="CX130" i="1"/>
  <c r="CR111" i="1" l="1"/>
  <c r="F77" i="16"/>
  <c r="G77" i="16"/>
  <c r="E78" i="16" s="1"/>
  <c r="CQ181" i="1"/>
  <c r="AF27" i="3"/>
  <c r="CX182" i="1"/>
  <c r="DA154" i="1"/>
  <c r="DB150" i="1" s="1"/>
  <c r="CX131" i="1"/>
  <c r="CY128" i="1" s="1"/>
  <c r="CR159" i="1"/>
  <c r="CS155" i="1" s="1"/>
  <c r="F78" i="16" l="1"/>
  <c r="G78" i="16" s="1"/>
  <c r="CY129" i="1"/>
  <c r="CY130" i="1" s="1"/>
  <c r="CR120" i="1"/>
  <c r="CR113" i="1"/>
  <c r="DB151" i="1"/>
  <c r="DB153" i="1" s="1"/>
  <c r="DB110" i="1" s="1"/>
  <c r="CS156" i="1"/>
  <c r="DB154" i="1" l="1"/>
  <c r="DC150" i="1" s="1"/>
  <c r="DC151" i="1" s="1"/>
  <c r="E79" i="16"/>
  <c r="CY182" i="1"/>
  <c r="CS158" i="1"/>
  <c r="CS109" i="1" s="1"/>
  <c r="CY131" i="1"/>
  <c r="CZ128" i="1" s="1"/>
  <c r="F79" i="16"/>
  <c r="G79" i="16" s="1"/>
  <c r="E80" i="16" s="1"/>
  <c r="CR181" i="1"/>
  <c r="CS159" i="1" l="1"/>
  <c r="CT155" i="1" s="1"/>
  <c r="CT156" i="1" s="1"/>
  <c r="F80" i="16"/>
  <c r="G80" i="16" s="1"/>
  <c r="E81" i="16" s="1"/>
  <c r="CZ129" i="1"/>
  <c r="CZ130" i="1" s="1"/>
  <c r="DC153" i="1"/>
  <c r="DC110" i="1" s="1"/>
  <c r="CS111" i="1"/>
  <c r="AG44" i="3" l="1"/>
  <c r="CT158" i="1"/>
  <c r="CT109" i="1" s="1"/>
  <c r="CT111" i="1" s="1"/>
  <c r="CT120" i="1" s="1"/>
  <c r="CZ131" i="1"/>
  <c r="F81" i="16"/>
  <c r="DC154" i="1"/>
  <c r="DD150" i="1" s="1"/>
  <c r="CT113" i="1"/>
  <c r="CT181" i="1" s="1"/>
  <c r="CS120" i="1"/>
  <c r="CS113" i="1"/>
  <c r="I26" i="2"/>
  <c r="AG26" i="3"/>
  <c r="AI40" i="3"/>
  <c r="DA128" i="1"/>
  <c r="AG35" i="3"/>
  <c r="AJ36" i="3"/>
  <c r="CZ182" i="1"/>
  <c r="AI39" i="3"/>
  <c r="CT159" i="1" l="1"/>
  <c r="I35" i="2"/>
  <c r="DA129" i="1"/>
  <c r="DD151" i="1"/>
  <c r="CS181" i="1"/>
  <c r="I27" i="2"/>
  <c r="I48" i="12" s="1"/>
  <c r="AG27" i="3"/>
  <c r="G81" i="16"/>
  <c r="E82" i="16" s="1"/>
  <c r="I44" i="2" l="1"/>
  <c r="I54" i="12" s="1"/>
  <c r="CU155" i="1"/>
  <c r="CU156" i="1" s="1"/>
  <c r="F82" i="16"/>
  <c r="G82" i="16" s="1"/>
  <c r="E83" i="16" s="1"/>
  <c r="DD153" i="1"/>
  <c r="DD110" i="1" s="1"/>
  <c r="DA130" i="1"/>
  <c r="CU158" i="1" l="1"/>
  <c r="F83" i="16"/>
  <c r="G83" i="16"/>
  <c r="E84" i="16"/>
  <c r="DA182" i="1"/>
  <c r="DA131" i="1"/>
  <c r="DB128" i="1" s="1"/>
  <c r="DD154" i="1"/>
  <c r="DE150" i="1" s="1"/>
  <c r="CU109" i="1" l="1"/>
  <c r="CU111" i="1" s="1"/>
  <c r="CU159" i="1"/>
  <c r="CV155" i="1" s="1"/>
  <c r="CV156" i="1" s="1"/>
  <c r="F84" i="16"/>
  <c r="G84" i="16" s="1"/>
  <c r="CU120" i="1"/>
  <c r="CU113" i="1"/>
  <c r="CV158" i="1"/>
  <c r="CV109" i="1" s="1"/>
  <c r="DE151" i="1"/>
  <c r="DB129" i="1"/>
  <c r="DB130" i="1" s="1"/>
  <c r="E85" i="16" l="1"/>
  <c r="DB182" i="1"/>
  <c r="DB131" i="1"/>
  <c r="DC128" i="1" s="1"/>
  <c r="F85" i="16"/>
  <c r="G85" i="16"/>
  <c r="CU181" i="1"/>
  <c r="DE153" i="1"/>
  <c r="DE110" i="1" s="1"/>
  <c r="CV111" i="1"/>
  <c r="CV159" i="1"/>
  <c r="CW155" i="1" s="1"/>
  <c r="E86" i="16" l="1"/>
  <c r="F86" i="16" s="1"/>
  <c r="G86" i="16" s="1"/>
  <c r="E87" i="16" s="1"/>
  <c r="DE154" i="1"/>
  <c r="DF150" i="1" s="1"/>
  <c r="CV120" i="1"/>
  <c r="CV113" i="1"/>
  <c r="DC129" i="1"/>
  <c r="DC130" i="1"/>
  <c r="CW156" i="1"/>
  <c r="AH44" i="3" s="1"/>
  <c r="F87" i="16" l="1"/>
  <c r="G87" i="16"/>
  <c r="E88" i="16" s="1"/>
  <c r="CV181" i="1"/>
  <c r="CW158" i="1"/>
  <c r="CW109" i="1" s="1"/>
  <c r="DF151" i="1"/>
  <c r="DF153" i="1" s="1"/>
  <c r="DF110" i="1" s="1"/>
  <c r="DC182" i="1"/>
  <c r="AJ39" i="3"/>
  <c r="DC131" i="1"/>
  <c r="J36" i="2" l="1"/>
  <c r="AK36" i="3"/>
  <c r="F88" i="16"/>
  <c r="G88" i="16"/>
  <c r="E89" i="16" s="1"/>
  <c r="CW159" i="1"/>
  <c r="CX155" i="1" s="1"/>
  <c r="CW111" i="1"/>
  <c r="AH35" i="3"/>
  <c r="AJ40" i="3"/>
  <c r="DD128" i="1"/>
  <c r="DF154" i="1"/>
  <c r="F89" i="16" l="1"/>
  <c r="G89" i="16" s="1"/>
  <c r="CW120" i="1"/>
  <c r="CW113" i="1"/>
  <c r="AH26" i="3"/>
  <c r="DD129" i="1"/>
  <c r="DD130" i="1" s="1"/>
  <c r="CX156" i="1"/>
  <c r="DD182" i="1" l="1"/>
  <c r="CX158" i="1"/>
  <c r="CX109" i="1" s="1"/>
  <c r="CW181" i="1"/>
  <c r="AH27" i="3"/>
  <c r="DD131" i="1"/>
  <c r="DE128" i="1" s="1"/>
  <c r="E90" i="16"/>
  <c r="CX111" i="1" l="1"/>
  <c r="CX159" i="1"/>
  <c r="CY155" i="1" s="1"/>
  <c r="F90" i="16"/>
  <c r="DE129" i="1"/>
  <c r="DE131" i="1" s="1"/>
  <c r="DF128" i="1" s="1"/>
  <c r="DE130" i="1"/>
  <c r="G90" i="16" l="1"/>
  <c r="E91" i="16" s="1"/>
  <c r="DF129" i="1"/>
  <c r="DF130" i="1" s="1"/>
  <c r="CX120" i="1"/>
  <c r="CX113" i="1"/>
  <c r="CY156" i="1"/>
  <c r="CY158" i="1" s="1"/>
  <c r="CY109" i="1" s="1"/>
  <c r="DE182" i="1"/>
  <c r="CY111" i="1" l="1"/>
  <c r="DF182" i="1"/>
  <c r="AK39" i="3"/>
  <c r="J39" i="2"/>
  <c r="F91" i="16"/>
  <c r="G91" i="16" s="1"/>
  <c r="E92" i="16" s="1"/>
  <c r="DF131" i="1"/>
  <c r="CX181" i="1"/>
  <c r="CY159" i="1"/>
  <c r="CZ155" i="1" s="1"/>
  <c r="F92" i="16" l="1"/>
  <c r="F93" i="16" s="1"/>
  <c r="C16" i="17" s="1"/>
  <c r="CZ156" i="1"/>
  <c r="AI44" i="3" s="1"/>
  <c r="AK40" i="3"/>
  <c r="J40" i="2"/>
  <c r="CY120" i="1"/>
  <c r="CY113" i="1"/>
  <c r="C30" i="17" l="1"/>
  <c r="C17" i="17"/>
  <c r="C31" i="17" s="1"/>
  <c r="D16" i="17"/>
  <c r="CZ158" i="1"/>
  <c r="CZ109" i="1" s="1"/>
  <c r="CY181" i="1"/>
  <c r="G92" i="16"/>
  <c r="G93" i="16" s="1"/>
  <c r="CZ159" i="1" l="1"/>
  <c r="DA155" i="1" s="1"/>
  <c r="D30" i="17"/>
  <c r="D17" i="17"/>
  <c r="D31" i="17" s="1"/>
  <c r="CZ111" i="1"/>
  <c r="AI35" i="3"/>
  <c r="CZ120" i="1" l="1"/>
  <c r="CZ113" i="1"/>
  <c r="AI26" i="3"/>
  <c r="DA156" i="1"/>
  <c r="DA158" i="1" s="1"/>
  <c r="DA109" i="1" l="1"/>
  <c r="DA159" i="1"/>
  <c r="DB155" i="1" s="1"/>
  <c r="CZ181" i="1"/>
  <c r="AI27" i="3"/>
  <c r="DB156" i="1" l="1"/>
  <c r="DB158" i="1"/>
  <c r="DB109" i="1" s="1"/>
  <c r="DB111" i="1" s="1"/>
  <c r="DA111" i="1"/>
  <c r="DA120" i="1" l="1"/>
  <c r="DA113" i="1"/>
  <c r="DB120" i="1"/>
  <c r="DB113" i="1"/>
  <c r="DB181" i="1" s="1"/>
  <c r="DB159" i="1"/>
  <c r="DC155" i="1" s="1"/>
  <c r="DC156" i="1" l="1"/>
  <c r="AJ44" i="3" s="1"/>
  <c r="DA181" i="1"/>
  <c r="DC158" i="1" l="1"/>
  <c r="DC109" i="1" s="1"/>
  <c r="DC111" i="1" s="1"/>
  <c r="AJ35" i="3" l="1"/>
  <c r="DC159" i="1"/>
  <c r="DD155" i="1" s="1"/>
  <c r="DD156" i="1" s="1"/>
  <c r="DC120" i="1"/>
  <c r="DC113" i="1"/>
  <c r="AJ26" i="3"/>
  <c r="DC181" i="1" l="1"/>
  <c r="AJ27" i="3"/>
  <c r="DD158" i="1"/>
  <c r="DD109" i="1" s="1"/>
  <c r="DD111" i="1" l="1"/>
  <c r="DD159" i="1"/>
  <c r="DE155" i="1" s="1"/>
  <c r="DE156" i="1" l="1"/>
  <c r="DD120" i="1"/>
  <c r="DD113" i="1"/>
  <c r="DD181" i="1" l="1"/>
  <c r="DE158" i="1"/>
  <c r="DE109" i="1" s="1"/>
  <c r="DE111" i="1" l="1"/>
  <c r="DE159" i="1"/>
  <c r="DF155" i="1" s="1"/>
  <c r="DF156" i="1" l="1"/>
  <c r="AK44" i="3" s="1"/>
  <c r="DE120" i="1"/>
  <c r="DE113" i="1"/>
  <c r="DE181" i="1" l="1"/>
  <c r="DF158" i="1"/>
  <c r="DF109" i="1" s="1"/>
  <c r="DF159" i="1" l="1"/>
  <c r="J44" i="2" s="1"/>
  <c r="DF111" i="1"/>
  <c r="AK35" i="3"/>
  <c r="J35" i="2"/>
  <c r="DF120" i="1" l="1"/>
  <c r="DF113" i="1"/>
  <c r="J26" i="2"/>
  <c r="AK26" i="3"/>
  <c r="DF181" i="1" l="1"/>
  <c r="AK27" i="3"/>
  <c r="J27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9" i="2"/>
  <c r="C29" i="2"/>
  <c r="D29" i="2"/>
  <c r="E29" i="2"/>
  <c r="F29" i="2"/>
  <c r="G29" i="2"/>
  <c r="H29" i="2"/>
  <c r="I29" i="2"/>
  <c r="J29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J42" i="2"/>
  <c r="B48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I5" i="6"/>
  <c r="K5" i="6"/>
  <c r="L5" i="6"/>
  <c r="I6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I11" i="6"/>
  <c r="K11" i="6"/>
  <c r="L11" i="6"/>
  <c r="I12" i="6"/>
  <c r="K12" i="6"/>
  <c r="L12" i="6"/>
  <c r="I13" i="6"/>
  <c r="K13" i="6"/>
  <c r="L13" i="6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AL16" i="18"/>
  <c r="AM16" i="18"/>
  <c r="AN16" i="18"/>
  <c r="AO16" i="18"/>
  <c r="AP16" i="18"/>
  <c r="AQ16" i="18"/>
  <c r="AR16" i="18"/>
  <c r="AS16" i="18"/>
  <c r="AT16" i="18"/>
  <c r="AU16" i="18"/>
  <c r="AV16" i="18"/>
  <c r="AW16" i="18"/>
  <c r="AX16" i="18"/>
  <c r="AY16" i="18"/>
  <c r="AZ16" i="18"/>
  <c r="BA16" i="18"/>
  <c r="BB16" i="18"/>
  <c r="BC16" i="18"/>
  <c r="BD16" i="18"/>
  <c r="BE16" i="18"/>
  <c r="BF16" i="18"/>
  <c r="BG16" i="18"/>
  <c r="BH16" i="18"/>
  <c r="BI16" i="18"/>
  <c r="BJ16" i="18"/>
  <c r="BK16" i="18"/>
  <c r="BL16" i="18"/>
  <c r="BM16" i="18"/>
  <c r="BN16" i="18"/>
  <c r="BO16" i="18"/>
  <c r="BP16" i="18"/>
  <c r="BQ16" i="18"/>
  <c r="BR16" i="18"/>
  <c r="BS16" i="18"/>
  <c r="BT16" i="18"/>
  <c r="BU16" i="18"/>
  <c r="BV16" i="18"/>
  <c r="BW16" i="18"/>
  <c r="BX16" i="18"/>
  <c r="BY16" i="18"/>
  <c r="BZ16" i="18"/>
  <c r="CA16" i="18"/>
  <c r="CB16" i="18"/>
  <c r="CC16" i="18"/>
  <c r="CD16" i="18"/>
  <c r="CE16" i="18"/>
  <c r="CF16" i="18"/>
  <c r="CG16" i="18"/>
  <c r="CH16" i="18"/>
  <c r="CI16" i="18"/>
  <c r="CJ16" i="18"/>
  <c r="CK16" i="18"/>
  <c r="CL16" i="18"/>
  <c r="CM16" i="18"/>
  <c r="CN16" i="18"/>
  <c r="CO16" i="18"/>
  <c r="CP16" i="18"/>
  <c r="CQ16" i="18"/>
  <c r="CR16" i="18"/>
  <c r="CS16" i="18"/>
  <c r="CT16" i="18"/>
  <c r="CU16" i="18"/>
  <c r="CV16" i="18"/>
  <c r="CW16" i="18"/>
  <c r="CX16" i="18"/>
  <c r="CY16" i="18"/>
  <c r="CZ16" i="18"/>
  <c r="DA16" i="18"/>
  <c r="DB16" i="18"/>
  <c r="DC16" i="18"/>
  <c r="DD16" i="18"/>
  <c r="DE16" i="18"/>
  <c r="DF16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AL18" i="18"/>
  <c r="AM18" i="18"/>
  <c r="AN18" i="18"/>
  <c r="AO18" i="18"/>
  <c r="AP18" i="18"/>
  <c r="AQ18" i="18"/>
  <c r="AR18" i="18"/>
  <c r="AS18" i="18"/>
  <c r="AT18" i="18"/>
  <c r="AU18" i="18"/>
  <c r="AV18" i="18"/>
  <c r="AW18" i="18"/>
  <c r="AX18" i="18"/>
  <c r="AY18" i="18"/>
  <c r="AZ18" i="18"/>
  <c r="BA18" i="18"/>
  <c r="BB18" i="18"/>
  <c r="BC18" i="18"/>
  <c r="BD18" i="18"/>
  <c r="BE18" i="18"/>
  <c r="BF18" i="18"/>
  <c r="BG18" i="18"/>
  <c r="BH18" i="18"/>
  <c r="BI18" i="18"/>
  <c r="BJ18" i="18"/>
  <c r="BK18" i="18"/>
  <c r="BL18" i="18"/>
  <c r="BM18" i="18"/>
  <c r="BN18" i="18"/>
  <c r="BO18" i="18"/>
  <c r="BP18" i="18"/>
  <c r="BQ18" i="18"/>
  <c r="BR18" i="18"/>
  <c r="BS18" i="18"/>
  <c r="BT18" i="18"/>
  <c r="BU18" i="18"/>
  <c r="BV18" i="18"/>
  <c r="BW18" i="18"/>
  <c r="BX18" i="18"/>
  <c r="BY18" i="18"/>
  <c r="BZ18" i="18"/>
  <c r="CA18" i="18"/>
  <c r="CB18" i="18"/>
  <c r="CC18" i="18"/>
  <c r="CD18" i="18"/>
  <c r="CE18" i="18"/>
  <c r="CF18" i="18"/>
  <c r="CG18" i="18"/>
  <c r="CH18" i="18"/>
  <c r="CI18" i="18"/>
  <c r="CJ18" i="18"/>
  <c r="CK18" i="18"/>
  <c r="CL18" i="18"/>
  <c r="CM18" i="18"/>
  <c r="CN18" i="18"/>
  <c r="CO18" i="18"/>
  <c r="CP18" i="18"/>
  <c r="CQ18" i="18"/>
  <c r="CR18" i="18"/>
  <c r="CS18" i="18"/>
  <c r="CT18" i="18"/>
  <c r="CU18" i="18"/>
  <c r="CV18" i="18"/>
  <c r="CW18" i="18"/>
  <c r="CX18" i="18"/>
  <c r="CY18" i="18"/>
  <c r="CZ18" i="18"/>
  <c r="DA18" i="18"/>
  <c r="DB18" i="18"/>
  <c r="DC18" i="18"/>
  <c r="DD18" i="18"/>
  <c r="DE18" i="18"/>
  <c r="DF18" i="18"/>
  <c r="K26" i="18"/>
  <c r="L26" i="18"/>
  <c r="O26" i="18"/>
  <c r="P26" i="18"/>
  <c r="Q26" i="18"/>
  <c r="K27" i="18"/>
  <c r="L27" i="18"/>
  <c r="O27" i="18"/>
  <c r="P27" i="18"/>
  <c r="Q27" i="18"/>
  <c r="K28" i="18"/>
  <c r="L28" i="18"/>
  <c r="O28" i="18"/>
  <c r="P28" i="18"/>
  <c r="Q28" i="18"/>
  <c r="K29" i="18"/>
  <c r="L29" i="18"/>
  <c r="O29" i="18"/>
  <c r="P29" i="18"/>
  <c r="Q29" i="18"/>
  <c r="K33" i="18"/>
  <c r="L33" i="18"/>
  <c r="O33" i="18"/>
  <c r="P33" i="18"/>
  <c r="Q33" i="18"/>
  <c r="K35" i="18"/>
  <c r="L35" i="18"/>
  <c r="O35" i="18"/>
  <c r="P35" i="18"/>
  <c r="Q35" i="18"/>
  <c r="K36" i="18"/>
  <c r="L36" i="18"/>
  <c r="O36" i="18"/>
  <c r="P36" i="18"/>
  <c r="Q36" i="18"/>
  <c r="K37" i="18"/>
  <c r="L37" i="18"/>
  <c r="O37" i="18"/>
  <c r="P37" i="18"/>
  <c r="Q37" i="18"/>
  <c r="K38" i="18"/>
  <c r="L38" i="18"/>
  <c r="O38" i="18"/>
  <c r="P38" i="18"/>
  <c r="Q38" i="18"/>
  <c r="K39" i="18"/>
  <c r="L39" i="18"/>
  <c r="O39" i="18"/>
  <c r="P39" i="18"/>
  <c r="Q39" i="18"/>
  <c r="K40" i="18"/>
  <c r="L40" i="18"/>
  <c r="O40" i="18"/>
  <c r="P40" i="18"/>
  <c r="Q40" i="18"/>
  <c r="K43" i="18"/>
  <c r="L43" i="18"/>
  <c r="O43" i="18"/>
  <c r="P43" i="18"/>
  <c r="Q43" i="18"/>
  <c r="K46" i="18"/>
  <c r="L46" i="18"/>
  <c r="O46" i="18"/>
  <c r="P46" i="18"/>
  <c r="Q46" i="18"/>
  <c r="K47" i="18"/>
  <c r="L47" i="18"/>
  <c r="O47" i="18"/>
  <c r="P47" i="18"/>
  <c r="Q47" i="18"/>
  <c r="K48" i="18"/>
  <c r="L48" i="18"/>
  <c r="O48" i="18"/>
  <c r="P48" i="18"/>
  <c r="Q48" i="18"/>
  <c r="K49" i="18"/>
  <c r="L49" i="18"/>
  <c r="O49" i="18"/>
  <c r="P49" i="18"/>
  <c r="Q49" i="18"/>
  <c r="K50" i="18"/>
  <c r="L50" i="18"/>
  <c r="O50" i="18"/>
  <c r="P50" i="18"/>
  <c r="Q50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AI53" i="18"/>
  <c r="AJ53" i="18"/>
  <c r="AK53" i="18"/>
  <c r="AL53" i="18"/>
  <c r="AM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O53" i="18"/>
  <c r="BP53" i="18"/>
  <c r="BQ53" i="18"/>
  <c r="BR53" i="18"/>
  <c r="BS53" i="18"/>
  <c r="BT53" i="18"/>
  <c r="BU53" i="18"/>
  <c r="BV53" i="18"/>
  <c r="BW53" i="18"/>
  <c r="BX53" i="18"/>
  <c r="BY53" i="18"/>
  <c r="BZ53" i="18"/>
  <c r="CA53" i="18"/>
  <c r="CB53" i="18"/>
  <c r="CC53" i="18"/>
  <c r="CD53" i="18"/>
  <c r="CE53" i="18"/>
  <c r="CF53" i="18"/>
  <c r="CG53" i="18"/>
  <c r="CH53" i="18"/>
  <c r="CI53" i="18"/>
  <c r="CJ53" i="18"/>
  <c r="CK53" i="18"/>
  <c r="CL53" i="18"/>
  <c r="CM53" i="18"/>
  <c r="CN53" i="18"/>
  <c r="CO53" i="18"/>
  <c r="CP53" i="18"/>
  <c r="CQ53" i="18"/>
  <c r="CR53" i="18"/>
  <c r="CS53" i="18"/>
  <c r="CT53" i="18"/>
  <c r="CU53" i="18"/>
  <c r="CV53" i="18"/>
  <c r="CW53" i="18"/>
  <c r="CX53" i="18"/>
  <c r="CY53" i="18"/>
  <c r="CZ53" i="18"/>
  <c r="DA53" i="18"/>
  <c r="DB53" i="18"/>
  <c r="DC53" i="18"/>
  <c r="DD53" i="18"/>
  <c r="DE53" i="18"/>
  <c r="DF53" i="18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P136" i="1"/>
  <c r="AB136" i="1"/>
  <c r="AN136" i="1"/>
  <c r="AZ136" i="1"/>
  <c r="BL136" i="1"/>
  <c r="BX136" i="1"/>
  <c r="CJ136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P183" i="1"/>
  <c r="AB183" i="1"/>
  <c r="AN183" i="1"/>
  <c r="AZ183" i="1"/>
  <c r="BL183" i="1"/>
  <c r="BX183" i="1"/>
  <c r="CJ183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Q189" i="1"/>
  <c r="AC189" i="1"/>
  <c r="AO189" i="1"/>
  <c r="BA189" i="1"/>
  <c r="BM189" i="1"/>
  <c r="BY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F41" i="3"/>
  <c r="J41" i="3"/>
  <c r="N41" i="3"/>
  <c r="R41" i="3"/>
  <c r="V41" i="3"/>
  <c r="Z41" i="3"/>
  <c r="AD41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F50" i="3"/>
  <c r="J50" i="3"/>
  <c r="N50" i="3"/>
  <c r="R50" i="3"/>
  <c r="V50" i="3"/>
  <c r="Z50" i="3"/>
  <c r="AD50" i="3"/>
  <c r="AE50" i="3"/>
  <c r="AF50" i="3"/>
  <c r="AG50" i="3"/>
  <c r="AH50" i="3"/>
  <c r="AI50" i="3"/>
  <c r="AJ50" i="3"/>
  <c r="AK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B43" i="12"/>
  <c r="C43" i="12"/>
  <c r="D43" i="12"/>
  <c r="E43" i="12"/>
  <c r="F43" i="12"/>
  <c r="G43" i="12"/>
  <c r="H43" i="12"/>
  <c r="I43" i="12"/>
  <c r="B45" i="12"/>
  <c r="C45" i="12"/>
  <c r="D45" i="12"/>
  <c r="E45" i="12"/>
  <c r="F45" i="12"/>
  <c r="G45" i="12"/>
  <c r="H45" i="12"/>
  <c r="I45" i="12"/>
  <c r="B50" i="12"/>
  <c r="C50" i="12"/>
  <c r="D50" i="12"/>
  <c r="E50" i="12"/>
  <c r="F50" i="12"/>
  <c r="G50" i="12"/>
  <c r="H50" i="12"/>
  <c r="I50" i="12"/>
  <c r="C55" i="12"/>
  <c r="D55" i="12"/>
  <c r="E55" i="12"/>
  <c r="F55" i="12"/>
  <c r="G55" i="12"/>
  <c r="H55" i="12"/>
  <c r="I55" i="12"/>
  <c r="B72" i="12"/>
  <c r="C72" i="12"/>
  <c r="D72" i="12"/>
  <c r="E72" i="12"/>
  <c r="F72" i="12"/>
  <c r="B100" i="12"/>
  <c r="C100" i="12"/>
  <c r="D100" i="12"/>
  <c r="E100" i="12"/>
  <c r="B102" i="12"/>
  <c r="C102" i="12"/>
  <c r="D102" i="12"/>
  <c r="E102" i="12"/>
  <c r="B103" i="12"/>
  <c r="C103" i="12"/>
  <c r="D103" i="12"/>
  <c r="E103" i="12"/>
</calcChain>
</file>

<file path=xl/sharedStrings.xml><?xml version="1.0" encoding="utf-8"?>
<sst xmlns="http://schemas.openxmlformats.org/spreadsheetml/2006/main" count="1933" uniqueCount="881">
  <si>
    <t>Six Peak Capital - Annual Summary</t>
  </si>
  <si>
    <t>GC CONSTRUCTION P&amp;L</t>
  </si>
  <si>
    <t>FY 2026</t>
  </si>
  <si>
    <t>FY 2027</t>
  </si>
  <si>
    <t>FY 2028</t>
  </si>
  <si>
    <t>FY 2029</t>
  </si>
  <si>
    <t>FY 2030</t>
  </si>
  <si>
    <t>FY 2031</t>
  </si>
  <si>
    <t>FY 2032</t>
  </si>
  <si>
    <t>FY 2033</t>
  </si>
  <si>
    <t>FY 2034</t>
  </si>
  <si>
    <t>Construction Billing</t>
  </si>
  <si>
    <t xml:space="preserve">  Other GC Income</t>
  </si>
  <si>
    <t xml:space="preserve">  Project Supervision</t>
  </si>
  <si>
    <t xml:space="preserve">  GC Fee Income</t>
  </si>
  <si>
    <t xml:space="preserve">  Project Administration</t>
  </si>
  <si>
    <t xml:space="preserve">  Trades and Site Cost Billing</t>
  </si>
  <si>
    <t>COGS - Trade and Site Costs</t>
  </si>
  <si>
    <t>Gross Profit</t>
  </si>
  <si>
    <t xml:space="preserve">  Bonding Revenue</t>
  </si>
  <si>
    <t xml:space="preserve">  Bonding Costs</t>
  </si>
  <si>
    <t>Net Income before allocated OH</t>
  </si>
  <si>
    <t>GC Costs</t>
  </si>
  <si>
    <t xml:space="preserve">  GC Personnel</t>
  </si>
  <si>
    <t xml:space="preserve">  GC Expenses</t>
  </si>
  <si>
    <t xml:space="preserve">  SP Allocated to LV</t>
  </si>
  <si>
    <t xml:space="preserve">  BD Commission</t>
  </si>
  <si>
    <t>Total GC Costs</t>
  </si>
  <si>
    <t>GC Net Income</t>
  </si>
  <si>
    <t>GC Profit Margin %</t>
  </si>
  <si>
    <t>Six Peak Revenue</t>
  </si>
  <si>
    <t>Six Peak Expenses</t>
  </si>
  <si>
    <t>Six Peak Net Income</t>
  </si>
  <si>
    <t>Consolidated Net Income (Projection)</t>
  </si>
  <si>
    <t>Steyn Group Fees</t>
  </si>
  <si>
    <t xml:space="preserve">  Completion Guaranty Fee</t>
  </si>
  <si>
    <t xml:space="preserve">  Liquidity Guarantee Fee</t>
  </si>
  <si>
    <t xml:space="preserve">  Francis Steyn Fee + PIK (LIHTC)</t>
  </si>
  <si>
    <t xml:space="preserve">  Reseda Steyn Fee + PIK (LIHTC)</t>
  </si>
  <si>
    <t xml:space="preserve">  3rd St Steyn Fee + PIK (LIHTC)</t>
  </si>
  <si>
    <t>Debt Facilities</t>
  </si>
  <si>
    <t xml:space="preserve">  Debt Facility Payment</t>
  </si>
  <si>
    <t xml:space="preserve">  Debt Facility Balance</t>
  </si>
  <si>
    <t xml:space="preserve">  Row Run Capital Payment</t>
  </si>
  <si>
    <t xml:space="preserve">  Row Run Capital Balance</t>
  </si>
  <si>
    <t xml:space="preserve">  PIK Repayment (in Steyn + PIK above)</t>
  </si>
  <si>
    <t xml:space="preserve">  Investment Capital Outstanding</t>
  </si>
  <si>
    <t>Bonding Outstanding</t>
  </si>
  <si>
    <t>LV Ending Cash</t>
  </si>
  <si>
    <t>SP Ending Cash</t>
  </si>
  <si>
    <t>Tax Distribution (30% Consol NI)</t>
  </si>
  <si>
    <t>Total Ending Cash</t>
  </si>
  <si>
    <t>Six Peak Capital - Financial Projections</t>
  </si>
  <si>
    <t>Month #</t>
  </si>
  <si>
    <t>YTD Actuals Snapshot:</t>
  </si>
  <si>
    <t>GC Revenue</t>
  </si>
  <si>
    <t>Other GC Income</t>
  </si>
  <si>
    <t>Project Supervision Revenue</t>
  </si>
  <si>
    <t>GC Fee Income</t>
  </si>
  <si>
    <t>Project Administration Revenue</t>
  </si>
  <si>
    <t>Trades and Site Cost Billing</t>
  </si>
  <si>
    <t>Bonding Revenue</t>
  </si>
  <si>
    <t>Bonding Costs</t>
  </si>
  <si>
    <t>5000-1000 Payroll</t>
  </si>
  <si>
    <t>5000-1001 Payroll Taxes</t>
  </si>
  <si>
    <t>SP Allocated to LV</t>
  </si>
  <si>
    <t>5000-1002 Employee Benefits</t>
  </si>
  <si>
    <t>5000-1003 Workers Comp</t>
  </si>
  <si>
    <t>5000-1005 Payroll Servicing Fees</t>
  </si>
  <si>
    <t>5000-1007 Payroll - Consultants</t>
  </si>
  <si>
    <t>5000-1018 Payroll - Self Performed Trades</t>
  </si>
  <si>
    <t>5100-1000 Rent Expense</t>
  </si>
  <si>
    <t>5200-1000 Office Supplies and Expenses</t>
  </si>
  <si>
    <t>5200-1002 Printing and Reproduction</t>
  </si>
  <si>
    <t>5200-1050 Computer and IT Expenses</t>
  </si>
  <si>
    <t>5200-1053 IT Software and Subscriptions</t>
  </si>
  <si>
    <t>5200-1054 Telephone Expenses</t>
  </si>
  <si>
    <t>5300-1050 Meals and Entertainment</t>
  </si>
  <si>
    <t>5500-1000 Legal and Professional Fees</t>
  </si>
  <si>
    <t>5500-1002 Accounting Consulting and Overhead</t>
  </si>
  <si>
    <t>5500-1004 Consultants and Other Professional Expenses</t>
  </si>
  <si>
    <t>5500-1050 General Insurance</t>
  </si>
  <si>
    <t>5700-1003 Other Utilities</t>
  </si>
  <si>
    <t>5800-1003 Consulting Fee</t>
  </si>
  <si>
    <t>5900-1000 Security Monitoring</t>
  </si>
  <si>
    <t>5900-1002 Repairs and Maintenance</t>
  </si>
  <si>
    <t>5900-1003 Janitorial and Cleaning Expenses</t>
  </si>
  <si>
    <t>5900-1005 Supplies and Other Job Site Overhead</t>
  </si>
  <si>
    <t>5900-1006 Auto and Truck Expense</t>
  </si>
  <si>
    <t>5900-1007 Landscaping</t>
  </si>
  <si>
    <t>5900-1040 Warranty and Other Job Adjustments</t>
  </si>
  <si>
    <t>5900-1075 Miscellaneous Expense</t>
  </si>
  <si>
    <t>5900-1080 Bank Service Charges</t>
  </si>
  <si>
    <t>5900-3000 Charitable Contribution</t>
  </si>
  <si>
    <t>BD Commission</t>
  </si>
  <si>
    <t>8200-2000 State Tax and Fees</t>
  </si>
  <si>
    <t>SIX PEAK CAPITAL P&amp;L</t>
  </si>
  <si>
    <t>Edgemont Management Fee</t>
  </si>
  <si>
    <t>Ramsgate Dev Fee - Construction</t>
  </si>
  <si>
    <t>Ramsgate Dev Fee - 20% Occ</t>
  </si>
  <si>
    <t>Ramsgate Dev Fee - 50% Occ</t>
  </si>
  <si>
    <t>Ramsgate Dev Fee - 90% Occ</t>
  </si>
  <si>
    <t>Crenshaw Development Fee</t>
  </si>
  <si>
    <t>12th &amp; Fir Developer Fee</t>
  </si>
  <si>
    <t>Klump Accounting Fee</t>
  </si>
  <si>
    <t>Klump Developer Fee</t>
  </si>
  <si>
    <t>Klump Guarantee Fee</t>
  </si>
  <si>
    <t>Scott Accounting Fee</t>
  </si>
  <si>
    <t>Scott Developer Fee</t>
  </si>
  <si>
    <t>Scott Guarantee Fee</t>
  </si>
  <si>
    <t>Francis LIHTC Revenue (SP Share)</t>
  </si>
  <si>
    <t>Reseda LIHTC Revenue (SP Share)</t>
  </si>
  <si>
    <t>3rd St LIHTC Revenue (SP Share)</t>
  </si>
  <si>
    <t>Uplifters Total to SP</t>
  </si>
  <si>
    <t>Total Six Peak Revenue</t>
  </si>
  <si>
    <t>5200-1060 Website Design</t>
  </si>
  <si>
    <t>5200-1061 Website Hosting</t>
  </si>
  <si>
    <t>5300-1000 Travel and Lodging</t>
  </si>
  <si>
    <t>5300-1001 Public Transportation</t>
  </si>
  <si>
    <t>5300-1002 Parking</t>
  </si>
  <si>
    <t>5500-1007 Dues and Subscriptions</t>
  </si>
  <si>
    <t>5500-1009 Entity Filing and Formation Fees</t>
  </si>
  <si>
    <t>5500-1010 Investment Management Software</t>
  </si>
  <si>
    <t>5500-1053 E&amp;O/D&amp;O Insurance</t>
  </si>
  <si>
    <t>Steyn Group Guaranty Fee</t>
  </si>
  <si>
    <t>Steyn Liquidity Guarantee Fee</t>
  </si>
  <si>
    <t>Francis Steyn Fee + PIK (from LIHTC Revenue)</t>
  </si>
  <si>
    <t>Reseda Steyn Fee + PIK (from LIHTC Revenue)</t>
  </si>
  <si>
    <t>3rd St Steyn Fee + PIK (from LIHTC Revenue)</t>
  </si>
  <si>
    <t>Total Six Peak Expenses</t>
  </si>
  <si>
    <t>of which allocated to LV (memo, incl. payroll burden)</t>
  </si>
  <si>
    <t>CONSOLIDATED P&amp;L</t>
  </si>
  <si>
    <t>Total Revenue</t>
  </si>
  <si>
    <t>Total Expenses</t>
  </si>
  <si>
    <t>Consolidated Net Income</t>
  </si>
  <si>
    <t>Consolidated Margin %</t>
  </si>
  <si>
    <t>Consolidated NI — Over/(Under) Budget</t>
  </si>
  <si>
    <t>DEBT FACILITY</t>
  </si>
  <si>
    <t>Beginning Balance</t>
  </si>
  <si>
    <t>Quarterly Interest (15% / 4)</t>
  </si>
  <si>
    <t>Monthly Payment</t>
  </si>
  <si>
    <t>Ending Balance</t>
  </si>
  <si>
    <t>ROW RUN CAPITAL LLC - DEBT FACILITY</t>
  </si>
  <si>
    <t>Annual Payment (25% tranche)</t>
  </si>
  <si>
    <t>PROJECT INVESTMENT CAPITAL - DEBT FACILITY</t>
  </si>
  <si>
    <t>Klump - Beginning Balance</t>
  </si>
  <si>
    <t>Klump - Quarterly Interest</t>
  </si>
  <si>
    <t>Klump - Deal Distribution</t>
  </si>
  <si>
    <t>Klump - PIK Payment (LIHTC)</t>
  </si>
  <si>
    <t>Klump - Ending Balance</t>
  </si>
  <si>
    <t>Scott - Beginning Balance</t>
  </si>
  <si>
    <t>Scott - Quarterly Interest</t>
  </si>
  <si>
    <t>Scott - Deal Distribution</t>
  </si>
  <si>
    <t>Scott - PIK Payment (LIHTC)</t>
  </si>
  <si>
    <t>Scott - Ending Balance</t>
  </si>
  <si>
    <t>3rd St - Beginning Balance</t>
  </si>
  <si>
    <t>3rd St - Quarterly Interest</t>
  </si>
  <si>
    <t>3rd St - Deal Distribution</t>
  </si>
  <si>
    <t>3rd St - PIK Payment (LIHTC)</t>
  </si>
  <si>
    <t>3rd St - Ending Balance</t>
  </si>
  <si>
    <t>Reseda - Beginning Balance</t>
  </si>
  <si>
    <t>Reseda - Quarterly Interest</t>
  </si>
  <si>
    <t>Reseda - Deal Distribution</t>
  </si>
  <si>
    <t>Reseda - PIK Payment (LIHTC)</t>
  </si>
  <si>
    <t>Reseda - Ending Balance</t>
  </si>
  <si>
    <t>BONDING OUTSTANDING</t>
  </si>
  <si>
    <t>Califa</t>
  </si>
  <si>
    <t>Whipple</t>
  </si>
  <si>
    <t>Francis</t>
  </si>
  <si>
    <t>Lexington</t>
  </si>
  <si>
    <t>Denny</t>
  </si>
  <si>
    <t>Acama</t>
  </si>
  <si>
    <t>Reseda</t>
  </si>
  <si>
    <t>3rd St</t>
  </si>
  <si>
    <t>Total Bonding Outstanding</t>
  </si>
  <si>
    <t>CASH ON HAND</t>
  </si>
  <si>
    <t>LV (GC) Cash</t>
  </si>
  <si>
    <t>LV Beginning Cash</t>
  </si>
  <si>
    <t>LV Net Cash Flow</t>
  </si>
  <si>
    <t>Six Peak Cash</t>
  </si>
  <si>
    <t>SP Beginning Cash</t>
  </si>
  <si>
    <t>SP Net Cash Flow</t>
  </si>
  <si>
    <t>Debt Facility Payment</t>
  </si>
  <si>
    <t>Row Run Capital Payment</t>
  </si>
  <si>
    <t>PIK Repayment (included in SP Expenses above)</t>
  </si>
  <si>
    <t>Consolidated Cash</t>
  </si>
  <si>
    <t>Total Beginning Cash</t>
  </si>
  <si>
    <t>Notes:</t>
  </si>
  <si>
    <t>Outstanding Steyn Fee Balances Owed (paid from future LIHTC revenue):</t>
  </si>
  <si>
    <t>3rd St: $563,546  (1% GMP + 3% liquidity requirement)</t>
  </si>
  <si>
    <t>Francis: $579,684 paid quarterly from LIHTC revenue starting Mo 42 (Sep 2029). No PIK capital invested.</t>
  </si>
  <si>
    <t>Reseda: $602,668 paid quarterly from LIHTC revenue starting Mo 45 (Dec 2029). Deal distributes $1,450,000 at project start (Mo 13).</t>
  </si>
  <si>
    <t>Six Peak Capital - QTR Summary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</si>
  <si>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</si>
  <si>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</si>
  <si>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</si>
  <si>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</si>
  <si>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</si>
  <si>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</si>
  <si>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</si>
  <si>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</si>
  <si>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</si>
  <si>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</si>
  <si>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</si>
  <si>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</si>
  <si>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Q1 2029</t>
  </si>
  <si>
    <t>Q2 2029</t>
  </si>
  <si>
    <t>Q3 2029</t>
  </si>
  <si>
    <t>Q4 2029</t>
  </si>
  <si>
    <t>Q1 2030</t>
  </si>
  <si>
    <t>Q2 2030</t>
  </si>
  <si>
    <t>Q3 2030</t>
  </si>
  <si>
    <t>Q4 2030</t>
  </si>
  <si>
    <t>Q1 2031</t>
  </si>
  <si>
    <t>Q2 2031</t>
  </si>
  <si>
    <t>Q3 2031</t>
  </si>
  <si>
    <t>Q4 2031</t>
  </si>
  <si>
    <t>Q1 2032</t>
  </si>
  <si>
    <t>Q2 2032</t>
  </si>
  <si>
    <t>Q3 2032</t>
  </si>
  <si>
    <t>Q4 2032</t>
  </si>
  <si>
    <t>Q1 2033</t>
  </si>
  <si>
    <t>Q2 2033</t>
  </si>
  <si>
    <t>Q3 2033</t>
  </si>
  <si>
    <t>Q4 2033</t>
  </si>
  <si>
    <t>Q1 2034</t>
  </si>
  <si>
    <t>Q2 2034</t>
  </si>
  <si>
    <t>Q3 2034</t>
  </si>
  <si>
    <t>Q4 2034</t>
  </si>
  <si>
    <t>ACTUALS — monthly input area</t>
  </si>
  <si>
    <t>Enter close numbers from Yardi here. Blank = no actual yet (Model uses forecast).</t>
  </si>
  <si>
    <t>COGS — Trades &amp; Site Costs</t>
  </si>
  <si>
    <t>Gain/Loss on Trades</t>
  </si>
  <si>
    <t>Total GC Revenue</t>
  </si>
  <si>
    <t>GC Placeholder — Future Cost C</t>
  </si>
  <si>
    <t>VARIANCE — Original Budget vs Actual</t>
  </si>
  <si>
    <t>Variance computes for any month with actuals entered.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</si>
  <si>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</si>
  <si>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</si>
  <si>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</si>
  <si>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</si>
  <si>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</si>
  <si>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</si>
  <si>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</si>
  <si>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</si>
  <si>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</si>
  <si>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</si>
  <si>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</si>
  <si>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</si>
  <si>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YTD 2026 (Actuals only)</t>
  </si>
  <si>
    <t>Line Item</t>
  </si>
  <si>
    <t>Budget</t>
  </si>
  <si>
    <t>Actual</t>
  </si>
  <si>
    <t>$ Var</t>
  </si>
  <si>
    <t>% Var</t>
  </si>
  <si>
    <t>YTD Budget</t>
  </si>
  <si>
    <t>YTD Actual</t>
  </si>
  <si>
    <t>YTD $ Var</t>
  </si>
  <si>
    <t>GC-CM Fee Revenue</t>
  </si>
  <si>
    <t>GC Placeholder — Future Cost A</t>
  </si>
  <si>
    <t>TOTAL — sum of all P&amp;L lines</t>
  </si>
  <si>
    <t>BD COMMISSION ANALYSIS</t>
  </si>
  <si>
    <t>Annual breakdown of BD-sourced billing, gross profit, commission, and Tom's total comp.</t>
  </si>
  <si>
    <t>Fiscal Year</t>
  </si>
  <si>
    <t>BD Trades &amp; Site Billing</t>
  </si>
  <si>
    <t>BD Other GC Income</t>
  </si>
  <si>
    <t>BD GC Fee Income</t>
  </si>
  <si>
    <t>(folded into Other GC)</t>
  </si>
  <si>
    <t>BD Construction Billing (Total)</t>
  </si>
  <si>
    <t>GC Gross Profit (FY)</t>
  </si>
  <si>
    <t>BD Gross Profit</t>
  </si>
  <si>
    <t>BD Commission (10%)</t>
  </si>
  <si>
    <t>Tom Base Salary</t>
  </si>
  <si>
    <t>Total Comp to Tom</t>
  </si>
  <si>
    <t>Commission % of Total Comp</t>
  </si>
  <si>
    <t>HVN BD Billing</t>
  </si>
  <si>
    <t>Non-HVN BD Billing</t>
  </si>
  <si>
    <t>HVN GP</t>
  </si>
  <si>
    <t>Non-HVN GP</t>
  </si>
  <si>
    <t>HVN Tier Rate</t>
  </si>
  <si>
    <t>HVN Commission</t>
  </si>
  <si>
    <t>Non-HVN Commission</t>
  </si>
  <si>
    <t>TOTAL</t>
  </si>
  <si>
    <t>• BD figures pull from Helpers BD memo (rows 96-101)</t>
  </si>
  <si>
    <t>• BD fees split: Other GC Income (Supervision+Admin) and GC Fee Income (GC-CM)</t>
  </si>
  <si>
    <t>• Commission floors at $0 each month (Model R51 formula)</t>
  </si>
  <si>
    <t>• Bonding revenue + costs excluded from BD math</t>
  </si>
  <si>
    <t>• Tom Base Salary FROZEN at Personnel!C38 ($222K) — no escalation (CY26 prorated to 9 mo)</t>
  </si>
  <si>
    <t>• HVN deals flagged on Projects column M (first 2 BD deals by start month per CY)</t>
  </si>
  <si>
    <t>• HVN/Non-HVN billings split via Model row 211 (HVN-only) vs row 200 (total)</t>
  </si>
  <si>
    <t>• HVN GP allocated proportionally: GP × (HVN billing / total billing)</t>
  </si>
  <si>
    <t>• HVN commission rate tiered annually by non-HVN billings — see Assumptions!A79</t>
  </si>
  <si>
    <t>• Total Commission (col I) floored at $0; flows to Model row 51 monthly via I/H × monthly GP</t>
  </si>
  <si>
    <t>ORIGINAL BUDGET — frozen v26 forecast snapshot</t>
  </si>
  <si>
    <t>Anchor for variance reporting. Do not edit.</t>
  </si>
  <si>
    <t>Project</t>
  </si>
  <si>
    <t>Contract Value</t>
  </si>
  <si>
    <t>Start Month</t>
  </si>
  <si>
    <t>Duration</t>
  </si>
  <si>
    <t>Curve</t>
  </si>
  <si>
    <t>Bonded</t>
  </si>
  <si>
    <t>Active</t>
  </si>
  <si>
    <t>Bond Tier</t>
  </si>
  <si>
    <t>Bond Cost Rate</t>
  </si>
  <si>
    <t>Steyn Guaranty</t>
  </si>
  <si>
    <t>LIHTC</t>
  </si>
  <si>
    <t>Type</t>
  </si>
  <si>
    <t>Total Supervision</t>
  </si>
  <si>
    <t>Total GC-CM Fee</t>
  </si>
  <si>
    <t>Total Admin</t>
  </si>
  <si>
    <t>Total Fee Revenue</t>
  </si>
  <si>
    <t>Last Pay App (5% Retention)</t>
  </si>
  <si>
    <t>Last Month Date</t>
  </si>
  <si>
    <t>Crenshaw</t>
  </si>
  <si>
    <t>No</t>
  </si>
  <si>
    <t>Yes</t>
  </si>
  <si>
    <t>GC + Developer</t>
  </si>
  <si>
    <t>Ramsgate</t>
  </si>
  <si>
    <t>3rd Party GC</t>
  </si>
  <si>
    <t>Nelrose</t>
  </si>
  <si>
    <t>Klump</t>
  </si>
  <si>
    <t>Scott</t>
  </si>
  <si>
    <t>HVN?</t>
  </si>
  <si>
    <t>BD-01</t>
  </si>
  <si>
    <t>BD-02</t>
  </si>
  <si>
    <t>BD-03</t>
  </si>
  <si>
    <t>BD-04</t>
  </si>
  <si>
    <t>BD-05</t>
  </si>
  <si>
    <t>BD-06</t>
  </si>
  <si>
    <t>BD-07</t>
  </si>
  <si>
    <t>BD-08</t>
  </si>
  <si>
    <t>BD-09</t>
  </si>
  <si>
    <t>BD-10</t>
  </si>
  <si>
    <t>BD-11</t>
  </si>
  <si>
    <t>BD-12</t>
  </si>
  <si>
    <t>BD-13</t>
  </si>
  <si>
    <t>BD-14</t>
  </si>
  <si>
    <t>BD-15</t>
  </si>
  <si>
    <t>BD-16</t>
  </si>
  <si>
    <t>BD-17</t>
  </si>
  <si>
    <t>BD-18</t>
  </si>
  <si>
    <t>BD-19</t>
  </si>
  <si>
    <t>BD-20</t>
  </si>
  <si>
    <t>BD-21</t>
  </si>
  <si>
    <t>BD-22</t>
  </si>
  <si>
    <t>BD-23</t>
  </si>
  <si>
    <t>BD-24</t>
  </si>
  <si>
    <t>BD-25</t>
  </si>
  <si>
    <t>BD-26</t>
  </si>
  <si>
    <t>BD-27</t>
  </si>
  <si>
    <t>BD-28</t>
  </si>
  <si>
    <t>BD-29</t>
  </si>
  <si>
    <t>BD-30</t>
  </si>
  <si>
    <t>Name</t>
  </si>
  <si>
    <t>Role</t>
  </si>
  <si>
    <t>Annual Salary</t>
  </si>
  <si>
    <t>Monthly Cost</t>
  </si>
  <si>
    <t>Consult %</t>
  </si>
  <si>
    <t>LV Alloc %</t>
  </si>
  <si>
    <t>Category</t>
  </si>
  <si>
    <t>Kim Moreno</t>
  </si>
  <si>
    <t>Project Coordinator/Admin</t>
  </si>
  <si>
    <t>GC</t>
  </si>
  <si>
    <t>Corporate</t>
  </si>
  <si>
    <t>Grady LaKamp (Corporate)</t>
  </si>
  <si>
    <t>Executive</t>
  </si>
  <si>
    <t>Joe LaKamp (Corporate)</t>
  </si>
  <si>
    <t>Pedro Rosalas (Corporate)</t>
  </si>
  <si>
    <t>Project Manager</t>
  </si>
  <si>
    <t>Greg Smith (Corporate)</t>
  </si>
  <si>
    <t>Grady LaKamp (Field)</t>
  </si>
  <si>
    <t>Field</t>
  </si>
  <si>
    <t>Joe LaKamp (Field)</t>
  </si>
  <si>
    <t>Pedro Rosalas (Field)</t>
  </si>
  <si>
    <t>Greg Smith (Field)</t>
  </si>
  <si>
    <t>Henry Vera</t>
  </si>
  <si>
    <t>Asst Project Manager</t>
  </si>
  <si>
    <t>Dorian Puentes</t>
  </si>
  <si>
    <t>Roy Torries</t>
  </si>
  <si>
    <t>Lucy Mohler</t>
  </si>
  <si>
    <t>Francis APM</t>
  </si>
  <si>
    <t>Brisa Sanchez</t>
  </si>
  <si>
    <t>Project Coordinator</t>
  </si>
  <si>
    <t>Alina Akopian</t>
  </si>
  <si>
    <t>Mike Savaikie</t>
  </si>
  <si>
    <t>Senior Superintendent</t>
  </si>
  <si>
    <t>Daniel Carrillo</t>
  </si>
  <si>
    <t>Alex Gottlieb</t>
  </si>
  <si>
    <t>Steve Garcia</t>
  </si>
  <si>
    <t>Acama Sr Super</t>
  </si>
  <si>
    <t>Reseda Sr Super</t>
  </si>
  <si>
    <t>Nick Donald</t>
  </si>
  <si>
    <t>Site Superintendent</t>
  </si>
  <si>
    <t>Logan Terriquez</t>
  </si>
  <si>
    <t>Denny Asst Super</t>
  </si>
  <si>
    <t>Asst Superintendent</t>
  </si>
  <si>
    <t>Lexington Asst Super</t>
  </si>
  <si>
    <t>Acama Asst Super</t>
  </si>
  <si>
    <t>Ivan Delgado</t>
  </si>
  <si>
    <t>Field Engineer</t>
  </si>
  <si>
    <t>Jonah Dobkin</t>
  </si>
  <si>
    <t>Carlos Rocha</t>
  </si>
  <si>
    <t>Laborer</t>
  </si>
  <si>
    <t>Devis Tejada</t>
  </si>
  <si>
    <t>Acama Laborer</t>
  </si>
  <si>
    <t>Six Peak Capital Personnel</t>
  </si>
  <si>
    <t>Chris Aiello</t>
  </si>
  <si>
    <t>Partner</t>
  </si>
  <si>
    <t>SixPeak</t>
  </si>
  <si>
    <t>SP</t>
  </si>
  <si>
    <t>Bob Kennedy</t>
  </si>
  <si>
    <t>Tom Taggart</t>
  </si>
  <si>
    <t>Asset Mgmt/Bus Dev</t>
  </si>
  <si>
    <t>Schuyler Dietz</t>
  </si>
  <si>
    <t>Associate</t>
  </si>
  <si>
    <t>Derek Sanders</t>
  </si>
  <si>
    <t>Director of Development</t>
  </si>
  <si>
    <t>Robert Carrega</t>
  </si>
  <si>
    <t>Controller</t>
  </si>
  <si>
    <t>Chris Andresen</t>
  </si>
  <si>
    <t>CFO</t>
  </si>
  <si>
    <t>Uplifters Foundation — Development Fee Program</t>
  </si>
  <si>
    <t>PROGRAM OVERVIEW</t>
  </si>
  <si>
    <t>Program Name</t>
  </si>
  <si>
    <t>Program Duration</t>
  </si>
  <si>
    <t>5 Years (Jan 2027 – Dec 2031)</t>
  </si>
  <si>
    <t>Total Properties</t>
  </si>
  <si>
    <t>Property Type</t>
  </si>
  <si>
    <t>Single-Family Residential (no ADUs)</t>
  </si>
  <si>
    <t>Avg Lot Price</t>
  </si>
  <si>
    <t>Avg Construction Cost</t>
  </si>
  <si>
    <t>Avg Sale Price</t>
  </si>
  <si>
    <t>ANNUAL P&amp;L SUMMARY</t>
  </si>
  <si>
    <t>Total</t>
  </si>
  <si>
    <t>Staffing Cost</t>
  </si>
  <si>
    <t>Other OpEx</t>
  </si>
  <si>
    <t>Net Fee Income</t>
  </si>
  <si>
    <t>SP Overhead Fee (to Six Peak)</t>
  </si>
  <si>
    <t>Net Before Bonus</t>
  </si>
  <si>
    <t>Schuyler Bonus (40/45/50%)</t>
  </si>
  <si>
    <t>NI After Bonus (to Six Peak)</t>
  </si>
  <si>
    <t>Total to Six Peak</t>
  </si>
  <si>
    <t>ACQUISITION SCHEDULE</t>
  </si>
  <si>
    <t>Phase</t>
  </si>
  <si>
    <t>Properties</t>
  </si>
  <si>
    <t>Timing</t>
  </si>
  <si>
    <t>Status</t>
  </si>
  <si>
    <t>Phase 1 — Initial Acquisitions</t>
  </si>
  <si>
    <t>Jan – Jun 2027 (Mo 10-15)</t>
  </si>
  <si>
    <t>Acquisition</t>
  </si>
  <si>
    <t>Phase 2 — Ramp Up</t>
  </si>
  <si>
    <t>Jul 2027 – Jun 2028 (Mo 16-27)</t>
  </si>
  <si>
    <t>Acquisition → Development</t>
  </si>
  <si>
    <t>Phase 3 — Continued Buying</t>
  </si>
  <si>
    <t>Jul 2028 – Jun 2029 (Mo 28-39)</t>
  </si>
  <si>
    <t>Development → Leasing</t>
  </si>
  <si>
    <t>Phase 4 — Final Batch</t>
  </si>
  <si>
    <t>Jul 2029 – Jun 2030 (Mo 40-51)</t>
  </si>
  <si>
    <t>Leasing → Exits</t>
  </si>
  <si>
    <t>Jan 2027 – Jun 2030</t>
  </si>
  <si>
    <t>FEE STRUCTURE</t>
  </si>
  <si>
    <t>Fee Category</t>
  </si>
  <si>
    <t>Rate</t>
  </si>
  <si>
    <t>Basis</t>
  </si>
  <si>
    <t>Per Property</t>
  </si>
  <si>
    <t>× 60</t>
  </si>
  <si>
    <t>Notes</t>
  </si>
  <si>
    <t>Acquisition Fee</t>
  </si>
  <si>
    <t>1%</t>
  </si>
  <si>
    <t>Lot Price ($1,400,000)</t>
  </si>
  <si>
    <t>At closing</t>
  </si>
  <si>
    <t>Development Mgmt Fee</t>
  </si>
  <si>
    <t>6%</t>
  </si>
  <si>
    <t>Construction ($1,609,391)</t>
  </si>
  <si>
    <t>During renovation</t>
  </si>
  <si>
    <t>Leasing Commission</t>
  </si>
  <si>
    <t>3%</t>
  </si>
  <si>
    <t>Annual Rent ($180,000)</t>
  </si>
  <si>
    <t>At lease-up</t>
  </si>
  <si>
    <t>Exit / Disposition Fee</t>
  </si>
  <si>
    <t>Sale Price ($3,419,763)</t>
  </si>
  <si>
    <t>At disposition</t>
  </si>
  <si>
    <t>STAFFING &amp; COMPENSATION</t>
  </si>
  <si>
    <t>Annual Comp</t>
  </si>
  <si>
    <t>Monthly</t>
  </si>
  <si>
    <t>Start</t>
  </si>
  <si>
    <t>End</t>
  </si>
  <si>
    <t>Months</t>
  </si>
  <si>
    <t>Total Cost</t>
  </si>
  <si>
    <t>Project Manager 1</t>
  </si>
  <si>
    <t>Mo 11</t>
  </si>
  <si>
    <t>Mo 57</t>
  </si>
  <si>
    <t>Mo 14</t>
  </si>
  <si>
    <t>Accountant</t>
  </si>
  <si>
    <t>Mo 19</t>
  </si>
  <si>
    <t>Project Manager 2</t>
  </si>
  <si>
    <t>Mo 27</t>
  </si>
  <si>
    <t>Total Staffing Cost</t>
  </si>
  <si>
    <t>OTHER OPERATING EXPENSES</t>
  </si>
  <si>
    <t>Expense</t>
  </si>
  <si>
    <t>Annual</t>
  </si>
  <si>
    <t>Years</t>
  </si>
  <si>
    <t>Accounting / Audit / Tax</t>
  </si>
  <si>
    <t>Insurance</t>
  </si>
  <si>
    <t>Office Space</t>
  </si>
  <si>
    <t>Computer / Internet</t>
  </si>
  <si>
    <t>Total Other OpEx</t>
  </si>
  <si>
    <t>Note: Legal ($25K/project) is a deal cost in closing, not in P&amp;L</t>
  </si>
  <si>
    <t>ECONOMICS SUMMARY (CONFIRMED)</t>
  </si>
  <si>
    <t>Total Fee Revenue (60 properties)</t>
  </si>
  <si>
    <t>SP Overhead (10% Revenue, max $150K/yr)</t>
  </si>
  <si>
    <t>Schuyler Bonus (40/45/50% tiered)</t>
  </si>
  <si>
    <t>LEADERSHIP &amp; ORGANIZATION</t>
  </si>
  <si>
    <t>Responsibility</t>
  </si>
  <si>
    <t>Program Lead</t>
  </si>
  <si>
    <t>Day-to-day leadership. Manages acquisitions, development oversight, investor relations. 40% bonus on net income.</t>
  </si>
  <si>
    <t>Leadership</t>
  </si>
  <si>
    <t>Senior leadership and strategic direction. Works directly with Schuyler on execution.</t>
  </si>
  <si>
    <t>PM Advisory</t>
  </si>
  <si>
    <t>Advises on PM employees. Guidance on renovation scoping, contractor mgmt, PM development.</t>
  </si>
  <si>
    <t>Accounting &amp; Back Office</t>
  </si>
  <si>
    <t>Manages accounting, financial reporting, and back office with Robert Carrega.</t>
  </si>
  <si>
    <t>Supports accounting and back office processes alongside Chris Andresen.</t>
  </si>
  <si>
    <t>Acquisitions &amp; Field</t>
  </si>
  <si>
    <t>Assists in acquisitions. Available on-the-ground resource daily for program execution.</t>
  </si>
  <si>
    <t>NOTES &amp; ASSUMPTIONS</t>
  </si>
  <si>
    <t>1.</t>
  </si>
  <si>
    <t>All 60 properties are single-family residential. No ADUs.</t>
  </si>
  <si>
    <t>2.</t>
  </si>
  <si>
    <t>Avg lot price: $1,400,000. Avg construction: $1,609,391. Avg sale: $3,419,763.</t>
  </si>
  <si>
    <t>3.</t>
  </si>
  <si>
    <t>Fees: 1% acquisition on lot, 6% development on construction, 3% leasing on rent ($180K/yr), 1% exit on sale.</t>
  </si>
  <si>
    <t>4.</t>
  </si>
  <si>
    <t>Legal ($25K/project) is a deal cost in closing, not in the Uplifters P&amp;L.</t>
  </si>
  <si>
    <t>5.</t>
  </si>
  <si>
    <t>SP Overhead is 10% of all fee revenue, capped at $150,000 per year, retained by Six Peak.</t>
  </si>
  <si>
    <t>6.</t>
  </si>
  <si>
    <t>Schuyler bonus: 40% on first 20 deals (Mo 10-24), 45% on next 20 (Mo 25-37), 50% on final 20 (Mo 38+). Paid on positive months only.</t>
  </si>
  <si>
    <t>7.</t>
  </si>
  <si>
    <t>Staffing: PM1 ($125K) Mo 11 (3 mo before first construction); PC ($90K) Mo 14 (after 4th acquisition); Accountant ($110K) Mo 19 (after 10th acquisition); PM2 ($125K) Mo 27 (at 24th acquisition).</t>
  </si>
  <si>
    <t>8.</t>
  </si>
  <si>
    <t>Other OpEx: Acctg/Audit/Tax ($40K/yr), Insurance ($20K/yr), Office ($2,500/mo), Computer ($24K/yr).</t>
  </si>
  <si>
    <t>9.</t>
  </si>
  <si>
    <t>Six Peak does NOT perform construction. All renovation contracted to third-party builders.</t>
  </si>
  <si>
    <t>10.</t>
  </si>
  <si>
    <t>Program: Jan 2027 (Mo 10) through Dec 2031. Revenue recognized as fees are earned.</t>
  </si>
  <si>
    <t>11.</t>
  </si>
  <si>
    <t>No debt will be used in the acquisition or development of the properties. All-equity structure.</t>
  </si>
  <si>
    <t>SP INTEGRATION ASSUMPTIONS</t>
  </si>
  <si>
    <t>SP Overhead Rate</t>
  </si>
  <si>
    <t>SP Overhead Annual Cap</t>
  </si>
  <si>
    <t>Schuyler Bonus Rates</t>
  </si>
  <si>
    <t>40% (1-20) / 45% (21-40) / 50% (41-60)</t>
  </si>
  <si>
    <t>MONTHLY P&amp;L</t>
  </si>
  <si>
    <t>Six Peak Capital - GC + Developer Deal Profitability (Net of Steyn Fees)</t>
  </si>
  <si>
    <t xml:space="preserve">  Revenue</t>
  </si>
  <si>
    <t xml:space="preserve">  Net to Six Peak</t>
  </si>
  <si>
    <t xml:space="preserve">  Cumulative Net</t>
  </si>
  <si>
    <t xml:space="preserve">  Steyn Fees</t>
  </si>
  <si>
    <t>ALL GC + DEVELOPER DEALS</t>
  </si>
  <si>
    <t>Total Net to Six Peak</t>
  </si>
  <si>
    <t>Total Cumulative Net</t>
  </si>
  <si>
    <t>First Month of Positive Net Income by Deal:</t>
  </si>
  <si>
    <t xml:space="preserve">  Crenshaw:</t>
  </si>
  <si>
    <t xml:space="preserve">  Ramsgate:</t>
  </si>
  <si>
    <t xml:space="preserve">  Klump:</t>
  </si>
  <si>
    <t xml:space="preserve">  Scott:</t>
  </si>
  <si>
    <t xml:space="preserve">  Francis:</t>
  </si>
  <si>
    <t xml:space="preserve">  Reseda:</t>
  </si>
  <si>
    <t xml:space="preserve">  3rd St:</t>
  </si>
  <si>
    <t>Beyond model period</t>
  </si>
  <si>
    <t xml:space="preserve">  All Deals Combined:</t>
  </si>
  <si>
    <t>Six Peak Capital - Sensitivity Analysis</t>
  </si>
  <si>
    <t>KEY ASSUMPTIONS (Change Yellow Cells for Analysis)</t>
  </si>
  <si>
    <t>Assumption</t>
  </si>
  <si>
    <t>Base Case</t>
  </si>
  <si>
    <t>Scenario</t>
  </si>
  <si>
    <t>Low</t>
  </si>
  <si>
    <t>High</t>
  </si>
  <si>
    <t>Unit</t>
  </si>
  <si>
    <t>GC Fee Rate (Supervision)</t>
  </si>
  <si>
    <t>%</t>
  </si>
  <si>
    <t>Each 1% ≈ $1.2M cumulative revenue impact</t>
  </si>
  <si>
    <t>GC-CM Fee Rate</t>
  </si>
  <si>
    <t>Admin Fee Rate</t>
  </si>
  <si>
    <t>Each 1% ≈ $400K cumulative revenue impact</t>
  </si>
  <si>
    <t>Annual Escalation Rate</t>
  </si>
  <si>
    <t>Impacts personnel costs &amp; revenue over time</t>
  </si>
  <si>
    <t>Bonding Revenue Rate</t>
  </si>
  <si>
    <t>One-time revenue at project start</t>
  </si>
  <si>
    <t>Tier 1 Bond Cost Rate</t>
  </si>
  <si>
    <t>Annual cost on bonded projects</t>
  </si>
  <si>
    <t>Tier 2 Bond Cost Rate</t>
  </si>
  <si>
    <t>Reseda/3rd St bonding costs</t>
  </si>
  <si>
    <t>Debt Facility Interest Rate</t>
  </si>
  <si>
    <t>PE debt at $1.6M starting balance</t>
  </si>
  <si>
    <t>Monthly Debt Payment</t>
  </si>
  <si>
    <t>$</t>
  </si>
  <si>
    <t>PE debt monthly payment</t>
  </si>
  <si>
    <t>PIK Accrual Rate</t>
  </si>
  <si>
    <t>Steyn investment capital return</t>
  </si>
  <si>
    <t>Steyn Completion Guaranty Rate</t>
  </si>
  <si>
    <t>1% of GMP for Steyn projects</t>
  </si>
  <si>
    <t>Steyn Liquidity Fee Rate</t>
  </si>
  <si>
    <t>3% of liquidity requirement</t>
  </si>
  <si>
    <t>GC Headcount Growth (New Hires)</t>
  </si>
  <si>
    <t>#</t>
  </si>
  <si>
    <t>Number of new hires over model period</t>
  </si>
  <si>
    <t>SP Monthly Operating Expenses</t>
  </si>
  <si>
    <t>Total SP monthly opex (rent+IT+etc.)</t>
  </si>
  <si>
    <t>PROJECT TOGGLE (Change to Yes/No on Projects Tab)</t>
  </si>
  <si>
    <t>GMP</t>
  </si>
  <si>
    <t>Steyn</t>
  </si>
  <si>
    <t>Dev</t>
  </si>
  <si>
    <t>8 mo</t>
  </si>
  <si>
    <t>16 mo</t>
  </si>
  <si>
    <t>3PGC</t>
  </si>
  <si>
    <t>15 mo</t>
  </si>
  <si>
    <t>19 mo</t>
  </si>
  <si>
    <t>24 mo</t>
  </si>
  <si>
    <t>30 mo</t>
  </si>
  <si>
    <t>ANNUAL RESULTS (Live from Model)</t>
  </si>
  <si>
    <t>Metric</t>
  </si>
  <si>
    <t>PIK Outstanding</t>
  </si>
  <si>
    <t>GC REVENUE SENSITIVITY — Total Fee Revenue by Rate Combination</t>
  </si>
  <si>
    <t>Combined GMP: $251,968,791  |  Shows total fee revenue (Sup+GC+Admin) at different rate/overhead combos</t>
  </si>
  <si>
    <t>Total Fee Rate ↓  /  Overhead Rate →</t>
  </si>
  <si>
    <t>CASH POSITION ANALYSIS</t>
  </si>
  <si>
    <t>Entity</t>
  </si>
  <si>
    <t>Starting Cash</t>
  </si>
  <si>
    <t>FY 2027 Cash</t>
  </si>
  <si>
    <t>FY 2029 Cash</t>
  </si>
  <si>
    <t>FY 2031 Cash</t>
  </si>
  <si>
    <t>FY 2033 Cash</t>
  </si>
  <si>
    <t>LV (GC)</t>
  </si>
  <si>
    <t>Six Peak</t>
  </si>
  <si>
    <t>Consolidated</t>
  </si>
  <si>
    <t>STEYN GROUP — INVESTMENT &amp; FEE SUMMARY</t>
  </si>
  <si>
    <t>Completion Guaranty</t>
  </si>
  <si>
    <t>Liquidity Fee</t>
  </si>
  <si>
    <t>PIK Invested</t>
  </si>
  <si>
    <t>Total Steyn Fees</t>
  </si>
  <si>
    <t>LIHTC Payback</t>
  </si>
  <si>
    <t>Non-LIHTC — paid at start</t>
  </si>
  <si>
    <t>Quarterly from LIHTC rev</t>
  </si>
  <si>
    <t>Pending — no revenue yet</t>
  </si>
  <si>
    <t>TIER 2 BONDING SENSITIVITY — Reseda &amp; 3rd St</t>
  </si>
  <si>
    <t>Tier 2 Bonded GMP (Reseda + 3rd St)</t>
  </si>
  <si>
    <t>Current Tier 2 Rate</t>
  </si>
  <si>
    <t>Proposed Tier 2 Rate</t>
  </si>
  <si>
    <t>Current Cost (3.25%)</t>
  </si>
  <si>
    <t>Reduced Cost (1.50%)</t>
  </si>
  <si>
    <t>Annual Savings</t>
  </si>
  <si>
    <t>BONDING LIQUIDITY — 2.5% of Outstanding</t>
  </si>
  <si>
    <t>Assumes 2.5% liquidity required on total bonding outstanding. Tax distributions estimated at ~5% of GC NI.</t>
  </si>
  <si>
    <t>Bonding Outstanding (Year-End)</t>
  </si>
  <si>
    <t>2.5% Liquidity Requirement</t>
  </si>
  <si>
    <t>Total Ending Cash (Baseline)</t>
  </si>
  <si>
    <t>Est. Tax Distributions (~5% of GC NI)</t>
  </si>
  <si>
    <t>Cash After Tax Distributions</t>
  </si>
  <si>
    <t>Surplus / (Shortfall) vs Requirement</t>
  </si>
  <si>
    <t>HVN PIPELINE — ESTIMATED GC REVENUE (3 New Deals)</t>
  </si>
  <si>
    <t>Avg GMP (Califa/Whipple/Denny/Lexington/Acama)</t>
  </si>
  <si>
    <t>Effective GC Revenue Rate on GMP</t>
  </si>
  <si>
    <t>Revenue Per Deal (over project life)</t>
  </si>
  <si>
    <t>Number of New Deals (2 R2 + 1 R3)</t>
  </si>
  <si>
    <t>Total New Pipeline GMP (3 deals)</t>
  </si>
  <si>
    <t>Estimated Revenue Timeline (3 deals):</t>
  </si>
  <si>
    <t>2 Round 2 Deals (close ~Q3 FY27)</t>
  </si>
  <si>
    <t>1 Round 3 Deal (close ~Q1 FY28)</t>
  </si>
  <si>
    <t>Total New HVN Revenue</t>
  </si>
  <si>
    <t>FY28 revenue gap to breakeven: 1,225,136 → New pipeline covers 204%</t>
  </si>
  <si>
    <t>PREFERRED EQUITY (PIK) — PAYOFF &amp; STEYN RETURNS</t>
  </si>
  <si>
    <t>Reseda is the only active PIK investment. Capital accrues at 15%/yr (3.75% quarterly). Repaid from LIHTC revenue after Steyn fees.</t>
  </si>
  <si>
    <t>Amount</t>
  </si>
  <si>
    <t>Date / Month</t>
  </si>
  <si>
    <t>Reseda — Capital Invested</t>
  </si>
  <si>
    <t>Apr 2026 (Pre-model)</t>
  </si>
  <si>
    <t>Full amount deployed before model start</t>
  </si>
  <si>
    <t>Deal Distribution (Reseda)</t>
  </si>
  <si>
    <t>Apr 2027 (Mo 13)</t>
  </si>
  <si>
    <t>Returned at Reseda project start</t>
  </si>
  <si>
    <t>Remaining Balance (after dist)</t>
  </si>
  <si>
    <t>Apr 2027</t>
  </si>
  <si>
    <t>Reduced balance accrues interest</t>
  </si>
  <si>
    <t>PIK Fully Paid Off</t>
  </si>
  <si>
    <t>Apr 2030 (Mo 50)</t>
  </si>
  <si>
    <t>Repaid from LIHTC revenue after Steyn fees</t>
  </si>
  <si>
    <t>Total Interest Earned by Steyn</t>
  </si>
  <si>
    <t>Over 50 months</t>
  </si>
  <si>
    <t>15% annual accrual on outstanding balance</t>
  </si>
  <si>
    <t>Total Returned to Steyn</t>
  </si>
  <si>
    <t>By Apr 2030</t>
  </si>
  <si>
    <t>Principal + interest = 1.25x return</t>
  </si>
  <si>
    <t>Mo 1</t>
  </si>
  <si>
    <t>Mo 2</t>
  </si>
  <si>
    <t>Mo 3</t>
  </si>
  <si>
    <t>Mo 4</t>
  </si>
  <si>
    <t>Mo 5</t>
  </si>
  <si>
    <t>Mo 6</t>
  </si>
  <si>
    <t>Mo 7</t>
  </si>
  <si>
    <t>Mo 8</t>
  </si>
  <si>
    <t>Mo 9</t>
  </si>
  <si>
    <t>Mo 10</t>
  </si>
  <si>
    <t>Mo 12</t>
  </si>
  <si>
    <t>Mo 13</t>
  </si>
  <si>
    <t>Mo 15</t>
  </si>
  <si>
    <t>Mo 16</t>
  </si>
  <si>
    <t>Mo 17</t>
  </si>
  <si>
    <t>Mo 18</t>
  </si>
  <si>
    <t>Mo 20</t>
  </si>
  <si>
    <t>Mo 21</t>
  </si>
  <si>
    <t>Mo 22</t>
  </si>
  <si>
    <t>Mo 23</t>
  </si>
  <si>
    <t>Mo 24</t>
  </si>
  <si>
    <t>Mo 25</t>
  </si>
  <si>
    <t>Mo 26</t>
  </si>
  <si>
    <t>Mo 28</t>
  </si>
  <si>
    <t>Mo 29</t>
  </si>
  <si>
    <t>Mo 30</t>
  </si>
  <si>
    <t>Mo 31</t>
  </si>
  <si>
    <t>Mo 32</t>
  </si>
  <si>
    <t>Mo 33</t>
  </si>
  <si>
    <t>Mo 34</t>
  </si>
  <si>
    <t>Mo 35</t>
  </si>
  <si>
    <t>Mo 36</t>
  </si>
  <si>
    <t>Mo 37</t>
  </si>
  <si>
    <t>Mo 38</t>
  </si>
  <si>
    <t>Mo 39</t>
  </si>
  <si>
    <t>Mo 40</t>
  </si>
  <si>
    <t>Curve 1</t>
  </si>
  <si>
    <t>Curve 2</t>
  </si>
  <si>
    <t>Curve 3</t>
  </si>
  <si>
    <t>Renormalized (In-Place)</t>
  </si>
  <si>
    <t>Six Peak Capital - Model Assumptions</t>
  </si>
  <si>
    <t>GC Fee Structure</t>
  </si>
  <si>
    <t>Field Supervision Rate</t>
  </si>
  <si>
    <t>Project Admin Rate</t>
  </si>
  <si>
    <t>Total Fee Rate</t>
  </si>
  <si>
    <t>Effective Revenue Rate on GMP</t>
  </si>
  <si>
    <t>On-GMP rates set directly (overhead gross-up removed)</t>
  </si>
  <si>
    <t>Supervision Rate on GMP</t>
  </si>
  <si>
    <t>GC-CM Fee Rate on GMP</t>
  </si>
  <si>
    <t>Admin Rate on GMP</t>
  </si>
  <si>
    <t>Bonding</t>
  </si>
  <si>
    <t>Payroll Burden Rates</t>
  </si>
  <si>
    <t>Payroll Tax Rate</t>
  </si>
  <si>
    <t>Payroll Servicing Rate</t>
  </si>
  <si>
    <t>Employee Benefits Rate</t>
  </si>
  <si>
    <t>Workers Comp Rate</t>
  </si>
  <si>
    <t>Expense Escalation</t>
  </si>
  <si>
    <t>Annual Expense Escalation Rate</t>
  </si>
  <si>
    <t>Beginning Cash Balances</t>
  </si>
  <si>
    <t>LV (GC) Beginning Cash</t>
  </si>
  <si>
    <t>Six Peak Beginning Cash</t>
  </si>
  <si>
    <t>Debt Facility</t>
  </si>
  <si>
    <t>Debt Starting Balance (Apr 2026)</t>
  </si>
  <si>
    <t>Interest Rate (Annual)</t>
  </si>
  <si>
    <t>Quarterly Rate</t>
  </si>
  <si>
    <t>Monthly Payment Amount</t>
  </si>
  <si>
    <t>First Payment Month #</t>
  </si>
  <si>
    <t>(Month 7 = Oct 2026, paid off Dec 2027)</t>
  </si>
  <si>
    <t>Row Run Capital LLC</t>
  </si>
  <si>
    <t>Loan Amount</t>
  </si>
  <si>
    <t>Tranche Size (25%)</t>
  </si>
  <si>
    <t>Net Income Threshold</t>
  </si>
  <si>
    <t>(Payable only when annual consolidated NI &gt;= threshold)</t>
  </si>
  <si>
    <t>Steyn Group Guaranty</t>
  </si>
  <si>
    <t>Completion Guaranty Fee Rate</t>
  </si>
  <si>
    <t>Liquidity Guarantee Fee Rate</t>
  </si>
  <si>
    <t>Steyn Liquidity Requirements</t>
  </si>
  <si>
    <t>Project Investment Capital</t>
  </si>
  <si>
    <t>Accrual Rate (Annual)</t>
  </si>
  <si>
    <t>Quarterly Accrual Rate</t>
  </si>
  <si>
    <t>Klump - Capital Invested</t>
  </si>
  <si>
    <t>Scott - Capital Invested</t>
  </si>
  <si>
    <t>Reseda - Capital Invested</t>
  </si>
  <si>
    <t>3rd St - Capital Invested</t>
  </si>
  <si>
    <t>(Capital amounts TBD - enter when available)</t>
  </si>
  <si>
    <t>Monthly Fee Amount</t>
  </si>
  <si>
    <t>Last Active Month #</t>
  </si>
  <si>
    <t>PIK Detail Parameters</t>
  </si>
  <si>
    <t>Reseda - Initial PIK Balance</t>
  </si>
  <si>
    <t>Reseda - Monthly PIK Ramp</t>
  </si>
  <si>
    <t>Reseda - PIK Ramp Until Month</t>
  </si>
  <si>
    <t>3rd St - Initial PIK Balance</t>
  </si>
  <si>
    <t>3rd St - Monthly PIK Ramp</t>
  </si>
  <si>
    <t>HVN Commission Structure</t>
  </si>
  <si>
    <t>Number of HVN deals per year (informational)</t>
  </si>
  <si>
    <t>Tier</t>
  </si>
  <si>
    <t>Non-HVN BD Annual Billing &gt;=</t>
  </si>
  <si>
    <t>HVN Commission Rate</t>
  </si>
  <si>
    <t>Tier 0 (base)</t>
  </si>
  <si>
    <t>Tier 1</t>
  </si>
  <si>
    <t>Tier 2</t>
  </si>
  <si>
    <t>Tier 3</t>
  </si>
  <si>
    <t>(Thresholds measured by non-HVN BD annual billing; rate applied to that year's HVN GP)</t>
  </si>
  <si>
    <t>Month</t>
  </si>
  <si>
    <t>Factor</t>
  </si>
  <si>
    <t>W2 Payroll Basis &amp; Bonding Calculations</t>
  </si>
  <si>
    <t>GC W2 Payroll Basis</t>
  </si>
  <si>
    <t>SP W2 Payroll Basis</t>
  </si>
  <si>
    <t>Bonding Outstanding by Project</t>
  </si>
  <si>
    <t>Steyn Fee Balance Tracking</t>
  </si>
  <si>
    <t>Francis Steyn - Beginning Balance</t>
  </si>
  <si>
    <t>Francis Steyn - Payment</t>
  </si>
  <si>
    <t>Francis Steyn - Ending Balance</t>
  </si>
  <si>
    <t>Reseda Steyn - Beginning Balance</t>
  </si>
  <si>
    <t>Reseda Steyn - Payment</t>
  </si>
  <si>
    <t>Reseda Steyn - Ending Balance</t>
  </si>
  <si>
    <t>3rd St Steyn</t>
  </si>
  <si>
    <t>Beg Balance</t>
  </si>
  <si>
    <t>Payment</t>
  </si>
  <si>
    <t>End Balance</t>
  </si>
  <si>
    <t>POST-MODEL LIHTC PROJECTIONS (10-Year Credit = 40 Quarters)</t>
  </si>
  <si>
    <t>Last Quarterly LIHTC Rate</t>
  </si>
  <si>
    <t>In-Model Quarterly Payments</t>
  </si>
  <si>
    <t>Remaining Quarters (Post-Model)</t>
  </si>
  <si>
    <t>Post-Model Total LIHTC Revenue</t>
  </si>
  <si>
    <t>3RD ST POST-MODEL PIK AMORTIZATION</t>
  </si>
  <si>
    <t>Quarter</t>
  </si>
  <si>
    <t>LIHTC Rev</t>
  </si>
  <si>
    <t>Steyn Bal</t>
  </si>
  <si>
    <t>Steyn Pmt</t>
  </si>
  <si>
    <t>PIK Bal</t>
  </si>
  <si>
    <t>PIK Interest</t>
  </si>
  <si>
    <t>PIK Pmt</t>
  </si>
  <si>
    <t>TOTALS</t>
  </si>
  <si>
    <t>BD MEMO ROWS  (moved from Model rows 203-207, 214)</t>
  </si>
  <si>
    <t>BD Construction Billing (memo)</t>
  </si>
  <si>
    <t>BD Revenue — CB + fees (memo)</t>
  </si>
  <si>
    <t>BD Share of fees (memo) = BD fees / R17</t>
  </si>
  <si>
    <t>GC Gross Profit (memo) = R20 + SUM(R23:R53) + State Tax(55)</t>
  </si>
  <si>
    <t>BD Allocated GP (memo)</t>
  </si>
  <si>
    <t>HVN BD Construction Billing (memo)</t>
  </si>
  <si>
    <t>Project P&amp;L — Development Fee Income</t>
  </si>
  <si>
    <t>In-Model</t>
  </si>
  <si>
    <t>Post-Model</t>
  </si>
  <si>
    <t>Lifetime Total</t>
  </si>
  <si>
    <t>LIHTC Revenue</t>
  </si>
  <si>
    <t>GMP Fee (1%)</t>
  </si>
  <si>
    <t>Liquidity Guarantee Fee (3%)</t>
  </si>
  <si>
    <t>Net Income to Six Peak</t>
  </si>
  <si>
    <t>3rd Street</t>
  </si>
  <si>
    <t>COMBINED</t>
  </si>
  <si>
    <t>Total LIHTC Revenue</t>
  </si>
  <si>
    <t>Total GMP Fees</t>
  </si>
  <si>
    <t>Total Liquidity Fees</t>
  </si>
  <si>
    <t>Total PIK Interest</t>
  </si>
  <si>
    <t>Combined Net Income to Six Peak</t>
  </si>
  <si>
    <t>Interest Carry = Steyn balance accrual (GMP + Liquidity unpaid balance interest)</t>
  </si>
  <si>
    <t>PIK Interest = 15% annual (3.75% quarterly) on Project Investment Capital</t>
  </si>
  <si>
    <t>3rd St: 36 remaining quarterly LIHTC payments at $73,155; PIK balance of $570K fully repaid post-model</t>
  </si>
  <si>
    <t>Reseda: 28 remaining quarterly LIHTC payments at $81,362; PIK and Steyn fully repaid in-model</t>
  </si>
  <si>
    <t>Reseda: 28 post-model quarterly LIHTC payments at $81,362; PIK and Steyn fully repaid in-model</t>
  </si>
  <si>
    <t>BD COMMISSION — PER-DEAL ENGINE</t>
  </si>
  <si>
    <t>Advance rate (x GMP)</t>
  </si>
  <si>
    <t>Profit commission rate</t>
  </si>
  <si>
    <t>FY</t>
  </si>
  <si>
    <t>First m#</t>
  </si>
  <si>
    <t>Last m#</t>
  </si>
  <si>
    <t>BD Constr Billing</t>
  </si>
  <si>
    <t>HVN Billing</t>
  </si>
  <si>
    <t>Non-HVN Billing</t>
  </si>
  <si>
    <t>Total GC opex (rows23-55, incl BD comm + State Tax, +)</t>
  </si>
  <si>
    <t># under construction</t>
  </si>
  <si>
    <t>Alloc cost / project</t>
  </si>
  <si>
    <t>Deal</t>
  </si>
  <si>
    <t>Dur</t>
  </si>
  <si>
    <t>HVN</t>
  </si>
  <si>
    <t>Completion</t>
  </si>
  <si>
    <t>Adv Month</t>
  </si>
  <si>
    <t>Tier Rate</t>
  </si>
  <si>
    <t>Life GP</t>
  </si>
  <si>
    <t>Life Alloc Cost</t>
  </si>
  <si>
    <t>Life NI</t>
  </si>
  <si>
    <t>Eff Rate</t>
  </si>
  <si>
    <t>Advance</t>
  </si>
  <si>
    <t>Earned (E)</t>
  </si>
  <si>
    <t>True-Up</t>
  </si>
  <si>
    <t>BD commission (positive) /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</si>
</sst>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\$* #,##0_);[Red]_(\$* \(#,##0\);_(\$* \-_?_?_);_(@_)"/>
    <numFmt numFmtId="165" formatCode="0.0%;[Red]\(0.0%\);\-"/>
    <numFmt numFmtId="166" formatCode="\$#,##0;&quot;($&quot;#,##0\);\-"/>
    <numFmt numFmtId="167" formatCode="0.0%;\(0.0%\);\-"/>
    <numFmt numFmtId="168" formatCode="_(\$* #,##0_);[Red]_(\$* \(#,##0\);_(\$* \-_);_(@_)"/>
    <numFmt numFmtId="169" formatCode="mmm\ yyyy"/>
    <numFmt numFmtId="170" formatCode="_(\$* #,##0_);_(\$* \(#,##0\);_(\$* \-??_);_(@_)"/>
    <numFmt numFmtId="171" formatCode="_(\$* #,##0.00_);_(\$* \(#,##0.00\);_(\$* \-??_);_(@_)"/>
    <numFmt numFmtId="172" formatCode="_(\$* #,##0_);_(\$* \(#,##0\);_(\$* \-_);_(@_)"/>
    <numFmt numFmtId="173" formatCode="\$#,##0"/>
    <numFmt numFmtId="174" formatCode="0.0%"/>
    <numFmt numFmtId="175" formatCode="0.0000"/>
    <numFmt numFmtId="176" formatCode="[$$-409]#,##0.00;[Red]\-[$$-409]#,##0.00"/>
    <numFmt numFmtId="177" formatCode="_(\$* #,##0_);_(\$* \(#,##0\);_(\$* \-_?_?_);_(@_)"/>
  </numFmts>
  <fonts count="62" x14ac:knownFonts="1">
    <font>
      <sz val="11"/>
      <color theme="1"/>
      <name val="Calibri"/>
      <family val="2"/>
      <charset val="1"/>
    </font>
    <font>
      <b/>
      <sz val="14"/>
      <color rgb="FF0B1833"/>
      <name val="Aptos"/>
      <charset val="1"/>
    </font>
    <font>
      <sz val="10"/>
      <color rgb="FF2C3A51"/>
      <name val="Aptos"/>
      <charset val="1"/>
    </font>
    <font>
      <sz val="10"/>
      <color rgb="FF000000"/>
      <name val="Aptos"/>
      <charset val="1"/>
    </font>
    <font>
      <b/>
      <sz val="10"/>
      <color rgb="FFC4581A"/>
      <name val="Aptos"/>
      <charset val="1"/>
    </font>
    <font>
      <i/>
      <sz val="10"/>
      <color rgb="FF475569"/>
      <name val="Aptos"/>
      <charset val="1"/>
    </font>
    <font>
      <b/>
      <sz val="10"/>
      <color rgb="FF000000"/>
      <name val="Aptos"/>
      <charset val="1"/>
    </font>
    <font>
      <i/>
      <sz val="10"/>
      <color rgb="FF000000"/>
      <name val="Aptos"/>
      <charset val="1"/>
    </font>
    <font>
      <b/>
      <sz val="11"/>
      <color rgb="FFF8FAFC"/>
      <name val="Aptos"/>
      <family val="2"/>
      <charset val="1"/>
    </font>
    <font>
      <i/>
      <sz val="10"/>
      <color rgb="FFF8FAFC"/>
      <name val="Aptos"/>
      <family val="2"/>
      <charset val="1"/>
    </font>
    <font>
      <i/>
      <sz val="9"/>
      <color rgb="FFBFC7DA"/>
      <name val="Aptos"/>
      <charset val="1"/>
    </font>
    <font>
      <sz val="11"/>
      <color rgb="FFF8FAFC"/>
      <name val="Calibri"/>
      <family val="2"/>
      <charset val="1"/>
    </font>
    <font>
      <sz val="11"/>
      <color rgb="FF000000"/>
      <name val="Aptos"/>
      <family val="2"/>
      <charset val="1"/>
    </font>
    <font>
      <b/>
      <i/>
      <sz val="10"/>
      <color rgb="FFC4581A"/>
      <name val="Aptos"/>
      <charset val="1"/>
    </font>
    <font>
      <b/>
      <i/>
      <sz val="10"/>
      <color rgb="FF0B1833"/>
      <name val="Aptos"/>
      <charset val="1"/>
    </font>
    <font>
      <b/>
      <i/>
      <sz val="10"/>
      <color rgb="FF000000"/>
      <name val="Aptos"/>
      <charset val="1"/>
    </font>
    <font>
      <b/>
      <sz val="10"/>
      <color rgb="FF0B1833"/>
      <name val="Aptos"/>
      <charset val="1"/>
    </font>
    <font>
      <sz val="10"/>
      <color rgb="FF000000"/>
      <name val="Aptos"/>
      <family val="2"/>
      <charset val="1"/>
    </font>
    <font>
      <sz val="10"/>
      <name val="Aptos"/>
      <charset val="1"/>
    </font>
    <font>
      <b/>
      <sz val="10"/>
      <name val="Aptos"/>
      <charset val="1"/>
    </font>
    <font>
      <i/>
      <sz val="9"/>
      <color rgb="FF666666"/>
      <name val="Aptos"/>
      <charset val="1"/>
    </font>
    <font>
      <sz val="9"/>
      <color rgb="FF666666"/>
      <name val="Aptos"/>
      <charset val="1"/>
    </font>
    <font>
      <sz val="10"/>
      <color rgb="FF0B1833"/>
      <name val="Aptos"/>
      <charset val="1"/>
    </font>
    <font>
      <b/>
      <sz val="10"/>
      <color rgb="FF000000"/>
      <name val="Aptos"/>
      <family val="2"/>
      <charset val="1"/>
    </font>
    <font>
      <b/>
      <sz val="10"/>
      <color rgb="FFC4581A"/>
      <name val="Aptos"/>
      <family val="2"/>
      <charset val="1"/>
    </font>
    <font>
      <b/>
      <i/>
      <sz val="10"/>
      <color rgb="FF000000"/>
      <name val="Aptos"/>
      <family val="2"/>
      <charset val="1"/>
    </font>
    <font>
      <sz val="10"/>
      <color rgb="FFFF0000"/>
      <name val="Aptos"/>
      <charset val="1"/>
    </font>
    <font>
      <b/>
      <sz val="10"/>
      <color rgb="FFFFFFFF"/>
      <name val="Aptos"/>
      <charset val="1"/>
    </font>
    <font>
      <b/>
      <sz val="10"/>
      <color rgb="FFFF0000"/>
      <name val="Aptos"/>
      <family val="2"/>
      <charset val="1"/>
    </font>
    <font>
      <sz val="10"/>
      <color rgb="FFFF0000"/>
      <name val="Aptos"/>
      <family val="2"/>
      <charset val="1"/>
    </font>
    <font>
      <sz val="11"/>
      <name val="Calibri"/>
      <family val="2"/>
      <charset val="1"/>
    </font>
    <font>
      <i/>
      <sz val="9"/>
      <color rgb="FF475569"/>
      <name val="Aptos"/>
      <charset val="1"/>
    </font>
    <font>
      <sz val="9"/>
      <color rgb="FF475569"/>
      <name val="Aptos"/>
      <charset val="1"/>
    </font>
    <font>
      <sz val="10"/>
      <color rgb="FF0000FF"/>
      <name val="Aptos"/>
      <charset val="1"/>
    </font>
    <font>
      <i/>
      <sz val="10"/>
      <color rgb="FFC4581A"/>
      <name val="Aptos"/>
      <charset val="1"/>
    </font>
    <font>
      <sz val="10"/>
      <color rgb="FF008000"/>
      <name val="Aptos"/>
      <charset val="1"/>
    </font>
    <font>
      <sz val="10"/>
      <color theme="1"/>
      <name val="Aptos"/>
      <charset val="1"/>
    </font>
    <font>
      <sz val="10"/>
      <color rgb="FF2D2D2D"/>
      <name val="Aptos"/>
      <charset val="1"/>
    </font>
    <font>
      <b/>
      <sz val="12"/>
      <name val="Aptos"/>
      <charset val="1"/>
    </font>
    <font>
      <b/>
      <sz val="10"/>
      <color rgb="FF1F3864"/>
      <name val="Aptos"/>
      <charset val="1"/>
    </font>
    <font>
      <i/>
      <sz val="10"/>
      <name val="Aptos"/>
      <charset val="1"/>
    </font>
    <font>
      <sz val="9"/>
      <name val="Aptos"/>
      <charset val="1"/>
    </font>
    <font>
      <sz val="10"/>
      <color rgb="FF717F4B"/>
      <name val="Aptos"/>
      <charset val="1"/>
    </font>
    <font>
      <sz val="10"/>
      <color rgb="FFEF4444"/>
      <name val="Aptos"/>
      <charset val="1"/>
    </font>
    <font>
      <i/>
      <sz val="10"/>
      <color rgb="FF999999"/>
      <name val="Aptos"/>
      <charset val="1"/>
    </font>
    <font>
      <i/>
      <sz val="9"/>
      <color rgb="FF999999"/>
      <name val="Aptos"/>
      <charset val="1"/>
    </font>
    <font>
      <sz val="10"/>
      <color rgb="FF333333"/>
      <name val="Aptos"/>
      <charset val="1"/>
    </font>
    <font>
      <b/>
      <sz val="13"/>
      <name val="Aptos"/>
      <charset val="1"/>
    </font>
    <font>
      <b/>
      <sz val="9"/>
      <color rgb="FF666666"/>
      <name val="Aptos"/>
      <charset val="1"/>
    </font>
    <font>
      <sz val="9"/>
      <color rgb="FF888888"/>
      <name val="Aptos"/>
      <charset val="1"/>
    </font>
    <font>
      <b/>
      <sz val="10"/>
      <color rgb="FF0B1833"/>
      <name val="Aptos"/>
    </font>
    <font>
      <sz val="10"/>
      <color theme="1"/>
      <name val="Aptos"/>
    </font>
    <font>
      <sz val="10"/>
      <name val="Aptos"/>
    </font>
    <font>
      <b/>
      <sz val="10"/>
      <color rgb="FFFFFFFF"/>
      <name val="Aptos"/>
    </font>
    <font>
      <i/>
      <sz val="10"/>
      <name val="Aptos"/>
    </font>
    <font>
      <b/>
      <sz val="10"/>
      <color rgb="FFC4581A"/>
      <name val="Aptos"/>
    </font>
    <font>
      <i/>
      <sz val="9"/>
      <color rgb="FF808080"/>
      <name val="Aptos"/>
    </font>
    <font>
      <b/>
      <sz val="10"/>
      <color rgb="FFF8FAFC"/>
      <name val="Aptos"/>
      <charset val="1"/>
    </font>
    <font>
      <b/>
      <sz val="10"/>
      <color rgb="FFF8FAFC"/>
      <name val="Aptos"/>
      <family val="2"/>
      <charset val="1"/>
    </font>
    <font>
      <b/>
      <i/>
      <sz val="10"/>
      <color rgb="FFF8FAFC"/>
      <name val="Aptos"/>
      <family val="2"/>
      <charset val="1"/>
    </font>
    <font>
      <b/>
      <sz val="10"/>
      <color rgb="FFFFFFFF"/>
      <name val="Aptos"/>
      <family val="2"/>
      <charset val="1"/>
    </font>
    <font>
      <sz val="10"/>
      <color theme="1"/>
      <name val="Aptos"/>
      <family val="2"/>
      <charset val="1"/>
    </font>
  </fonts>
  <fills count="31">
    <fill>
      <patternFill patternType="none"/>
    </fill>
    <fill>
      <patternFill patternType="gray125"/>
    </fill>
    <fill>
      <patternFill patternType="solid">
        <fgColor rgb="FFF8FAFC"/>
        <bgColor rgb="FFF5F5F5"/>
      </patternFill>
    </fill>
    <fill>
      <patternFill patternType="solid">
        <fgColor rgb="FF0B1833"/>
        <bgColor rgb="FF111E3D"/>
      </patternFill>
    </fill>
    <fill>
      <patternFill patternType="solid">
        <fgColor rgb="FF2C3A51"/>
        <bgColor rgb="FF1F3864"/>
      </patternFill>
    </fill>
    <fill>
      <patternFill patternType="solid">
        <fgColor rgb="FFE8ECF1"/>
        <bgColor rgb="FFEAEDF2"/>
      </patternFill>
    </fill>
    <fill>
      <patternFill patternType="solid">
        <fgColor rgb="FFFBE9E0"/>
        <bgColor rgb="FFFCE4D6"/>
      </patternFill>
    </fill>
    <fill>
      <patternFill patternType="solid">
        <fgColor rgb="FFFFFFFF"/>
        <bgColor rgb="FFF8FAFC"/>
      </patternFill>
    </fill>
    <fill>
      <patternFill patternType="solid">
        <fgColor rgb="FFDDE3ED"/>
        <bgColor rgb="FFDCE6F1"/>
      </patternFill>
    </fill>
    <fill>
      <patternFill patternType="solid">
        <fgColor rgb="FFE3E8F0"/>
        <bgColor rgb="FFE2E7F0"/>
      </patternFill>
    </fill>
    <fill>
      <patternFill patternType="solid">
        <fgColor rgb="FFC4581A"/>
        <bgColor rgb="FFEF4444"/>
      </patternFill>
    </fill>
    <fill>
      <patternFill patternType="solid">
        <fgColor rgb="FFE2E7F0"/>
        <bgColor rgb="FFE3E8F0"/>
      </patternFill>
    </fill>
    <fill>
      <patternFill patternType="solid">
        <fgColor rgb="FFF5F5F5"/>
        <bgColor rgb="FFF2F2F2"/>
      </patternFill>
    </fill>
    <fill>
      <patternFill patternType="solid">
        <fgColor rgb="FFEAEDF2"/>
        <bgColor rgb="FFE8ECF1"/>
      </patternFill>
    </fill>
    <fill>
      <patternFill patternType="solid">
        <fgColor rgb="FF1E2C44"/>
        <bgColor rgb="FF2D2D2D"/>
      </patternFill>
    </fill>
    <fill>
      <patternFill patternType="solid">
        <fgColor rgb="FFD6DCE4"/>
        <bgColor rgb="FFE0E0E0"/>
      </patternFill>
    </fill>
    <fill>
      <patternFill patternType="solid">
        <fgColor rgb="FFDCE6F1"/>
        <bgColor rgb="FFDDE3ED"/>
      </patternFill>
    </fill>
    <fill>
      <patternFill patternType="solid">
        <fgColor rgb="FFFCE4D6"/>
        <bgColor rgb="FFFBE9E0"/>
      </patternFill>
    </fill>
    <fill>
      <patternFill patternType="solid">
        <fgColor rgb="FF4A8B8C"/>
        <bgColor rgb="FF5E7B9B"/>
      </patternFill>
    </fill>
    <fill>
      <patternFill patternType="solid">
        <fgColor rgb="FF7B9464"/>
        <bgColor rgb="FF888888"/>
      </patternFill>
    </fill>
    <fill>
      <patternFill patternType="solid">
        <fgColor rgb="FFE2EFDA"/>
        <bgColor rgb="FFD4EDDA"/>
      </patternFill>
    </fill>
    <fill>
      <patternFill patternType="solid">
        <fgColor rgb="FF5E7B9B"/>
        <bgColor rgb="FF4A8B8C"/>
      </patternFill>
    </fill>
    <fill>
      <patternFill patternType="solid">
        <fgColor rgb="FFF2F2F2"/>
        <bgColor rgb="FFF5F5F5"/>
      </patternFill>
    </fill>
    <fill>
      <patternFill patternType="solid">
        <fgColor rgb="FF8EA3BE"/>
        <bgColor rgb="FF999999"/>
      </patternFill>
    </fill>
    <fill>
      <patternFill patternType="solid">
        <fgColor rgb="FFFDEBD0"/>
        <bgColor rgb="FFFBE9E0"/>
      </patternFill>
    </fill>
    <fill>
      <patternFill patternType="solid">
        <fgColor rgb="FF2E75B6"/>
        <bgColor rgb="FF4A8B8C"/>
      </patternFill>
    </fill>
    <fill>
      <patternFill patternType="solid">
        <fgColor rgb="FFD6E4F0"/>
        <bgColor rgb="FFDCE6F1"/>
      </patternFill>
    </fill>
    <fill>
      <patternFill patternType="solid">
        <fgColor rgb="FFFFF2CC"/>
        <bgColor rgb="FFFDEBD0"/>
      </patternFill>
    </fill>
    <fill>
      <patternFill patternType="solid">
        <fgColor rgb="FF1F3864"/>
        <bgColor rgb="FF2C3A51"/>
      </patternFill>
    </fill>
    <fill>
      <patternFill patternType="solid">
        <fgColor rgb="FF548235"/>
        <bgColor rgb="FF717F4B"/>
      </patternFill>
    </fill>
    <fill>
      <patternFill patternType="solid">
        <fgColor rgb="FF404040"/>
        <bgColor rgb="FF333333"/>
      </patternFill>
    </fill>
  </fills>
  <borders count="14">
    <border>
      <left/>
      <right/>
      <top/>
      <bottom/>
      <diagonal/>
    </border>
    <border>
      <left/>
      <right/>
      <top style="medium">
        <color rgb="FF2C3A51"/>
      </top>
      <bottom style="medium">
        <color rgb="FF2C3A5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rgb="FF2C3A51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rgb="FFB4C6E7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10" fillId="3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2" fillId="2" borderId="0" xfId="0" applyFont="1" applyFill="1"/>
    <xf numFmtId="0" fontId="8" fillId="4" borderId="0" xfId="0" applyFont="1" applyFill="1"/>
    <xf numFmtId="0" fontId="3" fillId="2" borderId="0" xfId="0" applyFont="1" applyFill="1"/>
    <xf numFmtId="164" fontId="3" fillId="2" borderId="0" xfId="0" applyNumberFormat="1" applyFont="1" applyFill="1" applyAlignment="1">
      <alignment horizontal="left"/>
    </xf>
    <xf numFmtId="0" fontId="13" fillId="5" borderId="1" xfId="0" applyFont="1" applyFill="1" applyBorder="1"/>
    <xf numFmtId="0" fontId="14" fillId="5" borderId="1" xfId="0" applyFont="1" applyFill="1" applyBorder="1"/>
    <xf numFmtId="164" fontId="15" fillId="5" borderId="1" xfId="0" applyNumberFormat="1" applyFont="1" applyFill="1" applyBorder="1"/>
    <xf numFmtId="0" fontId="6" fillId="5" borderId="1" xfId="0" applyFont="1" applyFill="1" applyBorder="1"/>
    <xf numFmtId="0" fontId="16" fillId="5" borderId="1" xfId="0" applyFont="1" applyFill="1" applyBorder="1"/>
    <xf numFmtId="164" fontId="6" fillId="5" borderId="1" xfId="0" applyNumberFormat="1" applyFont="1" applyFill="1" applyBorder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4" fontId="16" fillId="5" borderId="1" xfId="0" applyNumberFormat="1" applyFont="1" applyFill="1" applyBorder="1"/>
    <xf numFmtId="0" fontId="6" fillId="6" borderId="1" xfId="0" applyFont="1" applyFill="1" applyBorder="1"/>
    <xf numFmtId="164" fontId="6" fillId="6" borderId="1" xfId="0" applyNumberFormat="1" applyFont="1" applyFill="1" applyBorder="1"/>
    <xf numFmtId="165" fontId="7" fillId="2" borderId="0" xfId="0" applyNumberFormat="1" applyFont="1" applyFill="1"/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5" borderId="1" xfId="0" applyFont="1" applyFill="1" applyBorder="1"/>
    <xf numFmtId="0" fontId="4" fillId="6" borderId="1" xfId="0" applyFont="1" applyFill="1" applyBorder="1"/>
    <xf numFmtId="0" fontId="5" fillId="2" borderId="0" xfId="0" applyFont="1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3" fillId="7" borderId="0" xfId="0" applyFont="1" applyFill="1"/>
    <xf numFmtId="164" fontId="3" fillId="7" borderId="0" xfId="0" applyNumberFormat="1" applyFont="1" applyFill="1"/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horizontal="right"/>
    </xf>
    <xf numFmtId="0" fontId="6" fillId="8" borderId="3" xfId="0" applyFont="1" applyFill="1" applyBorder="1"/>
    <xf numFmtId="0" fontId="3" fillId="8" borderId="3" xfId="0" applyFont="1" applyFill="1" applyBorder="1"/>
    <xf numFmtId="164" fontId="6" fillId="8" borderId="3" xfId="0" applyNumberFormat="1" applyFont="1" applyFill="1" applyBorder="1" applyAlignment="1">
      <alignment horizontal="right"/>
    </xf>
    <xf numFmtId="0" fontId="3" fillId="5" borderId="0" xfId="0" applyFont="1" applyFill="1"/>
    <xf numFmtId="164" fontId="3" fillId="5" borderId="0" xfId="0" applyNumberFormat="1" applyFont="1" applyFill="1" applyAlignment="1">
      <alignment horizontal="right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/>
    </xf>
    <xf numFmtId="0" fontId="6" fillId="8" borderId="2" xfId="0" applyFont="1" applyFill="1" applyBorder="1"/>
    <xf numFmtId="0" fontId="3" fillId="8" borderId="2" xfId="0" applyFont="1" applyFill="1" applyBorder="1"/>
    <xf numFmtId="164" fontId="6" fillId="8" borderId="2" xfId="0" applyNumberFormat="1" applyFont="1" applyFill="1" applyBorder="1" applyAlignment="1">
      <alignment horizontal="right"/>
    </xf>
    <xf numFmtId="0" fontId="6" fillId="7" borderId="0" xfId="0" applyFont="1" applyFill="1"/>
    <xf numFmtId="164" fontId="6" fillId="7" borderId="0" xfId="0" applyNumberFormat="1" applyFont="1" applyFill="1" applyAlignment="1">
      <alignment horizontal="right"/>
    </xf>
    <xf numFmtId="0" fontId="6" fillId="9" borderId="1" xfId="0" applyFont="1" applyFill="1" applyBorder="1"/>
    <xf numFmtId="164" fontId="6" fillId="9" borderId="1" xfId="0" applyNumberFormat="1" applyFont="1" applyFill="1" applyBorder="1"/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5" fillId="0" borderId="0" xfId="0" applyFont="1"/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18" fillId="0" borderId="0" xfId="0" applyNumberFormat="1" applyFont="1"/>
    <xf numFmtId="167" fontId="18" fillId="0" borderId="0" xfId="0" applyNumberFormat="1" applyFont="1"/>
    <xf numFmtId="166" fontId="16" fillId="0" borderId="0" xfId="0" applyNumberFormat="1" applyFont="1"/>
    <xf numFmtId="0" fontId="5" fillId="0" borderId="0" xfId="0" applyFont="1" applyAlignment="1">
      <alignment horizontal="left" vertical="center"/>
    </xf>
    <xf numFmtId="166" fontId="22" fillId="0" borderId="0" xfId="0" applyNumberFormat="1" applyFont="1" applyAlignment="1">
      <alignment horizontal="right" vertical="center"/>
    </xf>
    <xf numFmtId="0" fontId="23" fillId="7" borderId="0" xfId="0" applyFont="1" applyFill="1"/>
    <xf numFmtId="164" fontId="23" fillId="7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0" fontId="24" fillId="2" borderId="0" xfId="0" applyFont="1" applyFill="1"/>
    <xf numFmtId="164" fontId="24" fillId="2" borderId="0" xfId="0" applyNumberFormat="1" applyFont="1" applyFill="1"/>
    <xf numFmtId="0" fontId="25" fillId="5" borderId="1" xfId="0" applyFont="1" applyFill="1" applyBorder="1"/>
    <xf numFmtId="164" fontId="25" fillId="5" borderId="1" xfId="0" applyNumberFormat="1" applyFont="1" applyFill="1" applyBorder="1"/>
    <xf numFmtId="0" fontId="23" fillId="5" borderId="1" xfId="0" applyFont="1" applyFill="1" applyBorder="1"/>
    <xf numFmtId="164" fontId="23" fillId="5" borderId="1" xfId="0" applyNumberFormat="1" applyFont="1" applyFill="1" applyBorder="1"/>
    <xf numFmtId="164" fontId="26" fillId="2" borderId="0" xfId="0" applyNumberFormat="1" applyFont="1" applyFill="1"/>
    <xf numFmtId="165" fontId="3" fillId="2" borderId="0" xfId="0" applyNumberFormat="1" applyFont="1" applyFill="1"/>
    <xf numFmtId="164" fontId="18" fillId="2" borderId="0" xfId="0" applyNumberFormat="1" applyFont="1" applyFill="1"/>
    <xf numFmtId="0" fontId="3" fillId="9" borderId="1" xfId="0" applyFont="1" applyFill="1" applyBorder="1"/>
    <xf numFmtId="164" fontId="3" fillId="9" borderId="1" xfId="0" applyNumberFormat="1" applyFont="1" applyFill="1" applyBorder="1"/>
    <xf numFmtId="0" fontId="6" fillId="2" borderId="0" xfId="0" applyFont="1" applyFill="1"/>
    <xf numFmtId="164" fontId="6" fillId="2" borderId="0" xfId="0" applyNumberFormat="1" applyFont="1" applyFill="1"/>
    <xf numFmtId="0" fontId="27" fillId="3" borderId="0" xfId="0" applyFont="1" applyFill="1" applyAlignment="1">
      <alignment horizontal="center"/>
    </xf>
    <xf numFmtId="164" fontId="28" fillId="2" borderId="0" xfId="0" applyNumberFormat="1" applyFont="1" applyFill="1"/>
    <xf numFmtId="164" fontId="29" fillId="2" borderId="0" xfId="0" applyNumberFormat="1" applyFont="1" applyFill="1"/>
    <xf numFmtId="0" fontId="6" fillId="5" borderId="5" xfId="0" applyFont="1" applyFill="1" applyBorder="1"/>
    <xf numFmtId="164" fontId="28" fillId="5" borderId="5" xfId="0" applyNumberFormat="1" applyFont="1" applyFill="1" applyBorder="1"/>
    <xf numFmtId="164" fontId="23" fillId="6" borderId="1" xfId="0" applyNumberFormat="1" applyFont="1" applyFill="1" applyBorder="1"/>
    <xf numFmtId="165" fontId="23" fillId="2" borderId="0" xfId="0" applyNumberFormat="1" applyFont="1" applyFill="1"/>
    <xf numFmtId="0" fontId="30" fillId="0" borderId="0" xfId="0" applyFont="1"/>
    <xf numFmtId="168" fontId="3" fillId="2" borderId="0" xfId="0" applyNumberFormat="1" applyFont="1" applyFill="1"/>
    <xf numFmtId="0" fontId="1" fillId="0" borderId="0" xfId="0" applyFont="1"/>
    <xf numFmtId="0" fontId="31" fillId="0" borderId="0" xfId="0" applyFont="1"/>
    <xf numFmtId="169" fontId="27" fillId="3" borderId="6" xfId="0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9" fillId="0" borderId="0" xfId="0" applyFont="1"/>
    <xf numFmtId="170" fontId="3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16" fillId="0" borderId="0" xfId="0" applyFont="1"/>
    <xf numFmtId="170" fontId="16" fillId="0" borderId="0" xfId="0" applyNumberFormat="1" applyFont="1" applyAlignment="1">
      <alignment horizontal="right"/>
    </xf>
    <xf numFmtId="170" fontId="33" fillId="0" borderId="0" xfId="0" applyNumberFormat="1" applyFont="1"/>
    <xf numFmtId="164" fontId="33" fillId="0" borderId="0" xfId="0" applyNumberFormat="1" applyFont="1" applyAlignment="1">
      <alignment horizontal="right"/>
    </xf>
    <xf numFmtId="0" fontId="34" fillId="0" borderId="0" xfId="0" applyFont="1"/>
    <xf numFmtId="170" fontId="16" fillId="0" borderId="0" xfId="0" applyNumberFormat="1" applyFont="1"/>
    <xf numFmtId="170" fontId="4" fillId="0" borderId="0" xfId="0" applyNumberFormat="1" applyFont="1"/>
    <xf numFmtId="0" fontId="27" fillId="3" borderId="6" xfId="0" applyFont="1" applyFill="1" applyBorder="1" applyAlignment="1">
      <alignment horizontal="center"/>
    </xf>
    <xf numFmtId="0" fontId="27" fillId="10" borderId="6" xfId="0" applyFont="1" applyFill="1" applyBorder="1" applyAlignment="1">
      <alignment horizontal="center"/>
    </xf>
    <xf numFmtId="0" fontId="18" fillId="0" borderId="6" xfId="0" applyFont="1" applyBorder="1"/>
    <xf numFmtId="170" fontId="35" fillId="0" borderId="6" xfId="0" applyNumberFormat="1" applyFont="1" applyBorder="1" applyAlignment="1">
      <alignment horizontal="right"/>
    </xf>
    <xf numFmtId="170" fontId="18" fillId="0" borderId="6" xfId="0" applyNumberFormat="1" applyFont="1" applyBorder="1" applyAlignment="1">
      <alignment horizontal="right"/>
    </xf>
    <xf numFmtId="170" fontId="18" fillId="0" borderId="6" xfId="0" applyNumberFormat="1" applyFont="1" applyBorder="1"/>
    <xf numFmtId="170" fontId="19" fillId="0" borderId="6" xfId="0" applyNumberFormat="1" applyFont="1" applyBorder="1"/>
    <xf numFmtId="0" fontId="16" fillId="11" borderId="6" xfId="0" applyFont="1" applyFill="1" applyBorder="1"/>
    <xf numFmtId="170" fontId="16" fillId="11" borderId="6" xfId="0" applyNumberFormat="1" applyFont="1" applyFill="1" applyBorder="1" applyAlignment="1">
      <alignment horizontal="right"/>
    </xf>
    <xf numFmtId="0" fontId="27" fillId="3" borderId="6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166" fontId="36" fillId="0" borderId="6" xfId="0" applyNumberFormat="1" applyFont="1" applyBorder="1" applyAlignment="1">
      <alignment horizontal="right" vertical="center"/>
    </xf>
    <xf numFmtId="166" fontId="19" fillId="0" borderId="6" xfId="0" applyNumberFormat="1" applyFont="1" applyBorder="1" applyAlignment="1">
      <alignment horizontal="right" vertical="center"/>
    </xf>
    <xf numFmtId="172" fontId="3" fillId="0" borderId="3" xfId="0" applyNumberFormat="1" applyFont="1" applyBorder="1" applyAlignment="1">
      <alignment horizontal="left" vertical="center"/>
    </xf>
    <xf numFmtId="166" fontId="16" fillId="0" borderId="6" xfId="0" applyNumberFormat="1" applyFont="1" applyBorder="1" applyAlignment="1">
      <alignment horizontal="right" vertical="center"/>
    </xf>
    <xf numFmtId="167" fontId="36" fillId="0" borderId="6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left" vertical="center"/>
    </xf>
    <xf numFmtId="0" fontId="19" fillId="12" borderId="6" xfId="0" applyFont="1" applyFill="1" applyBorder="1" applyAlignment="1">
      <alignment horizontal="left" vertical="center"/>
    </xf>
    <xf numFmtId="166" fontId="36" fillId="12" borderId="6" xfId="0" applyNumberFormat="1" applyFont="1" applyFill="1" applyBorder="1" applyAlignment="1">
      <alignment horizontal="right" vertical="center"/>
    </xf>
    <xf numFmtId="166" fontId="19" fillId="12" borderId="6" xfId="0" applyNumberFormat="1" applyFont="1" applyFill="1" applyBorder="1" applyAlignment="1">
      <alignment horizontal="right" vertical="center"/>
    </xf>
    <xf numFmtId="172" fontId="3" fillId="12" borderId="3" xfId="0" applyNumberFormat="1" applyFont="1" applyFill="1" applyBorder="1" applyAlignment="1">
      <alignment horizontal="left" vertical="center"/>
    </xf>
    <xf numFmtId="166" fontId="16" fillId="12" borderId="6" xfId="0" applyNumberFormat="1" applyFont="1" applyFill="1" applyBorder="1" applyAlignment="1">
      <alignment horizontal="right" vertical="center"/>
    </xf>
    <xf numFmtId="167" fontId="36" fillId="12" borderId="6" xfId="0" applyNumberFormat="1" applyFont="1" applyFill="1" applyBorder="1" applyAlignment="1">
      <alignment horizontal="right" vertical="center"/>
    </xf>
    <xf numFmtId="166" fontId="16" fillId="11" borderId="6" xfId="0" applyNumberFormat="1" applyFont="1" applyFill="1" applyBorder="1" applyAlignment="1">
      <alignment horizontal="right"/>
    </xf>
    <xf numFmtId="172" fontId="4" fillId="11" borderId="3" xfId="0" applyNumberFormat="1" applyFont="1" applyFill="1" applyBorder="1" applyAlignment="1">
      <alignment horizontal="right" vertical="center"/>
    </xf>
    <xf numFmtId="167" fontId="16" fillId="11" borderId="6" xfId="0" applyNumberFormat="1" applyFont="1" applyFill="1" applyBorder="1" applyAlignment="1">
      <alignment horizontal="right"/>
    </xf>
    <xf numFmtId="172" fontId="16" fillId="11" borderId="3" xfId="0" applyNumberFormat="1" applyFont="1" applyFill="1" applyBorder="1" applyAlignment="1">
      <alignment horizontal="right" vertical="center"/>
    </xf>
    <xf numFmtId="9" fontId="16" fillId="11" borderId="3" xfId="0" applyNumberFormat="1" applyFont="1" applyFill="1" applyBorder="1" applyAlignment="1">
      <alignment horizontal="right" vertical="center"/>
    </xf>
    <xf numFmtId="0" fontId="32" fillId="0" borderId="6" xfId="0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 applyAlignment="1">
      <alignment horizontal="right"/>
    </xf>
    <xf numFmtId="164" fontId="33" fillId="13" borderId="0" xfId="0" applyNumberFormat="1" applyFont="1" applyFill="1"/>
    <xf numFmtId="164" fontId="33" fillId="13" borderId="0" xfId="0" applyNumberFormat="1" applyFont="1" applyFill="1" applyAlignment="1">
      <alignment horizontal="right"/>
    </xf>
    <xf numFmtId="164" fontId="18" fillId="13" borderId="0" xfId="0" applyNumberFormat="1" applyFont="1" applyFill="1" applyAlignment="1">
      <alignment horizontal="right"/>
    </xf>
    <xf numFmtId="164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4" fillId="0" borderId="0" xfId="0" applyNumberFormat="1" applyFont="1"/>
    <xf numFmtId="0" fontId="2" fillId="0" borderId="0" xfId="0" applyFont="1"/>
    <xf numFmtId="168" fontId="33" fillId="0" borderId="0" xfId="0" applyNumberFormat="1" applyFont="1"/>
    <xf numFmtId="0" fontId="33" fillId="0" borderId="0" xfId="0" applyFont="1"/>
    <xf numFmtId="10" fontId="22" fillId="0" borderId="0" xfId="0" applyNumberFormat="1" applyFont="1"/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27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left" vertical="center"/>
    </xf>
    <xf numFmtId="173" fontId="37" fillId="0" borderId="6" xfId="0" applyNumberFormat="1" applyFont="1" applyBorder="1" applyAlignment="1">
      <alignment horizontal="right" vertical="center"/>
    </xf>
    <xf numFmtId="1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10" fontId="37" fillId="0" borderId="6" xfId="0" applyNumberFormat="1" applyFont="1" applyBorder="1" applyAlignment="1">
      <alignment horizontal="right" vertical="center"/>
    </xf>
    <xf numFmtId="0" fontId="37" fillId="12" borderId="6" xfId="0" applyFont="1" applyFill="1" applyBorder="1" applyAlignment="1">
      <alignment horizontal="left" vertical="center"/>
    </xf>
    <xf numFmtId="173" fontId="37" fillId="12" borderId="6" xfId="0" applyNumberFormat="1" applyFont="1" applyFill="1" applyBorder="1" applyAlignment="1">
      <alignment horizontal="right" vertical="center"/>
    </xf>
    <xf numFmtId="1" fontId="37" fillId="12" borderId="6" xfId="0" applyNumberFormat="1" applyFont="1" applyFill="1" applyBorder="1" applyAlignment="1">
      <alignment horizontal="center" vertical="center"/>
    </xf>
    <xf numFmtId="0" fontId="37" fillId="12" borderId="6" xfId="0" applyFont="1" applyFill="1" applyBorder="1" applyAlignment="1">
      <alignment horizontal="center" vertical="center"/>
    </xf>
    <xf numFmtId="10" fontId="37" fillId="12" borderId="6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173" fontId="37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0" fontId="37" fillId="0" borderId="0" xfId="0" applyNumberFormat="1" applyFont="1" applyAlignment="1">
      <alignment horizontal="right" vertical="center"/>
    </xf>
    <xf numFmtId="0" fontId="16" fillId="11" borderId="6" xfId="0" applyFont="1" applyFill="1" applyBorder="1" applyAlignment="1">
      <alignment horizontal="left" vertical="center"/>
    </xf>
    <xf numFmtId="0" fontId="16" fillId="11" borderId="6" xfId="0" applyFont="1" applyFill="1" applyBorder="1" applyAlignment="1">
      <alignment horizontal="center" vertical="center"/>
    </xf>
    <xf numFmtId="173" fontId="16" fillId="11" borderId="6" xfId="0" applyNumberFormat="1" applyFont="1" applyFill="1" applyBorder="1" applyAlignment="1">
      <alignment horizontal="center" vertical="center"/>
    </xf>
    <xf numFmtId="1" fontId="16" fillId="11" borderId="6" xfId="0" applyNumberFormat="1" applyFont="1" applyFill="1" applyBorder="1" applyAlignment="1">
      <alignment horizontal="center" vertical="center"/>
    </xf>
    <xf numFmtId="10" fontId="16" fillId="11" borderId="6" xfId="0" applyNumberFormat="1" applyFont="1" applyFill="1" applyBorder="1" applyAlignment="1">
      <alignment horizontal="center" vertical="center"/>
    </xf>
    <xf numFmtId="0" fontId="38" fillId="0" borderId="0" xfId="0" applyFont="1"/>
    <xf numFmtId="3" fontId="18" fillId="0" borderId="0" xfId="0" applyNumberFormat="1" applyFont="1"/>
    <xf numFmtId="168" fontId="18" fillId="0" borderId="0" xfId="0" applyNumberFormat="1" applyFont="1"/>
    <xf numFmtId="168" fontId="19" fillId="0" borderId="0" xfId="0" applyNumberFormat="1" applyFont="1"/>
    <xf numFmtId="0" fontId="39" fillId="15" borderId="0" xfId="0" applyFont="1" applyFill="1"/>
    <xf numFmtId="0" fontId="19" fillId="16" borderId="2" xfId="0" applyFont="1" applyFill="1" applyBorder="1"/>
    <xf numFmtId="168" fontId="19" fillId="17" borderId="2" xfId="0" applyNumberFormat="1" applyFont="1" applyFill="1" applyBorder="1"/>
    <xf numFmtId="0" fontId="19" fillId="16" borderId="9" xfId="0" applyFont="1" applyFill="1" applyBorder="1"/>
    <xf numFmtId="168" fontId="19" fillId="17" borderId="9" xfId="0" applyNumberFormat="1" applyFont="1" applyFill="1" applyBorder="1"/>
    <xf numFmtId="0" fontId="19" fillId="16" borderId="0" xfId="0" applyFont="1" applyFill="1"/>
    <xf numFmtId="0" fontId="40" fillId="0" borderId="0" xfId="0" applyFont="1"/>
    <xf numFmtId="3" fontId="19" fillId="16" borderId="0" xfId="0" applyNumberFormat="1" applyFont="1" applyFill="1"/>
    <xf numFmtId="168" fontId="19" fillId="16" borderId="0" xfId="0" applyNumberFormat="1" applyFont="1" applyFill="1"/>
    <xf numFmtId="0" fontId="19" fillId="20" borderId="0" xfId="0" applyFont="1" applyFill="1"/>
    <xf numFmtId="0" fontId="41" fillId="0" borderId="0" xfId="0" applyFont="1"/>
    <xf numFmtId="168" fontId="19" fillId="20" borderId="0" xfId="0" applyNumberFormat="1" applyFont="1" applyFill="1"/>
    <xf numFmtId="0" fontId="19" fillId="22" borderId="0" xfId="0" applyFont="1" applyFill="1"/>
    <xf numFmtId="168" fontId="19" fillId="22" borderId="0" xfId="0" applyNumberFormat="1" applyFont="1" applyFill="1"/>
    <xf numFmtId="0" fontId="19" fillId="17" borderId="0" xfId="0" applyFont="1" applyFill="1"/>
    <xf numFmtId="168" fontId="19" fillId="17" borderId="0" xfId="0" applyNumberFormat="1" applyFont="1" applyFill="1"/>
    <xf numFmtId="0" fontId="20" fillId="0" borderId="0" xfId="0" applyFont="1"/>
    <xf numFmtId="174" fontId="18" fillId="0" borderId="0" xfId="0" applyNumberFormat="1" applyFont="1"/>
    <xf numFmtId="0" fontId="27" fillId="3" borderId="0" xfId="0" applyFont="1" applyFill="1"/>
    <xf numFmtId="0" fontId="36" fillId="0" borderId="0" xfId="0" applyFont="1"/>
    <xf numFmtId="168" fontId="6" fillId="0" borderId="0" xfId="0" applyNumberFormat="1" applyFont="1"/>
    <xf numFmtId="168" fontId="3" fillId="0" borderId="0" xfId="0" applyNumberFormat="1" applyFont="1"/>
    <xf numFmtId="168" fontId="36" fillId="0" borderId="0" xfId="0" applyNumberFormat="1" applyFont="1"/>
    <xf numFmtId="168" fontId="42" fillId="2" borderId="0" xfId="0" applyNumberFormat="1" applyFont="1" applyFill="1"/>
    <xf numFmtId="168" fontId="16" fillId="5" borderId="1" xfId="0" applyNumberFormat="1" applyFont="1" applyFill="1" applyBorder="1"/>
    <xf numFmtId="168" fontId="16" fillId="2" borderId="0" xfId="0" applyNumberFormat="1" applyFont="1" applyFill="1"/>
    <xf numFmtId="0" fontId="43" fillId="2" borderId="0" xfId="0" applyFont="1" applyFill="1"/>
    <xf numFmtId="168" fontId="43" fillId="2" borderId="0" xfId="0" applyNumberFormat="1" applyFont="1" applyFill="1"/>
    <xf numFmtId="17" fontId="22" fillId="2" borderId="0" xfId="0" applyNumberFormat="1" applyFont="1" applyFill="1"/>
    <xf numFmtId="0" fontId="44" fillId="2" borderId="0" xfId="0" applyFont="1" applyFill="1"/>
    <xf numFmtId="17" fontId="16" fillId="2" borderId="0" xfId="0" applyNumberFormat="1" applyFont="1" applyFill="1"/>
    <xf numFmtId="10" fontId="42" fillId="2" borderId="0" xfId="0" applyNumberFormat="1" applyFont="1" applyFill="1"/>
    <xf numFmtId="10" fontId="33" fillId="24" borderId="0" xfId="0" applyNumberFormat="1" applyFont="1" applyFill="1"/>
    <xf numFmtId="10" fontId="22" fillId="2" borderId="0" xfId="0" applyNumberFormat="1" applyFont="1" applyFill="1"/>
    <xf numFmtId="168" fontId="33" fillId="24" borderId="0" xfId="0" applyNumberFormat="1" applyFont="1" applyFill="1"/>
    <xf numFmtId="168" fontId="22" fillId="2" borderId="0" xfId="0" applyNumberFormat="1" applyFont="1" applyFill="1"/>
    <xf numFmtId="3" fontId="33" fillId="2" borderId="0" xfId="0" applyNumberFormat="1" applyFont="1" applyFill="1"/>
    <xf numFmtId="3" fontId="33" fillId="24" borderId="0" xfId="0" applyNumberFormat="1" applyFont="1" applyFill="1"/>
    <xf numFmtId="3" fontId="22" fillId="2" borderId="0" xfId="0" applyNumberFormat="1" applyFont="1" applyFill="1"/>
    <xf numFmtId="168" fontId="33" fillId="2" borderId="0" xfId="0" applyNumberFormat="1" applyFont="1" applyFill="1"/>
    <xf numFmtId="0" fontId="42" fillId="2" borderId="0" xfId="0" applyFont="1" applyFill="1"/>
    <xf numFmtId="168" fontId="4" fillId="6" borderId="1" xfId="0" applyNumberFormat="1" applyFont="1" applyFill="1" applyBorder="1"/>
    <xf numFmtId="0" fontId="16" fillId="9" borderId="1" xfId="0" applyFont="1" applyFill="1" applyBorder="1"/>
    <xf numFmtId="168" fontId="16" fillId="9" borderId="1" xfId="0" applyNumberFormat="1" applyFont="1" applyFill="1" applyBorder="1"/>
    <xf numFmtId="10" fontId="2" fillId="2" borderId="0" xfId="0" applyNumberFormat="1" applyFont="1" applyFill="1"/>
    <xf numFmtId="168" fontId="16" fillId="24" borderId="0" xfId="0" applyNumberFormat="1" applyFont="1" applyFill="1"/>
    <xf numFmtId="168" fontId="33" fillId="9" borderId="1" xfId="0" applyNumberFormat="1" applyFont="1" applyFill="1" applyBorder="1"/>
    <xf numFmtId="168" fontId="22" fillId="9" borderId="1" xfId="0" applyNumberFormat="1" applyFont="1" applyFill="1" applyBorder="1"/>
    <xf numFmtId="10" fontId="33" fillId="2" borderId="0" xfId="0" applyNumberFormat="1" applyFont="1" applyFill="1"/>
    <xf numFmtId="0" fontId="33" fillId="2" borderId="0" xfId="0" applyFont="1" applyFill="1"/>
    <xf numFmtId="0" fontId="22" fillId="2" borderId="0" xfId="0" applyFont="1" applyFill="1"/>
    <xf numFmtId="168" fontId="4" fillId="2" borderId="0" xfId="0" applyNumberFormat="1" applyFont="1" applyFill="1"/>
    <xf numFmtId="10" fontId="33" fillId="0" borderId="0" xfId="0" applyNumberFormat="1" applyFont="1"/>
    <xf numFmtId="0" fontId="33" fillId="24" borderId="0" xfId="0" applyFont="1" applyFill="1"/>
    <xf numFmtId="0" fontId="45" fillId="0" borderId="0" xfId="0" applyFont="1"/>
    <xf numFmtId="168" fontId="22" fillId="0" borderId="0" xfId="0" applyNumberFormat="1" applyFont="1"/>
    <xf numFmtId="0" fontId="18" fillId="4" borderId="0" xfId="0" applyFont="1" applyFill="1"/>
    <xf numFmtId="4" fontId="18" fillId="0" borderId="0" xfId="0" applyNumberFormat="1" applyFont="1"/>
    <xf numFmtId="0" fontId="27" fillId="25" borderId="0" xfId="0" applyFont="1" applyFill="1"/>
    <xf numFmtId="0" fontId="18" fillId="26" borderId="10" xfId="0" applyFont="1" applyFill="1" applyBorder="1"/>
    <xf numFmtId="168" fontId="18" fillId="26" borderId="10" xfId="0" applyNumberFormat="1" applyFont="1" applyFill="1" applyBorder="1" applyAlignment="1">
      <alignment horizontal="right"/>
    </xf>
    <xf numFmtId="0" fontId="18" fillId="7" borderId="10" xfId="0" applyFont="1" applyFill="1" applyBorder="1"/>
    <xf numFmtId="168" fontId="18" fillId="7" borderId="10" xfId="0" applyNumberFormat="1" applyFont="1" applyFill="1" applyBorder="1" applyAlignment="1">
      <alignment horizontal="right"/>
    </xf>
    <xf numFmtId="3" fontId="18" fillId="26" borderId="10" xfId="0" applyNumberFormat="1" applyFont="1" applyFill="1" applyBorder="1" applyAlignment="1">
      <alignment horizontal="right"/>
    </xf>
    <xf numFmtId="0" fontId="22" fillId="0" borderId="0" xfId="0" applyFont="1"/>
    <xf numFmtId="0" fontId="22" fillId="27" borderId="0" xfId="0" applyFont="1" applyFill="1" applyAlignment="1">
      <alignment horizontal="right"/>
    </xf>
    <xf numFmtId="0" fontId="22" fillId="0" borderId="3" xfId="0" applyFont="1" applyBorder="1" applyAlignment="1">
      <alignment horizontal="left" vertical="center"/>
    </xf>
    <xf numFmtId="172" fontId="16" fillId="27" borderId="3" xfId="0" applyNumberFormat="1" applyFont="1" applyFill="1" applyBorder="1" applyAlignment="1">
      <alignment horizontal="right" vertical="center"/>
    </xf>
    <xf numFmtId="9" fontId="4" fillId="27" borderId="3" xfId="0" applyNumberFormat="1" applyFont="1" applyFill="1" applyBorder="1" applyAlignment="1">
      <alignment horizontal="center" vertical="center"/>
    </xf>
    <xf numFmtId="175" fontId="22" fillId="0" borderId="0" xfId="0" applyNumberFormat="1" applyFont="1"/>
    <xf numFmtId="168" fontId="16" fillId="0" borderId="0" xfId="0" applyNumberFormat="1" applyFont="1"/>
    <xf numFmtId="0" fontId="43" fillId="0" borderId="0" xfId="0" applyFont="1"/>
    <xf numFmtId="168" fontId="43" fillId="0" borderId="0" xfId="0" applyNumberFormat="1" applyFont="1"/>
    <xf numFmtId="0" fontId="39" fillId="0" borderId="0" xfId="0" applyFont="1"/>
    <xf numFmtId="0" fontId="46" fillId="0" borderId="0" xfId="0" applyFont="1"/>
    <xf numFmtId="168" fontId="19" fillId="0" borderId="11" xfId="0" applyNumberFormat="1" applyFont="1" applyBorder="1"/>
    <xf numFmtId="0" fontId="47" fillId="0" borderId="0" xfId="0" applyFont="1"/>
    <xf numFmtId="0" fontId="18" fillId="0" borderId="0" xfId="0" applyFont="1" applyAlignment="1">
      <alignment horizontal="center"/>
    </xf>
    <xf numFmtId="0" fontId="18" fillId="0" borderId="12" xfId="0" applyFont="1" applyBorder="1"/>
    <xf numFmtId="0" fontId="19" fillId="0" borderId="12" xfId="0" applyFont="1" applyBorder="1" applyAlignment="1">
      <alignment horizontal="center"/>
    </xf>
    <xf numFmtId="0" fontId="27" fillId="28" borderId="0" xfId="0" applyFont="1" applyFill="1"/>
    <xf numFmtId="168" fontId="27" fillId="28" borderId="0" xfId="0" applyNumberFormat="1" applyFont="1" applyFill="1"/>
    <xf numFmtId="0" fontId="18" fillId="26" borderId="0" xfId="0" applyFont="1" applyFill="1"/>
    <xf numFmtId="168" fontId="18" fillId="26" borderId="0" xfId="0" applyNumberFormat="1" applyFont="1" applyFill="1"/>
    <xf numFmtId="0" fontId="6" fillId="0" borderId="11" xfId="0" applyFont="1" applyBorder="1"/>
    <xf numFmtId="168" fontId="6" fillId="0" borderId="11" xfId="0" applyNumberFormat="1" applyFont="1" applyBorder="1"/>
    <xf numFmtId="168" fontId="27" fillId="25" borderId="0" xfId="0" applyNumberFormat="1" applyFont="1" applyFill="1"/>
    <xf numFmtId="0" fontId="18" fillId="16" borderId="0" xfId="0" applyFont="1" applyFill="1"/>
    <xf numFmtId="168" fontId="18" fillId="16" borderId="0" xfId="0" applyNumberFormat="1" applyFont="1" applyFill="1"/>
    <xf numFmtId="0" fontId="46" fillId="16" borderId="0" xfId="0" applyFont="1" applyFill="1"/>
    <xf numFmtId="168" fontId="46" fillId="16" borderId="0" xfId="0" applyNumberFormat="1" applyFont="1" applyFill="1"/>
    <xf numFmtId="0" fontId="27" fillId="29" borderId="11" xfId="0" applyFont="1" applyFill="1" applyBorder="1"/>
    <xf numFmtId="168" fontId="27" fillId="29" borderId="11" xfId="0" applyNumberFormat="1" applyFont="1" applyFill="1" applyBorder="1"/>
    <xf numFmtId="0" fontId="18" fillId="20" borderId="0" xfId="0" applyFont="1" applyFill="1"/>
    <xf numFmtId="168" fontId="18" fillId="20" borderId="0" xfId="0" applyNumberFormat="1" applyFont="1" applyFill="1"/>
    <xf numFmtId="0" fontId="18" fillId="29" borderId="0" xfId="0" applyFont="1" applyFill="1"/>
    <xf numFmtId="168" fontId="18" fillId="29" borderId="0" xfId="0" applyNumberFormat="1" applyFont="1" applyFill="1"/>
    <xf numFmtId="168" fontId="46" fillId="0" borderId="0" xfId="0" applyNumberFormat="1" applyFont="1"/>
    <xf numFmtId="0" fontId="27" fillId="30" borderId="0" xfId="0" applyFont="1" applyFill="1"/>
    <xf numFmtId="168" fontId="27" fillId="30" borderId="0" xfId="0" applyNumberFormat="1" applyFont="1" applyFill="1"/>
    <xf numFmtId="0" fontId="18" fillId="0" borderId="11" xfId="0" applyFont="1" applyBorder="1"/>
    <xf numFmtId="168" fontId="18" fillId="0" borderId="11" xfId="0" applyNumberFormat="1" applyFont="1" applyBorder="1"/>
    <xf numFmtId="0" fontId="18" fillId="30" borderId="0" xfId="0" applyFont="1" applyFill="1"/>
    <xf numFmtId="168" fontId="18" fillId="30" borderId="0" xfId="0" applyNumberFormat="1" applyFont="1" applyFill="1"/>
    <xf numFmtId="0" fontId="18" fillId="22" borderId="0" xfId="0" applyFont="1" applyFill="1"/>
    <xf numFmtId="168" fontId="18" fillId="22" borderId="0" xfId="0" applyNumberFormat="1" applyFont="1" applyFill="1"/>
    <xf numFmtId="0" fontId="46" fillId="22" borderId="0" xfId="0" applyFont="1" applyFill="1"/>
    <xf numFmtId="168" fontId="46" fillId="22" borderId="0" xfId="0" applyNumberFormat="1" applyFont="1" applyFill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0" applyFont="1"/>
    <xf numFmtId="10" fontId="51" fillId="0" borderId="0" xfId="0" applyNumberFormat="1" applyFont="1"/>
    <xf numFmtId="174" fontId="51" fillId="0" borderId="0" xfId="0" applyNumberFormat="1" applyFont="1"/>
    <xf numFmtId="1" fontId="53" fillId="3" borderId="0" xfId="0" applyNumberFormat="1" applyFont="1" applyFill="1" applyAlignment="1">
      <alignment horizontal="center" vertical="center" wrapText="1"/>
    </xf>
    <xf numFmtId="164" fontId="53" fillId="3" borderId="0" xfId="0" applyNumberFormat="1" applyFont="1" applyFill="1" applyAlignment="1">
      <alignment horizontal="center" vertical="center" wrapText="1"/>
    </xf>
    <xf numFmtId="9" fontId="53" fillId="3" borderId="0" xfId="0" applyNumberFormat="1" applyFont="1" applyFill="1" applyAlignment="1">
      <alignment horizontal="center" vertical="center" wrapText="1"/>
    </xf>
    <xf numFmtId="1" fontId="51" fillId="0" borderId="0" xfId="0" applyNumberFormat="1" applyFont="1"/>
    <xf numFmtId="164" fontId="51" fillId="0" borderId="0" xfId="0" applyNumberFormat="1" applyFont="1"/>
    <xf numFmtId="9" fontId="51" fillId="0" borderId="0" xfId="0" applyNumberFormat="1" applyFont="1"/>
    <xf numFmtId="0" fontId="54" fillId="0" borderId="0" xfId="0" applyFont="1"/>
    <xf numFmtId="0" fontId="53" fillId="3" borderId="0" xfId="0" applyFont="1" applyFill="1" applyAlignment="1">
      <alignment horizontal="center" vertical="center" wrapText="1"/>
    </xf>
    <xf numFmtId="0" fontId="55" fillId="0" borderId="0" xfId="0" applyFont="1"/>
    <xf numFmtId="0" fontId="56" fillId="2" borderId="0" xfId="0" applyFont="1" applyFill="1"/>
    <xf numFmtId="177" fontId="56" fillId="2" borderId="0" xfId="0" applyNumberFormat="1" applyFont="1" applyFill="1"/>
    <xf numFmtId="0" fontId="36" fillId="2" borderId="0" xfId="0" applyFont="1" applyFill="1"/>
    <xf numFmtId="0" fontId="57" fillId="3" borderId="0" xfId="0" applyFont="1" applyFill="1"/>
    <xf numFmtId="17" fontId="57" fillId="3" borderId="0" xfId="0" applyNumberFormat="1" applyFont="1" applyFill="1" applyAlignment="1">
      <alignment horizontal="center"/>
    </xf>
    <xf numFmtId="0" fontId="58" fillId="3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right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 wrapText="1"/>
    </xf>
    <xf numFmtId="0" fontId="58" fillId="4" borderId="0" xfId="0" applyFont="1" applyFill="1"/>
    <xf numFmtId="0" fontId="59" fillId="4" borderId="0" xfId="0" applyFont="1" applyFill="1" applyAlignment="1">
      <alignment horizontal="right"/>
    </xf>
    <xf numFmtId="164" fontId="58" fillId="4" borderId="0" xfId="0" applyNumberFormat="1" applyFont="1" applyFill="1" applyAlignment="1">
      <alignment horizontal="left"/>
    </xf>
    <xf numFmtId="164" fontId="58" fillId="4" borderId="0" xfId="0" applyNumberFormat="1" applyFont="1" applyFill="1"/>
    <xf numFmtId="164" fontId="59" fillId="4" borderId="0" xfId="0" applyNumberFormat="1" applyFont="1" applyFill="1" applyAlignment="1">
      <alignment horizontal="right"/>
    </xf>
    <xf numFmtId="0" fontId="57" fillId="4" borderId="0" xfId="0" applyFont="1" applyFill="1"/>
    <xf numFmtId="164" fontId="6" fillId="4" borderId="0" xfId="0" applyNumberFormat="1" applyFont="1" applyFill="1"/>
    <xf numFmtId="0" fontId="36" fillId="6" borderId="1" xfId="0" applyFont="1" applyFill="1" applyBorder="1"/>
    <xf numFmtId="0" fontId="57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center" wrapText="1"/>
    </xf>
    <xf numFmtId="0" fontId="16" fillId="3" borderId="0" xfId="0" applyFont="1" applyFill="1" applyAlignment="1">
      <alignment horizontal="center" wrapText="1"/>
    </xf>
    <xf numFmtId="164" fontId="6" fillId="3" borderId="0" xfId="0" applyNumberFormat="1" applyFont="1" applyFill="1"/>
    <xf numFmtId="0" fontId="57" fillId="3" borderId="4" xfId="0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64" fontId="6" fillId="7" borderId="0" xfId="0" applyNumberFormat="1" applyFont="1" applyFill="1" applyAlignment="1">
      <alignment horizontal="center" wrapText="1"/>
    </xf>
    <xf numFmtId="0" fontId="36" fillId="9" borderId="1" xfId="0" applyFont="1" applyFill="1" applyBorder="1"/>
    <xf numFmtId="164" fontId="3" fillId="0" borderId="0" xfId="0" applyNumberFormat="1" applyFont="1"/>
    <xf numFmtId="0" fontId="57" fillId="3" borderId="0" xfId="0" applyFont="1" applyFill="1" applyAlignment="1">
      <alignment horizontal="center"/>
    </xf>
    <xf numFmtId="164" fontId="36" fillId="2" borderId="0" xfId="0" applyNumberFormat="1" applyFont="1" applyFill="1"/>
    <xf numFmtId="164" fontId="57" fillId="4" borderId="0" xfId="0" applyNumberFormat="1" applyFont="1" applyFill="1"/>
    <xf numFmtId="0" fontId="60" fillId="4" borderId="0" xfId="0" applyFont="1" applyFill="1" applyAlignment="1">
      <alignment horizontal="center"/>
    </xf>
    <xf numFmtId="0" fontId="27" fillId="4" borderId="0" xfId="0" applyFont="1" applyFill="1" applyAlignment="1">
      <alignment horizontal="center"/>
    </xf>
    <xf numFmtId="164" fontId="17" fillId="7" borderId="0" xfId="0" applyNumberFormat="1" applyFont="1" applyFill="1"/>
    <xf numFmtId="170" fontId="36" fillId="0" borderId="0" xfId="0" applyNumberFormat="1" applyFont="1"/>
    <xf numFmtId="164" fontId="61" fillId="0" borderId="0" xfId="0" applyNumberFormat="1" applyFont="1"/>
    <xf numFmtId="170" fontId="61" fillId="0" borderId="0" xfId="0" applyNumberFormat="1" applyFont="1"/>
    <xf numFmtId="171" fontId="61" fillId="0" borderId="0" xfId="0" applyNumberFormat="1" applyFont="1"/>
    <xf numFmtId="0" fontId="61" fillId="0" borderId="0" xfId="0" applyFont="1"/>
    <xf numFmtId="164" fontId="36" fillId="13" borderId="0" xfId="0" applyNumberFormat="1" applyFont="1" applyFill="1"/>
    <xf numFmtId="164" fontId="36" fillId="0" borderId="0" xfId="0" applyNumberFormat="1" applyFont="1"/>
    <xf numFmtId="0" fontId="27" fillId="4" borderId="0" xfId="0" applyFont="1" applyFill="1"/>
    <xf numFmtId="0" fontId="27" fillId="14" borderId="0" xfId="0" applyFont="1" applyFill="1"/>
    <xf numFmtId="0" fontId="27" fillId="18" borderId="0" xfId="0" applyFont="1" applyFill="1"/>
    <xf numFmtId="0" fontId="27" fillId="19" borderId="0" xfId="0" applyFont="1" applyFill="1"/>
    <xf numFmtId="0" fontId="27" fillId="21" borderId="0" xfId="0" applyFont="1" applyFill="1"/>
    <xf numFmtId="0" fontId="27" fillId="10" borderId="0" xfId="0" applyFont="1" applyFill="1"/>
    <xf numFmtId="0" fontId="27" fillId="23" borderId="0" xfId="0" applyFont="1" applyFill="1"/>
    <xf numFmtId="0" fontId="57" fillId="4" borderId="0" xfId="0" applyFont="1" applyFill="1" applyAlignment="1">
      <alignment horizontal="center"/>
    </xf>
    <xf numFmtId="0" fontId="57" fillId="2" borderId="0" xfId="0" applyFont="1" applyFill="1"/>
    <xf numFmtId="10" fontId="57" fillId="2" borderId="0" xfId="0" applyNumberFormat="1" applyFont="1" applyFill="1" applyAlignment="1">
      <alignment horizontal="center"/>
    </xf>
    <xf numFmtId="0" fontId="57" fillId="0" borderId="0" xfId="0" applyFont="1"/>
    <xf numFmtId="0" fontId="27" fillId="3" borderId="0" xfId="0" applyFont="1" applyFill="1" applyAlignment="1">
      <alignment horizontal="left" vertical="center"/>
    </xf>
    <xf numFmtId="176" fontId="36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/>
    <xf numFmtId="0" fontId="27" fillId="3" borderId="7" xfId="0" applyFont="1" applyFill="1" applyBorder="1" applyAlignment="1">
      <alignment horizontal="center"/>
    </xf>
    <xf numFmtId="0" fontId="0" fillId="0" borderId="13" xfId="0" applyBorder="1"/>
    <xf numFmtId="0" fontId="27" fillId="10" borderId="7" xfId="0" applyFont="1" applyFill="1" applyBorder="1" applyAlignment="1">
      <alignment horizontal="center"/>
    </xf>
    <xf numFmtId="0" fontId="5" fillId="0" borderId="0" xfId="0" applyFont="1"/>
    <xf numFmtId="0" fontId="4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25"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ill>
        <patternFill>
          <bgColor rgb="FFF8D7DA"/>
        </patternFill>
      </fill>
    </dxf>
    <dxf>
      <fill>
        <patternFill>
          <bgColor rgb="FFD4EDDA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8ECF1"/>
      <rgbColor rgb="FF0000FF"/>
      <rgbColor rgb="FFFBE9E0"/>
      <rgbColor rgb="FFF2F2F2"/>
      <rgbColor rgb="FFE2E7F0"/>
      <rgbColor rgb="FF800000"/>
      <rgbColor rgb="FF008000"/>
      <rgbColor rgb="FF111E3D"/>
      <rgbColor rgb="FF717F4B"/>
      <rgbColor rgb="FFF8FAFC"/>
      <rgbColor rgb="FF475569"/>
      <rgbColor rgb="FFBFC7DA"/>
      <rgbColor rgb="FF888888"/>
      <rgbColor rgb="FF8EA3BE"/>
      <rgbColor rgb="FF666666"/>
      <rgbColor rgb="FFFFF2CC"/>
      <rgbColor rgb="FFE2EFDA"/>
      <rgbColor rgb="FF2C3A51"/>
      <rgbColor rgb="FFE8935A"/>
      <rgbColor rgb="FFEAEDF2"/>
      <rgbColor rgb="FFB4C6E7"/>
      <rgbColor rgb="FF1E2C44"/>
      <rgbColor rgb="FFF5F5F5"/>
      <rgbColor rgb="FFE0E0E0"/>
      <rgbColor rgb="FFE3E8F0"/>
      <rgbColor rgb="FF800080"/>
      <rgbColor rgb="FF800000"/>
      <rgbColor rgb="FF548235"/>
      <rgbColor rgb="FF0000FF"/>
      <rgbColor rgb="FFDDE3ED"/>
      <rgbColor rgb="FFDCE6F1"/>
      <rgbColor rgb="FFD4EDDA"/>
      <rgbColor rgb="FFFDEBD0"/>
      <rgbColor rgb="FFB8C7D8"/>
      <rgbColor rgb="FFD4845A"/>
      <rgbColor rgb="FFD6DCE4"/>
      <rgbColor rgb="FFF8D7DA"/>
      <rgbColor rgb="FF2E75B6"/>
      <rgbColor rgb="FFD6E4F0"/>
      <rgbColor rgb="FF7B9464"/>
      <rgbColor rgb="FFFCE4D6"/>
      <rgbColor rgb="FFE8A84C"/>
      <rgbColor rgb="FFC4581A"/>
      <rgbColor rgb="FF5E7B9B"/>
      <rgbColor rgb="FF999999"/>
      <rgbColor rgb="FF1F3864"/>
      <rgbColor rgb="FF4A8B8C"/>
      <rgbColor rgb="FF0B1833"/>
      <rgbColor rgb="FF2D2D2D"/>
      <rgbColor rgb="FF404040"/>
      <rgbColor rgb="FFEF4444"/>
      <rgbColor rgb="FF38486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B1833"/>
  </sheetPr>
  <dimension ref="A1:DF218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" sqref="E2"/>
    </sheetView>
  </sheetViews>
  <sheetFormatPr defaultColWidth="8.7109375" defaultRowHeight="15" customHeight="1" x14ac:dyDescent="0.25"/>
  <cols>
    <col min="1" max="1" width="38" customWidth="1"/>
    <col min="2" max="2" width="18" customWidth="1"/>
    <col min="3" max="99" width="14" customWidth="1"/>
    <col min="100" max="110" width="13" customWidth="1"/>
  </cols>
  <sheetData>
    <row r="1" spans="1:110" ht="17.25" customHeight="1" x14ac:dyDescent="0.3">
      <c r="A1" s="1" t="s">
        <v>52</v>
      </c>
      <c r="B1" s="195"/>
      <c r="C1" s="195"/>
      <c r="D1" s="195"/>
      <c r="E1" s="195"/>
      <c r="F1" s="195"/>
      <c r="G1" s="195"/>
      <c r="H1" s="195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2"/>
      <c r="CK1" s="302"/>
      <c r="CL1" s="302"/>
      <c r="CM1" s="302"/>
      <c r="CN1" s="302"/>
      <c r="CO1" s="302"/>
      <c r="CP1" s="302"/>
      <c r="CQ1" s="302"/>
      <c r="CR1" s="302"/>
      <c r="CS1" s="302"/>
      <c r="CT1" s="302"/>
      <c r="CU1" s="302"/>
      <c r="CV1" s="302"/>
      <c r="CW1" s="302"/>
      <c r="CX1" s="302"/>
      <c r="CY1" s="302"/>
      <c r="CZ1" s="302"/>
      <c r="DA1" s="302"/>
      <c r="DB1" s="302"/>
      <c r="DC1" s="302"/>
      <c r="DD1" s="302"/>
      <c r="DE1" s="302"/>
      <c r="DF1" s="302"/>
    </row>
    <row r="2" spans="1:110" ht="15" customHeight="1" x14ac:dyDescent="0.25">
      <c r="A2" s="303"/>
      <c r="B2" s="303"/>
      <c r="C2" s="304">
        <v>46023</v>
      </c>
      <c r="D2" s="304">
        <v>46054</v>
      </c>
      <c r="E2" s="304">
        <v>46082</v>
      </c>
      <c r="F2" s="304">
        <v>46113</v>
      </c>
      <c r="G2" s="304">
        <v>46143</v>
      </c>
      <c r="H2" s="304">
        <v>46174</v>
      </c>
      <c r="I2" s="304">
        <v>46204</v>
      </c>
      <c r="J2" s="304">
        <v>46235</v>
      </c>
      <c r="K2" s="304">
        <v>46266</v>
      </c>
      <c r="L2" s="304">
        <v>46296</v>
      </c>
      <c r="M2" s="304">
        <v>46327</v>
      </c>
      <c r="N2" s="304">
        <v>46357</v>
      </c>
      <c r="O2" s="304">
        <v>46388</v>
      </c>
      <c r="P2" s="304">
        <v>46419</v>
      </c>
      <c r="Q2" s="304">
        <v>46447</v>
      </c>
      <c r="R2" s="304">
        <v>46478</v>
      </c>
      <c r="S2" s="304">
        <v>46508</v>
      </c>
      <c r="T2" s="304">
        <v>46539</v>
      </c>
      <c r="U2" s="304">
        <v>46569</v>
      </c>
      <c r="V2" s="304">
        <v>46600</v>
      </c>
      <c r="W2" s="304">
        <v>46631</v>
      </c>
      <c r="X2" s="304">
        <v>46661</v>
      </c>
      <c r="Y2" s="304">
        <v>46692</v>
      </c>
      <c r="Z2" s="304">
        <v>46722</v>
      </c>
      <c r="AA2" s="304">
        <v>46753</v>
      </c>
      <c r="AB2" s="304">
        <v>46784</v>
      </c>
      <c r="AC2" s="304">
        <v>46813</v>
      </c>
      <c r="AD2" s="304">
        <v>46844</v>
      </c>
      <c r="AE2" s="304">
        <v>46874</v>
      </c>
      <c r="AF2" s="304">
        <v>46905</v>
      </c>
      <c r="AG2" s="304">
        <v>46935</v>
      </c>
      <c r="AH2" s="304">
        <v>46966</v>
      </c>
      <c r="AI2" s="304">
        <v>46997</v>
      </c>
      <c r="AJ2" s="304">
        <v>47027</v>
      </c>
      <c r="AK2" s="304">
        <v>47058</v>
      </c>
      <c r="AL2" s="304">
        <v>47088</v>
      </c>
      <c r="AM2" s="304">
        <v>47119</v>
      </c>
      <c r="AN2" s="304">
        <v>47150</v>
      </c>
      <c r="AO2" s="304">
        <v>47178</v>
      </c>
      <c r="AP2" s="304">
        <v>47209</v>
      </c>
      <c r="AQ2" s="304">
        <v>47239</v>
      </c>
      <c r="AR2" s="304">
        <v>47270</v>
      </c>
      <c r="AS2" s="304">
        <v>47300</v>
      </c>
      <c r="AT2" s="304">
        <v>47331</v>
      </c>
      <c r="AU2" s="304">
        <v>47362</v>
      </c>
      <c r="AV2" s="304">
        <v>47392</v>
      </c>
      <c r="AW2" s="304">
        <v>47423</v>
      </c>
      <c r="AX2" s="304">
        <v>47453</v>
      </c>
      <c r="AY2" s="304">
        <v>47484</v>
      </c>
      <c r="AZ2" s="304">
        <v>47515</v>
      </c>
      <c r="BA2" s="304">
        <v>47543</v>
      </c>
      <c r="BB2" s="304">
        <v>47574</v>
      </c>
      <c r="BC2" s="304">
        <v>47604</v>
      </c>
      <c r="BD2" s="304">
        <v>47635</v>
      </c>
      <c r="BE2" s="304">
        <v>47665</v>
      </c>
      <c r="BF2" s="304">
        <v>47696</v>
      </c>
      <c r="BG2" s="304">
        <v>47727</v>
      </c>
      <c r="BH2" s="304">
        <v>47757</v>
      </c>
      <c r="BI2" s="304">
        <v>47788</v>
      </c>
      <c r="BJ2" s="304">
        <v>47818</v>
      </c>
      <c r="BK2" s="304">
        <v>47849</v>
      </c>
      <c r="BL2" s="304">
        <v>47880</v>
      </c>
      <c r="BM2" s="304">
        <v>47908</v>
      </c>
      <c r="BN2" s="304">
        <v>47939</v>
      </c>
      <c r="BO2" s="304">
        <v>47969</v>
      </c>
      <c r="BP2" s="304">
        <v>48000</v>
      </c>
      <c r="BQ2" s="304">
        <v>48030</v>
      </c>
      <c r="BR2" s="304">
        <v>48061</v>
      </c>
      <c r="BS2" s="304">
        <v>48092</v>
      </c>
      <c r="BT2" s="304">
        <v>48122</v>
      </c>
      <c r="BU2" s="304">
        <v>48153</v>
      </c>
      <c r="BV2" s="304">
        <v>48183</v>
      </c>
      <c r="BW2" s="304">
        <v>48214</v>
      </c>
      <c r="BX2" s="304">
        <v>48245</v>
      </c>
      <c r="BY2" s="304">
        <v>48274</v>
      </c>
      <c r="BZ2" s="304">
        <v>48305</v>
      </c>
      <c r="CA2" s="304">
        <v>48335</v>
      </c>
      <c r="CB2" s="304">
        <v>48366</v>
      </c>
      <c r="CC2" s="304">
        <v>48396</v>
      </c>
      <c r="CD2" s="304">
        <v>48427</v>
      </c>
      <c r="CE2" s="304">
        <v>48458</v>
      </c>
      <c r="CF2" s="304">
        <v>48488</v>
      </c>
      <c r="CG2" s="304">
        <v>48519</v>
      </c>
      <c r="CH2" s="304">
        <v>48549</v>
      </c>
      <c r="CI2" s="304">
        <v>48580</v>
      </c>
      <c r="CJ2" s="304">
        <v>48611</v>
      </c>
      <c r="CK2" s="304">
        <v>48639</v>
      </c>
      <c r="CL2" s="304">
        <v>48670</v>
      </c>
      <c r="CM2" s="304">
        <v>48700</v>
      </c>
      <c r="CN2" s="304">
        <v>48731</v>
      </c>
      <c r="CO2" s="304">
        <v>48761</v>
      </c>
      <c r="CP2" s="304">
        <v>48792</v>
      </c>
      <c r="CQ2" s="304">
        <v>48823</v>
      </c>
      <c r="CR2" s="304">
        <v>48853</v>
      </c>
      <c r="CS2" s="304">
        <v>48884</v>
      </c>
      <c r="CT2" s="304">
        <v>48914</v>
      </c>
      <c r="CU2" s="304">
        <v>48945</v>
      </c>
      <c r="CV2" s="304">
        <v>48976</v>
      </c>
      <c r="CW2" s="304">
        <v>49004</v>
      </c>
      <c r="CX2" s="304">
        <v>49035</v>
      </c>
      <c r="CY2" s="304">
        <v>49065</v>
      </c>
      <c r="CZ2" s="304">
        <v>49096</v>
      </c>
      <c r="DA2" s="304">
        <v>49126</v>
      </c>
      <c r="DB2" s="304">
        <v>49157</v>
      </c>
      <c r="DC2" s="304">
        <v>49188</v>
      </c>
      <c r="DD2" s="304">
        <v>49218</v>
      </c>
      <c r="DE2" s="304">
        <v>49249</v>
      </c>
      <c r="DF2" s="304">
        <v>49279</v>
      </c>
    </row>
    <row r="3" spans="1:110" ht="15" hidden="1" customHeight="1" x14ac:dyDescent="0.25">
      <c r="A3" s="2" t="s">
        <v>53</v>
      </c>
      <c r="B3" s="302"/>
      <c r="C3" s="3">
        <v>-2</v>
      </c>
      <c r="D3" s="3">
        <v>-1</v>
      </c>
      <c r="E3" s="3">
        <v>0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3">
        <v>6</v>
      </c>
      <c r="L3" s="3">
        <v>7</v>
      </c>
      <c r="M3" s="3">
        <v>8</v>
      </c>
      <c r="N3" s="3">
        <v>9</v>
      </c>
      <c r="O3" s="3">
        <v>10</v>
      </c>
      <c r="P3" s="3">
        <v>11</v>
      </c>
      <c r="Q3" s="3">
        <v>12</v>
      </c>
      <c r="R3" s="3">
        <v>13</v>
      </c>
      <c r="S3" s="3">
        <v>14</v>
      </c>
      <c r="T3" s="3">
        <v>15</v>
      </c>
      <c r="U3" s="3">
        <v>16</v>
      </c>
      <c r="V3" s="3">
        <v>17</v>
      </c>
      <c r="W3" s="3">
        <v>18</v>
      </c>
      <c r="X3" s="3">
        <v>19</v>
      </c>
      <c r="Y3" s="3">
        <v>20</v>
      </c>
      <c r="Z3" s="3">
        <v>21</v>
      </c>
      <c r="AA3" s="3">
        <v>22</v>
      </c>
      <c r="AB3" s="3">
        <v>23</v>
      </c>
      <c r="AC3" s="3">
        <v>24</v>
      </c>
      <c r="AD3" s="3">
        <v>25</v>
      </c>
      <c r="AE3" s="3">
        <v>26</v>
      </c>
      <c r="AF3" s="3">
        <v>27</v>
      </c>
      <c r="AG3" s="3">
        <v>28</v>
      </c>
      <c r="AH3" s="3">
        <v>29</v>
      </c>
      <c r="AI3" s="3">
        <v>30</v>
      </c>
      <c r="AJ3" s="3">
        <v>31</v>
      </c>
      <c r="AK3" s="3">
        <v>32</v>
      </c>
      <c r="AL3" s="3">
        <v>33</v>
      </c>
      <c r="AM3" s="3">
        <v>34</v>
      </c>
      <c r="AN3" s="3">
        <v>35</v>
      </c>
      <c r="AO3" s="3">
        <v>36</v>
      </c>
      <c r="AP3" s="3">
        <v>37</v>
      </c>
      <c r="AQ3" s="3">
        <v>38</v>
      </c>
      <c r="AR3" s="3">
        <v>39</v>
      </c>
      <c r="AS3" s="3">
        <v>40</v>
      </c>
      <c r="AT3" s="3">
        <v>41</v>
      </c>
      <c r="AU3" s="3">
        <v>42</v>
      </c>
      <c r="AV3" s="3">
        <v>43</v>
      </c>
      <c r="AW3" s="3">
        <v>44</v>
      </c>
      <c r="AX3" s="3">
        <v>45</v>
      </c>
      <c r="AY3" s="3">
        <v>46</v>
      </c>
      <c r="AZ3" s="3">
        <v>47</v>
      </c>
      <c r="BA3" s="3">
        <v>48</v>
      </c>
      <c r="BB3" s="3">
        <v>49</v>
      </c>
      <c r="BC3" s="3">
        <v>50</v>
      </c>
      <c r="BD3" s="3">
        <v>51</v>
      </c>
      <c r="BE3" s="3">
        <v>52</v>
      </c>
      <c r="BF3" s="3">
        <v>53</v>
      </c>
      <c r="BG3" s="3">
        <v>54</v>
      </c>
      <c r="BH3" s="3">
        <v>55</v>
      </c>
      <c r="BI3" s="3">
        <v>56</v>
      </c>
      <c r="BJ3" s="3">
        <v>57</v>
      </c>
      <c r="BK3" s="3">
        <v>58</v>
      </c>
      <c r="BL3" s="3">
        <v>59</v>
      </c>
      <c r="BM3" s="3">
        <v>60</v>
      </c>
      <c r="BN3" s="3">
        <v>61</v>
      </c>
      <c r="BO3" s="3">
        <v>62</v>
      </c>
      <c r="BP3" s="3">
        <v>63</v>
      </c>
      <c r="BQ3" s="3">
        <v>64</v>
      </c>
      <c r="BR3" s="3">
        <v>65</v>
      </c>
      <c r="BS3" s="3">
        <v>66</v>
      </c>
      <c r="BT3" s="3">
        <v>67</v>
      </c>
      <c r="BU3" s="3">
        <v>68</v>
      </c>
      <c r="BV3" s="3">
        <v>69</v>
      </c>
      <c r="BW3" s="3">
        <v>70</v>
      </c>
      <c r="BX3" s="3">
        <v>71</v>
      </c>
      <c r="BY3" s="3">
        <v>72</v>
      </c>
      <c r="BZ3" s="3">
        <v>73</v>
      </c>
      <c r="CA3" s="3">
        <v>74</v>
      </c>
      <c r="CB3" s="3">
        <v>75</v>
      </c>
      <c r="CC3" s="3">
        <v>76</v>
      </c>
      <c r="CD3" s="3">
        <v>77</v>
      </c>
      <c r="CE3" s="3">
        <v>78</v>
      </c>
      <c r="CF3" s="3">
        <v>79</v>
      </c>
      <c r="CG3" s="3">
        <v>80</v>
      </c>
      <c r="CH3" s="3">
        <v>81</v>
      </c>
      <c r="CI3" s="3">
        <v>82</v>
      </c>
      <c r="CJ3" s="3">
        <v>83</v>
      </c>
      <c r="CK3" s="3">
        <v>84</v>
      </c>
      <c r="CL3" s="3">
        <v>85</v>
      </c>
      <c r="CM3" s="3">
        <v>86</v>
      </c>
      <c r="CN3" s="3">
        <v>87</v>
      </c>
      <c r="CO3" s="3">
        <v>88</v>
      </c>
      <c r="CP3" s="3">
        <v>89</v>
      </c>
      <c r="CQ3" s="3">
        <v>90</v>
      </c>
      <c r="CR3" s="3">
        <v>91</v>
      </c>
      <c r="CS3" s="3">
        <v>92</v>
      </c>
      <c r="CT3" s="3">
        <v>93</v>
      </c>
      <c r="CU3" s="3">
        <v>94</v>
      </c>
      <c r="CV3" s="3">
        <v>95</v>
      </c>
      <c r="CW3" s="3">
        <v>96</v>
      </c>
      <c r="CX3" s="3">
        <v>97</v>
      </c>
      <c r="CY3" s="3">
        <v>98</v>
      </c>
      <c r="CZ3" s="3">
        <v>99</v>
      </c>
      <c r="DA3" s="3">
        <v>100</v>
      </c>
      <c r="DB3" s="3">
        <v>101</v>
      </c>
      <c r="DC3" s="3">
        <v>102</v>
      </c>
      <c r="DD3" s="3">
        <v>103</v>
      </c>
      <c r="DE3" s="3">
        <v>104</v>
      </c>
      <c r="DF3" s="3">
        <v>105</v>
      </c>
    </row>
    <row r="4" spans="1:110" ht="15" customHeight="1" x14ac:dyDescent="0.25">
      <c r="A4" s="4" t="s">
        <v>54</v>
      </c>
      <c r="B4" s="5"/>
      <c r="C4" s="6"/>
      <c r="D4" s="3"/>
      <c r="E4" s="3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</row>
    <row r="5" spans="1:110" s="10" customFormat="1" ht="42" customHeight="1" x14ac:dyDescent="0.25">
      <c r="A5" s="305" t="s">
        <v>1</v>
      </c>
      <c r="B5" s="8"/>
      <c r="C5" s="9"/>
      <c r="D5" s="9"/>
      <c r="E5" s="9"/>
      <c r="F5" s="9" t="str">
        <f>IF(LEN(IF(Projects!$G$2="Yes",Projects!$A$2,"")&amp;IF(Projects!$G$3="Yes",", "&amp;Projects!$A$3,"")&amp;IF(Projects!$G$4="Yes",", "&amp;Projects!$A$4,"")&amp;IF(Projects!$G$5="Yes",", "&amp;Projects!$A$5,"")&amp;IF(Projects!$G$6="Yes",", "&amp;Projects!$A$6,""))&gt;0,IF(LEFT(IF(Projects!$G$2="Yes",Projects!$A$2,"")&amp;IF(Projects!$G$3="Yes",", "&amp;Projects!$A$3,"")&amp;IF(Projects!$G$4="Yes",", "&amp;Projects!$A$4,"")&amp;IF(Projects!$G$5="Yes",", "&amp;Projects!$A$5,"")&amp;IF(Projects!$G$6="Yes",", "&amp;Projects!$A$6,""),2)=", ",MID(IF(Projects!$G$2="Yes",Projects!$A$2,"")&amp;IF(Projects!$G$3="Yes",", "&amp;Projects!$A$3,"")&amp;IF(Projects!$G$4="Yes",", "&amp;Projects!$A$4,"")&amp;IF(Projects!$G$5="Yes",", "&amp;Projects!$A$5,"")&amp;IF(Projects!$G$6="Yes",", "&amp;Projects!$A$6,""),3,1000),IF(Projects!$G$2="Yes",Projects!$A$2,"")&amp;IF(Projects!$G$3="Yes",", "&amp;Projects!$A$3,"")&amp;IF(Projects!$G$4="Yes",", "&amp;Projects!$A$4,"")&amp;IF(Projects!$G$5="Yes",", "&amp;Projects!$A$5,"")&amp;IF(Projects!$G$6="Yes",", "&amp;Projects!$A$6,"")),"")</f>
        <v>Crenshaw, Ramsgate, Califa, Whipple, Nelrose</v>
      </c>
      <c r="G5" s="9"/>
      <c r="H5" s="9"/>
      <c r="I5" s="9" t="str">
        <f>IF(Projects!$G$7="Yes",Projects!$A$7,"")</f>
        <v>Francis</v>
      </c>
      <c r="J5" s="9" t="str">
        <f>IF(Projects!$G$11="Yes",Projects!$A$11,"")</f>
        <v/>
      </c>
      <c r="K5" s="9" t="str">
        <f>IF(Projects!$G$12="Yes",Projects!$A$12,"")</f>
        <v/>
      </c>
      <c r="L5" s="9" t="str">
        <f>IF(LEN(IF(Projects!$G$8="Yes",Projects!$A$8,"")&amp;IF(Projects!$G$9="Yes",", "&amp;Projects!$A$9,""))&gt;0,IF(LEFT(IF(Projects!$G$8="Yes",Projects!$A$8,"")&amp;IF(Projects!$G$9="Yes",", "&amp;Projects!$A$9,""),2)=", ",MID(IF(Projects!$G$8="Yes",Projects!$A$8,"")&amp;IF(Projects!$G$9="Yes",", "&amp;Projects!$A$9,""),3,1000),IF(Projects!$G$8="Yes",Projects!$A$8,"")&amp;IF(Projects!$G$9="Yes",", "&amp;Projects!$A$9,"")),"")</f>
        <v>Lexington, Denny</v>
      </c>
      <c r="M5" s="9" t="str">
        <f>IF(Projects!$G$10="Yes",Projects!$A$10,"")</f>
        <v>Acama</v>
      </c>
      <c r="N5" s="9"/>
      <c r="O5" s="9"/>
      <c r="P5" s="9"/>
      <c r="Q5" s="9"/>
      <c r="R5" s="9" t="str">
        <f>IF(Projects!$G$13="Yes",Projects!$A$13,"")</f>
        <v>Reseda</v>
      </c>
      <c r="S5" s="9"/>
      <c r="T5" s="9"/>
      <c r="U5" s="9" t="str">
        <f>IF(Projects!$G$17="Yes",Projects!$A$17,"")</f>
        <v/>
      </c>
      <c r="V5" s="9"/>
      <c r="W5" s="9" t="str">
        <f>IF(Projects!$G$18="Yes",Projects!$A$18,"")</f>
        <v/>
      </c>
      <c r="X5" s="9"/>
      <c r="Y5" s="9"/>
      <c r="Z5" s="9" t="str">
        <f>IF(Projects!$G$19="Yes",Projects!$A$19,"")</f>
        <v/>
      </c>
      <c r="AA5" s="9"/>
      <c r="AB5" s="9"/>
      <c r="AC5" s="9" t="str">
        <f>IF(Projects!$G$20="Yes",Projects!$A$20,"")</f>
        <v/>
      </c>
      <c r="AD5" s="9"/>
      <c r="AE5" s="9"/>
      <c r="AF5" s="9" t="str">
        <f>IF(LEN(IF(Projects!$G$14="Yes",Projects!$A$14,"")&amp;IF(Projects!$G$21="Yes",", "&amp;Projects!$A$21,""))&gt;0,IF(LEFT(IF(Projects!$G$14="Yes",Projects!$A$14,"")&amp;IF(Projects!$G$21="Yes",", "&amp;Projects!$A$21,""),2)=", ",MID(IF(Projects!$G$14="Yes",Projects!$A$14,"")&amp;IF(Projects!$G$21="Yes",", "&amp;Projects!$A$21,""),3,1000),IF(Projects!$G$14="Yes",Projects!$A$14,"")&amp;IF(Projects!$G$21="Yes",", "&amp;Projects!$A$21,"")),"")</f>
        <v>3rd St</v>
      </c>
      <c r="AG5" s="9"/>
      <c r="AH5" s="9"/>
      <c r="AI5" s="9"/>
      <c r="AJ5" s="9" t="str">
        <f>IF(Projects!$G$22="Yes",Projects!$A$22,"")</f>
        <v>BD-06</v>
      </c>
      <c r="AK5" s="9"/>
      <c r="AL5" s="9"/>
      <c r="AM5" s="9" t="str">
        <f>IF(Projects!$G$23="Yes",Projects!$A$23,"")</f>
        <v>BD-07</v>
      </c>
      <c r="AN5" s="9"/>
      <c r="AO5" s="9"/>
      <c r="AP5" s="9" t="str">
        <f>IF(Projects!$G$24="Yes",Projects!$A$24,"")</f>
        <v>BD-08</v>
      </c>
      <c r="AQ5" s="9"/>
      <c r="AR5" s="9"/>
      <c r="AS5" s="9" t="str">
        <f>IF(Projects!$G$25="Yes",Projects!$A$25,"")</f>
        <v>BD-09</v>
      </c>
      <c r="AT5" s="9"/>
      <c r="AU5" s="9" t="str">
        <f>IF(Projects!$G$26="Yes",Projects!$A$26,"")</f>
        <v/>
      </c>
      <c r="AV5" s="9"/>
      <c r="AW5" s="9" t="str">
        <f>IF(Projects!$G$27="Yes",Projects!$A$27,"")</f>
        <v/>
      </c>
      <c r="AX5" s="9"/>
      <c r="AY5" s="9" t="str">
        <f>IF(Projects!$G$28="Yes",Projects!$A$28,"")</f>
        <v/>
      </c>
      <c r="AZ5" s="9"/>
      <c r="BA5" s="9" t="str">
        <f>IF(Projects!$G$29="Yes",Projects!$A$29,"")</f>
        <v>BD-13</v>
      </c>
      <c r="BB5" s="9"/>
      <c r="BC5" s="9" t="str">
        <f>IF(Projects!$G$30="Yes",Projects!$A$30,"")</f>
        <v/>
      </c>
      <c r="BD5" s="9"/>
      <c r="BE5" s="9" t="str">
        <f>IF(Projects!$G$31="Yes",Projects!$A$31,"")</f>
        <v>BD-15</v>
      </c>
      <c r="BF5" s="9"/>
      <c r="BG5" s="9" t="str">
        <f>IF(Projects!$G$32="Yes",Projects!$A$32,"")</f>
        <v>BD-16</v>
      </c>
      <c r="BH5" s="9"/>
      <c r="BI5" s="9" t="str">
        <f>IF(Projects!$G$33="Yes",Projects!$A$33,"")</f>
        <v>BD-17</v>
      </c>
      <c r="BJ5" s="9"/>
      <c r="BK5" s="9" t="str">
        <f>IF(Projects!$G$34="Yes",Projects!$A$34,"")</f>
        <v>BD-18</v>
      </c>
      <c r="BL5" s="9"/>
      <c r="BM5" s="9" t="str">
        <f>IF(Projects!$G$35="Yes",Projects!$A$35,"")</f>
        <v>BD-19</v>
      </c>
      <c r="BN5" s="9"/>
      <c r="BO5" s="9" t="str">
        <f>IF(Projects!$G$36="Yes",Projects!$A$36,"")</f>
        <v>BD-20</v>
      </c>
      <c r="BP5" s="9"/>
      <c r="BQ5" s="9" t="str">
        <f>IF(Projects!$G$37="Yes",Projects!$A$37,"")</f>
        <v/>
      </c>
      <c r="BR5" s="9"/>
      <c r="BS5" s="9" t="str">
        <f>IF(Projects!$G$38="Yes",Projects!$A$38,"")</f>
        <v/>
      </c>
      <c r="BT5" s="9"/>
      <c r="BU5" s="9" t="str">
        <f>IF(Projects!$G$39="Yes",Projects!$A$39,"")</f>
        <v>BD-23</v>
      </c>
      <c r="BV5" s="9"/>
      <c r="BW5" s="9" t="str">
        <f>IF(Projects!$G$40="Yes",Projects!$A$40,"")</f>
        <v/>
      </c>
      <c r="BX5" s="9"/>
      <c r="BY5" s="9" t="str">
        <f>IF(Projects!$G$41="Yes",Projects!$A$41,"")</f>
        <v/>
      </c>
      <c r="BZ5" s="9"/>
      <c r="CA5" s="9" t="str">
        <f>IF(Projects!$G$42="Yes",Projects!$A$42,"")</f>
        <v>BD-26</v>
      </c>
      <c r="CB5" s="9"/>
      <c r="CC5" s="9" t="str">
        <f>IF(Projects!$G$43="Yes",Projects!$A$43,"")</f>
        <v>BD-27</v>
      </c>
      <c r="CD5" s="9"/>
      <c r="CE5" s="9" t="str">
        <f>IF(Projects!$G$44="Yes",Projects!$A$44,"")</f>
        <v>BD-28</v>
      </c>
      <c r="CF5" s="9"/>
      <c r="CG5" s="9" t="str">
        <f>IF(Projects!$G$45="Yes",Projects!$A$45,"")</f>
        <v>BD-29</v>
      </c>
      <c r="CH5" s="9"/>
      <c r="CI5" s="9" t="str">
        <f>IF(Projects!$G$46="Yes",Projects!$A$46,"")</f>
        <v>BD-30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</row>
    <row r="6" spans="1:110" s="11" customFormat="1" ht="9.75" customHeight="1" x14ac:dyDescent="0.25">
      <c r="A6" s="306"/>
      <c r="B6" s="307"/>
      <c r="C6" s="308"/>
      <c r="D6" s="309"/>
      <c r="E6" s="309"/>
      <c r="F6" s="28"/>
      <c r="G6" s="308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</row>
    <row r="7" spans="1:110" s="12" customFormat="1" ht="15" customHeight="1" x14ac:dyDescent="0.25">
      <c r="A7" s="310" t="s">
        <v>55</v>
      </c>
      <c r="B7" s="311"/>
      <c r="C7" s="312"/>
      <c r="D7" s="313"/>
      <c r="E7" s="313"/>
      <c r="F7" s="314"/>
      <c r="G7" s="312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  <c r="V7" s="313"/>
      <c r="W7" s="313"/>
      <c r="X7" s="313"/>
      <c r="Y7" s="313"/>
      <c r="Z7" s="313"/>
      <c r="AA7" s="313"/>
      <c r="AB7" s="313"/>
      <c r="AC7" s="313"/>
      <c r="AD7" s="313"/>
      <c r="AE7" s="313"/>
      <c r="AF7" s="313"/>
      <c r="AG7" s="313"/>
      <c r="AH7" s="313"/>
      <c r="AI7" s="313"/>
      <c r="AJ7" s="313"/>
      <c r="AK7" s="313"/>
      <c r="AL7" s="313"/>
      <c r="AM7" s="313"/>
      <c r="AN7" s="313"/>
      <c r="AO7" s="313"/>
      <c r="AP7" s="313"/>
      <c r="AQ7" s="313"/>
      <c r="AR7" s="313"/>
      <c r="AS7" s="313"/>
      <c r="AT7" s="313"/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313"/>
      <c r="BT7" s="313"/>
      <c r="BU7" s="313"/>
      <c r="BV7" s="313"/>
      <c r="BW7" s="313"/>
      <c r="BX7" s="313"/>
      <c r="BY7" s="313"/>
      <c r="BZ7" s="313"/>
      <c r="CA7" s="313"/>
      <c r="CB7" s="313"/>
      <c r="CC7" s="313"/>
      <c r="CD7" s="313"/>
      <c r="CE7" s="313"/>
      <c r="CF7" s="313"/>
      <c r="CG7" s="313"/>
      <c r="CH7" s="313"/>
      <c r="CI7" s="313"/>
      <c r="CJ7" s="313"/>
      <c r="CK7" s="313"/>
      <c r="CL7" s="313"/>
      <c r="CM7" s="313"/>
      <c r="CN7" s="313"/>
      <c r="CO7" s="313"/>
      <c r="CP7" s="313"/>
      <c r="CQ7" s="313"/>
      <c r="CR7" s="313"/>
      <c r="CS7" s="313"/>
      <c r="CT7" s="313"/>
      <c r="CU7" s="313"/>
      <c r="CV7" s="313"/>
      <c r="CW7" s="313"/>
      <c r="CX7" s="313"/>
      <c r="CY7" s="313"/>
      <c r="CZ7" s="313"/>
      <c r="DA7" s="313"/>
      <c r="DB7" s="313"/>
      <c r="DC7" s="313"/>
      <c r="DD7" s="313"/>
      <c r="DE7" s="313"/>
      <c r="DF7" s="313"/>
    </row>
    <row r="8" spans="1:110" ht="15" customHeight="1" x14ac:dyDescent="0.25">
      <c r="A8" s="13" t="s">
        <v>11</v>
      </c>
      <c r="B8" s="5"/>
      <c r="C8" s="14">
        <f>IF(ISBLANK(Actuals!C8),0,Actuals!C8)</f>
        <v>1453786.74</v>
      </c>
      <c r="D8" s="3">
        <f>IF(ISBLANK(Actuals!D8),0,Actuals!D8)</f>
        <v>3022518.89</v>
      </c>
      <c r="E8" s="3">
        <f>IF(ISBLANK(Actuals!E8),0,Actuals!E8)</f>
        <v>2672216.16</v>
      </c>
      <c r="F8" s="3">
        <f>IF(ISBLANK(Actuals!F8),IF(AND(Projects!$G$2="Yes",1&gt;=Projects!$C$2,1&lt;Projects!$C$2+Projects!$D$2),Projects!$B$2*INDEX(Curves!$B$6:$AR$6,1,1-Projects!$C$2+1),0)+IF(AND(Projects!$G$3="Yes",1&gt;=Projects!$C$3,1&lt;Projects!$C$3+Projects!$D$3),Projects!$B$3*INDEX(Curves!$B$7:$AR$7,1,1-Projects!$C$3+1),0)+IF(AND(Projects!$G$4="Yes",1&gt;=Projects!$C$4,1&lt;Projects!$C$4+Projects!$D$4),Projects!$B$4*INDEX(Curves!$B$8:$AR$8,1,1-Projects!$C$4+1),0)+IF(AND(Projects!$G$5="Yes",1&gt;=Projects!$C$5,1&lt;Projects!$C$5+Projects!$D$5),Projects!$B$5*INDEX(Curves!$B$9:$AR$9,1,1-Projects!$C$5+1),0)+IF(AND(Projects!$G$6="Yes",1&gt;=Projects!$C$6,1&lt;Projects!$C$6+Projects!$D$6),Projects!$B$6*INDEX(Curves!$B$4:$AR$4,1,1-Projects!$C$6+1),0)+IF(AND(Projects!$G$7="Yes",1&gt;=Projects!$C$7,1&lt;Projects!$C$7+Projects!$D$7),Projects!$B$7*INDEX(Curves!$B$3:$AR$3,1,1-Projects!$C$7+1),0)+IF(AND(Projects!$G$8="Yes",1&gt;=Projects!$C$8,1&lt;Projects!$C$8+Projects!$D$8),Projects!$B$8*INDEX(Curves!$B$4:$AR$4,1,1-Projects!$C$8+1),0)+IF(AND(Projects!$G$9="Yes",1&gt;=Projects!$C$9,1&lt;Projects!$C$9+Projects!$D$9),Projects!$B$9*INDEX(Curves!$B$2:$AR$2,1,1-Projects!$C$9+1),0)+IF(AND(Projects!$G$10="Yes",1&gt;=Projects!$C$10,1&lt;Projects!$C$10+Projects!$D$10),Projects!$B$10*INDEX(Curves!$B$4:$AR$4,1,1-Projects!$C$10+1),0)+IF(AND(Projects!$G$11="Yes",1&gt;=Projects!$C$11,1&lt;Projects!$C$11+Projects!$D$11),Projects!$B$11*INDEX(Curves!$B$4:$AR$4,1,1-Projects!$C$11+1),0)+IF(AND(Projects!$G$12="Yes",1&gt;=Projects!$C$12,1&lt;Projects!$C$12+Projects!$D$12),Projects!$B$12*INDEX(Curves!$B$4:$AR$4,1,1-Projects!$C$12+1),0)+IF(AND(Projects!$G$13="Yes",1&gt;=Projects!$C$13,1&lt;Projects!$C$13+Projects!$D$13),Projects!$B$13*INDEX(Curves!$B$2:$AR$2,1,1-Projects!$C$13+1),0)+IF(AND(Projects!$G$14="Yes",1&gt;=Projects!$C$14,1&lt;Projects!$C$14+Projects!$D$14),Projects!$B$14*INDEX(Curves!$B$2:$AR$2,1,1-Projects!$C$14+1),0)+IF(AND(Projects!$G$15="Yes",1&gt;=Projects!$C$15,1&lt;Projects!$C$15+Projects!$D$15),Projects!$B$15*INDEX(Curves!$B$4:$AR$4,1,1-Projects!$C$15+1),0)+IF(AND(Projects!$G$16="Yes",1&gt;=Projects!$C$16,1&lt;Projects!$C$16+Projects!$D$16),Projects!$B$16*INDEX(Curves!$B$4:$AR$4,1,1-Projects!$C$16+1),0)+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,Actuals!F8)</f>
        <v>3692357.9</v>
      </c>
      <c r="G8" s="3">
        <f>IF(ISBLANK(Actuals!G8),IF(AND(Projects!$G$2="Yes",2&gt;=Projects!$C$2,2&lt;Projects!$C$2+Projects!$D$2),Projects!$B$2*INDEX(Curves!$B$6:$AR$6,1,2-Projects!$C$2+1),0)+IF(AND(Projects!$G$3="Yes",2&gt;=Projects!$C$3,2&lt;Projects!$C$3+Projects!$D$3),Projects!$B$3*INDEX(Curves!$B$7:$AR$7,1,2-Projects!$C$3+1),0)+IF(AND(Projects!$G$4="Yes",2&gt;=Projects!$C$4,2&lt;Projects!$C$4+Projects!$D$4),Projects!$B$4*INDEX(Curves!$B$8:$AR$8,1,2-Projects!$C$4+1),0)+IF(AND(Projects!$G$5="Yes",2&gt;=Projects!$C$5,2&lt;Projects!$C$5+Projects!$D$5),Projects!$B$5*INDEX(Curves!$B$9:$AR$9,1,2-Projects!$C$5+1),0)+IF(AND(Projects!$G$6="Yes",2&gt;=Projects!$C$6,2&lt;Projects!$C$6+Projects!$D$6),Projects!$B$6*INDEX(Curves!$B$4:$AR$4,1,2-Projects!$C$6+1),0)+IF(AND(Projects!$G$7="Yes",2&gt;=Projects!$C$7,2&lt;Projects!$C$7+Projects!$D$7),Projects!$B$7*INDEX(Curves!$B$3:$AR$3,1,2-Projects!$C$7+1),0)+IF(AND(Projects!$G$8="Yes",2&gt;=Projects!$C$8,2&lt;Projects!$C$8+Projects!$D$8),Projects!$B$8*INDEX(Curves!$B$4:$AR$4,1,2-Projects!$C$8+1),0)+IF(AND(Projects!$G$9="Yes",2&gt;=Projects!$C$9,2&lt;Projects!$C$9+Projects!$D$9),Projects!$B$9*INDEX(Curves!$B$2:$AR$2,1,2-Projects!$C$9+1),0)+IF(AND(Projects!$G$10="Yes",2&gt;=Projects!$C$10,2&lt;Projects!$C$10+Projects!$D$10),Projects!$B$10*INDEX(Curves!$B$4:$AR$4,1,2-Projects!$C$10+1),0)+IF(AND(Projects!$G$11="Yes",2&gt;=Projects!$C$11,2&lt;Projects!$C$11+Projects!$D$11),Projects!$B$11*INDEX(Curves!$B$4:$AR$4,1,2-Projects!$C$11+1),0)+IF(AND(Projects!$G$12="Yes",2&gt;=Projects!$C$12,2&lt;Projects!$C$12+Projects!$D$12),Projects!$B$12*INDEX(Curves!$B$4:$AR$4,1,2-Projects!$C$12+1),0)+IF(AND(Projects!$G$13="Yes",2&gt;=Projects!$C$13,2&lt;Projects!$C$13+Projects!$D$13),Projects!$B$13*INDEX(Curves!$B$2:$AR$2,1,2-Projects!$C$13+1),0)+IF(AND(Projects!$G$14="Yes",2&gt;=Projects!$C$14,2&lt;Projects!$C$14+Projects!$D$14),Projects!$B$14*INDEX(Curves!$B$2:$AR$2,1,2-Projects!$C$14+1),0)+IF(AND(Projects!$G$15="Yes",2&gt;=Projects!$C$15,2&lt;Projects!$C$15+Projects!$D$15),Projects!$B$15*INDEX(Curves!$B$4:$AR$4,1,2-Projects!$C$15+1),0)+IF(AND(Projects!$G$16="Yes",2&gt;=Projects!$C$16,2&lt;Projects!$C$16+Projects!$D$16),Projects!$B$16*INDEX(Curves!$B$4:$AR$4,1,2-Projects!$C$16+1),0)+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,Actuals!G8)</f>
        <v>4647327.0009306679</v>
      </c>
      <c r="H8" s="3">
        <f>IF(ISBLANK(Actuals!H8),IF(AND(Projects!$G$2="Yes",3&gt;=Projects!$C$2,3&lt;Projects!$C$2+Projects!$D$2),Projects!$B$2*INDEX(Curves!$B$6:$AR$6,1,3-Projects!$C$2+1),0)+IF(AND(Projects!$G$3="Yes",3&gt;=Projects!$C$3,3&lt;Projects!$C$3+Projects!$D$3),Projects!$B$3*INDEX(Curves!$B$7:$AR$7,1,3-Projects!$C$3+1),0)+IF(AND(Projects!$G$4="Yes",3&gt;=Projects!$C$4,3&lt;Projects!$C$4+Projects!$D$4),Projects!$B$4*INDEX(Curves!$B$8:$AR$8,1,3-Projects!$C$4+1),0)+IF(AND(Projects!$G$5="Yes",3&gt;=Projects!$C$5,3&lt;Projects!$C$5+Projects!$D$5),Projects!$B$5*INDEX(Curves!$B$9:$AR$9,1,3-Projects!$C$5+1),0)+IF(AND(Projects!$G$6="Yes",3&gt;=Projects!$C$6,3&lt;Projects!$C$6+Projects!$D$6),Projects!$B$6*INDEX(Curves!$B$4:$AR$4,1,3-Projects!$C$6+1),0)+IF(AND(Projects!$G$7="Yes",3&gt;=Projects!$C$7,3&lt;Projects!$C$7+Projects!$D$7),Projects!$B$7*INDEX(Curves!$B$3:$AR$3,1,3-Projects!$C$7+1),0)+IF(AND(Projects!$G$8="Yes",3&gt;=Projects!$C$8,3&lt;Projects!$C$8+Projects!$D$8),Projects!$B$8*INDEX(Curves!$B$4:$AR$4,1,3-Projects!$C$8+1),0)+IF(AND(Projects!$G$9="Yes",3&gt;=Projects!$C$9,3&lt;Projects!$C$9+Projects!$D$9),Projects!$B$9*INDEX(Curves!$B$2:$AR$2,1,3-Projects!$C$9+1),0)+IF(AND(Projects!$G$10="Yes",3&gt;=Projects!$C$10,3&lt;Projects!$C$10+Projects!$D$10),Projects!$B$10*INDEX(Curves!$B$4:$AR$4,1,3-Projects!$C$10+1),0)+IF(AND(Projects!$G$11="Yes",3&gt;=Projects!$C$11,3&lt;Projects!$C$11+Projects!$D$11),Projects!$B$11*INDEX(Curves!$B$4:$AR$4,1,3-Projects!$C$11+1),0)+IF(AND(Projects!$G$12="Yes",3&gt;=Projects!$C$12,3&lt;Projects!$C$12+Projects!$D$12),Projects!$B$12*INDEX(Curves!$B$4:$AR$4,1,3-Projects!$C$12+1),0)+IF(AND(Projects!$G$13="Yes",3&gt;=Projects!$C$13,3&lt;Projects!$C$13+Projects!$D$13),Projects!$B$13*INDEX(Curves!$B$2:$AR$2,1,3-Projects!$C$13+1),0)+IF(AND(Projects!$G$14="Yes",3&gt;=Projects!$C$14,3&lt;Projects!$C$14+Projects!$D$14),Projects!$B$14*INDEX(Curves!$B$2:$AR$2,1,3-Projects!$C$14+1),0)+IF(AND(Projects!$G$15="Yes",3&gt;=Projects!$C$15,3&lt;Projects!$C$15+Projects!$D$15),Projects!$B$15*INDEX(Curves!$B$4:$AR$4,1,3-Projects!$C$15+1),0)+IF(AND(Projects!$G$16="Yes",3&gt;=Projects!$C$16,3&lt;Projects!$C$16+Projects!$D$16),Projects!$B$16*INDEX(Curves!$B$4:$AR$4,1,3-Projects!$C$16+1),0)+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,Actuals!H8)</f>
        <v>4783559.0480475528</v>
      </c>
      <c r="I8" s="3">
        <f>IF(ISBLANK(Actuals!I8),IF(AND(Projects!$G$2="Yes",4&gt;=Projects!$C$2,4&lt;Projects!$C$2+Projects!$D$2),Projects!$B$2*INDEX(Curves!$B$6:$AR$6,1,4-Projects!$C$2+1),0)+IF(AND(Projects!$G$3="Yes",4&gt;=Projects!$C$3,4&lt;Projects!$C$3+Projects!$D$3),Projects!$B$3*INDEX(Curves!$B$7:$AR$7,1,4-Projects!$C$3+1),0)+IF(AND(Projects!$G$4="Yes",4&gt;=Projects!$C$4,4&lt;Projects!$C$4+Projects!$D$4),Projects!$B$4*INDEX(Curves!$B$8:$AR$8,1,4-Projects!$C$4+1),0)+IF(AND(Projects!$G$5="Yes",4&gt;=Projects!$C$5,4&lt;Projects!$C$5+Projects!$D$5),Projects!$B$5*INDEX(Curves!$B$9:$AR$9,1,4-Projects!$C$5+1),0)+IF(AND(Projects!$G$6="Yes",4&gt;=Projects!$C$6,4&lt;Projects!$C$6+Projects!$D$6),Projects!$B$6*INDEX(Curves!$B$4:$AR$4,1,4-Projects!$C$6+1),0)+IF(AND(Projects!$G$7="Yes",4&gt;=Projects!$C$7,4&lt;Projects!$C$7+Projects!$D$7),Projects!$B$7*INDEX(Curves!$B$3:$AR$3,1,4-Projects!$C$7+1),0)+IF(AND(Projects!$G$8="Yes",4&gt;=Projects!$C$8,4&lt;Projects!$C$8+Projects!$D$8),Projects!$B$8*INDEX(Curves!$B$4:$AR$4,1,4-Projects!$C$8+1),0)+IF(AND(Projects!$G$9="Yes",4&gt;=Projects!$C$9,4&lt;Projects!$C$9+Projects!$D$9),Projects!$B$9*INDEX(Curves!$B$2:$AR$2,1,4-Projects!$C$9+1),0)+IF(AND(Projects!$G$10="Yes",4&gt;=Projects!$C$10,4&lt;Projects!$C$10+Projects!$D$10),Projects!$B$10*INDEX(Curves!$B$4:$AR$4,1,4-Projects!$C$10+1),0)+IF(AND(Projects!$G$11="Yes",4&gt;=Projects!$C$11,4&lt;Projects!$C$11+Projects!$D$11),Projects!$B$11*INDEX(Curves!$B$4:$AR$4,1,4-Projects!$C$11+1),0)+IF(AND(Projects!$G$12="Yes",4&gt;=Projects!$C$12,4&lt;Projects!$C$12+Projects!$D$12),Projects!$B$12*INDEX(Curves!$B$4:$AR$4,1,4-Projects!$C$12+1),0)+IF(AND(Projects!$G$13="Yes",4&gt;=Projects!$C$13,4&lt;Projects!$C$13+Projects!$D$13),Projects!$B$13*INDEX(Curves!$B$2:$AR$2,1,4-Projects!$C$13+1),0)+IF(AND(Projects!$G$14="Yes",4&gt;=Projects!$C$14,4&lt;Projects!$C$14+Projects!$D$14),Projects!$B$14*INDEX(Curves!$B$2:$AR$2,1,4-Projects!$C$14+1),0)+IF(AND(Projects!$G$15="Yes",4&gt;=Projects!$C$15,4&lt;Projects!$C$15+Projects!$D$15),Projects!$B$15*INDEX(Curves!$B$4:$AR$4,1,4-Projects!$C$15+1),0)+IF(AND(Projects!$G$16="Yes",4&gt;=Projects!$C$16,4&lt;Projects!$C$16+Projects!$D$16),Projects!$B$16*INDEX(Curves!$B$4:$AR$4,1,4-Projects!$C$16+1),0)+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,Actuals!I8)</f>
        <v>5733416.5938398708</v>
      </c>
      <c r="J8" s="3">
        <f>IF(ISBLANK(Actuals!J8),IF(AND(Projects!$G$2="Yes",5&gt;=Projects!$C$2,5&lt;Projects!$C$2+Projects!$D$2),Projects!$B$2*INDEX(Curves!$B$6:$AR$6,1,5-Projects!$C$2+1),0)+IF(AND(Projects!$G$3="Yes",5&gt;=Projects!$C$3,5&lt;Projects!$C$3+Projects!$D$3),Projects!$B$3*INDEX(Curves!$B$7:$AR$7,1,5-Projects!$C$3+1),0)+IF(AND(Projects!$G$4="Yes",5&gt;=Projects!$C$4,5&lt;Projects!$C$4+Projects!$D$4),Projects!$B$4*INDEX(Curves!$B$8:$AR$8,1,5-Projects!$C$4+1),0)+IF(AND(Projects!$G$5="Yes",5&gt;=Projects!$C$5,5&lt;Projects!$C$5+Projects!$D$5),Projects!$B$5*INDEX(Curves!$B$9:$AR$9,1,5-Projects!$C$5+1),0)+IF(AND(Projects!$G$6="Yes",5&gt;=Projects!$C$6,5&lt;Projects!$C$6+Projects!$D$6),Projects!$B$6*INDEX(Curves!$B$4:$AR$4,1,5-Projects!$C$6+1),0)+IF(AND(Projects!$G$7="Yes",5&gt;=Projects!$C$7,5&lt;Projects!$C$7+Projects!$D$7),Projects!$B$7*INDEX(Curves!$B$3:$AR$3,1,5-Projects!$C$7+1),0)+IF(AND(Projects!$G$8="Yes",5&gt;=Projects!$C$8,5&lt;Projects!$C$8+Projects!$D$8),Projects!$B$8*INDEX(Curves!$B$4:$AR$4,1,5-Projects!$C$8+1),0)+IF(AND(Projects!$G$9="Yes",5&gt;=Projects!$C$9,5&lt;Projects!$C$9+Projects!$D$9),Projects!$B$9*INDEX(Curves!$B$2:$AR$2,1,5-Projects!$C$9+1),0)+IF(AND(Projects!$G$10="Yes",5&gt;=Projects!$C$10,5&lt;Projects!$C$10+Projects!$D$10),Projects!$B$10*INDEX(Curves!$B$4:$AR$4,1,5-Projects!$C$10+1),0)+IF(AND(Projects!$G$11="Yes",5&gt;=Projects!$C$11,5&lt;Projects!$C$11+Projects!$D$11),Projects!$B$11*INDEX(Curves!$B$4:$AR$4,1,5-Projects!$C$11+1),0)+IF(AND(Projects!$G$12="Yes",5&gt;=Projects!$C$12,5&lt;Projects!$C$12+Projects!$D$12),Projects!$B$12*INDEX(Curves!$B$4:$AR$4,1,5-Projects!$C$12+1),0)+IF(AND(Projects!$G$13="Yes",5&gt;=Projects!$C$13,5&lt;Projects!$C$13+Projects!$D$13),Projects!$B$13*INDEX(Curves!$B$2:$AR$2,1,5-Projects!$C$13+1),0)+IF(AND(Projects!$G$14="Yes",5&gt;=Projects!$C$14,5&lt;Projects!$C$14+Projects!$D$14),Projects!$B$14*INDEX(Curves!$B$2:$AR$2,1,5-Projects!$C$14+1),0)+IF(AND(Projects!$G$15="Yes",5&gt;=Projects!$C$15,5&lt;Projects!$C$15+Projects!$D$15),Projects!$B$15*INDEX(Curves!$B$4:$AR$4,1,5-Projects!$C$15+1),0)+IF(AND(Projects!$G$16="Yes",5&gt;=Projects!$C$16,5&lt;Projects!$C$16+Projects!$D$16),Projects!$B$16*INDEX(Curves!$B$4:$AR$4,1,5-Projects!$C$16+1),0)+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,Actuals!J8)</f>
        <v>5892911.4458942935</v>
      </c>
      <c r="K8" s="3">
        <f>IF(ISBLANK(Actuals!K8),IF(AND(Projects!$G$2="Yes",6&gt;=Projects!$C$2,6&lt;Projects!$C$2+Projects!$D$2),Projects!$B$2*INDEX(Curves!$B$6:$AR$6,1,6-Projects!$C$2+1),0)+IF(AND(Projects!$G$3="Yes",6&gt;=Projects!$C$3,6&lt;Projects!$C$3+Projects!$D$3),Projects!$B$3*INDEX(Curves!$B$7:$AR$7,1,6-Projects!$C$3+1),0)+IF(AND(Projects!$G$4="Yes",6&gt;=Projects!$C$4,6&lt;Projects!$C$4+Projects!$D$4),Projects!$B$4*INDEX(Curves!$B$8:$AR$8,1,6-Projects!$C$4+1),0)+IF(AND(Projects!$G$5="Yes",6&gt;=Projects!$C$5,6&lt;Projects!$C$5+Projects!$D$5),Projects!$B$5*INDEX(Curves!$B$9:$AR$9,1,6-Projects!$C$5+1),0)+IF(AND(Projects!$G$6="Yes",6&gt;=Projects!$C$6,6&lt;Projects!$C$6+Projects!$D$6),Projects!$B$6*INDEX(Curves!$B$4:$AR$4,1,6-Projects!$C$6+1),0)+IF(AND(Projects!$G$7="Yes",6&gt;=Projects!$C$7,6&lt;Projects!$C$7+Projects!$D$7),Projects!$B$7*INDEX(Curves!$B$3:$AR$3,1,6-Projects!$C$7+1),0)+IF(AND(Projects!$G$8="Yes",6&gt;=Projects!$C$8,6&lt;Projects!$C$8+Projects!$D$8),Projects!$B$8*INDEX(Curves!$B$4:$AR$4,1,6-Projects!$C$8+1),0)+IF(AND(Projects!$G$9="Yes",6&gt;=Projects!$C$9,6&lt;Projects!$C$9+Projects!$D$9),Projects!$B$9*INDEX(Curves!$B$2:$AR$2,1,6-Projects!$C$9+1),0)+IF(AND(Projects!$G$10="Yes",6&gt;=Projects!$C$10,6&lt;Projects!$C$10+Projects!$D$10),Projects!$B$10*INDEX(Curves!$B$4:$AR$4,1,6-Projects!$C$10+1),0)+IF(AND(Projects!$G$11="Yes",6&gt;=Projects!$C$11,6&lt;Projects!$C$11+Projects!$D$11),Projects!$B$11*INDEX(Curves!$B$4:$AR$4,1,6-Projects!$C$11+1),0)+IF(AND(Projects!$G$12="Yes",6&gt;=Projects!$C$12,6&lt;Projects!$C$12+Projects!$D$12),Projects!$B$12*INDEX(Curves!$B$4:$AR$4,1,6-Projects!$C$12+1),0)+IF(AND(Projects!$G$13="Yes",6&gt;=Projects!$C$13,6&lt;Projects!$C$13+Projects!$D$13),Projects!$B$13*INDEX(Curves!$B$2:$AR$2,1,6-Projects!$C$13+1),0)+IF(AND(Projects!$G$14="Yes",6&gt;=Projects!$C$14,6&lt;Projects!$C$14+Projects!$D$14),Projects!$B$14*INDEX(Curves!$B$2:$AR$2,1,6-Projects!$C$14+1),0)+IF(AND(Projects!$G$15="Yes",6&gt;=Projects!$C$15,6&lt;Projects!$C$15+Projects!$D$15),Projects!$B$15*INDEX(Curves!$B$4:$AR$4,1,6-Projects!$C$15+1),0)+IF(AND(Projects!$G$16="Yes",6&gt;=Projects!$C$16,6&lt;Projects!$C$16+Projects!$D$16),Projects!$B$16*INDEX(Curves!$B$4:$AR$4,1,6-Projects!$C$16+1),0)+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,Actuals!K8)</f>
        <v>5985551.5079940278</v>
      </c>
      <c r="L8" s="3">
        <f>IF(ISBLANK(Actuals!L8),IF(AND(Projects!$G$2="Yes",7&gt;=Projects!$C$2,7&lt;Projects!$C$2+Projects!$D$2),Projects!$B$2*INDEX(Curves!$B$6:$AR$6,1,7-Projects!$C$2+1),0)+IF(AND(Projects!$G$3="Yes",7&gt;=Projects!$C$3,7&lt;Projects!$C$3+Projects!$D$3),Projects!$B$3*INDEX(Curves!$B$7:$AR$7,1,7-Projects!$C$3+1),0)+IF(AND(Projects!$G$4="Yes",7&gt;=Projects!$C$4,7&lt;Projects!$C$4+Projects!$D$4),Projects!$B$4*INDEX(Curves!$B$8:$AR$8,1,7-Projects!$C$4+1),0)+IF(AND(Projects!$G$5="Yes",7&gt;=Projects!$C$5,7&lt;Projects!$C$5+Projects!$D$5),Projects!$B$5*INDEX(Curves!$B$9:$AR$9,1,7-Projects!$C$5+1),0)+IF(AND(Projects!$G$6="Yes",7&gt;=Projects!$C$6,7&lt;Projects!$C$6+Projects!$D$6),Projects!$B$6*INDEX(Curves!$B$4:$AR$4,1,7-Projects!$C$6+1),0)+IF(AND(Projects!$G$7="Yes",7&gt;=Projects!$C$7,7&lt;Projects!$C$7+Projects!$D$7),Projects!$B$7*INDEX(Curves!$B$3:$AR$3,1,7-Projects!$C$7+1),0)+IF(AND(Projects!$G$8="Yes",7&gt;=Projects!$C$8,7&lt;Projects!$C$8+Projects!$D$8),Projects!$B$8*INDEX(Curves!$B$4:$AR$4,1,7-Projects!$C$8+1),0)+IF(AND(Projects!$G$9="Yes",7&gt;=Projects!$C$9,7&lt;Projects!$C$9+Projects!$D$9),Projects!$B$9*INDEX(Curves!$B$2:$AR$2,1,7-Projects!$C$9+1),0)+IF(AND(Projects!$G$10="Yes",7&gt;=Projects!$C$10,7&lt;Projects!$C$10+Projects!$D$10),Projects!$B$10*INDEX(Curves!$B$4:$AR$4,1,7-Projects!$C$10+1),0)+IF(AND(Projects!$G$11="Yes",7&gt;=Projects!$C$11,7&lt;Projects!$C$11+Projects!$D$11),Projects!$B$11*INDEX(Curves!$B$4:$AR$4,1,7-Projects!$C$11+1),0)+IF(AND(Projects!$G$12="Yes",7&gt;=Projects!$C$12,7&lt;Projects!$C$12+Projects!$D$12),Projects!$B$12*INDEX(Curves!$B$4:$AR$4,1,7-Projects!$C$12+1),0)+IF(AND(Projects!$G$13="Yes",7&gt;=Projects!$C$13,7&lt;Projects!$C$13+Projects!$D$13),Projects!$B$13*INDEX(Curves!$B$2:$AR$2,1,7-Projects!$C$13+1),0)+IF(AND(Projects!$G$14="Yes",7&gt;=Projects!$C$14,7&lt;Projects!$C$14+Projects!$D$14),Projects!$B$14*INDEX(Curves!$B$2:$AR$2,1,7-Projects!$C$14+1),0)+IF(AND(Projects!$G$15="Yes",7&gt;=Projects!$C$15,7&lt;Projects!$C$15+Projects!$D$15),Projects!$B$15*INDEX(Curves!$B$4:$AR$4,1,7-Projects!$C$15+1),0)+IF(AND(Projects!$G$16="Yes",7&gt;=Projects!$C$16,7&lt;Projects!$C$16+Projects!$D$16),Projects!$B$16*INDEX(Curves!$B$4:$AR$4,1,7-Projects!$C$16+1),0)+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,Actuals!L8)</f>
        <v>6624695.0930872438</v>
      </c>
      <c r="M8" s="3">
        <f>IF(ISBLANK(Actuals!M8),IF(AND(Projects!$G$2="Yes",8&gt;=Projects!$C$2,8&lt;Projects!$C$2+Projects!$D$2),Projects!$B$2*INDEX(Curves!$B$6:$AR$6,1,8-Projects!$C$2+1),0)+IF(AND(Projects!$G$3="Yes",8&gt;=Projects!$C$3,8&lt;Projects!$C$3+Projects!$D$3),Projects!$B$3*INDEX(Curves!$B$7:$AR$7,1,8-Projects!$C$3+1),0)+IF(AND(Projects!$G$4="Yes",8&gt;=Projects!$C$4,8&lt;Projects!$C$4+Projects!$D$4),Projects!$B$4*INDEX(Curves!$B$8:$AR$8,1,8-Projects!$C$4+1),0)+IF(AND(Projects!$G$5="Yes",8&gt;=Projects!$C$5,8&lt;Projects!$C$5+Projects!$D$5),Projects!$B$5*INDEX(Curves!$B$9:$AR$9,1,8-Projects!$C$5+1),0)+IF(AND(Projects!$G$6="Yes",8&gt;=Projects!$C$6,8&lt;Projects!$C$6+Projects!$D$6),Projects!$B$6*INDEX(Curves!$B$4:$AR$4,1,8-Projects!$C$6+1),0)+IF(AND(Projects!$G$7="Yes",8&gt;=Projects!$C$7,8&lt;Projects!$C$7+Projects!$D$7),Projects!$B$7*INDEX(Curves!$B$3:$AR$3,1,8-Projects!$C$7+1),0)+IF(AND(Projects!$G$8="Yes",8&gt;=Projects!$C$8,8&lt;Projects!$C$8+Projects!$D$8),Projects!$B$8*INDEX(Curves!$B$4:$AR$4,1,8-Projects!$C$8+1),0)+IF(AND(Projects!$G$9="Yes",8&gt;=Projects!$C$9,8&lt;Projects!$C$9+Projects!$D$9),Projects!$B$9*INDEX(Curves!$B$2:$AR$2,1,8-Projects!$C$9+1),0)+IF(AND(Projects!$G$10="Yes",8&gt;=Projects!$C$10,8&lt;Projects!$C$10+Projects!$D$10),Projects!$B$10*INDEX(Curves!$B$4:$AR$4,1,8-Projects!$C$10+1),0)+IF(AND(Projects!$G$11="Yes",8&gt;=Projects!$C$11,8&lt;Projects!$C$11+Projects!$D$11),Projects!$B$11*INDEX(Curves!$B$4:$AR$4,1,8-Projects!$C$11+1),0)+IF(AND(Projects!$G$12="Yes",8&gt;=Projects!$C$12,8&lt;Projects!$C$12+Projects!$D$12),Projects!$B$12*INDEX(Curves!$B$4:$AR$4,1,8-Projects!$C$12+1),0)+IF(AND(Projects!$G$13="Yes",8&gt;=Projects!$C$13,8&lt;Projects!$C$13+Projects!$D$13),Projects!$B$13*INDEX(Curves!$B$2:$AR$2,1,8-Projects!$C$13+1),0)+IF(AND(Projects!$G$14="Yes",8&gt;=Projects!$C$14,8&lt;Projects!$C$14+Projects!$D$14),Projects!$B$14*INDEX(Curves!$B$2:$AR$2,1,8-Projects!$C$14+1),0)+IF(AND(Projects!$G$15="Yes",8&gt;=Projects!$C$15,8&lt;Projects!$C$15+Projects!$D$15),Projects!$B$15*INDEX(Curves!$B$4:$AR$4,1,8-Projects!$C$15+1),0)+IF(AND(Projects!$G$16="Yes",8&gt;=Projects!$C$16,8&lt;Projects!$C$16+Projects!$D$16),Projects!$B$16*INDEX(Curves!$B$4:$AR$4,1,8-Projects!$C$16+1),0)+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,Actuals!M8)</f>
        <v>7264827.1133561721</v>
      </c>
      <c r="N8" s="3">
        <f>IF(ISBLANK(Actuals!N8),IF(AND(Projects!$G$2="Yes",9&gt;=Projects!$C$2,9&lt;Projects!$C$2+Projects!$D$2),Projects!$B$2*INDEX(Curves!$B$6:$AR$6,1,9-Projects!$C$2+1),0)+IF(AND(Projects!$G$3="Yes",9&gt;=Projects!$C$3,9&lt;Projects!$C$3+Projects!$D$3),Projects!$B$3*INDEX(Curves!$B$7:$AR$7,1,9-Projects!$C$3+1),0)+IF(AND(Projects!$G$4="Yes",9&gt;=Projects!$C$4,9&lt;Projects!$C$4+Projects!$D$4),Projects!$B$4*INDEX(Curves!$B$8:$AR$8,1,9-Projects!$C$4+1),0)+IF(AND(Projects!$G$5="Yes",9&gt;=Projects!$C$5,9&lt;Projects!$C$5+Projects!$D$5),Projects!$B$5*INDEX(Curves!$B$9:$AR$9,1,9-Projects!$C$5+1),0)+IF(AND(Projects!$G$6="Yes",9&gt;=Projects!$C$6,9&lt;Projects!$C$6+Projects!$D$6),Projects!$B$6*INDEX(Curves!$B$4:$AR$4,1,9-Projects!$C$6+1),0)+IF(AND(Projects!$G$7="Yes",9&gt;=Projects!$C$7,9&lt;Projects!$C$7+Projects!$D$7),Projects!$B$7*INDEX(Curves!$B$3:$AR$3,1,9-Projects!$C$7+1),0)+IF(AND(Projects!$G$8="Yes",9&gt;=Projects!$C$8,9&lt;Projects!$C$8+Projects!$D$8),Projects!$B$8*INDEX(Curves!$B$4:$AR$4,1,9-Projects!$C$8+1),0)+IF(AND(Projects!$G$9="Yes",9&gt;=Projects!$C$9,9&lt;Projects!$C$9+Projects!$D$9),Projects!$B$9*INDEX(Curves!$B$2:$AR$2,1,9-Projects!$C$9+1),0)+IF(AND(Projects!$G$10="Yes",9&gt;=Projects!$C$10,9&lt;Projects!$C$10+Projects!$D$10),Projects!$B$10*INDEX(Curves!$B$4:$AR$4,1,9-Projects!$C$10+1),0)+IF(AND(Projects!$G$11="Yes",9&gt;=Projects!$C$11,9&lt;Projects!$C$11+Projects!$D$11),Projects!$B$11*INDEX(Curves!$B$4:$AR$4,1,9-Projects!$C$11+1),0)+IF(AND(Projects!$G$12="Yes",9&gt;=Projects!$C$12,9&lt;Projects!$C$12+Projects!$D$12),Projects!$B$12*INDEX(Curves!$B$4:$AR$4,1,9-Projects!$C$12+1),0)+IF(AND(Projects!$G$13="Yes",9&gt;=Projects!$C$13,9&lt;Projects!$C$13+Projects!$D$13),Projects!$B$13*INDEX(Curves!$B$2:$AR$2,1,9-Projects!$C$13+1),0)+IF(AND(Projects!$G$14="Yes",9&gt;=Projects!$C$14,9&lt;Projects!$C$14+Projects!$D$14),Projects!$B$14*INDEX(Curves!$B$2:$AR$2,1,9-Projects!$C$14+1),0)+IF(AND(Projects!$G$15="Yes",9&gt;=Projects!$C$15,9&lt;Projects!$C$15+Projects!$D$15),Projects!$B$15*INDEX(Curves!$B$4:$AR$4,1,9-Projects!$C$15+1),0)+IF(AND(Projects!$G$16="Yes",9&gt;=Projects!$C$16,9&lt;Projects!$C$16+Projects!$D$16),Projects!$B$16*INDEX(Curves!$B$4:$AR$4,1,9-Projects!$C$16+1),0)+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,Actuals!N8)</f>
        <v>6982817.0374313621</v>
      </c>
      <c r="O8" s="3">
        <f>IF(ISBLANK(Actuals!O8),IF(AND(Projects!$G$2="Yes",10&gt;=Projects!$C$2,10&lt;Projects!$C$2+Projects!$D$2),Projects!$B$2*INDEX(Curves!$B$6:$AR$6,1,10-Projects!$C$2+1),0)+IF(AND(Projects!$G$3="Yes",10&gt;=Projects!$C$3,10&lt;Projects!$C$3+Projects!$D$3),Projects!$B$3*INDEX(Curves!$B$7:$AR$7,1,10-Projects!$C$3+1),0)+IF(AND(Projects!$G$4="Yes",10&gt;=Projects!$C$4,10&lt;Projects!$C$4+Projects!$D$4),Projects!$B$4*INDEX(Curves!$B$8:$AR$8,1,10-Projects!$C$4+1),0)+IF(AND(Projects!$G$5="Yes",10&gt;=Projects!$C$5,10&lt;Projects!$C$5+Projects!$D$5),Projects!$B$5*INDEX(Curves!$B$9:$AR$9,1,10-Projects!$C$5+1),0)+IF(AND(Projects!$G$6="Yes",10&gt;=Projects!$C$6,10&lt;Projects!$C$6+Projects!$D$6),Projects!$B$6*INDEX(Curves!$B$4:$AR$4,1,10-Projects!$C$6+1),0)+IF(AND(Projects!$G$7="Yes",10&gt;=Projects!$C$7,10&lt;Projects!$C$7+Projects!$D$7),Projects!$B$7*INDEX(Curves!$B$3:$AR$3,1,10-Projects!$C$7+1),0)+IF(AND(Projects!$G$8="Yes",10&gt;=Projects!$C$8,10&lt;Projects!$C$8+Projects!$D$8),Projects!$B$8*INDEX(Curves!$B$4:$AR$4,1,10-Projects!$C$8+1),0)+IF(AND(Projects!$G$9="Yes",10&gt;=Projects!$C$9,10&lt;Projects!$C$9+Projects!$D$9),Projects!$B$9*INDEX(Curves!$B$2:$AR$2,1,10-Projects!$C$9+1),0)+IF(AND(Projects!$G$10="Yes",10&gt;=Projects!$C$10,10&lt;Projects!$C$10+Projects!$D$10),Projects!$B$10*INDEX(Curves!$B$4:$AR$4,1,10-Projects!$C$10+1),0)+IF(AND(Projects!$G$11="Yes",10&gt;=Projects!$C$11,10&lt;Projects!$C$11+Projects!$D$11),Projects!$B$11*INDEX(Curves!$B$4:$AR$4,1,10-Projects!$C$11+1),0)+IF(AND(Projects!$G$12="Yes",10&gt;=Projects!$C$12,10&lt;Projects!$C$12+Projects!$D$12),Projects!$B$12*INDEX(Curves!$B$4:$AR$4,1,10-Projects!$C$12+1),0)+IF(AND(Projects!$G$13="Yes",10&gt;=Projects!$C$13,10&lt;Projects!$C$13+Projects!$D$13),Projects!$B$13*INDEX(Curves!$B$2:$AR$2,1,10-Projects!$C$13+1),0)+IF(AND(Projects!$G$14="Yes",10&gt;=Projects!$C$14,10&lt;Projects!$C$14+Projects!$D$14),Projects!$B$14*INDEX(Curves!$B$2:$AR$2,1,10-Projects!$C$14+1),0)+IF(AND(Projects!$G$15="Yes",10&gt;=Projects!$C$15,10&lt;Projects!$C$15+Projects!$D$15),Projects!$B$15*INDEX(Curves!$B$4:$AR$4,1,10-Projects!$C$15+1),0)+IF(AND(Projects!$G$16="Yes",10&gt;=Projects!$C$16,10&lt;Projects!$C$16+Projects!$D$16),Projects!$B$16*INDEX(Curves!$B$4:$AR$4,1,10-Projects!$C$16+1),0)+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,Actuals!O8)</f>
        <v>7170303.4392183255</v>
      </c>
      <c r="P8" s="3">
        <f>IF(ISBLANK(Actuals!P8),IF(AND(Projects!$G$2="Yes",11&gt;=Projects!$C$2,11&lt;Projects!$C$2+Projects!$D$2),Projects!$B$2*INDEX(Curves!$B$6:$AR$6,1,11-Projects!$C$2+1),0)+IF(AND(Projects!$G$3="Yes",11&gt;=Projects!$C$3,11&lt;Projects!$C$3+Projects!$D$3),Projects!$B$3*INDEX(Curves!$B$7:$AR$7,1,11-Projects!$C$3+1),0)+IF(AND(Projects!$G$4="Yes",11&gt;=Projects!$C$4,11&lt;Projects!$C$4+Projects!$D$4),Projects!$B$4*INDEX(Curves!$B$8:$AR$8,1,11-Projects!$C$4+1),0)+IF(AND(Projects!$G$5="Yes",11&gt;=Projects!$C$5,11&lt;Projects!$C$5+Projects!$D$5),Projects!$B$5*INDEX(Curves!$B$9:$AR$9,1,11-Projects!$C$5+1),0)+IF(AND(Projects!$G$6="Yes",11&gt;=Projects!$C$6,11&lt;Projects!$C$6+Projects!$D$6),Projects!$B$6*INDEX(Curves!$B$4:$AR$4,1,11-Projects!$C$6+1),0)+IF(AND(Projects!$G$7="Yes",11&gt;=Projects!$C$7,11&lt;Projects!$C$7+Projects!$D$7),Projects!$B$7*INDEX(Curves!$B$3:$AR$3,1,11-Projects!$C$7+1),0)+IF(AND(Projects!$G$8="Yes",11&gt;=Projects!$C$8,11&lt;Projects!$C$8+Projects!$D$8),Projects!$B$8*INDEX(Curves!$B$4:$AR$4,1,11-Projects!$C$8+1),0)+IF(AND(Projects!$G$9="Yes",11&gt;=Projects!$C$9,11&lt;Projects!$C$9+Projects!$D$9),Projects!$B$9*INDEX(Curves!$B$2:$AR$2,1,11-Projects!$C$9+1),0)+IF(AND(Projects!$G$10="Yes",11&gt;=Projects!$C$10,11&lt;Projects!$C$10+Projects!$D$10),Projects!$B$10*INDEX(Curves!$B$4:$AR$4,1,11-Projects!$C$10+1),0)+IF(AND(Projects!$G$11="Yes",11&gt;=Projects!$C$11,11&lt;Projects!$C$11+Projects!$D$11),Projects!$B$11*INDEX(Curves!$B$4:$AR$4,1,11-Projects!$C$11+1),0)+IF(AND(Projects!$G$12="Yes",11&gt;=Projects!$C$12,11&lt;Projects!$C$12+Projects!$D$12),Projects!$B$12*INDEX(Curves!$B$4:$AR$4,1,11-Projects!$C$12+1),0)+IF(AND(Projects!$G$13="Yes",11&gt;=Projects!$C$13,11&lt;Projects!$C$13+Projects!$D$13),Projects!$B$13*INDEX(Curves!$B$2:$AR$2,1,11-Projects!$C$13+1),0)+IF(AND(Projects!$G$14="Yes",11&gt;=Projects!$C$14,11&lt;Projects!$C$14+Projects!$D$14),Projects!$B$14*INDEX(Curves!$B$2:$AR$2,1,11-Projects!$C$14+1),0)+IF(AND(Projects!$G$15="Yes",11&gt;=Projects!$C$15,11&lt;Projects!$C$15+Projects!$D$15),Projects!$B$15*INDEX(Curves!$B$4:$AR$4,1,11-Projects!$C$15+1),0)+IF(AND(Projects!$G$16="Yes",11&gt;=Projects!$C$16,11&lt;Projects!$C$16+Projects!$D$16),Projects!$B$16*INDEX(Curves!$B$4:$AR$4,1,11-Projects!$C$16+1),0)+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,Actuals!P8)</f>
        <v>7301293.3837315356</v>
      </c>
      <c r="Q8" s="3">
        <f>IF(ISBLANK(Actuals!Q8),IF(AND(Projects!$G$2="Yes",12&gt;=Projects!$C$2,12&lt;Projects!$C$2+Projects!$D$2),Projects!$B$2*INDEX(Curves!$B$6:$AR$6,1,12-Projects!$C$2+1),0)+IF(AND(Projects!$G$3="Yes",12&gt;=Projects!$C$3,12&lt;Projects!$C$3+Projects!$D$3),Projects!$B$3*INDEX(Curves!$B$7:$AR$7,1,12-Projects!$C$3+1),0)+IF(AND(Projects!$G$4="Yes",12&gt;=Projects!$C$4,12&lt;Projects!$C$4+Projects!$D$4),Projects!$B$4*INDEX(Curves!$B$8:$AR$8,1,12-Projects!$C$4+1),0)+IF(AND(Projects!$G$5="Yes",12&gt;=Projects!$C$5,12&lt;Projects!$C$5+Projects!$D$5),Projects!$B$5*INDEX(Curves!$B$9:$AR$9,1,12-Projects!$C$5+1),0)+IF(AND(Projects!$G$6="Yes",12&gt;=Projects!$C$6,12&lt;Projects!$C$6+Projects!$D$6),Projects!$B$6*INDEX(Curves!$B$4:$AR$4,1,12-Projects!$C$6+1),0)+IF(AND(Projects!$G$7="Yes",12&gt;=Projects!$C$7,12&lt;Projects!$C$7+Projects!$D$7),Projects!$B$7*INDEX(Curves!$B$3:$AR$3,1,12-Projects!$C$7+1),0)+IF(AND(Projects!$G$8="Yes",12&gt;=Projects!$C$8,12&lt;Projects!$C$8+Projects!$D$8),Projects!$B$8*INDEX(Curves!$B$4:$AR$4,1,12-Projects!$C$8+1),0)+IF(AND(Projects!$G$9="Yes",12&gt;=Projects!$C$9,12&lt;Projects!$C$9+Projects!$D$9),Projects!$B$9*INDEX(Curves!$B$2:$AR$2,1,12-Projects!$C$9+1),0)+IF(AND(Projects!$G$10="Yes",12&gt;=Projects!$C$10,12&lt;Projects!$C$10+Projects!$D$10),Projects!$B$10*INDEX(Curves!$B$4:$AR$4,1,12-Projects!$C$10+1),0)+IF(AND(Projects!$G$11="Yes",12&gt;=Projects!$C$11,12&lt;Projects!$C$11+Projects!$D$11),Projects!$B$11*INDEX(Curves!$B$4:$AR$4,1,12-Projects!$C$11+1),0)+IF(AND(Projects!$G$12="Yes",12&gt;=Projects!$C$12,12&lt;Projects!$C$12+Projects!$D$12),Projects!$B$12*INDEX(Curves!$B$4:$AR$4,1,12-Projects!$C$12+1),0)+IF(AND(Projects!$G$13="Yes",12&gt;=Projects!$C$13,12&lt;Projects!$C$13+Projects!$D$13),Projects!$B$13*INDEX(Curves!$B$2:$AR$2,1,12-Projects!$C$13+1),0)+IF(AND(Projects!$G$14="Yes",12&gt;=Projects!$C$14,12&lt;Projects!$C$14+Projects!$D$14),Projects!$B$14*INDEX(Curves!$B$2:$AR$2,1,12-Projects!$C$14+1),0)+IF(AND(Projects!$G$15="Yes",12&gt;=Projects!$C$15,12&lt;Projects!$C$15+Projects!$D$15),Projects!$B$15*INDEX(Curves!$B$4:$AR$4,1,12-Projects!$C$15+1),0)+IF(AND(Projects!$G$16="Yes",12&gt;=Projects!$C$16,12&lt;Projects!$C$16+Projects!$D$16),Projects!$B$16*INDEX(Curves!$B$4:$AR$4,1,12-Projects!$C$16+1),0)+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,Actuals!Q8)</f>
        <v>7372857.5400518728</v>
      </c>
      <c r="R8" s="3">
        <f>IF(ISBLANK(Actuals!R8),IF(AND(Projects!$G$2="Yes",13&gt;=Projects!$C$2,13&lt;Projects!$C$2+Projects!$D$2),Projects!$B$2*INDEX(Curves!$B$6:$AR$6,1,13-Projects!$C$2+1),0)+IF(AND(Projects!$G$3="Yes",13&gt;=Projects!$C$3,13&lt;Projects!$C$3+Projects!$D$3),Projects!$B$3*INDEX(Curves!$B$7:$AR$7,1,13-Projects!$C$3+1),0)+IF(AND(Projects!$G$4="Yes",13&gt;=Projects!$C$4,13&lt;Projects!$C$4+Projects!$D$4),Projects!$B$4*INDEX(Curves!$B$8:$AR$8,1,13-Projects!$C$4+1),0)+IF(AND(Projects!$G$5="Yes",13&gt;=Projects!$C$5,13&lt;Projects!$C$5+Projects!$D$5),Projects!$B$5*INDEX(Curves!$B$9:$AR$9,1,13-Projects!$C$5+1),0)+IF(AND(Projects!$G$6="Yes",13&gt;=Projects!$C$6,13&lt;Projects!$C$6+Projects!$D$6),Projects!$B$6*INDEX(Curves!$B$4:$AR$4,1,13-Projects!$C$6+1),0)+IF(AND(Projects!$G$7="Yes",13&gt;=Projects!$C$7,13&lt;Projects!$C$7+Projects!$D$7),Projects!$B$7*INDEX(Curves!$B$3:$AR$3,1,13-Projects!$C$7+1),0)+IF(AND(Projects!$G$8="Yes",13&gt;=Projects!$C$8,13&lt;Projects!$C$8+Projects!$D$8),Projects!$B$8*INDEX(Curves!$B$4:$AR$4,1,13-Projects!$C$8+1),0)+IF(AND(Projects!$G$9="Yes",13&gt;=Projects!$C$9,13&lt;Projects!$C$9+Projects!$D$9),Projects!$B$9*INDEX(Curves!$B$2:$AR$2,1,13-Projects!$C$9+1),0)+IF(AND(Projects!$G$10="Yes",13&gt;=Projects!$C$10,13&lt;Projects!$C$10+Projects!$D$10),Projects!$B$10*INDEX(Curves!$B$4:$AR$4,1,13-Projects!$C$10+1),0)+IF(AND(Projects!$G$11="Yes",13&gt;=Projects!$C$11,13&lt;Projects!$C$11+Projects!$D$11),Projects!$B$11*INDEX(Curves!$B$4:$AR$4,1,13-Projects!$C$11+1),0)+IF(AND(Projects!$G$12="Yes",13&gt;=Projects!$C$12,13&lt;Projects!$C$12+Projects!$D$12),Projects!$B$12*INDEX(Curves!$B$4:$AR$4,1,13-Projects!$C$12+1),0)+IF(AND(Projects!$G$13="Yes",13&gt;=Projects!$C$13,13&lt;Projects!$C$13+Projects!$D$13),Projects!$B$13*INDEX(Curves!$B$2:$AR$2,1,13-Projects!$C$13+1),0)+IF(AND(Projects!$G$14="Yes",13&gt;=Projects!$C$14,13&lt;Projects!$C$14+Projects!$D$14),Projects!$B$14*INDEX(Curves!$B$2:$AR$2,1,13-Projects!$C$14+1),0)+IF(AND(Projects!$G$15="Yes",13&gt;=Projects!$C$15,13&lt;Projects!$C$15+Projects!$D$15),Projects!$B$15*INDEX(Curves!$B$4:$AR$4,1,13-Projects!$C$15+1),0)+IF(AND(Projects!$G$16="Yes",13&gt;=Projects!$C$16,13&lt;Projects!$C$16+Projects!$D$16),Projects!$B$16*INDEX(Curves!$B$4:$AR$4,1,13-Projects!$C$16+1),0)+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,Actuals!R8)</f>
        <v>8110312.2309200931</v>
      </c>
      <c r="S8" s="3">
        <f>IF(ISBLANK(Actuals!S8),IF(AND(Projects!$G$2="Yes",14&gt;=Projects!$C$2,14&lt;Projects!$C$2+Projects!$D$2),Projects!$B$2*INDEX(Curves!$B$6:$AR$6,1,14-Projects!$C$2+1),0)+IF(AND(Projects!$G$3="Yes",14&gt;=Projects!$C$3,14&lt;Projects!$C$3+Projects!$D$3),Projects!$B$3*INDEX(Curves!$B$7:$AR$7,1,14-Projects!$C$3+1),0)+IF(AND(Projects!$G$4="Yes",14&gt;=Projects!$C$4,14&lt;Projects!$C$4+Projects!$D$4),Projects!$B$4*INDEX(Curves!$B$8:$AR$8,1,14-Projects!$C$4+1),0)+IF(AND(Projects!$G$5="Yes",14&gt;=Projects!$C$5,14&lt;Projects!$C$5+Projects!$D$5),Projects!$B$5*INDEX(Curves!$B$9:$AR$9,1,14-Projects!$C$5+1),0)+IF(AND(Projects!$G$6="Yes",14&gt;=Projects!$C$6,14&lt;Projects!$C$6+Projects!$D$6),Projects!$B$6*INDEX(Curves!$B$4:$AR$4,1,14-Projects!$C$6+1),0)+IF(AND(Projects!$G$7="Yes",14&gt;=Projects!$C$7,14&lt;Projects!$C$7+Projects!$D$7),Projects!$B$7*INDEX(Curves!$B$3:$AR$3,1,14-Projects!$C$7+1),0)+IF(AND(Projects!$G$8="Yes",14&gt;=Projects!$C$8,14&lt;Projects!$C$8+Projects!$D$8),Projects!$B$8*INDEX(Curves!$B$4:$AR$4,1,14-Projects!$C$8+1),0)+IF(AND(Projects!$G$9="Yes",14&gt;=Projects!$C$9,14&lt;Projects!$C$9+Projects!$D$9),Projects!$B$9*INDEX(Curves!$B$2:$AR$2,1,14-Projects!$C$9+1),0)+IF(AND(Projects!$G$10="Yes",14&gt;=Projects!$C$10,14&lt;Projects!$C$10+Projects!$D$10),Projects!$B$10*INDEX(Curves!$B$4:$AR$4,1,14-Projects!$C$10+1),0)+IF(AND(Projects!$G$11="Yes",14&gt;=Projects!$C$11,14&lt;Projects!$C$11+Projects!$D$11),Projects!$B$11*INDEX(Curves!$B$4:$AR$4,1,14-Projects!$C$11+1),0)+IF(AND(Projects!$G$12="Yes",14&gt;=Projects!$C$12,14&lt;Projects!$C$12+Projects!$D$12),Projects!$B$12*INDEX(Curves!$B$4:$AR$4,1,14-Projects!$C$12+1),0)+IF(AND(Projects!$G$13="Yes",14&gt;=Projects!$C$13,14&lt;Projects!$C$13+Projects!$D$13),Projects!$B$13*INDEX(Curves!$B$2:$AR$2,1,14-Projects!$C$13+1),0)+IF(AND(Projects!$G$14="Yes",14&gt;=Projects!$C$14,14&lt;Projects!$C$14+Projects!$D$14),Projects!$B$14*INDEX(Curves!$B$2:$AR$2,1,14-Projects!$C$14+1),0)+IF(AND(Projects!$G$15="Yes",14&gt;=Projects!$C$15,14&lt;Projects!$C$15+Projects!$D$15),Projects!$B$15*INDEX(Curves!$B$4:$AR$4,1,14-Projects!$C$15+1),0)+IF(AND(Projects!$G$16="Yes",14&gt;=Projects!$C$16,14&lt;Projects!$C$16+Projects!$D$16),Projects!$B$16*INDEX(Curves!$B$4:$AR$4,1,14-Projects!$C$16+1),0)+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,Actuals!S8)</f>
        <v>8161675.8743467145</v>
      </c>
      <c r="T8" s="3">
        <f>IF(ISBLANK(Actuals!T8),IF(AND(Projects!$G$2="Yes",15&gt;=Projects!$C$2,15&lt;Projects!$C$2+Projects!$D$2),Projects!$B$2*INDEX(Curves!$B$6:$AR$6,1,15-Projects!$C$2+1),0)+IF(AND(Projects!$G$3="Yes",15&gt;=Projects!$C$3,15&lt;Projects!$C$3+Projects!$D$3),Projects!$B$3*INDEX(Curves!$B$7:$AR$7,1,15-Projects!$C$3+1),0)+IF(AND(Projects!$G$4="Yes",15&gt;=Projects!$C$4,15&lt;Projects!$C$4+Projects!$D$4),Projects!$B$4*INDEX(Curves!$B$8:$AR$8,1,15-Projects!$C$4+1),0)+IF(AND(Projects!$G$5="Yes",15&gt;=Projects!$C$5,15&lt;Projects!$C$5+Projects!$D$5),Projects!$B$5*INDEX(Curves!$B$9:$AR$9,1,15-Projects!$C$5+1),0)+IF(AND(Projects!$G$6="Yes",15&gt;=Projects!$C$6,15&lt;Projects!$C$6+Projects!$D$6),Projects!$B$6*INDEX(Curves!$B$4:$AR$4,1,15-Projects!$C$6+1),0)+IF(AND(Projects!$G$7="Yes",15&gt;=Projects!$C$7,15&lt;Projects!$C$7+Projects!$D$7),Projects!$B$7*INDEX(Curves!$B$3:$AR$3,1,15-Projects!$C$7+1),0)+IF(AND(Projects!$G$8="Yes",15&gt;=Projects!$C$8,15&lt;Projects!$C$8+Projects!$D$8),Projects!$B$8*INDEX(Curves!$B$4:$AR$4,1,15-Projects!$C$8+1),0)+IF(AND(Projects!$G$9="Yes",15&gt;=Projects!$C$9,15&lt;Projects!$C$9+Projects!$D$9),Projects!$B$9*INDEX(Curves!$B$2:$AR$2,1,15-Projects!$C$9+1),0)+IF(AND(Projects!$G$10="Yes",15&gt;=Projects!$C$10,15&lt;Projects!$C$10+Projects!$D$10),Projects!$B$10*INDEX(Curves!$B$4:$AR$4,1,15-Projects!$C$10+1),0)+IF(AND(Projects!$G$11="Yes",15&gt;=Projects!$C$11,15&lt;Projects!$C$11+Projects!$D$11),Projects!$B$11*INDEX(Curves!$B$4:$AR$4,1,15-Projects!$C$11+1),0)+IF(AND(Projects!$G$12="Yes",15&gt;=Projects!$C$12,15&lt;Projects!$C$12+Projects!$D$12),Projects!$B$12*INDEX(Curves!$B$4:$AR$4,1,15-Projects!$C$12+1),0)+IF(AND(Projects!$G$13="Yes",15&gt;=Projects!$C$13,15&lt;Projects!$C$13+Projects!$D$13),Projects!$B$13*INDEX(Curves!$B$2:$AR$2,1,15-Projects!$C$13+1),0)+IF(AND(Projects!$G$14="Yes",15&gt;=Projects!$C$14,15&lt;Projects!$C$14+Projects!$D$14),Projects!$B$14*INDEX(Curves!$B$2:$AR$2,1,15-Projects!$C$14+1),0)+IF(AND(Projects!$G$15="Yes",15&gt;=Projects!$C$15,15&lt;Projects!$C$15+Projects!$D$15),Projects!$B$15*INDEX(Curves!$B$4:$AR$4,1,15-Projects!$C$15+1),0)+IF(AND(Projects!$G$16="Yes",15&gt;=Projects!$C$16,15&lt;Projects!$C$16+Projects!$D$16),Projects!$B$16*INDEX(Curves!$B$4:$AR$4,1,15-Projects!$C$16+1),0)+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,Actuals!T8)</f>
        <v>8150103.6855197214</v>
      </c>
      <c r="U8" s="3">
        <f>IF(ISBLANK(Actuals!U8),IF(AND(Projects!$G$2="Yes",16&gt;=Projects!$C$2,16&lt;Projects!$C$2+Projects!$D$2),Projects!$B$2*INDEX(Curves!$B$6:$AR$6,1,16-Projects!$C$2+1),0)+IF(AND(Projects!$G$3="Yes",16&gt;=Projects!$C$3,16&lt;Projects!$C$3+Projects!$D$3),Projects!$B$3*INDEX(Curves!$B$7:$AR$7,1,16-Projects!$C$3+1),0)+IF(AND(Projects!$G$4="Yes",16&gt;=Projects!$C$4,16&lt;Projects!$C$4+Projects!$D$4),Projects!$B$4*INDEX(Curves!$B$8:$AR$8,1,16-Projects!$C$4+1),0)+IF(AND(Projects!$G$5="Yes",16&gt;=Projects!$C$5,16&lt;Projects!$C$5+Projects!$D$5),Projects!$B$5*INDEX(Curves!$B$9:$AR$9,1,16-Projects!$C$5+1),0)+IF(AND(Projects!$G$6="Yes",16&gt;=Projects!$C$6,16&lt;Projects!$C$6+Projects!$D$6),Projects!$B$6*INDEX(Curves!$B$4:$AR$4,1,16-Projects!$C$6+1),0)+IF(AND(Projects!$G$7="Yes",16&gt;=Projects!$C$7,16&lt;Projects!$C$7+Projects!$D$7),Projects!$B$7*INDEX(Curves!$B$3:$AR$3,1,16-Projects!$C$7+1),0)+IF(AND(Projects!$G$8="Yes",16&gt;=Projects!$C$8,16&lt;Projects!$C$8+Projects!$D$8),Projects!$B$8*INDEX(Curves!$B$4:$AR$4,1,16-Projects!$C$8+1),0)+IF(AND(Projects!$G$9="Yes",16&gt;=Projects!$C$9,16&lt;Projects!$C$9+Projects!$D$9),Projects!$B$9*INDEX(Curves!$B$2:$AR$2,1,16-Projects!$C$9+1),0)+IF(AND(Projects!$G$10="Yes",16&gt;=Projects!$C$10,16&lt;Projects!$C$10+Projects!$D$10),Projects!$B$10*INDEX(Curves!$B$4:$AR$4,1,16-Projects!$C$10+1),0)+IF(AND(Projects!$G$11="Yes",16&gt;=Projects!$C$11,16&lt;Projects!$C$11+Projects!$D$11),Projects!$B$11*INDEX(Curves!$B$4:$AR$4,1,16-Projects!$C$11+1),0)+IF(AND(Projects!$G$12="Yes",16&gt;=Projects!$C$12,16&lt;Projects!$C$12+Projects!$D$12),Projects!$B$12*INDEX(Curves!$B$4:$AR$4,1,16-Projects!$C$12+1),0)+IF(AND(Projects!$G$13="Yes",16&gt;=Projects!$C$13,16&lt;Projects!$C$13+Projects!$D$13),Projects!$B$13*INDEX(Curves!$B$2:$AR$2,1,16-Projects!$C$13+1),0)+IF(AND(Projects!$G$14="Yes",16&gt;=Projects!$C$14,16&lt;Projects!$C$14+Projects!$D$14),Projects!$B$14*INDEX(Curves!$B$2:$AR$2,1,16-Projects!$C$14+1),0)+IF(AND(Projects!$G$15="Yes",16&gt;=Projects!$C$15,16&lt;Projects!$C$15+Projects!$D$15),Projects!$B$15*INDEX(Curves!$B$4:$AR$4,1,16-Projects!$C$15+1),0)+IF(AND(Projects!$G$16="Yes",16&gt;=Projects!$C$16,16&lt;Projects!$C$16+Projects!$D$16),Projects!$B$16*INDEX(Curves!$B$4:$AR$4,1,16-Projects!$C$16+1),0)+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,Actuals!U8)</f>
        <v>7426580.2764052832</v>
      </c>
      <c r="V8" s="3">
        <f>IF(ISBLANK(Actuals!V8),IF(AND(Projects!$G$2="Yes",17&gt;=Projects!$C$2,17&lt;Projects!$C$2+Projects!$D$2),Projects!$B$2*INDEX(Curves!$B$6:$AR$6,1,17-Projects!$C$2+1),0)+IF(AND(Projects!$G$3="Yes",17&gt;=Projects!$C$3,17&lt;Projects!$C$3+Projects!$D$3),Projects!$B$3*INDEX(Curves!$B$7:$AR$7,1,17-Projects!$C$3+1),0)+IF(AND(Projects!$G$4="Yes",17&gt;=Projects!$C$4,17&lt;Projects!$C$4+Projects!$D$4),Projects!$B$4*INDEX(Curves!$B$8:$AR$8,1,17-Projects!$C$4+1),0)+IF(AND(Projects!$G$5="Yes",17&gt;=Projects!$C$5,17&lt;Projects!$C$5+Projects!$D$5),Projects!$B$5*INDEX(Curves!$B$9:$AR$9,1,17-Projects!$C$5+1),0)+IF(AND(Projects!$G$6="Yes",17&gt;=Projects!$C$6,17&lt;Projects!$C$6+Projects!$D$6),Projects!$B$6*INDEX(Curves!$B$4:$AR$4,1,17-Projects!$C$6+1),0)+IF(AND(Projects!$G$7="Yes",17&gt;=Projects!$C$7,17&lt;Projects!$C$7+Projects!$D$7),Projects!$B$7*INDEX(Curves!$B$3:$AR$3,1,17-Projects!$C$7+1),0)+IF(AND(Projects!$G$8="Yes",17&gt;=Projects!$C$8,17&lt;Projects!$C$8+Projects!$D$8),Projects!$B$8*INDEX(Curves!$B$4:$AR$4,1,17-Projects!$C$8+1),0)+IF(AND(Projects!$G$9="Yes",17&gt;=Projects!$C$9,17&lt;Projects!$C$9+Projects!$D$9),Projects!$B$9*INDEX(Curves!$B$2:$AR$2,1,17-Projects!$C$9+1),0)+IF(AND(Projects!$G$10="Yes",17&gt;=Projects!$C$10,17&lt;Projects!$C$10+Projects!$D$10),Projects!$B$10*INDEX(Curves!$B$4:$AR$4,1,17-Projects!$C$10+1),0)+IF(AND(Projects!$G$11="Yes",17&gt;=Projects!$C$11,17&lt;Projects!$C$11+Projects!$D$11),Projects!$B$11*INDEX(Curves!$B$4:$AR$4,1,17-Projects!$C$11+1),0)+IF(AND(Projects!$G$12="Yes",17&gt;=Projects!$C$12,17&lt;Projects!$C$12+Projects!$D$12),Projects!$B$12*INDEX(Curves!$B$4:$AR$4,1,17-Projects!$C$12+1),0)+IF(AND(Projects!$G$13="Yes",17&gt;=Projects!$C$13,17&lt;Projects!$C$13+Projects!$D$13),Projects!$B$13*INDEX(Curves!$B$2:$AR$2,1,17-Projects!$C$13+1),0)+IF(AND(Projects!$G$14="Yes",17&gt;=Projects!$C$14,17&lt;Projects!$C$14+Projects!$D$14),Projects!$B$14*INDEX(Curves!$B$2:$AR$2,1,17-Projects!$C$14+1),0)+IF(AND(Projects!$G$15="Yes",17&gt;=Projects!$C$15,17&lt;Projects!$C$15+Projects!$D$15),Projects!$B$15*INDEX(Curves!$B$4:$AR$4,1,17-Projects!$C$15+1),0)+IF(AND(Projects!$G$16="Yes",17&gt;=Projects!$C$16,17&lt;Projects!$C$16+Projects!$D$16),Projects!$B$16*INDEX(Curves!$B$4:$AR$4,1,17-Projects!$C$16+1),0)+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,Actuals!V8)</f>
        <v>6953679.6521709999</v>
      </c>
      <c r="W8" s="3">
        <f>IF(ISBLANK(Actuals!W8),IF(AND(Projects!$G$2="Yes",18&gt;=Projects!$C$2,18&lt;Projects!$C$2+Projects!$D$2),Projects!$B$2*INDEX(Curves!$B$6:$AR$6,1,18-Projects!$C$2+1),0)+IF(AND(Projects!$G$3="Yes",18&gt;=Projects!$C$3,18&lt;Projects!$C$3+Projects!$D$3),Projects!$B$3*INDEX(Curves!$B$7:$AR$7,1,18-Projects!$C$3+1),0)+IF(AND(Projects!$G$4="Yes",18&gt;=Projects!$C$4,18&lt;Projects!$C$4+Projects!$D$4),Projects!$B$4*INDEX(Curves!$B$8:$AR$8,1,18-Projects!$C$4+1),0)+IF(AND(Projects!$G$5="Yes",18&gt;=Projects!$C$5,18&lt;Projects!$C$5+Projects!$D$5),Projects!$B$5*INDEX(Curves!$B$9:$AR$9,1,18-Projects!$C$5+1),0)+IF(AND(Projects!$G$6="Yes",18&gt;=Projects!$C$6,18&lt;Projects!$C$6+Projects!$D$6),Projects!$B$6*INDEX(Curves!$B$4:$AR$4,1,18-Projects!$C$6+1),0)+IF(AND(Projects!$G$7="Yes",18&gt;=Projects!$C$7,18&lt;Projects!$C$7+Projects!$D$7),Projects!$B$7*INDEX(Curves!$B$3:$AR$3,1,18-Projects!$C$7+1),0)+IF(AND(Projects!$G$8="Yes",18&gt;=Projects!$C$8,18&lt;Projects!$C$8+Projects!$D$8),Projects!$B$8*INDEX(Curves!$B$4:$AR$4,1,18-Projects!$C$8+1),0)+IF(AND(Projects!$G$9="Yes",18&gt;=Projects!$C$9,18&lt;Projects!$C$9+Projects!$D$9),Projects!$B$9*INDEX(Curves!$B$2:$AR$2,1,18-Projects!$C$9+1),0)+IF(AND(Projects!$G$10="Yes",18&gt;=Projects!$C$10,18&lt;Projects!$C$10+Projects!$D$10),Projects!$B$10*INDEX(Curves!$B$4:$AR$4,1,18-Projects!$C$10+1),0)+IF(AND(Projects!$G$11="Yes",18&gt;=Projects!$C$11,18&lt;Projects!$C$11+Projects!$D$11),Projects!$B$11*INDEX(Curves!$B$4:$AR$4,1,18-Projects!$C$11+1),0)+IF(AND(Projects!$G$12="Yes",18&gt;=Projects!$C$12,18&lt;Projects!$C$12+Projects!$D$12),Projects!$B$12*INDEX(Curves!$B$4:$AR$4,1,18-Projects!$C$12+1),0)+IF(AND(Projects!$G$13="Yes",18&gt;=Projects!$C$13,18&lt;Projects!$C$13+Projects!$D$13),Projects!$B$13*INDEX(Curves!$B$2:$AR$2,1,18-Projects!$C$13+1),0)+IF(AND(Projects!$G$14="Yes",18&gt;=Projects!$C$14,18&lt;Projects!$C$14+Projects!$D$14),Projects!$B$14*INDEX(Curves!$B$2:$AR$2,1,18-Projects!$C$14+1),0)+IF(AND(Projects!$G$15="Yes",18&gt;=Projects!$C$15,18&lt;Projects!$C$15+Projects!$D$15),Projects!$B$15*INDEX(Curves!$B$4:$AR$4,1,18-Projects!$C$15+1),0)+IF(AND(Projects!$G$16="Yes",18&gt;=Projects!$C$16,18&lt;Projects!$C$16+Projects!$D$16),Projects!$B$16*INDEX(Curves!$B$4:$AR$4,1,18-Projects!$C$16+1),0)+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,Actuals!W8)</f>
        <v>6952865.2381719993</v>
      </c>
      <c r="X8" s="3">
        <f>IF(ISBLANK(Actuals!X8),IF(AND(Projects!$G$2="Yes",19&gt;=Projects!$C$2,19&lt;Projects!$C$2+Projects!$D$2),Projects!$B$2*INDEX(Curves!$B$6:$AR$6,1,19-Projects!$C$2+1),0)+IF(AND(Projects!$G$3="Yes",19&gt;=Projects!$C$3,19&lt;Projects!$C$3+Projects!$D$3),Projects!$B$3*INDEX(Curves!$B$7:$AR$7,1,19-Projects!$C$3+1),0)+IF(AND(Projects!$G$4="Yes",19&gt;=Projects!$C$4,19&lt;Projects!$C$4+Projects!$D$4),Projects!$B$4*INDEX(Curves!$B$8:$AR$8,1,19-Projects!$C$4+1),0)+IF(AND(Projects!$G$5="Yes",19&gt;=Projects!$C$5,19&lt;Projects!$C$5+Projects!$D$5),Projects!$B$5*INDEX(Curves!$B$9:$AR$9,1,19-Projects!$C$5+1),0)+IF(AND(Projects!$G$6="Yes",19&gt;=Projects!$C$6,19&lt;Projects!$C$6+Projects!$D$6),Projects!$B$6*INDEX(Curves!$B$4:$AR$4,1,19-Projects!$C$6+1),0)+IF(AND(Projects!$G$7="Yes",19&gt;=Projects!$C$7,19&lt;Projects!$C$7+Projects!$D$7),Projects!$B$7*INDEX(Curves!$B$3:$AR$3,1,19-Projects!$C$7+1),0)+IF(AND(Projects!$G$8="Yes",19&gt;=Projects!$C$8,19&lt;Projects!$C$8+Projects!$D$8),Projects!$B$8*INDEX(Curves!$B$4:$AR$4,1,19-Projects!$C$8+1),0)+IF(AND(Projects!$G$9="Yes",19&gt;=Projects!$C$9,19&lt;Projects!$C$9+Projects!$D$9),Projects!$B$9*INDEX(Curves!$B$2:$AR$2,1,19-Projects!$C$9+1),0)+IF(AND(Projects!$G$10="Yes",19&gt;=Projects!$C$10,19&lt;Projects!$C$10+Projects!$D$10),Projects!$B$10*INDEX(Curves!$B$4:$AR$4,1,19-Projects!$C$10+1),0)+IF(AND(Projects!$G$11="Yes",19&gt;=Projects!$C$11,19&lt;Projects!$C$11+Projects!$D$11),Projects!$B$11*INDEX(Curves!$B$4:$AR$4,1,19-Projects!$C$11+1),0)+IF(AND(Projects!$G$12="Yes",19&gt;=Projects!$C$12,19&lt;Projects!$C$12+Projects!$D$12),Projects!$B$12*INDEX(Curves!$B$4:$AR$4,1,19-Projects!$C$12+1),0)+IF(AND(Projects!$G$13="Yes",19&gt;=Projects!$C$13,19&lt;Projects!$C$13+Projects!$D$13),Projects!$B$13*INDEX(Curves!$B$2:$AR$2,1,19-Projects!$C$13+1),0)+IF(AND(Projects!$G$14="Yes",19&gt;=Projects!$C$14,19&lt;Projects!$C$14+Projects!$D$14),Projects!$B$14*INDEX(Curves!$B$2:$AR$2,1,19-Projects!$C$14+1),0)+IF(AND(Projects!$G$15="Yes",19&gt;=Projects!$C$15,19&lt;Projects!$C$15+Projects!$D$15),Projects!$B$15*INDEX(Curves!$B$4:$AR$4,1,19-Projects!$C$15+1),0)+IF(AND(Projects!$G$16="Yes",19&gt;=Projects!$C$16,19&lt;Projects!$C$16+Projects!$D$16),Projects!$B$16*INDEX(Curves!$B$4:$AR$4,1,19-Projects!$C$16+1),0)+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,Actuals!X8)</f>
        <v>6855721.4881119998</v>
      </c>
      <c r="Y8" s="3">
        <f>IF(ISBLANK(Actuals!Y8),IF(AND(Projects!$G$2="Yes",20&gt;=Projects!$C$2,20&lt;Projects!$C$2+Projects!$D$2),Projects!$B$2*INDEX(Curves!$B$6:$AR$6,1,20-Projects!$C$2+1),0)+IF(AND(Projects!$G$3="Yes",20&gt;=Projects!$C$3,20&lt;Projects!$C$3+Projects!$D$3),Projects!$B$3*INDEX(Curves!$B$7:$AR$7,1,20-Projects!$C$3+1),0)+IF(AND(Projects!$G$4="Yes",20&gt;=Projects!$C$4,20&lt;Projects!$C$4+Projects!$D$4),Projects!$B$4*INDEX(Curves!$B$8:$AR$8,1,20-Projects!$C$4+1),0)+IF(AND(Projects!$G$5="Yes",20&gt;=Projects!$C$5,20&lt;Projects!$C$5+Projects!$D$5),Projects!$B$5*INDEX(Curves!$B$9:$AR$9,1,20-Projects!$C$5+1),0)+IF(AND(Projects!$G$6="Yes",20&gt;=Projects!$C$6,20&lt;Projects!$C$6+Projects!$D$6),Projects!$B$6*INDEX(Curves!$B$4:$AR$4,1,20-Projects!$C$6+1),0)+IF(AND(Projects!$G$7="Yes",20&gt;=Projects!$C$7,20&lt;Projects!$C$7+Projects!$D$7),Projects!$B$7*INDEX(Curves!$B$3:$AR$3,1,20-Projects!$C$7+1),0)+IF(AND(Projects!$G$8="Yes",20&gt;=Projects!$C$8,20&lt;Projects!$C$8+Projects!$D$8),Projects!$B$8*INDEX(Curves!$B$4:$AR$4,1,20-Projects!$C$8+1),0)+IF(AND(Projects!$G$9="Yes",20&gt;=Projects!$C$9,20&lt;Projects!$C$9+Projects!$D$9),Projects!$B$9*INDEX(Curves!$B$2:$AR$2,1,20-Projects!$C$9+1),0)+IF(AND(Projects!$G$10="Yes",20&gt;=Projects!$C$10,20&lt;Projects!$C$10+Projects!$D$10),Projects!$B$10*INDEX(Curves!$B$4:$AR$4,1,20-Projects!$C$10+1),0)+IF(AND(Projects!$G$11="Yes",20&gt;=Projects!$C$11,20&lt;Projects!$C$11+Projects!$D$11),Projects!$B$11*INDEX(Curves!$B$4:$AR$4,1,20-Projects!$C$11+1),0)+IF(AND(Projects!$G$12="Yes",20&gt;=Projects!$C$12,20&lt;Projects!$C$12+Projects!$D$12),Projects!$B$12*INDEX(Curves!$B$4:$AR$4,1,20-Projects!$C$12+1),0)+IF(AND(Projects!$G$13="Yes",20&gt;=Projects!$C$13,20&lt;Projects!$C$13+Projects!$D$13),Projects!$B$13*INDEX(Curves!$B$2:$AR$2,1,20-Projects!$C$13+1),0)+IF(AND(Projects!$G$14="Yes",20&gt;=Projects!$C$14,20&lt;Projects!$C$14+Projects!$D$14),Projects!$B$14*INDEX(Curves!$B$2:$AR$2,1,20-Projects!$C$14+1),0)+IF(AND(Projects!$G$15="Yes",20&gt;=Projects!$C$15,20&lt;Projects!$C$15+Projects!$D$15),Projects!$B$15*INDEX(Curves!$B$4:$AR$4,1,20-Projects!$C$15+1),0)+IF(AND(Projects!$G$16="Yes",20&gt;=Projects!$C$16,20&lt;Projects!$C$16+Projects!$D$16),Projects!$B$16*INDEX(Curves!$B$4:$AR$4,1,20-Projects!$C$16+1),0)+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,Actuals!Y8)</f>
        <v>6596426.2375599993</v>
      </c>
      <c r="Z8" s="3">
        <f>IF(ISBLANK(Actuals!Z8),IF(AND(Projects!$G$2="Yes",21&gt;=Projects!$C$2,21&lt;Projects!$C$2+Projects!$D$2),Projects!$B$2*INDEX(Curves!$B$6:$AR$6,1,21-Projects!$C$2+1),0)+IF(AND(Projects!$G$3="Yes",21&gt;=Projects!$C$3,21&lt;Projects!$C$3+Projects!$D$3),Projects!$B$3*INDEX(Curves!$B$7:$AR$7,1,21-Projects!$C$3+1),0)+IF(AND(Projects!$G$4="Yes",21&gt;=Projects!$C$4,21&lt;Projects!$C$4+Projects!$D$4),Projects!$B$4*INDEX(Curves!$B$8:$AR$8,1,21-Projects!$C$4+1),0)+IF(AND(Projects!$G$5="Yes",21&gt;=Projects!$C$5,21&lt;Projects!$C$5+Projects!$D$5),Projects!$B$5*INDEX(Curves!$B$9:$AR$9,1,21-Projects!$C$5+1),0)+IF(AND(Projects!$G$6="Yes",21&gt;=Projects!$C$6,21&lt;Projects!$C$6+Projects!$D$6),Projects!$B$6*INDEX(Curves!$B$4:$AR$4,1,21-Projects!$C$6+1),0)+IF(AND(Projects!$G$7="Yes",21&gt;=Projects!$C$7,21&lt;Projects!$C$7+Projects!$D$7),Projects!$B$7*INDEX(Curves!$B$3:$AR$3,1,21-Projects!$C$7+1),0)+IF(AND(Projects!$G$8="Yes",21&gt;=Projects!$C$8,21&lt;Projects!$C$8+Projects!$D$8),Projects!$B$8*INDEX(Curves!$B$4:$AR$4,1,21-Projects!$C$8+1),0)+IF(AND(Projects!$G$9="Yes",21&gt;=Projects!$C$9,21&lt;Projects!$C$9+Projects!$D$9),Projects!$B$9*INDEX(Curves!$B$2:$AR$2,1,21-Projects!$C$9+1),0)+IF(AND(Projects!$G$10="Yes",21&gt;=Projects!$C$10,21&lt;Projects!$C$10+Projects!$D$10),Projects!$B$10*INDEX(Curves!$B$4:$AR$4,1,21-Projects!$C$10+1),0)+IF(AND(Projects!$G$11="Yes",21&gt;=Projects!$C$11,21&lt;Projects!$C$11+Projects!$D$11),Projects!$B$11*INDEX(Curves!$B$4:$AR$4,1,21-Projects!$C$11+1),0)+IF(AND(Projects!$G$12="Yes",21&gt;=Projects!$C$12,21&lt;Projects!$C$12+Projects!$D$12),Projects!$B$12*INDEX(Curves!$B$4:$AR$4,1,21-Projects!$C$12+1),0)+IF(AND(Projects!$G$13="Yes",21&gt;=Projects!$C$13,21&lt;Projects!$C$13+Projects!$D$13),Projects!$B$13*INDEX(Curves!$B$2:$AR$2,1,21-Projects!$C$13+1),0)+IF(AND(Projects!$G$14="Yes",21&gt;=Projects!$C$14,21&lt;Projects!$C$14+Projects!$D$14),Projects!$B$14*INDEX(Curves!$B$2:$AR$2,1,21-Projects!$C$14+1),0)+IF(AND(Projects!$G$15="Yes",21&gt;=Projects!$C$15,21&lt;Projects!$C$15+Projects!$D$15),Projects!$B$15*INDEX(Curves!$B$4:$AR$4,1,21-Projects!$C$15+1),0)+IF(AND(Projects!$G$16="Yes",21&gt;=Projects!$C$16,21&lt;Projects!$C$16+Projects!$D$16),Projects!$B$16*INDEX(Curves!$B$4:$AR$4,1,21-Projects!$C$16+1),0)+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,Actuals!Z8)</f>
        <v>6358183.9050899995</v>
      </c>
      <c r="AA8" s="3">
        <f>IF(ISBLANK(Actuals!AA8),IF(AND(Projects!$G$2="Yes",22&gt;=Projects!$C$2,22&lt;Projects!$C$2+Projects!$D$2),Projects!$B$2*INDEX(Curves!$B$6:$AR$6,1,22-Projects!$C$2+1),0)+IF(AND(Projects!$G$3="Yes",22&gt;=Projects!$C$3,22&lt;Projects!$C$3+Projects!$D$3),Projects!$B$3*INDEX(Curves!$B$7:$AR$7,1,22-Projects!$C$3+1),0)+IF(AND(Projects!$G$4="Yes",22&gt;=Projects!$C$4,22&lt;Projects!$C$4+Projects!$D$4),Projects!$B$4*INDEX(Curves!$B$8:$AR$8,1,22-Projects!$C$4+1),0)+IF(AND(Projects!$G$5="Yes",22&gt;=Projects!$C$5,22&lt;Projects!$C$5+Projects!$D$5),Projects!$B$5*INDEX(Curves!$B$9:$AR$9,1,22-Projects!$C$5+1),0)+IF(AND(Projects!$G$6="Yes",22&gt;=Projects!$C$6,22&lt;Projects!$C$6+Projects!$D$6),Projects!$B$6*INDEX(Curves!$B$4:$AR$4,1,22-Projects!$C$6+1),0)+IF(AND(Projects!$G$7="Yes",22&gt;=Projects!$C$7,22&lt;Projects!$C$7+Projects!$D$7),Projects!$B$7*INDEX(Curves!$B$3:$AR$3,1,22-Projects!$C$7+1),0)+IF(AND(Projects!$G$8="Yes",22&gt;=Projects!$C$8,22&lt;Projects!$C$8+Projects!$D$8),Projects!$B$8*INDEX(Curves!$B$4:$AR$4,1,22-Projects!$C$8+1),0)+IF(AND(Projects!$G$9="Yes",22&gt;=Projects!$C$9,22&lt;Projects!$C$9+Projects!$D$9),Projects!$B$9*INDEX(Curves!$B$2:$AR$2,1,22-Projects!$C$9+1),0)+IF(AND(Projects!$G$10="Yes",22&gt;=Projects!$C$10,22&lt;Projects!$C$10+Projects!$D$10),Projects!$B$10*INDEX(Curves!$B$4:$AR$4,1,22-Projects!$C$10+1),0)+IF(AND(Projects!$G$11="Yes",22&gt;=Projects!$C$11,22&lt;Projects!$C$11+Projects!$D$11),Projects!$B$11*INDEX(Curves!$B$4:$AR$4,1,22-Projects!$C$11+1),0)+IF(AND(Projects!$G$12="Yes",22&gt;=Projects!$C$12,22&lt;Projects!$C$12+Projects!$D$12),Projects!$B$12*INDEX(Curves!$B$4:$AR$4,1,22-Projects!$C$12+1),0)+IF(AND(Projects!$G$13="Yes",22&gt;=Projects!$C$13,22&lt;Projects!$C$13+Projects!$D$13),Projects!$B$13*INDEX(Curves!$B$2:$AR$2,1,22-Projects!$C$13+1),0)+IF(AND(Projects!$G$14="Yes",22&gt;=Projects!$C$14,22&lt;Projects!$C$14+Projects!$D$14),Projects!$B$14*INDEX(Curves!$B$2:$AR$2,1,22-Projects!$C$14+1),0)+IF(AND(Projects!$G$15="Yes",22&gt;=Projects!$C$15,22&lt;Projects!$C$15+Projects!$D$15),Projects!$B$15*INDEX(Curves!$B$4:$AR$4,1,22-Projects!$C$15+1),0)+IF(AND(Projects!$G$16="Yes",22&gt;=Projects!$C$16,22&lt;Projects!$C$16+Projects!$D$16),Projects!$B$16*INDEX(Curves!$B$4:$AR$4,1,22-Projects!$C$16+1),0)+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,Actuals!AA8)</f>
        <v>6061199.8681680001</v>
      </c>
      <c r="AB8" s="3">
        <f>IF(ISBLANK(Actuals!AB8),IF(AND(Projects!$G$2="Yes",23&gt;=Projects!$C$2,23&lt;Projects!$C$2+Projects!$D$2),Projects!$B$2*INDEX(Curves!$B$6:$AR$6,1,23-Projects!$C$2+1),0)+IF(AND(Projects!$G$3="Yes",23&gt;=Projects!$C$3,23&lt;Projects!$C$3+Projects!$D$3),Projects!$B$3*INDEX(Curves!$B$7:$AR$7,1,23-Projects!$C$3+1),0)+IF(AND(Projects!$G$4="Yes",23&gt;=Projects!$C$4,23&lt;Projects!$C$4+Projects!$D$4),Projects!$B$4*INDEX(Curves!$B$8:$AR$8,1,23-Projects!$C$4+1),0)+IF(AND(Projects!$G$5="Yes",23&gt;=Projects!$C$5,23&lt;Projects!$C$5+Projects!$D$5),Projects!$B$5*INDEX(Curves!$B$9:$AR$9,1,23-Projects!$C$5+1),0)+IF(AND(Projects!$G$6="Yes",23&gt;=Projects!$C$6,23&lt;Projects!$C$6+Projects!$D$6),Projects!$B$6*INDEX(Curves!$B$4:$AR$4,1,23-Projects!$C$6+1),0)+IF(AND(Projects!$G$7="Yes",23&gt;=Projects!$C$7,23&lt;Projects!$C$7+Projects!$D$7),Projects!$B$7*INDEX(Curves!$B$3:$AR$3,1,23-Projects!$C$7+1),0)+IF(AND(Projects!$G$8="Yes",23&gt;=Projects!$C$8,23&lt;Projects!$C$8+Projects!$D$8),Projects!$B$8*INDEX(Curves!$B$4:$AR$4,1,23-Projects!$C$8+1),0)+IF(AND(Projects!$G$9="Yes",23&gt;=Projects!$C$9,23&lt;Projects!$C$9+Projects!$D$9),Projects!$B$9*INDEX(Curves!$B$2:$AR$2,1,23-Projects!$C$9+1),0)+IF(AND(Projects!$G$10="Yes",23&gt;=Projects!$C$10,23&lt;Projects!$C$10+Projects!$D$10),Projects!$B$10*INDEX(Curves!$B$4:$AR$4,1,23-Projects!$C$10+1),0)+IF(AND(Projects!$G$11="Yes",23&gt;=Projects!$C$11,23&lt;Projects!$C$11+Projects!$D$11),Projects!$B$11*INDEX(Curves!$B$4:$AR$4,1,23-Projects!$C$11+1),0)+IF(AND(Projects!$G$12="Yes",23&gt;=Projects!$C$12,23&lt;Projects!$C$12+Projects!$D$12),Projects!$B$12*INDEX(Curves!$B$4:$AR$4,1,23-Projects!$C$12+1),0)+IF(AND(Projects!$G$13="Yes",23&gt;=Projects!$C$13,23&lt;Projects!$C$13+Projects!$D$13),Projects!$B$13*INDEX(Curves!$B$2:$AR$2,1,23-Projects!$C$13+1),0)+IF(AND(Projects!$G$14="Yes",23&gt;=Projects!$C$14,23&lt;Projects!$C$14+Projects!$D$14),Projects!$B$14*INDEX(Curves!$B$2:$AR$2,1,23-Projects!$C$14+1),0)+IF(AND(Projects!$G$15="Yes",23&gt;=Projects!$C$15,23&lt;Projects!$C$15+Projects!$D$15),Projects!$B$15*INDEX(Curves!$B$4:$AR$4,1,23-Projects!$C$15+1),0)+IF(AND(Projects!$G$16="Yes",23&gt;=Projects!$C$16,23&lt;Projects!$C$16+Projects!$D$16),Projects!$B$16*INDEX(Curves!$B$4:$AR$4,1,23-Projects!$C$16+1),0)+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,Actuals!AB8)</f>
        <v>5722621.2391489996</v>
      </c>
      <c r="AC8" s="3">
        <f>IF(ISBLANK(Actuals!AC8),IF(AND(Projects!$G$2="Yes",24&gt;=Projects!$C$2,24&lt;Projects!$C$2+Projects!$D$2),Projects!$B$2*INDEX(Curves!$B$6:$AR$6,1,24-Projects!$C$2+1),0)+IF(AND(Projects!$G$3="Yes",24&gt;=Projects!$C$3,24&lt;Projects!$C$3+Projects!$D$3),Projects!$B$3*INDEX(Curves!$B$7:$AR$7,1,24-Projects!$C$3+1),0)+IF(AND(Projects!$G$4="Yes",24&gt;=Projects!$C$4,24&lt;Projects!$C$4+Projects!$D$4),Projects!$B$4*INDEX(Curves!$B$8:$AR$8,1,24-Projects!$C$4+1),0)+IF(AND(Projects!$G$5="Yes",24&gt;=Projects!$C$5,24&lt;Projects!$C$5+Projects!$D$5),Projects!$B$5*INDEX(Curves!$B$9:$AR$9,1,24-Projects!$C$5+1),0)+IF(AND(Projects!$G$6="Yes",24&gt;=Projects!$C$6,24&lt;Projects!$C$6+Projects!$D$6),Projects!$B$6*INDEX(Curves!$B$4:$AR$4,1,24-Projects!$C$6+1),0)+IF(AND(Projects!$G$7="Yes",24&gt;=Projects!$C$7,24&lt;Projects!$C$7+Projects!$D$7),Projects!$B$7*INDEX(Curves!$B$3:$AR$3,1,24-Projects!$C$7+1),0)+IF(AND(Projects!$G$8="Yes",24&gt;=Projects!$C$8,24&lt;Projects!$C$8+Projects!$D$8),Projects!$B$8*INDEX(Curves!$B$4:$AR$4,1,24-Projects!$C$8+1),0)+IF(AND(Projects!$G$9="Yes",24&gt;=Projects!$C$9,24&lt;Projects!$C$9+Projects!$D$9),Projects!$B$9*INDEX(Curves!$B$2:$AR$2,1,24-Projects!$C$9+1),0)+IF(AND(Projects!$G$10="Yes",24&gt;=Projects!$C$10,24&lt;Projects!$C$10+Projects!$D$10),Projects!$B$10*INDEX(Curves!$B$4:$AR$4,1,24-Projects!$C$10+1),0)+IF(AND(Projects!$G$11="Yes",24&gt;=Projects!$C$11,24&lt;Projects!$C$11+Projects!$D$11),Projects!$B$11*INDEX(Curves!$B$4:$AR$4,1,24-Projects!$C$11+1),0)+IF(AND(Projects!$G$12="Yes",24&gt;=Projects!$C$12,24&lt;Projects!$C$12+Projects!$D$12),Projects!$B$12*INDEX(Curves!$B$4:$AR$4,1,24-Projects!$C$12+1),0)+IF(AND(Projects!$G$13="Yes",24&gt;=Projects!$C$13,24&lt;Projects!$C$13+Projects!$D$13),Projects!$B$13*INDEX(Curves!$B$2:$AR$2,1,24-Projects!$C$13+1),0)+IF(AND(Projects!$G$14="Yes",24&gt;=Projects!$C$14,24&lt;Projects!$C$14+Projects!$D$14),Projects!$B$14*INDEX(Curves!$B$2:$AR$2,1,24-Projects!$C$14+1),0)+IF(AND(Projects!$G$15="Yes",24&gt;=Projects!$C$15,24&lt;Projects!$C$15+Projects!$D$15),Projects!$B$15*INDEX(Curves!$B$4:$AR$4,1,24-Projects!$C$15+1),0)+IF(AND(Projects!$G$16="Yes",24&gt;=Projects!$C$16,24&lt;Projects!$C$16+Projects!$D$16),Projects!$B$16*INDEX(Curves!$B$4:$AR$4,1,24-Projects!$C$16+1),0)+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,Actuals!AC8)</f>
        <v>5359200.3904109998</v>
      </c>
      <c r="AD8" s="3">
        <f>IF(ISBLANK(Actuals!AD8),IF(AND(Projects!$G$2="Yes",25&gt;=Projects!$C$2,25&lt;Projects!$C$2+Projects!$D$2),Projects!$B$2*INDEX(Curves!$B$6:$AR$6,1,25-Projects!$C$2+1),0)+IF(AND(Projects!$G$3="Yes",25&gt;=Projects!$C$3,25&lt;Projects!$C$3+Projects!$D$3),Projects!$B$3*INDEX(Curves!$B$7:$AR$7,1,25-Projects!$C$3+1),0)+IF(AND(Projects!$G$4="Yes",25&gt;=Projects!$C$4,25&lt;Projects!$C$4+Projects!$D$4),Projects!$B$4*INDEX(Curves!$B$8:$AR$8,1,25-Projects!$C$4+1),0)+IF(AND(Projects!$G$5="Yes",25&gt;=Projects!$C$5,25&lt;Projects!$C$5+Projects!$D$5),Projects!$B$5*INDEX(Curves!$B$9:$AR$9,1,25-Projects!$C$5+1),0)+IF(AND(Projects!$G$6="Yes",25&gt;=Projects!$C$6,25&lt;Projects!$C$6+Projects!$D$6),Projects!$B$6*INDEX(Curves!$B$4:$AR$4,1,25-Projects!$C$6+1),0)+IF(AND(Projects!$G$7="Yes",25&gt;=Projects!$C$7,25&lt;Projects!$C$7+Projects!$D$7),Projects!$B$7*INDEX(Curves!$B$3:$AR$3,1,25-Projects!$C$7+1),0)+IF(AND(Projects!$G$8="Yes",25&gt;=Projects!$C$8,25&lt;Projects!$C$8+Projects!$D$8),Projects!$B$8*INDEX(Curves!$B$4:$AR$4,1,25-Projects!$C$8+1),0)+IF(AND(Projects!$G$9="Yes",25&gt;=Projects!$C$9,25&lt;Projects!$C$9+Projects!$D$9),Projects!$B$9*INDEX(Curves!$B$2:$AR$2,1,25-Projects!$C$9+1),0)+IF(AND(Projects!$G$10="Yes",25&gt;=Projects!$C$10,25&lt;Projects!$C$10+Projects!$D$10),Projects!$B$10*INDEX(Curves!$B$4:$AR$4,1,25-Projects!$C$10+1),0)+IF(AND(Projects!$G$11="Yes",25&gt;=Projects!$C$11,25&lt;Projects!$C$11+Projects!$D$11),Projects!$B$11*INDEX(Curves!$B$4:$AR$4,1,25-Projects!$C$11+1),0)+IF(AND(Projects!$G$12="Yes",25&gt;=Projects!$C$12,25&lt;Projects!$C$12+Projects!$D$12),Projects!$B$12*INDEX(Curves!$B$4:$AR$4,1,25-Projects!$C$12+1),0)+IF(AND(Projects!$G$13="Yes",25&gt;=Projects!$C$13,25&lt;Projects!$C$13+Projects!$D$13),Projects!$B$13*INDEX(Curves!$B$2:$AR$2,1,25-Projects!$C$13+1),0)+IF(AND(Projects!$G$14="Yes",25&gt;=Projects!$C$14,25&lt;Projects!$C$14+Projects!$D$14),Projects!$B$14*INDEX(Curves!$B$2:$AR$2,1,25-Projects!$C$14+1),0)+IF(AND(Projects!$G$15="Yes",25&gt;=Projects!$C$15,25&lt;Projects!$C$15+Projects!$D$15),Projects!$B$15*INDEX(Curves!$B$4:$AR$4,1,25-Projects!$C$15+1),0)+IF(AND(Projects!$G$16="Yes",25&gt;=Projects!$C$16,25&lt;Projects!$C$16+Projects!$D$16),Projects!$B$16*INDEX(Curves!$B$4:$AR$4,1,25-Projects!$C$16+1),0)+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,Actuals!AD8)</f>
        <v>4985653.1301839994</v>
      </c>
      <c r="AE8" s="3">
        <f>IF(ISBLANK(Actuals!AE8),IF(AND(Projects!$G$2="Yes",26&gt;=Projects!$C$2,26&lt;Projects!$C$2+Projects!$D$2),Projects!$B$2*INDEX(Curves!$B$6:$AR$6,1,26-Projects!$C$2+1),0)+IF(AND(Projects!$G$3="Yes",26&gt;=Projects!$C$3,26&lt;Projects!$C$3+Projects!$D$3),Projects!$B$3*INDEX(Curves!$B$7:$AR$7,1,26-Projects!$C$3+1),0)+IF(AND(Projects!$G$4="Yes",26&gt;=Projects!$C$4,26&lt;Projects!$C$4+Projects!$D$4),Projects!$B$4*INDEX(Curves!$B$8:$AR$8,1,26-Projects!$C$4+1),0)+IF(AND(Projects!$G$5="Yes",26&gt;=Projects!$C$5,26&lt;Projects!$C$5+Projects!$D$5),Projects!$B$5*INDEX(Curves!$B$9:$AR$9,1,26-Projects!$C$5+1),0)+IF(AND(Projects!$G$6="Yes",26&gt;=Projects!$C$6,26&lt;Projects!$C$6+Projects!$D$6),Projects!$B$6*INDEX(Curves!$B$4:$AR$4,1,26-Projects!$C$6+1),0)+IF(AND(Projects!$G$7="Yes",26&gt;=Projects!$C$7,26&lt;Projects!$C$7+Projects!$D$7),Projects!$B$7*INDEX(Curves!$B$3:$AR$3,1,26-Projects!$C$7+1),0)+IF(AND(Projects!$G$8="Yes",26&gt;=Projects!$C$8,26&lt;Projects!$C$8+Projects!$D$8),Projects!$B$8*INDEX(Curves!$B$4:$AR$4,1,26-Projects!$C$8+1),0)+IF(AND(Projects!$G$9="Yes",26&gt;=Projects!$C$9,26&lt;Projects!$C$9+Projects!$D$9),Projects!$B$9*INDEX(Curves!$B$2:$AR$2,1,26-Projects!$C$9+1),0)+IF(AND(Projects!$G$10="Yes",26&gt;=Projects!$C$10,26&lt;Projects!$C$10+Projects!$D$10),Projects!$B$10*INDEX(Curves!$B$4:$AR$4,1,26-Projects!$C$10+1),0)+IF(AND(Projects!$G$11="Yes",26&gt;=Projects!$C$11,26&lt;Projects!$C$11+Projects!$D$11),Projects!$B$11*INDEX(Curves!$B$4:$AR$4,1,26-Projects!$C$11+1),0)+IF(AND(Projects!$G$12="Yes",26&gt;=Projects!$C$12,26&lt;Projects!$C$12+Projects!$D$12),Projects!$B$12*INDEX(Curves!$B$4:$AR$4,1,26-Projects!$C$12+1),0)+IF(AND(Projects!$G$13="Yes",26&gt;=Projects!$C$13,26&lt;Projects!$C$13+Projects!$D$13),Projects!$B$13*INDEX(Curves!$B$2:$AR$2,1,26-Projects!$C$13+1),0)+IF(AND(Projects!$G$14="Yes",26&gt;=Projects!$C$14,26&lt;Projects!$C$14+Projects!$D$14),Projects!$B$14*INDEX(Curves!$B$2:$AR$2,1,26-Projects!$C$14+1),0)+IF(AND(Projects!$G$15="Yes",26&gt;=Projects!$C$15,26&lt;Projects!$C$15+Projects!$D$15),Projects!$B$15*INDEX(Curves!$B$4:$AR$4,1,26-Projects!$C$15+1),0)+IF(AND(Projects!$G$16="Yes",26&gt;=Projects!$C$16,26&lt;Projects!$C$16+Projects!$D$16),Projects!$B$16*INDEX(Curves!$B$4:$AR$4,1,26-Projects!$C$16+1),0)+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,Actuals!AE8)</f>
        <v>4328879.6518399995</v>
      </c>
      <c r="AF8" s="3">
        <f>IF(ISBLANK(Actuals!AF8),IF(AND(Projects!$G$2="Yes",27&gt;=Projects!$C$2,27&lt;Projects!$C$2+Projects!$D$2),Projects!$B$2*INDEX(Curves!$B$6:$AR$6,1,27-Projects!$C$2+1),0)+IF(AND(Projects!$G$3="Yes",27&gt;=Projects!$C$3,27&lt;Projects!$C$3+Projects!$D$3),Projects!$B$3*INDEX(Curves!$B$7:$AR$7,1,27-Projects!$C$3+1),0)+IF(AND(Projects!$G$4="Yes",27&gt;=Projects!$C$4,27&lt;Projects!$C$4+Projects!$D$4),Projects!$B$4*INDEX(Curves!$B$8:$AR$8,1,27-Projects!$C$4+1),0)+IF(AND(Projects!$G$5="Yes",27&gt;=Projects!$C$5,27&lt;Projects!$C$5+Projects!$D$5),Projects!$B$5*INDEX(Curves!$B$9:$AR$9,1,27-Projects!$C$5+1),0)+IF(AND(Projects!$G$6="Yes",27&gt;=Projects!$C$6,27&lt;Projects!$C$6+Projects!$D$6),Projects!$B$6*INDEX(Curves!$B$4:$AR$4,1,27-Projects!$C$6+1),0)+IF(AND(Projects!$G$7="Yes",27&gt;=Projects!$C$7,27&lt;Projects!$C$7+Projects!$D$7),Projects!$B$7*INDEX(Curves!$B$3:$AR$3,1,27-Projects!$C$7+1),0)+IF(AND(Projects!$G$8="Yes",27&gt;=Projects!$C$8,27&lt;Projects!$C$8+Projects!$D$8),Projects!$B$8*INDEX(Curves!$B$4:$AR$4,1,27-Projects!$C$8+1),0)+IF(AND(Projects!$G$9="Yes",27&gt;=Projects!$C$9,27&lt;Projects!$C$9+Projects!$D$9),Projects!$B$9*INDEX(Curves!$B$2:$AR$2,1,27-Projects!$C$9+1),0)+IF(AND(Projects!$G$10="Yes",27&gt;=Projects!$C$10,27&lt;Projects!$C$10+Projects!$D$10),Projects!$B$10*INDEX(Curves!$B$4:$AR$4,1,27-Projects!$C$10+1),0)+IF(AND(Projects!$G$11="Yes",27&gt;=Projects!$C$11,27&lt;Projects!$C$11+Projects!$D$11),Projects!$B$11*INDEX(Curves!$B$4:$AR$4,1,27-Projects!$C$11+1),0)+IF(AND(Projects!$G$12="Yes",27&gt;=Projects!$C$12,27&lt;Projects!$C$12+Projects!$D$12),Projects!$B$12*INDEX(Curves!$B$4:$AR$4,1,27-Projects!$C$12+1),0)+IF(AND(Projects!$G$13="Yes",27&gt;=Projects!$C$13,27&lt;Projects!$C$13+Projects!$D$13),Projects!$B$13*INDEX(Curves!$B$2:$AR$2,1,27-Projects!$C$13+1),0)+IF(AND(Projects!$G$14="Yes",27&gt;=Projects!$C$14,27&lt;Projects!$C$14+Projects!$D$14),Projects!$B$14*INDEX(Curves!$B$2:$AR$2,1,27-Projects!$C$14+1),0)+IF(AND(Projects!$G$15="Yes",27&gt;=Projects!$C$15,27&lt;Projects!$C$15+Projects!$D$15),Projects!$B$15*INDEX(Curves!$B$4:$AR$4,1,27-Projects!$C$15+1),0)+IF(AND(Projects!$G$16="Yes",27&gt;=Projects!$C$16,27&lt;Projects!$C$16+Projects!$D$16),Projects!$B$16*INDEX(Curves!$B$4:$AR$4,1,27-Projects!$C$16+1),0)+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,Actuals!AF8)</f>
        <v>4254502.3354639998</v>
      </c>
      <c r="AG8" s="3">
        <f>IF(ISBLANK(Actuals!AG8),IF(AND(Projects!$G$2="Yes",28&gt;=Projects!$C$2,28&lt;Projects!$C$2+Projects!$D$2),Projects!$B$2*INDEX(Curves!$B$6:$AR$6,1,28-Projects!$C$2+1),0)+IF(AND(Projects!$G$3="Yes",28&gt;=Projects!$C$3,28&lt;Projects!$C$3+Projects!$D$3),Projects!$B$3*INDEX(Curves!$B$7:$AR$7,1,28-Projects!$C$3+1),0)+IF(AND(Projects!$G$4="Yes",28&gt;=Projects!$C$4,28&lt;Projects!$C$4+Projects!$D$4),Projects!$B$4*INDEX(Curves!$B$8:$AR$8,1,28-Projects!$C$4+1),0)+IF(AND(Projects!$G$5="Yes",28&gt;=Projects!$C$5,28&lt;Projects!$C$5+Projects!$D$5),Projects!$B$5*INDEX(Curves!$B$9:$AR$9,1,28-Projects!$C$5+1),0)+IF(AND(Projects!$G$6="Yes",28&gt;=Projects!$C$6,28&lt;Projects!$C$6+Projects!$D$6),Projects!$B$6*INDEX(Curves!$B$4:$AR$4,1,28-Projects!$C$6+1),0)+IF(AND(Projects!$G$7="Yes",28&gt;=Projects!$C$7,28&lt;Projects!$C$7+Projects!$D$7),Projects!$B$7*INDEX(Curves!$B$3:$AR$3,1,28-Projects!$C$7+1),0)+IF(AND(Projects!$G$8="Yes",28&gt;=Projects!$C$8,28&lt;Projects!$C$8+Projects!$D$8),Projects!$B$8*INDEX(Curves!$B$4:$AR$4,1,28-Projects!$C$8+1),0)+IF(AND(Projects!$G$9="Yes",28&gt;=Projects!$C$9,28&lt;Projects!$C$9+Projects!$D$9),Projects!$B$9*INDEX(Curves!$B$2:$AR$2,1,28-Projects!$C$9+1),0)+IF(AND(Projects!$G$10="Yes",28&gt;=Projects!$C$10,28&lt;Projects!$C$10+Projects!$D$10),Projects!$B$10*INDEX(Curves!$B$4:$AR$4,1,28-Projects!$C$10+1),0)+IF(AND(Projects!$G$11="Yes",28&gt;=Projects!$C$11,28&lt;Projects!$C$11+Projects!$D$11),Projects!$B$11*INDEX(Curves!$B$4:$AR$4,1,28-Projects!$C$11+1),0)+IF(AND(Projects!$G$12="Yes",28&gt;=Projects!$C$12,28&lt;Projects!$C$12+Projects!$D$12),Projects!$B$12*INDEX(Curves!$B$4:$AR$4,1,28-Projects!$C$12+1),0)+IF(AND(Projects!$G$13="Yes",28&gt;=Projects!$C$13,28&lt;Projects!$C$13+Projects!$D$13),Projects!$B$13*INDEX(Curves!$B$2:$AR$2,1,28-Projects!$C$13+1),0)+IF(AND(Projects!$G$14="Yes",28&gt;=Projects!$C$14,28&lt;Projects!$C$14+Projects!$D$14),Projects!$B$14*INDEX(Curves!$B$2:$AR$2,1,28-Projects!$C$14+1),0)+IF(AND(Projects!$G$15="Yes",28&gt;=Projects!$C$15,28&lt;Projects!$C$15+Projects!$D$15),Projects!$B$15*INDEX(Curves!$B$4:$AR$4,1,28-Projects!$C$15+1),0)+IF(AND(Projects!$G$16="Yes",28&gt;=Projects!$C$16,28&lt;Projects!$C$16+Projects!$D$16),Projects!$B$16*INDEX(Curves!$B$4:$AR$4,1,28-Projects!$C$16+1),0)+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,Actuals!AG8)</f>
        <v>3437241.436803</v>
      </c>
      <c r="AH8" s="3">
        <f>IF(ISBLANK(Actuals!AH8),IF(AND(Projects!$G$2="Yes",29&gt;=Projects!$C$2,29&lt;Projects!$C$2+Projects!$D$2),Projects!$B$2*INDEX(Curves!$B$6:$AR$6,1,29-Projects!$C$2+1),0)+IF(AND(Projects!$G$3="Yes",29&gt;=Projects!$C$3,29&lt;Projects!$C$3+Projects!$D$3),Projects!$B$3*INDEX(Curves!$B$7:$AR$7,1,29-Projects!$C$3+1),0)+IF(AND(Projects!$G$4="Yes",29&gt;=Projects!$C$4,29&lt;Projects!$C$4+Projects!$D$4),Projects!$B$4*INDEX(Curves!$B$8:$AR$8,1,29-Projects!$C$4+1),0)+IF(AND(Projects!$G$5="Yes",29&gt;=Projects!$C$5,29&lt;Projects!$C$5+Projects!$D$5),Projects!$B$5*INDEX(Curves!$B$9:$AR$9,1,29-Projects!$C$5+1),0)+IF(AND(Projects!$G$6="Yes",29&gt;=Projects!$C$6,29&lt;Projects!$C$6+Projects!$D$6),Projects!$B$6*INDEX(Curves!$B$4:$AR$4,1,29-Projects!$C$6+1),0)+IF(AND(Projects!$G$7="Yes",29&gt;=Projects!$C$7,29&lt;Projects!$C$7+Projects!$D$7),Projects!$B$7*INDEX(Curves!$B$3:$AR$3,1,29-Projects!$C$7+1),0)+IF(AND(Projects!$G$8="Yes",29&gt;=Projects!$C$8,29&lt;Projects!$C$8+Projects!$D$8),Projects!$B$8*INDEX(Curves!$B$4:$AR$4,1,29-Projects!$C$8+1),0)+IF(AND(Projects!$G$9="Yes",29&gt;=Projects!$C$9,29&lt;Projects!$C$9+Projects!$D$9),Projects!$B$9*INDEX(Curves!$B$2:$AR$2,1,29-Projects!$C$9+1),0)+IF(AND(Projects!$G$10="Yes",29&gt;=Projects!$C$10,29&lt;Projects!$C$10+Projects!$D$10),Projects!$B$10*INDEX(Curves!$B$4:$AR$4,1,29-Projects!$C$10+1),0)+IF(AND(Projects!$G$11="Yes",29&gt;=Projects!$C$11,29&lt;Projects!$C$11+Projects!$D$11),Projects!$B$11*INDEX(Curves!$B$4:$AR$4,1,29-Projects!$C$11+1),0)+IF(AND(Projects!$G$12="Yes",29&gt;=Projects!$C$12,29&lt;Projects!$C$12+Projects!$D$12),Projects!$B$12*INDEX(Curves!$B$4:$AR$4,1,29-Projects!$C$12+1),0)+IF(AND(Projects!$G$13="Yes",29&gt;=Projects!$C$13,29&lt;Projects!$C$13+Projects!$D$13),Projects!$B$13*INDEX(Curves!$B$2:$AR$2,1,29-Projects!$C$13+1),0)+IF(AND(Projects!$G$14="Yes",29&gt;=Projects!$C$14,29&lt;Projects!$C$14+Projects!$D$14),Projects!$B$14*INDEX(Curves!$B$2:$AR$2,1,29-Projects!$C$14+1),0)+IF(AND(Projects!$G$15="Yes",29&gt;=Projects!$C$15,29&lt;Projects!$C$15+Projects!$D$15),Projects!$B$15*INDEX(Curves!$B$4:$AR$4,1,29-Projects!$C$15+1),0)+IF(AND(Projects!$G$16="Yes",29&gt;=Projects!$C$16,29&lt;Projects!$C$16+Projects!$D$16),Projects!$B$16*INDEX(Curves!$B$4:$AR$4,1,29-Projects!$C$16+1),0)+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,Actuals!AH8)</f>
        <v>3482913.0020099999</v>
      </c>
      <c r="AI8" s="3">
        <f>IF(ISBLANK(Actuals!AI8),IF(AND(Projects!$G$2="Yes",30&gt;=Projects!$C$2,30&lt;Projects!$C$2+Projects!$D$2),Projects!$B$2*INDEX(Curves!$B$6:$AR$6,1,30-Projects!$C$2+1),0)+IF(AND(Projects!$G$3="Yes",30&gt;=Projects!$C$3,30&lt;Projects!$C$3+Projects!$D$3),Projects!$B$3*INDEX(Curves!$B$7:$AR$7,1,30-Projects!$C$3+1),0)+IF(AND(Projects!$G$4="Yes",30&gt;=Projects!$C$4,30&lt;Projects!$C$4+Projects!$D$4),Projects!$B$4*INDEX(Curves!$B$8:$AR$8,1,30-Projects!$C$4+1),0)+IF(AND(Projects!$G$5="Yes",30&gt;=Projects!$C$5,30&lt;Projects!$C$5+Projects!$D$5),Projects!$B$5*INDEX(Curves!$B$9:$AR$9,1,30-Projects!$C$5+1),0)+IF(AND(Projects!$G$6="Yes",30&gt;=Projects!$C$6,30&lt;Projects!$C$6+Projects!$D$6),Projects!$B$6*INDEX(Curves!$B$4:$AR$4,1,30-Projects!$C$6+1),0)+IF(AND(Projects!$G$7="Yes",30&gt;=Projects!$C$7,30&lt;Projects!$C$7+Projects!$D$7),Projects!$B$7*INDEX(Curves!$B$3:$AR$3,1,30-Projects!$C$7+1),0)+IF(AND(Projects!$G$8="Yes",30&gt;=Projects!$C$8,30&lt;Projects!$C$8+Projects!$D$8),Projects!$B$8*INDEX(Curves!$B$4:$AR$4,1,30-Projects!$C$8+1),0)+IF(AND(Projects!$G$9="Yes",30&gt;=Projects!$C$9,30&lt;Projects!$C$9+Projects!$D$9),Projects!$B$9*INDEX(Curves!$B$2:$AR$2,1,30-Projects!$C$9+1),0)+IF(AND(Projects!$G$10="Yes",30&gt;=Projects!$C$10,30&lt;Projects!$C$10+Projects!$D$10),Projects!$B$10*INDEX(Curves!$B$4:$AR$4,1,30-Projects!$C$10+1),0)+IF(AND(Projects!$G$11="Yes",30&gt;=Projects!$C$11,30&lt;Projects!$C$11+Projects!$D$11),Projects!$B$11*INDEX(Curves!$B$4:$AR$4,1,30-Projects!$C$11+1),0)+IF(AND(Projects!$G$12="Yes",30&gt;=Projects!$C$12,30&lt;Projects!$C$12+Projects!$D$12),Projects!$B$12*INDEX(Curves!$B$4:$AR$4,1,30-Projects!$C$12+1),0)+IF(AND(Projects!$G$13="Yes",30&gt;=Projects!$C$13,30&lt;Projects!$C$13+Projects!$D$13),Projects!$B$13*INDEX(Curves!$B$2:$AR$2,1,30-Projects!$C$13+1),0)+IF(AND(Projects!$G$14="Yes",30&gt;=Projects!$C$14,30&lt;Projects!$C$14+Projects!$D$14),Projects!$B$14*INDEX(Curves!$B$2:$AR$2,1,30-Projects!$C$14+1),0)+IF(AND(Projects!$G$15="Yes",30&gt;=Projects!$C$15,30&lt;Projects!$C$15+Projects!$D$15),Projects!$B$15*INDEX(Curves!$B$4:$AR$4,1,30-Projects!$C$15+1),0)+IF(AND(Projects!$G$16="Yes",30&gt;=Projects!$C$16,30&lt;Projects!$C$16+Projects!$D$16),Projects!$B$16*INDEX(Curves!$B$4:$AR$4,1,30-Projects!$C$16+1),0)+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,Actuals!AI8)</f>
        <v>3510945.612952</v>
      </c>
      <c r="AJ8" s="3">
        <f>IF(ISBLANK(Actuals!AJ8),IF(AND(Projects!$G$2="Yes",31&gt;=Projects!$C$2,31&lt;Projects!$C$2+Projects!$D$2),Projects!$B$2*INDEX(Curves!$B$6:$AR$6,1,31-Projects!$C$2+1),0)+IF(AND(Projects!$G$3="Yes",31&gt;=Projects!$C$3,31&lt;Projects!$C$3+Projects!$D$3),Projects!$B$3*INDEX(Curves!$B$7:$AR$7,1,31-Projects!$C$3+1),0)+IF(AND(Projects!$G$4="Yes",31&gt;=Projects!$C$4,31&lt;Projects!$C$4+Projects!$D$4),Projects!$B$4*INDEX(Curves!$B$8:$AR$8,1,31-Projects!$C$4+1),0)+IF(AND(Projects!$G$5="Yes",31&gt;=Projects!$C$5,31&lt;Projects!$C$5+Projects!$D$5),Projects!$B$5*INDEX(Curves!$B$9:$AR$9,1,31-Projects!$C$5+1),0)+IF(AND(Projects!$G$6="Yes",31&gt;=Projects!$C$6,31&lt;Projects!$C$6+Projects!$D$6),Projects!$B$6*INDEX(Curves!$B$4:$AR$4,1,31-Projects!$C$6+1),0)+IF(AND(Projects!$G$7="Yes",31&gt;=Projects!$C$7,31&lt;Projects!$C$7+Projects!$D$7),Projects!$B$7*INDEX(Curves!$B$3:$AR$3,1,31-Projects!$C$7+1),0)+IF(AND(Projects!$G$8="Yes",31&gt;=Projects!$C$8,31&lt;Projects!$C$8+Projects!$D$8),Projects!$B$8*INDEX(Curves!$B$4:$AR$4,1,31-Projects!$C$8+1),0)+IF(AND(Projects!$G$9="Yes",31&gt;=Projects!$C$9,31&lt;Projects!$C$9+Projects!$D$9),Projects!$B$9*INDEX(Curves!$B$2:$AR$2,1,31-Projects!$C$9+1),0)+IF(AND(Projects!$G$10="Yes",31&gt;=Projects!$C$10,31&lt;Projects!$C$10+Projects!$D$10),Projects!$B$10*INDEX(Curves!$B$4:$AR$4,1,31-Projects!$C$10+1),0)+IF(AND(Projects!$G$11="Yes",31&gt;=Projects!$C$11,31&lt;Projects!$C$11+Projects!$D$11),Projects!$B$11*INDEX(Curves!$B$4:$AR$4,1,31-Projects!$C$11+1),0)+IF(AND(Projects!$G$12="Yes",31&gt;=Projects!$C$12,31&lt;Projects!$C$12+Projects!$D$12),Projects!$B$12*INDEX(Curves!$B$4:$AR$4,1,31-Projects!$C$12+1),0)+IF(AND(Projects!$G$13="Yes",31&gt;=Projects!$C$13,31&lt;Projects!$C$13+Projects!$D$13),Projects!$B$13*INDEX(Curves!$B$2:$AR$2,1,31-Projects!$C$13+1),0)+IF(AND(Projects!$G$14="Yes",31&gt;=Projects!$C$14,31&lt;Projects!$C$14+Projects!$D$14),Projects!$B$14*INDEX(Curves!$B$2:$AR$2,1,31-Projects!$C$14+1),0)+IF(AND(Projects!$G$15="Yes",31&gt;=Projects!$C$15,31&lt;Projects!$C$15+Projects!$D$15),Projects!$B$15*INDEX(Curves!$B$4:$AR$4,1,31-Projects!$C$15+1),0)+IF(AND(Projects!$G$16="Yes",31&gt;=Projects!$C$16,31&lt;Projects!$C$16+Projects!$D$16),Projects!$B$16*INDEX(Curves!$B$4:$AR$4,1,31-Projects!$C$16+1),0)+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,Actuals!AJ8)</f>
        <v>3919544.4714789996</v>
      </c>
      <c r="AK8" s="3">
        <f>IF(ISBLANK(Actuals!AK8),IF(AND(Projects!$G$2="Yes",32&gt;=Projects!$C$2,32&lt;Projects!$C$2+Projects!$D$2),Projects!$B$2*INDEX(Curves!$B$6:$AR$6,1,32-Projects!$C$2+1),0)+IF(AND(Projects!$G$3="Yes",32&gt;=Projects!$C$3,32&lt;Projects!$C$3+Projects!$D$3),Projects!$B$3*INDEX(Curves!$B$7:$AR$7,1,32-Projects!$C$3+1),0)+IF(AND(Projects!$G$4="Yes",32&gt;=Projects!$C$4,32&lt;Projects!$C$4+Projects!$D$4),Projects!$B$4*INDEX(Curves!$B$8:$AR$8,1,32-Projects!$C$4+1),0)+IF(AND(Projects!$G$5="Yes",32&gt;=Projects!$C$5,32&lt;Projects!$C$5+Projects!$D$5),Projects!$B$5*INDEX(Curves!$B$9:$AR$9,1,32-Projects!$C$5+1),0)+IF(AND(Projects!$G$6="Yes",32&gt;=Projects!$C$6,32&lt;Projects!$C$6+Projects!$D$6),Projects!$B$6*INDEX(Curves!$B$4:$AR$4,1,32-Projects!$C$6+1),0)+IF(AND(Projects!$G$7="Yes",32&gt;=Projects!$C$7,32&lt;Projects!$C$7+Projects!$D$7),Projects!$B$7*INDEX(Curves!$B$3:$AR$3,1,32-Projects!$C$7+1),0)+IF(AND(Projects!$G$8="Yes",32&gt;=Projects!$C$8,32&lt;Projects!$C$8+Projects!$D$8),Projects!$B$8*INDEX(Curves!$B$4:$AR$4,1,32-Projects!$C$8+1),0)+IF(AND(Projects!$G$9="Yes",32&gt;=Projects!$C$9,32&lt;Projects!$C$9+Projects!$D$9),Projects!$B$9*INDEX(Curves!$B$2:$AR$2,1,32-Projects!$C$9+1),0)+IF(AND(Projects!$G$10="Yes",32&gt;=Projects!$C$10,32&lt;Projects!$C$10+Projects!$D$10),Projects!$B$10*INDEX(Curves!$B$4:$AR$4,1,32-Projects!$C$10+1),0)+IF(AND(Projects!$G$11="Yes",32&gt;=Projects!$C$11,32&lt;Projects!$C$11+Projects!$D$11),Projects!$B$11*INDEX(Curves!$B$4:$AR$4,1,32-Projects!$C$11+1),0)+IF(AND(Projects!$G$12="Yes",32&gt;=Projects!$C$12,32&lt;Projects!$C$12+Projects!$D$12),Projects!$B$12*INDEX(Curves!$B$4:$AR$4,1,32-Projects!$C$12+1),0)+IF(AND(Projects!$G$13="Yes",32&gt;=Projects!$C$13,32&lt;Projects!$C$13+Projects!$D$13),Projects!$B$13*INDEX(Curves!$B$2:$AR$2,1,32-Projects!$C$13+1),0)+IF(AND(Projects!$G$14="Yes",32&gt;=Projects!$C$14,32&lt;Projects!$C$14+Projects!$D$14),Projects!$B$14*INDEX(Curves!$B$2:$AR$2,1,32-Projects!$C$14+1),0)+IF(AND(Projects!$G$15="Yes",32&gt;=Projects!$C$15,32&lt;Projects!$C$15+Projects!$D$15),Projects!$B$15*INDEX(Curves!$B$4:$AR$4,1,32-Projects!$C$15+1),0)+IF(AND(Projects!$G$16="Yes",32&gt;=Projects!$C$16,32&lt;Projects!$C$16+Projects!$D$16),Projects!$B$16*INDEX(Curves!$B$4:$AR$4,1,32-Projects!$C$16+1),0)+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,Actuals!AK8)</f>
        <v>4007553.2097709998</v>
      </c>
      <c r="AL8" s="3">
        <f>IF(ISBLANK(Actuals!AL8),IF(AND(Projects!$G$2="Yes",33&gt;=Projects!$C$2,33&lt;Projects!$C$2+Projects!$D$2),Projects!$B$2*INDEX(Curves!$B$6:$AR$6,1,33-Projects!$C$2+1),0)+IF(AND(Projects!$G$3="Yes",33&gt;=Projects!$C$3,33&lt;Projects!$C$3+Projects!$D$3),Projects!$B$3*INDEX(Curves!$B$7:$AR$7,1,33-Projects!$C$3+1),0)+IF(AND(Projects!$G$4="Yes",33&gt;=Projects!$C$4,33&lt;Projects!$C$4+Projects!$D$4),Projects!$B$4*INDEX(Curves!$B$8:$AR$8,1,33-Projects!$C$4+1),0)+IF(AND(Projects!$G$5="Yes",33&gt;=Projects!$C$5,33&lt;Projects!$C$5+Projects!$D$5),Projects!$B$5*INDEX(Curves!$B$9:$AR$9,1,33-Projects!$C$5+1),0)+IF(AND(Projects!$G$6="Yes",33&gt;=Projects!$C$6,33&lt;Projects!$C$6+Projects!$D$6),Projects!$B$6*INDEX(Curves!$B$4:$AR$4,1,33-Projects!$C$6+1),0)+IF(AND(Projects!$G$7="Yes",33&gt;=Projects!$C$7,33&lt;Projects!$C$7+Projects!$D$7),Projects!$B$7*INDEX(Curves!$B$3:$AR$3,1,33-Projects!$C$7+1),0)+IF(AND(Projects!$G$8="Yes",33&gt;=Projects!$C$8,33&lt;Projects!$C$8+Projects!$D$8),Projects!$B$8*INDEX(Curves!$B$4:$AR$4,1,33-Projects!$C$8+1),0)+IF(AND(Projects!$G$9="Yes",33&gt;=Projects!$C$9,33&lt;Projects!$C$9+Projects!$D$9),Projects!$B$9*INDEX(Curves!$B$2:$AR$2,1,33-Projects!$C$9+1),0)+IF(AND(Projects!$G$10="Yes",33&gt;=Projects!$C$10,33&lt;Projects!$C$10+Projects!$D$10),Projects!$B$10*INDEX(Curves!$B$4:$AR$4,1,33-Projects!$C$10+1),0)+IF(AND(Projects!$G$11="Yes",33&gt;=Projects!$C$11,33&lt;Projects!$C$11+Projects!$D$11),Projects!$B$11*INDEX(Curves!$B$4:$AR$4,1,33-Projects!$C$11+1),0)+IF(AND(Projects!$G$12="Yes",33&gt;=Projects!$C$12,33&lt;Projects!$C$12+Projects!$D$12),Projects!$B$12*INDEX(Curves!$B$4:$AR$4,1,33-Projects!$C$12+1),0)+IF(AND(Projects!$G$13="Yes",33&gt;=Projects!$C$13,33&lt;Projects!$C$13+Projects!$D$13),Projects!$B$13*INDEX(Curves!$B$2:$AR$2,1,33-Projects!$C$13+1),0)+IF(AND(Projects!$G$14="Yes",33&gt;=Projects!$C$14,33&lt;Projects!$C$14+Projects!$D$14),Projects!$B$14*INDEX(Curves!$B$2:$AR$2,1,33-Projects!$C$14+1),0)+IF(AND(Projects!$G$15="Yes",33&gt;=Projects!$C$15,33&lt;Projects!$C$15+Projects!$D$15),Projects!$B$15*INDEX(Curves!$B$4:$AR$4,1,33-Projects!$C$15+1),0)+IF(AND(Projects!$G$16="Yes",33&gt;=Projects!$C$16,33&lt;Projects!$C$16+Projects!$D$16),Projects!$B$16*INDEX(Curves!$B$4:$AR$4,1,33-Projects!$C$16+1),0)+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,Actuals!AL8)</f>
        <v>4086946.3298230004</v>
      </c>
      <c r="AM8" s="3">
        <f>IF(ISBLANK(Actuals!AM8),IF(AND(Projects!$G$2="Yes",34&gt;=Projects!$C$2,34&lt;Projects!$C$2+Projects!$D$2),Projects!$B$2*INDEX(Curves!$B$6:$AR$6,1,34-Projects!$C$2+1),0)+IF(AND(Projects!$G$3="Yes",34&gt;=Projects!$C$3,34&lt;Projects!$C$3+Projects!$D$3),Projects!$B$3*INDEX(Curves!$B$7:$AR$7,1,34-Projects!$C$3+1),0)+IF(AND(Projects!$G$4="Yes",34&gt;=Projects!$C$4,34&lt;Projects!$C$4+Projects!$D$4),Projects!$B$4*INDEX(Curves!$B$8:$AR$8,1,34-Projects!$C$4+1),0)+IF(AND(Projects!$G$5="Yes",34&gt;=Projects!$C$5,34&lt;Projects!$C$5+Projects!$D$5),Projects!$B$5*INDEX(Curves!$B$9:$AR$9,1,34-Projects!$C$5+1),0)+IF(AND(Projects!$G$6="Yes",34&gt;=Projects!$C$6,34&lt;Projects!$C$6+Projects!$D$6),Projects!$B$6*INDEX(Curves!$B$4:$AR$4,1,34-Projects!$C$6+1),0)+IF(AND(Projects!$G$7="Yes",34&gt;=Projects!$C$7,34&lt;Projects!$C$7+Projects!$D$7),Projects!$B$7*INDEX(Curves!$B$3:$AR$3,1,34-Projects!$C$7+1),0)+IF(AND(Projects!$G$8="Yes",34&gt;=Projects!$C$8,34&lt;Projects!$C$8+Projects!$D$8),Projects!$B$8*INDEX(Curves!$B$4:$AR$4,1,34-Projects!$C$8+1),0)+IF(AND(Projects!$G$9="Yes",34&gt;=Projects!$C$9,34&lt;Projects!$C$9+Projects!$D$9),Projects!$B$9*INDEX(Curves!$B$2:$AR$2,1,34-Projects!$C$9+1),0)+IF(AND(Projects!$G$10="Yes",34&gt;=Projects!$C$10,34&lt;Projects!$C$10+Projects!$D$10),Projects!$B$10*INDEX(Curves!$B$4:$AR$4,1,34-Projects!$C$10+1),0)+IF(AND(Projects!$G$11="Yes",34&gt;=Projects!$C$11,34&lt;Projects!$C$11+Projects!$D$11),Projects!$B$11*INDEX(Curves!$B$4:$AR$4,1,34-Projects!$C$11+1),0)+IF(AND(Projects!$G$12="Yes",34&gt;=Projects!$C$12,34&lt;Projects!$C$12+Projects!$D$12),Projects!$B$12*INDEX(Curves!$B$4:$AR$4,1,34-Projects!$C$12+1),0)+IF(AND(Projects!$G$13="Yes",34&gt;=Projects!$C$13,34&lt;Projects!$C$13+Projects!$D$13),Projects!$B$13*INDEX(Curves!$B$2:$AR$2,1,34-Projects!$C$13+1),0)+IF(AND(Projects!$G$14="Yes",34&gt;=Projects!$C$14,34&lt;Projects!$C$14+Projects!$D$14),Projects!$B$14*INDEX(Curves!$B$2:$AR$2,1,34-Projects!$C$14+1),0)+IF(AND(Projects!$G$15="Yes",34&gt;=Projects!$C$15,34&lt;Projects!$C$15+Projects!$D$15),Projects!$B$15*INDEX(Curves!$B$4:$AR$4,1,34-Projects!$C$15+1),0)+IF(AND(Projects!$G$16="Yes",34&gt;=Projects!$C$16,34&lt;Projects!$C$16+Projects!$D$16),Projects!$B$16*INDEX(Curves!$B$4:$AR$4,1,34-Projects!$C$16+1),0)+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,Actuals!AM8)</f>
        <v>4552259.4702150002</v>
      </c>
      <c r="AN8" s="3">
        <f>IF(ISBLANK(Actuals!AN8),IF(AND(Projects!$G$2="Yes",35&gt;=Projects!$C$2,35&lt;Projects!$C$2+Projects!$D$2),Projects!$B$2*INDEX(Curves!$B$6:$AR$6,1,35-Projects!$C$2+1),0)+IF(AND(Projects!$G$3="Yes",35&gt;=Projects!$C$3,35&lt;Projects!$C$3+Projects!$D$3),Projects!$B$3*INDEX(Curves!$B$7:$AR$7,1,35-Projects!$C$3+1),0)+IF(AND(Projects!$G$4="Yes",35&gt;=Projects!$C$4,35&lt;Projects!$C$4+Projects!$D$4),Projects!$B$4*INDEX(Curves!$B$8:$AR$8,1,35-Projects!$C$4+1),0)+IF(AND(Projects!$G$5="Yes",35&gt;=Projects!$C$5,35&lt;Projects!$C$5+Projects!$D$5),Projects!$B$5*INDEX(Curves!$B$9:$AR$9,1,35-Projects!$C$5+1),0)+IF(AND(Projects!$G$6="Yes",35&gt;=Projects!$C$6,35&lt;Projects!$C$6+Projects!$D$6),Projects!$B$6*INDEX(Curves!$B$4:$AR$4,1,35-Projects!$C$6+1),0)+IF(AND(Projects!$G$7="Yes",35&gt;=Projects!$C$7,35&lt;Projects!$C$7+Projects!$D$7),Projects!$B$7*INDEX(Curves!$B$3:$AR$3,1,35-Projects!$C$7+1),0)+IF(AND(Projects!$G$8="Yes",35&gt;=Projects!$C$8,35&lt;Projects!$C$8+Projects!$D$8),Projects!$B$8*INDEX(Curves!$B$4:$AR$4,1,35-Projects!$C$8+1),0)+IF(AND(Projects!$G$9="Yes",35&gt;=Projects!$C$9,35&lt;Projects!$C$9+Projects!$D$9),Projects!$B$9*INDEX(Curves!$B$2:$AR$2,1,35-Projects!$C$9+1),0)+IF(AND(Projects!$G$10="Yes",35&gt;=Projects!$C$10,35&lt;Projects!$C$10+Projects!$D$10),Projects!$B$10*INDEX(Curves!$B$4:$AR$4,1,35-Projects!$C$10+1),0)+IF(AND(Projects!$G$11="Yes",35&gt;=Projects!$C$11,35&lt;Projects!$C$11+Projects!$D$11),Projects!$B$11*INDEX(Curves!$B$4:$AR$4,1,35-Projects!$C$11+1),0)+IF(AND(Projects!$G$12="Yes",35&gt;=Projects!$C$12,35&lt;Projects!$C$12+Projects!$D$12),Projects!$B$12*INDEX(Curves!$B$4:$AR$4,1,35-Projects!$C$12+1),0)+IF(AND(Projects!$G$13="Yes",35&gt;=Projects!$C$13,35&lt;Projects!$C$13+Projects!$D$13),Projects!$B$13*INDEX(Curves!$B$2:$AR$2,1,35-Projects!$C$13+1),0)+IF(AND(Projects!$G$14="Yes",35&gt;=Projects!$C$14,35&lt;Projects!$C$14+Projects!$D$14),Projects!$B$14*INDEX(Curves!$B$2:$AR$2,1,35-Projects!$C$14+1),0)+IF(AND(Projects!$G$15="Yes",35&gt;=Projects!$C$15,35&lt;Projects!$C$15+Projects!$D$15),Projects!$B$15*INDEX(Curves!$B$4:$AR$4,1,35-Projects!$C$15+1),0)+IF(AND(Projects!$G$16="Yes",35&gt;=Projects!$C$16,35&lt;Projects!$C$16+Projects!$D$16),Projects!$B$16*INDEX(Curves!$B$4:$AR$4,1,35-Projects!$C$16+1),0)+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,Actuals!AN8)</f>
        <v>4697457.1144420002</v>
      </c>
      <c r="AO8" s="3">
        <f>IF(ISBLANK(Actuals!AO8),IF(AND(Projects!$G$2="Yes",36&gt;=Projects!$C$2,36&lt;Projects!$C$2+Projects!$D$2),Projects!$B$2*INDEX(Curves!$B$6:$AR$6,1,36-Projects!$C$2+1),0)+IF(AND(Projects!$G$3="Yes",36&gt;=Projects!$C$3,36&lt;Projects!$C$3+Projects!$D$3),Projects!$B$3*INDEX(Curves!$B$7:$AR$7,1,36-Projects!$C$3+1),0)+IF(AND(Projects!$G$4="Yes",36&gt;=Projects!$C$4,36&lt;Projects!$C$4+Projects!$D$4),Projects!$B$4*INDEX(Curves!$B$8:$AR$8,1,36-Projects!$C$4+1),0)+IF(AND(Projects!$G$5="Yes",36&gt;=Projects!$C$5,36&lt;Projects!$C$5+Projects!$D$5),Projects!$B$5*INDEX(Curves!$B$9:$AR$9,1,36-Projects!$C$5+1),0)+IF(AND(Projects!$G$6="Yes",36&gt;=Projects!$C$6,36&lt;Projects!$C$6+Projects!$D$6),Projects!$B$6*INDEX(Curves!$B$4:$AR$4,1,36-Projects!$C$6+1),0)+IF(AND(Projects!$G$7="Yes",36&gt;=Projects!$C$7,36&lt;Projects!$C$7+Projects!$D$7),Projects!$B$7*INDEX(Curves!$B$3:$AR$3,1,36-Projects!$C$7+1),0)+IF(AND(Projects!$G$8="Yes",36&gt;=Projects!$C$8,36&lt;Projects!$C$8+Projects!$D$8),Projects!$B$8*INDEX(Curves!$B$4:$AR$4,1,36-Projects!$C$8+1),0)+IF(AND(Projects!$G$9="Yes",36&gt;=Projects!$C$9,36&lt;Projects!$C$9+Projects!$D$9),Projects!$B$9*INDEX(Curves!$B$2:$AR$2,1,36-Projects!$C$9+1),0)+IF(AND(Projects!$G$10="Yes",36&gt;=Projects!$C$10,36&lt;Projects!$C$10+Projects!$D$10),Projects!$B$10*INDEX(Curves!$B$4:$AR$4,1,36-Projects!$C$10+1),0)+IF(AND(Projects!$G$11="Yes",36&gt;=Projects!$C$11,36&lt;Projects!$C$11+Projects!$D$11),Projects!$B$11*INDEX(Curves!$B$4:$AR$4,1,36-Projects!$C$11+1),0)+IF(AND(Projects!$G$12="Yes",36&gt;=Projects!$C$12,36&lt;Projects!$C$12+Projects!$D$12),Projects!$B$12*INDEX(Curves!$B$4:$AR$4,1,36-Projects!$C$12+1),0)+IF(AND(Projects!$G$13="Yes",36&gt;=Projects!$C$13,36&lt;Projects!$C$13+Projects!$D$13),Projects!$B$13*INDEX(Curves!$B$2:$AR$2,1,36-Projects!$C$13+1),0)+IF(AND(Projects!$G$14="Yes",36&gt;=Projects!$C$14,36&lt;Projects!$C$14+Projects!$D$14),Projects!$B$14*INDEX(Curves!$B$2:$AR$2,1,36-Projects!$C$14+1),0)+IF(AND(Projects!$G$15="Yes",36&gt;=Projects!$C$15,36&lt;Projects!$C$15+Projects!$D$15),Projects!$B$15*INDEX(Curves!$B$4:$AR$4,1,36-Projects!$C$15+1),0)+IF(AND(Projects!$G$16="Yes",36&gt;=Projects!$C$16,36&lt;Projects!$C$16+Projects!$D$16),Projects!$B$16*INDEX(Curves!$B$4:$AR$4,1,36-Projects!$C$16+1),0)+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,Actuals!AO8)</f>
        <v>4828912.4738270007</v>
      </c>
      <c r="AP8" s="3">
        <f>IF(ISBLANK(Actuals!AP8),IF(AND(Projects!$G$2="Yes",37&gt;=Projects!$C$2,37&lt;Projects!$C$2+Projects!$D$2),Projects!$B$2*INDEX(Curves!$B$6:$AR$6,1,37-Projects!$C$2+1),0)+IF(AND(Projects!$G$3="Yes",37&gt;=Projects!$C$3,37&lt;Projects!$C$3+Projects!$D$3),Projects!$B$3*INDEX(Curves!$B$7:$AR$7,1,37-Projects!$C$3+1),0)+IF(AND(Projects!$G$4="Yes",37&gt;=Projects!$C$4,37&lt;Projects!$C$4+Projects!$D$4),Projects!$B$4*INDEX(Curves!$B$8:$AR$8,1,37-Projects!$C$4+1),0)+IF(AND(Projects!$G$5="Yes",37&gt;=Projects!$C$5,37&lt;Projects!$C$5+Projects!$D$5),Projects!$B$5*INDEX(Curves!$B$9:$AR$9,1,37-Projects!$C$5+1),0)+IF(AND(Projects!$G$6="Yes",37&gt;=Projects!$C$6,37&lt;Projects!$C$6+Projects!$D$6),Projects!$B$6*INDEX(Curves!$B$4:$AR$4,1,37-Projects!$C$6+1),0)+IF(AND(Projects!$G$7="Yes",37&gt;=Projects!$C$7,37&lt;Projects!$C$7+Projects!$D$7),Projects!$B$7*INDEX(Curves!$B$3:$AR$3,1,37-Projects!$C$7+1),0)+IF(AND(Projects!$G$8="Yes",37&gt;=Projects!$C$8,37&lt;Projects!$C$8+Projects!$D$8),Projects!$B$8*INDEX(Curves!$B$4:$AR$4,1,37-Projects!$C$8+1),0)+IF(AND(Projects!$G$9="Yes",37&gt;=Projects!$C$9,37&lt;Projects!$C$9+Projects!$D$9),Projects!$B$9*INDEX(Curves!$B$2:$AR$2,1,37-Projects!$C$9+1),0)+IF(AND(Projects!$G$10="Yes",37&gt;=Projects!$C$10,37&lt;Projects!$C$10+Projects!$D$10),Projects!$B$10*INDEX(Curves!$B$4:$AR$4,1,37-Projects!$C$10+1),0)+IF(AND(Projects!$G$11="Yes",37&gt;=Projects!$C$11,37&lt;Projects!$C$11+Projects!$D$11),Projects!$B$11*INDEX(Curves!$B$4:$AR$4,1,37-Projects!$C$11+1),0)+IF(AND(Projects!$G$12="Yes",37&gt;=Projects!$C$12,37&lt;Projects!$C$12+Projects!$D$12),Projects!$B$12*INDEX(Curves!$B$4:$AR$4,1,37-Projects!$C$12+1),0)+IF(AND(Projects!$G$13="Yes",37&gt;=Projects!$C$13,37&lt;Projects!$C$13+Projects!$D$13),Projects!$B$13*INDEX(Curves!$B$2:$AR$2,1,37-Projects!$C$13+1),0)+IF(AND(Projects!$G$14="Yes",37&gt;=Projects!$C$14,37&lt;Projects!$C$14+Projects!$D$14),Projects!$B$14*INDEX(Curves!$B$2:$AR$2,1,37-Projects!$C$14+1),0)+IF(AND(Projects!$G$15="Yes",37&gt;=Projects!$C$15,37&lt;Projects!$C$15+Projects!$D$15),Projects!$B$15*INDEX(Curves!$B$4:$AR$4,1,37-Projects!$C$15+1),0)+IF(AND(Projects!$G$16="Yes",37&gt;=Projects!$C$16,37&lt;Projects!$C$16+Projects!$D$16),Projects!$B$16*INDEX(Curves!$B$4:$AR$4,1,37-Projects!$C$16+1),0)+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,Actuals!AP8)</f>
        <v>5195209.8332779994</v>
      </c>
      <c r="AQ8" s="3">
        <f>IF(ISBLANK(Actuals!AQ8),IF(AND(Projects!$G$2="Yes",38&gt;=Projects!$C$2,38&lt;Projects!$C$2+Projects!$D$2),Projects!$B$2*INDEX(Curves!$B$6:$AR$6,1,38-Projects!$C$2+1),0)+IF(AND(Projects!$G$3="Yes",38&gt;=Projects!$C$3,38&lt;Projects!$C$3+Projects!$D$3),Projects!$B$3*INDEX(Curves!$B$7:$AR$7,1,38-Projects!$C$3+1),0)+IF(AND(Projects!$G$4="Yes",38&gt;=Projects!$C$4,38&lt;Projects!$C$4+Projects!$D$4),Projects!$B$4*INDEX(Curves!$B$8:$AR$8,1,38-Projects!$C$4+1),0)+IF(AND(Projects!$G$5="Yes",38&gt;=Projects!$C$5,38&lt;Projects!$C$5+Projects!$D$5),Projects!$B$5*INDEX(Curves!$B$9:$AR$9,1,38-Projects!$C$5+1),0)+IF(AND(Projects!$G$6="Yes",38&gt;=Projects!$C$6,38&lt;Projects!$C$6+Projects!$D$6),Projects!$B$6*INDEX(Curves!$B$4:$AR$4,1,38-Projects!$C$6+1),0)+IF(AND(Projects!$G$7="Yes",38&gt;=Projects!$C$7,38&lt;Projects!$C$7+Projects!$D$7),Projects!$B$7*INDEX(Curves!$B$3:$AR$3,1,38-Projects!$C$7+1),0)+IF(AND(Projects!$G$8="Yes",38&gt;=Projects!$C$8,38&lt;Projects!$C$8+Projects!$D$8),Projects!$B$8*INDEX(Curves!$B$4:$AR$4,1,38-Projects!$C$8+1),0)+IF(AND(Projects!$G$9="Yes",38&gt;=Projects!$C$9,38&lt;Projects!$C$9+Projects!$D$9),Projects!$B$9*INDEX(Curves!$B$2:$AR$2,1,38-Projects!$C$9+1),0)+IF(AND(Projects!$G$10="Yes",38&gt;=Projects!$C$10,38&lt;Projects!$C$10+Projects!$D$10),Projects!$B$10*INDEX(Curves!$B$4:$AR$4,1,38-Projects!$C$10+1),0)+IF(AND(Projects!$G$11="Yes",38&gt;=Projects!$C$11,38&lt;Projects!$C$11+Projects!$D$11),Projects!$B$11*INDEX(Curves!$B$4:$AR$4,1,38-Projects!$C$11+1),0)+IF(AND(Projects!$G$12="Yes",38&gt;=Projects!$C$12,38&lt;Projects!$C$12+Projects!$D$12),Projects!$B$12*INDEX(Curves!$B$4:$AR$4,1,38-Projects!$C$12+1),0)+IF(AND(Projects!$G$13="Yes",38&gt;=Projects!$C$13,38&lt;Projects!$C$13+Projects!$D$13),Projects!$B$13*INDEX(Curves!$B$2:$AR$2,1,38-Projects!$C$13+1),0)+IF(AND(Projects!$G$14="Yes",38&gt;=Projects!$C$14,38&lt;Projects!$C$14+Projects!$D$14),Projects!$B$14*INDEX(Curves!$B$2:$AR$2,1,38-Projects!$C$14+1),0)+IF(AND(Projects!$G$15="Yes",38&gt;=Projects!$C$15,38&lt;Projects!$C$15+Projects!$D$15),Projects!$B$15*INDEX(Curves!$B$4:$AR$4,1,38-Projects!$C$15+1),0)+IF(AND(Projects!$G$16="Yes",38&gt;=Projects!$C$16,38&lt;Projects!$C$16+Projects!$D$16),Projects!$B$16*INDEX(Curves!$B$4:$AR$4,1,38-Projects!$C$16+1),0)+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,Actuals!AQ8)</f>
        <v>5416130.5343899997</v>
      </c>
      <c r="AR8" s="3">
        <f>IF(ISBLANK(Actuals!AR8),IF(AND(Projects!$G$2="Yes",39&gt;=Projects!$C$2,39&lt;Projects!$C$2+Projects!$D$2),Projects!$B$2*INDEX(Curves!$B$6:$AR$6,1,39-Projects!$C$2+1),0)+IF(AND(Projects!$G$3="Yes",39&gt;=Projects!$C$3,39&lt;Projects!$C$3+Projects!$D$3),Projects!$B$3*INDEX(Curves!$B$7:$AR$7,1,39-Projects!$C$3+1),0)+IF(AND(Projects!$G$4="Yes",39&gt;=Projects!$C$4,39&lt;Projects!$C$4+Projects!$D$4),Projects!$B$4*INDEX(Curves!$B$8:$AR$8,1,39-Projects!$C$4+1),0)+IF(AND(Projects!$G$5="Yes",39&gt;=Projects!$C$5,39&lt;Projects!$C$5+Projects!$D$5),Projects!$B$5*INDEX(Curves!$B$9:$AR$9,1,39-Projects!$C$5+1),0)+IF(AND(Projects!$G$6="Yes",39&gt;=Projects!$C$6,39&lt;Projects!$C$6+Projects!$D$6),Projects!$B$6*INDEX(Curves!$B$4:$AR$4,1,39-Projects!$C$6+1),0)+IF(AND(Projects!$G$7="Yes",39&gt;=Projects!$C$7,39&lt;Projects!$C$7+Projects!$D$7),Projects!$B$7*INDEX(Curves!$B$3:$AR$3,1,39-Projects!$C$7+1),0)+IF(AND(Projects!$G$8="Yes",39&gt;=Projects!$C$8,39&lt;Projects!$C$8+Projects!$D$8),Projects!$B$8*INDEX(Curves!$B$4:$AR$4,1,39-Projects!$C$8+1),0)+IF(AND(Projects!$G$9="Yes",39&gt;=Projects!$C$9,39&lt;Projects!$C$9+Projects!$D$9),Projects!$B$9*INDEX(Curves!$B$2:$AR$2,1,39-Projects!$C$9+1),0)+IF(AND(Projects!$G$10="Yes",39&gt;=Projects!$C$10,39&lt;Projects!$C$10+Projects!$D$10),Projects!$B$10*INDEX(Curves!$B$4:$AR$4,1,39-Projects!$C$10+1),0)+IF(AND(Projects!$G$11="Yes",39&gt;=Projects!$C$11,39&lt;Projects!$C$11+Projects!$D$11),Projects!$B$11*INDEX(Curves!$B$4:$AR$4,1,39-Projects!$C$11+1),0)+IF(AND(Projects!$G$12="Yes",39&gt;=Projects!$C$12,39&lt;Projects!$C$12+Projects!$D$12),Projects!$B$12*INDEX(Curves!$B$4:$AR$4,1,39-Projects!$C$12+1),0)+IF(AND(Projects!$G$13="Yes",39&gt;=Projects!$C$13,39&lt;Projects!$C$13+Projects!$D$13),Projects!$B$13*INDEX(Curves!$B$2:$AR$2,1,39-Projects!$C$13+1),0)+IF(AND(Projects!$G$14="Yes",39&gt;=Projects!$C$14,39&lt;Projects!$C$14+Projects!$D$14),Projects!$B$14*INDEX(Curves!$B$2:$AR$2,1,39-Projects!$C$14+1),0)+IF(AND(Projects!$G$15="Yes",39&gt;=Projects!$C$15,39&lt;Projects!$C$15+Projects!$D$15),Projects!$B$15*INDEX(Curves!$B$4:$AR$4,1,39-Projects!$C$15+1),0)+IF(AND(Projects!$G$16="Yes",39&gt;=Projects!$C$16,39&lt;Projects!$C$16+Projects!$D$16),Projects!$B$16*INDEX(Curves!$B$4:$AR$4,1,39-Projects!$C$16+1),0)+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,Actuals!AR8)</f>
        <v>5600567.1206259998</v>
      </c>
      <c r="AS8" s="3">
        <f>IF(ISBLANK(Actuals!AS8),IF(AND(Projects!$G$2="Yes",40&gt;=Projects!$C$2,40&lt;Projects!$C$2+Projects!$D$2),Projects!$B$2*INDEX(Curves!$B$6:$AR$6,1,40-Projects!$C$2+1),0)+IF(AND(Projects!$G$3="Yes",40&gt;=Projects!$C$3,40&lt;Projects!$C$3+Projects!$D$3),Projects!$B$3*INDEX(Curves!$B$7:$AR$7,1,40-Projects!$C$3+1),0)+IF(AND(Projects!$G$4="Yes",40&gt;=Projects!$C$4,40&lt;Projects!$C$4+Projects!$D$4),Projects!$B$4*INDEX(Curves!$B$8:$AR$8,1,40-Projects!$C$4+1),0)+IF(AND(Projects!$G$5="Yes",40&gt;=Projects!$C$5,40&lt;Projects!$C$5+Projects!$D$5),Projects!$B$5*INDEX(Curves!$B$9:$AR$9,1,40-Projects!$C$5+1),0)+IF(AND(Projects!$G$6="Yes",40&gt;=Projects!$C$6,40&lt;Projects!$C$6+Projects!$D$6),Projects!$B$6*INDEX(Curves!$B$4:$AR$4,1,40-Projects!$C$6+1),0)+IF(AND(Projects!$G$7="Yes",40&gt;=Projects!$C$7,40&lt;Projects!$C$7+Projects!$D$7),Projects!$B$7*INDEX(Curves!$B$3:$AR$3,1,40-Projects!$C$7+1),0)+IF(AND(Projects!$G$8="Yes",40&gt;=Projects!$C$8,40&lt;Projects!$C$8+Projects!$D$8),Projects!$B$8*INDEX(Curves!$B$4:$AR$4,1,40-Projects!$C$8+1),0)+IF(AND(Projects!$G$9="Yes",40&gt;=Projects!$C$9,40&lt;Projects!$C$9+Projects!$D$9),Projects!$B$9*INDEX(Curves!$B$2:$AR$2,1,40-Projects!$C$9+1),0)+IF(AND(Projects!$G$10="Yes",40&gt;=Projects!$C$10,40&lt;Projects!$C$10+Projects!$D$10),Projects!$B$10*INDEX(Curves!$B$4:$AR$4,1,40-Projects!$C$10+1),0)+IF(AND(Projects!$G$11="Yes",40&gt;=Projects!$C$11,40&lt;Projects!$C$11+Projects!$D$11),Projects!$B$11*INDEX(Curves!$B$4:$AR$4,1,40-Projects!$C$11+1),0)+IF(AND(Projects!$G$12="Yes",40&gt;=Projects!$C$12,40&lt;Projects!$C$12+Projects!$D$12),Projects!$B$12*INDEX(Curves!$B$4:$AR$4,1,40-Projects!$C$12+1),0)+IF(AND(Projects!$G$13="Yes",40&gt;=Projects!$C$13,40&lt;Projects!$C$13+Projects!$D$13),Projects!$B$13*INDEX(Curves!$B$2:$AR$2,1,40-Projects!$C$13+1),0)+IF(AND(Projects!$G$14="Yes",40&gt;=Projects!$C$14,40&lt;Projects!$C$14+Projects!$D$14),Projects!$B$14*INDEX(Curves!$B$2:$AR$2,1,40-Projects!$C$14+1),0)+IF(AND(Projects!$G$15="Yes",40&gt;=Projects!$C$15,40&lt;Projects!$C$15+Projects!$D$15),Projects!$B$15*INDEX(Curves!$B$4:$AR$4,1,40-Projects!$C$15+1),0)+IF(AND(Projects!$G$16="Yes",40&gt;=Projects!$C$16,40&lt;Projects!$C$16+Projects!$D$16),Projects!$B$16*INDEX(Curves!$B$4:$AR$4,1,40-Projects!$C$16+1),0)+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,Actuals!AS8)</f>
        <v>6212940.7452060003</v>
      </c>
      <c r="AT8" s="3">
        <f>IF(ISBLANK(Actuals!AT8),IF(AND(Projects!$G$2="Yes",41&gt;=Projects!$C$2,41&lt;Projects!$C$2+Projects!$D$2),Projects!$B$2*INDEX(Curves!$B$6:$AR$6,1,41-Projects!$C$2+1),0)+IF(AND(Projects!$G$3="Yes",41&gt;=Projects!$C$3,41&lt;Projects!$C$3+Projects!$D$3),Projects!$B$3*INDEX(Curves!$B$7:$AR$7,1,41-Projects!$C$3+1),0)+IF(AND(Projects!$G$4="Yes",41&gt;=Projects!$C$4,41&lt;Projects!$C$4+Projects!$D$4),Projects!$B$4*INDEX(Curves!$B$8:$AR$8,1,41-Projects!$C$4+1),0)+IF(AND(Projects!$G$5="Yes",41&gt;=Projects!$C$5,41&lt;Projects!$C$5+Projects!$D$5),Projects!$B$5*INDEX(Curves!$B$9:$AR$9,1,41-Projects!$C$5+1),0)+IF(AND(Projects!$G$6="Yes",41&gt;=Projects!$C$6,41&lt;Projects!$C$6+Projects!$D$6),Projects!$B$6*INDEX(Curves!$B$4:$AR$4,1,41-Projects!$C$6+1),0)+IF(AND(Projects!$G$7="Yes",41&gt;=Projects!$C$7,41&lt;Projects!$C$7+Projects!$D$7),Projects!$B$7*INDEX(Curves!$B$3:$AR$3,1,41-Projects!$C$7+1),0)+IF(AND(Projects!$G$8="Yes",41&gt;=Projects!$C$8,41&lt;Projects!$C$8+Projects!$D$8),Projects!$B$8*INDEX(Curves!$B$4:$AR$4,1,41-Projects!$C$8+1),0)+IF(AND(Projects!$G$9="Yes",41&gt;=Projects!$C$9,41&lt;Projects!$C$9+Projects!$D$9),Projects!$B$9*INDEX(Curves!$B$2:$AR$2,1,41-Projects!$C$9+1),0)+IF(AND(Projects!$G$10="Yes",41&gt;=Projects!$C$10,41&lt;Projects!$C$10+Projects!$D$10),Projects!$B$10*INDEX(Curves!$B$4:$AR$4,1,41-Projects!$C$10+1),0)+IF(AND(Projects!$G$11="Yes",41&gt;=Projects!$C$11,41&lt;Projects!$C$11+Projects!$D$11),Projects!$B$11*INDEX(Curves!$B$4:$AR$4,1,41-Projects!$C$11+1),0)+IF(AND(Projects!$G$12="Yes",41&gt;=Projects!$C$12,41&lt;Projects!$C$12+Projects!$D$12),Projects!$B$12*INDEX(Curves!$B$4:$AR$4,1,41-Projects!$C$12+1),0)+IF(AND(Projects!$G$13="Yes",41&gt;=Projects!$C$13,41&lt;Projects!$C$13+Projects!$D$13),Projects!$B$13*INDEX(Curves!$B$2:$AR$2,1,41-Projects!$C$13+1),0)+IF(AND(Projects!$G$14="Yes",41&gt;=Projects!$C$14,41&lt;Projects!$C$14+Projects!$D$14),Projects!$B$14*INDEX(Curves!$B$2:$AR$2,1,41-Projects!$C$14+1),0)+IF(AND(Projects!$G$15="Yes",41&gt;=Projects!$C$15,41&lt;Projects!$C$15+Projects!$D$15),Projects!$B$15*INDEX(Curves!$B$4:$AR$4,1,41-Projects!$C$15+1),0)+IF(AND(Projects!$G$16="Yes",41&gt;=Projects!$C$16,41&lt;Projects!$C$16+Projects!$D$16),Projects!$B$16*INDEX(Curves!$B$4:$AR$4,1,41-Projects!$C$16+1),0)+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,Actuals!AT8)</f>
        <v>6399484.4798999997</v>
      </c>
      <c r="AU8" s="3">
        <f>IF(ISBLANK(Actuals!AU8),IF(AND(Projects!$G$2="Yes",42&gt;=Projects!$C$2,42&lt;Projects!$C$2+Projects!$D$2),Projects!$B$2*INDEX(Curves!$B$6:$AR$6,1,42-Projects!$C$2+1),0)+IF(AND(Projects!$G$3="Yes",42&gt;=Projects!$C$3,42&lt;Projects!$C$3+Projects!$D$3),Projects!$B$3*INDEX(Curves!$B$7:$AR$7,1,42-Projects!$C$3+1),0)+IF(AND(Projects!$G$4="Yes",42&gt;=Projects!$C$4,42&lt;Projects!$C$4+Projects!$D$4),Projects!$B$4*INDEX(Curves!$B$8:$AR$8,1,42-Projects!$C$4+1),0)+IF(AND(Projects!$G$5="Yes",42&gt;=Projects!$C$5,42&lt;Projects!$C$5+Projects!$D$5),Projects!$B$5*INDEX(Curves!$B$9:$AR$9,1,42-Projects!$C$5+1),0)+IF(AND(Projects!$G$6="Yes",42&gt;=Projects!$C$6,42&lt;Projects!$C$6+Projects!$D$6),Projects!$B$6*INDEX(Curves!$B$4:$AR$4,1,42-Projects!$C$6+1),0)+IF(AND(Projects!$G$7="Yes",42&gt;=Projects!$C$7,42&lt;Projects!$C$7+Projects!$D$7),Projects!$B$7*INDEX(Curves!$B$3:$AR$3,1,42-Projects!$C$7+1),0)+IF(AND(Projects!$G$8="Yes",42&gt;=Projects!$C$8,42&lt;Projects!$C$8+Projects!$D$8),Projects!$B$8*INDEX(Curves!$B$4:$AR$4,1,42-Projects!$C$8+1),0)+IF(AND(Projects!$G$9="Yes",42&gt;=Projects!$C$9,42&lt;Projects!$C$9+Projects!$D$9),Projects!$B$9*INDEX(Curves!$B$2:$AR$2,1,42-Projects!$C$9+1),0)+IF(AND(Projects!$G$10="Yes",42&gt;=Projects!$C$10,42&lt;Projects!$C$10+Projects!$D$10),Projects!$B$10*INDEX(Curves!$B$4:$AR$4,1,42-Projects!$C$10+1),0)+IF(AND(Projects!$G$11="Yes",42&gt;=Projects!$C$11,42&lt;Projects!$C$11+Projects!$D$11),Projects!$B$11*INDEX(Curves!$B$4:$AR$4,1,42-Projects!$C$11+1),0)+IF(AND(Projects!$G$12="Yes",42&gt;=Projects!$C$12,42&lt;Projects!$C$12+Projects!$D$12),Projects!$B$12*INDEX(Curves!$B$4:$AR$4,1,42-Projects!$C$12+1),0)+IF(AND(Projects!$G$13="Yes",42&gt;=Projects!$C$13,42&lt;Projects!$C$13+Projects!$D$13),Projects!$B$13*INDEX(Curves!$B$2:$AR$2,1,42-Projects!$C$13+1),0)+IF(AND(Projects!$G$14="Yes",42&gt;=Projects!$C$14,42&lt;Projects!$C$14+Projects!$D$14),Projects!$B$14*INDEX(Curves!$B$2:$AR$2,1,42-Projects!$C$14+1),0)+IF(AND(Projects!$G$15="Yes",42&gt;=Projects!$C$15,42&lt;Projects!$C$15+Projects!$D$15),Projects!$B$15*INDEX(Curves!$B$4:$AR$4,1,42-Projects!$C$15+1),0)+IF(AND(Projects!$G$16="Yes",42&gt;=Projects!$C$16,42&lt;Projects!$C$16+Projects!$D$16),Projects!$B$16*INDEX(Curves!$B$4:$AR$4,1,42-Projects!$C$16+1),0)+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,Actuals!AU8)</f>
        <v>6524524.6968099996</v>
      </c>
      <c r="AV8" s="3">
        <f>IF(ISBLANK(Actuals!AV8),IF(AND(Projects!$G$2="Yes",43&gt;=Projects!$C$2,43&lt;Projects!$C$2+Projects!$D$2),Projects!$B$2*INDEX(Curves!$B$6:$AR$6,1,43-Projects!$C$2+1),0)+IF(AND(Projects!$G$3="Yes",43&gt;=Projects!$C$3,43&lt;Projects!$C$3+Projects!$D$3),Projects!$B$3*INDEX(Curves!$B$7:$AR$7,1,43-Projects!$C$3+1),0)+IF(AND(Projects!$G$4="Yes",43&gt;=Projects!$C$4,43&lt;Projects!$C$4+Projects!$D$4),Projects!$B$4*INDEX(Curves!$B$8:$AR$8,1,43-Projects!$C$4+1),0)+IF(AND(Projects!$G$5="Yes",43&gt;=Projects!$C$5,43&lt;Projects!$C$5+Projects!$D$5),Projects!$B$5*INDEX(Curves!$B$9:$AR$9,1,43-Projects!$C$5+1),0)+IF(AND(Projects!$G$6="Yes",43&gt;=Projects!$C$6,43&lt;Projects!$C$6+Projects!$D$6),Projects!$B$6*INDEX(Curves!$B$4:$AR$4,1,43-Projects!$C$6+1),0)+IF(AND(Projects!$G$7="Yes",43&gt;=Projects!$C$7,43&lt;Projects!$C$7+Projects!$D$7),Projects!$B$7*INDEX(Curves!$B$3:$AR$3,1,43-Projects!$C$7+1),0)+IF(AND(Projects!$G$8="Yes",43&gt;=Projects!$C$8,43&lt;Projects!$C$8+Projects!$D$8),Projects!$B$8*INDEX(Curves!$B$4:$AR$4,1,43-Projects!$C$8+1),0)+IF(AND(Projects!$G$9="Yes",43&gt;=Projects!$C$9,43&lt;Projects!$C$9+Projects!$D$9),Projects!$B$9*INDEX(Curves!$B$2:$AR$2,1,43-Projects!$C$9+1),0)+IF(AND(Projects!$G$10="Yes",43&gt;=Projects!$C$10,43&lt;Projects!$C$10+Projects!$D$10),Projects!$B$10*INDEX(Curves!$B$4:$AR$4,1,43-Projects!$C$10+1),0)+IF(AND(Projects!$G$11="Yes",43&gt;=Projects!$C$11,43&lt;Projects!$C$11+Projects!$D$11),Projects!$B$11*INDEX(Curves!$B$4:$AR$4,1,43-Projects!$C$11+1),0)+IF(AND(Projects!$G$12="Yes",43&gt;=Projects!$C$12,43&lt;Projects!$C$12+Projects!$D$12),Projects!$B$12*INDEX(Curves!$B$4:$AR$4,1,43-Projects!$C$12+1),0)+IF(AND(Projects!$G$13="Yes",43&gt;=Projects!$C$13,43&lt;Projects!$C$13+Projects!$D$13),Projects!$B$13*INDEX(Curves!$B$2:$AR$2,1,43-Projects!$C$13+1),0)+IF(AND(Projects!$G$14="Yes",43&gt;=Projects!$C$14,43&lt;Projects!$C$14+Projects!$D$14),Projects!$B$14*INDEX(Curves!$B$2:$AR$2,1,43-Projects!$C$14+1),0)+IF(AND(Projects!$G$15="Yes",43&gt;=Projects!$C$15,43&lt;Projects!$C$15+Projects!$D$15),Projects!$B$15*INDEX(Curves!$B$4:$AR$4,1,43-Projects!$C$15+1),0)+IF(AND(Projects!$G$16="Yes",43&gt;=Projects!$C$16,43&lt;Projects!$C$16+Projects!$D$16),Projects!$B$16*INDEX(Curves!$B$4:$AR$4,1,43-Projects!$C$16+1),0)+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,Actuals!AV8)</f>
        <v>5949960.3662160002</v>
      </c>
      <c r="AW8" s="3">
        <f>IF(ISBLANK(Actuals!AW8),IF(AND(Projects!$G$2="Yes",44&gt;=Projects!$C$2,44&lt;Projects!$C$2+Projects!$D$2),Projects!$B$2*INDEX(Curves!$B$6:$AR$6,1,44-Projects!$C$2+1),0)+IF(AND(Projects!$G$3="Yes",44&gt;=Projects!$C$3,44&lt;Projects!$C$3+Projects!$D$3),Projects!$B$3*INDEX(Curves!$B$7:$AR$7,1,44-Projects!$C$3+1),0)+IF(AND(Projects!$G$4="Yes",44&gt;=Projects!$C$4,44&lt;Projects!$C$4+Projects!$D$4),Projects!$B$4*INDEX(Curves!$B$8:$AR$8,1,44-Projects!$C$4+1),0)+IF(AND(Projects!$G$5="Yes",44&gt;=Projects!$C$5,44&lt;Projects!$C$5+Projects!$D$5),Projects!$B$5*INDEX(Curves!$B$9:$AR$9,1,44-Projects!$C$5+1),0)+IF(AND(Projects!$G$6="Yes",44&gt;=Projects!$C$6,44&lt;Projects!$C$6+Projects!$D$6),Projects!$B$6*INDEX(Curves!$B$4:$AR$4,1,44-Projects!$C$6+1),0)+IF(AND(Projects!$G$7="Yes",44&gt;=Projects!$C$7,44&lt;Projects!$C$7+Projects!$D$7),Projects!$B$7*INDEX(Curves!$B$3:$AR$3,1,44-Projects!$C$7+1),0)+IF(AND(Projects!$G$8="Yes",44&gt;=Projects!$C$8,44&lt;Projects!$C$8+Projects!$D$8),Projects!$B$8*INDEX(Curves!$B$4:$AR$4,1,44-Projects!$C$8+1),0)+IF(AND(Projects!$G$9="Yes",44&gt;=Projects!$C$9,44&lt;Projects!$C$9+Projects!$D$9),Projects!$B$9*INDEX(Curves!$B$2:$AR$2,1,44-Projects!$C$9+1),0)+IF(AND(Projects!$G$10="Yes",44&gt;=Projects!$C$10,44&lt;Projects!$C$10+Projects!$D$10),Projects!$B$10*INDEX(Curves!$B$4:$AR$4,1,44-Projects!$C$10+1),0)+IF(AND(Projects!$G$11="Yes",44&gt;=Projects!$C$11,44&lt;Projects!$C$11+Projects!$D$11),Projects!$B$11*INDEX(Curves!$B$4:$AR$4,1,44-Projects!$C$11+1),0)+IF(AND(Projects!$G$12="Yes",44&gt;=Projects!$C$12,44&lt;Projects!$C$12+Projects!$D$12),Projects!$B$12*INDEX(Curves!$B$4:$AR$4,1,44-Projects!$C$12+1),0)+IF(AND(Projects!$G$13="Yes",44&gt;=Projects!$C$13,44&lt;Projects!$C$13+Projects!$D$13),Projects!$B$13*INDEX(Curves!$B$2:$AR$2,1,44-Projects!$C$13+1),0)+IF(AND(Projects!$G$14="Yes",44&gt;=Projects!$C$14,44&lt;Projects!$C$14+Projects!$D$14),Projects!$B$14*INDEX(Curves!$B$2:$AR$2,1,44-Projects!$C$14+1),0)+IF(AND(Projects!$G$15="Yes",44&gt;=Projects!$C$15,44&lt;Projects!$C$15+Projects!$D$15),Projects!$B$15*INDEX(Curves!$B$4:$AR$4,1,44-Projects!$C$15+1),0)+IF(AND(Projects!$G$16="Yes",44&gt;=Projects!$C$16,44&lt;Projects!$C$16+Projects!$D$16),Projects!$B$16*INDEX(Curves!$B$4:$AR$4,1,44-Projects!$C$16+1),0)+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,Actuals!AW8)</f>
        <v>6015560.1974160001</v>
      </c>
      <c r="AX8" s="3">
        <f>IF(ISBLANK(Actuals!AX8),IF(AND(Projects!$G$2="Yes",45&gt;=Projects!$C$2,45&lt;Projects!$C$2+Projects!$D$2),Projects!$B$2*INDEX(Curves!$B$6:$AR$6,1,45-Projects!$C$2+1),0)+IF(AND(Projects!$G$3="Yes",45&gt;=Projects!$C$3,45&lt;Projects!$C$3+Projects!$D$3),Projects!$B$3*INDEX(Curves!$B$7:$AR$7,1,45-Projects!$C$3+1),0)+IF(AND(Projects!$G$4="Yes",45&gt;=Projects!$C$4,45&lt;Projects!$C$4+Projects!$D$4),Projects!$B$4*INDEX(Curves!$B$8:$AR$8,1,45-Projects!$C$4+1),0)+IF(AND(Projects!$G$5="Yes",45&gt;=Projects!$C$5,45&lt;Projects!$C$5+Projects!$D$5),Projects!$B$5*INDEX(Curves!$B$9:$AR$9,1,45-Projects!$C$5+1),0)+IF(AND(Projects!$G$6="Yes",45&gt;=Projects!$C$6,45&lt;Projects!$C$6+Projects!$D$6),Projects!$B$6*INDEX(Curves!$B$4:$AR$4,1,45-Projects!$C$6+1),0)+IF(AND(Projects!$G$7="Yes",45&gt;=Projects!$C$7,45&lt;Projects!$C$7+Projects!$D$7),Projects!$B$7*INDEX(Curves!$B$3:$AR$3,1,45-Projects!$C$7+1),0)+IF(AND(Projects!$G$8="Yes",45&gt;=Projects!$C$8,45&lt;Projects!$C$8+Projects!$D$8),Projects!$B$8*INDEX(Curves!$B$4:$AR$4,1,45-Projects!$C$8+1),0)+IF(AND(Projects!$G$9="Yes",45&gt;=Projects!$C$9,45&lt;Projects!$C$9+Projects!$D$9),Projects!$B$9*INDEX(Curves!$B$2:$AR$2,1,45-Projects!$C$9+1),0)+IF(AND(Projects!$G$10="Yes",45&gt;=Projects!$C$10,45&lt;Projects!$C$10+Projects!$D$10),Projects!$B$10*INDEX(Curves!$B$4:$AR$4,1,45-Projects!$C$10+1),0)+IF(AND(Projects!$G$11="Yes",45&gt;=Projects!$C$11,45&lt;Projects!$C$11+Projects!$D$11),Projects!$B$11*INDEX(Curves!$B$4:$AR$4,1,45-Projects!$C$11+1),0)+IF(AND(Projects!$G$12="Yes",45&gt;=Projects!$C$12,45&lt;Projects!$C$12+Projects!$D$12),Projects!$B$12*INDEX(Curves!$B$4:$AR$4,1,45-Projects!$C$12+1),0)+IF(AND(Projects!$G$13="Yes",45&gt;=Projects!$C$13,45&lt;Projects!$C$13+Projects!$D$13),Projects!$B$13*INDEX(Curves!$B$2:$AR$2,1,45-Projects!$C$13+1),0)+IF(AND(Projects!$G$14="Yes",45&gt;=Projects!$C$14,45&lt;Projects!$C$14+Projects!$D$14),Projects!$B$14*INDEX(Curves!$B$2:$AR$2,1,45-Projects!$C$14+1),0)+IF(AND(Projects!$G$15="Yes",45&gt;=Projects!$C$15,45&lt;Projects!$C$15+Projects!$D$15),Projects!$B$15*INDEX(Curves!$B$4:$AR$4,1,45-Projects!$C$15+1),0)+IF(AND(Projects!$G$16="Yes",45&gt;=Projects!$C$16,45&lt;Projects!$C$16+Projects!$D$16),Projects!$B$16*INDEX(Curves!$B$4:$AR$4,1,45-Projects!$C$16+1),0)+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,Actuals!AX8)</f>
        <v>5987850.79244</v>
      </c>
      <c r="AY8" s="3">
        <f>IF(ISBLANK(Actuals!AY8),IF(AND(Projects!$G$2="Yes",46&gt;=Projects!$C$2,46&lt;Projects!$C$2+Projects!$D$2),Projects!$B$2*INDEX(Curves!$B$6:$AR$6,1,46-Projects!$C$2+1),0)+IF(AND(Projects!$G$3="Yes",46&gt;=Projects!$C$3,46&lt;Projects!$C$3+Projects!$D$3),Projects!$B$3*INDEX(Curves!$B$7:$AR$7,1,46-Projects!$C$3+1),0)+IF(AND(Projects!$G$4="Yes",46&gt;=Projects!$C$4,46&lt;Projects!$C$4+Projects!$D$4),Projects!$B$4*INDEX(Curves!$B$8:$AR$8,1,46-Projects!$C$4+1),0)+IF(AND(Projects!$G$5="Yes",46&gt;=Projects!$C$5,46&lt;Projects!$C$5+Projects!$D$5),Projects!$B$5*INDEX(Curves!$B$9:$AR$9,1,46-Projects!$C$5+1),0)+IF(AND(Projects!$G$6="Yes",46&gt;=Projects!$C$6,46&lt;Projects!$C$6+Projects!$D$6),Projects!$B$6*INDEX(Curves!$B$4:$AR$4,1,46-Projects!$C$6+1),0)+IF(AND(Projects!$G$7="Yes",46&gt;=Projects!$C$7,46&lt;Projects!$C$7+Projects!$D$7),Projects!$B$7*INDEX(Curves!$B$3:$AR$3,1,46-Projects!$C$7+1),0)+IF(AND(Projects!$G$8="Yes",46&gt;=Projects!$C$8,46&lt;Projects!$C$8+Projects!$D$8),Projects!$B$8*INDEX(Curves!$B$4:$AR$4,1,46-Projects!$C$8+1),0)+IF(AND(Projects!$G$9="Yes",46&gt;=Projects!$C$9,46&lt;Projects!$C$9+Projects!$D$9),Projects!$B$9*INDEX(Curves!$B$2:$AR$2,1,46-Projects!$C$9+1),0)+IF(AND(Projects!$G$10="Yes",46&gt;=Projects!$C$10,46&lt;Projects!$C$10+Projects!$D$10),Projects!$B$10*INDEX(Curves!$B$4:$AR$4,1,46-Projects!$C$10+1),0)+IF(AND(Projects!$G$11="Yes",46&gt;=Projects!$C$11,46&lt;Projects!$C$11+Projects!$D$11),Projects!$B$11*INDEX(Curves!$B$4:$AR$4,1,46-Projects!$C$11+1),0)+IF(AND(Projects!$G$12="Yes",46&gt;=Projects!$C$12,46&lt;Projects!$C$12+Projects!$D$12),Projects!$B$12*INDEX(Curves!$B$4:$AR$4,1,46-Projects!$C$12+1),0)+IF(AND(Projects!$G$13="Yes",46&gt;=Projects!$C$13,46&lt;Projects!$C$13+Projects!$D$13),Projects!$B$13*INDEX(Curves!$B$2:$AR$2,1,46-Projects!$C$13+1),0)+IF(AND(Projects!$G$14="Yes",46&gt;=Projects!$C$14,46&lt;Projects!$C$14+Projects!$D$14),Projects!$B$14*INDEX(Curves!$B$2:$AR$2,1,46-Projects!$C$14+1),0)+IF(AND(Projects!$G$15="Yes",46&gt;=Projects!$C$15,46&lt;Projects!$C$15+Projects!$D$15),Projects!$B$15*INDEX(Curves!$B$4:$AR$4,1,46-Projects!$C$15+1),0)+IF(AND(Projects!$G$16="Yes",46&gt;=Projects!$C$16,46&lt;Projects!$C$16+Projects!$D$16),Projects!$B$16*INDEX(Curves!$B$4:$AR$4,1,46-Projects!$C$16+1),0)+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,Actuals!AY8)</f>
        <v>5866752.3365679998</v>
      </c>
      <c r="AZ8" s="3">
        <f>IF(ISBLANK(Actuals!AZ8),IF(AND(Projects!$G$2="Yes",47&gt;=Projects!$C$2,47&lt;Projects!$C$2+Projects!$D$2),Projects!$B$2*INDEX(Curves!$B$6:$AR$6,1,47-Projects!$C$2+1),0)+IF(AND(Projects!$G$3="Yes",47&gt;=Projects!$C$3,47&lt;Projects!$C$3+Projects!$D$3),Projects!$B$3*INDEX(Curves!$B$7:$AR$7,1,47-Projects!$C$3+1),0)+IF(AND(Projects!$G$4="Yes",47&gt;=Projects!$C$4,47&lt;Projects!$C$4+Projects!$D$4),Projects!$B$4*INDEX(Curves!$B$8:$AR$8,1,47-Projects!$C$4+1),0)+IF(AND(Projects!$G$5="Yes",47&gt;=Projects!$C$5,47&lt;Projects!$C$5+Projects!$D$5),Projects!$B$5*INDEX(Curves!$B$9:$AR$9,1,47-Projects!$C$5+1),0)+IF(AND(Projects!$G$6="Yes",47&gt;=Projects!$C$6,47&lt;Projects!$C$6+Projects!$D$6),Projects!$B$6*INDEX(Curves!$B$4:$AR$4,1,47-Projects!$C$6+1),0)+IF(AND(Projects!$G$7="Yes",47&gt;=Projects!$C$7,47&lt;Projects!$C$7+Projects!$D$7),Projects!$B$7*INDEX(Curves!$B$3:$AR$3,1,47-Projects!$C$7+1),0)+IF(AND(Projects!$G$8="Yes",47&gt;=Projects!$C$8,47&lt;Projects!$C$8+Projects!$D$8),Projects!$B$8*INDEX(Curves!$B$4:$AR$4,1,47-Projects!$C$8+1),0)+IF(AND(Projects!$G$9="Yes",47&gt;=Projects!$C$9,47&lt;Projects!$C$9+Projects!$D$9),Projects!$B$9*INDEX(Curves!$B$2:$AR$2,1,47-Projects!$C$9+1),0)+IF(AND(Projects!$G$10="Yes",47&gt;=Projects!$C$10,47&lt;Projects!$C$10+Projects!$D$10),Projects!$B$10*INDEX(Curves!$B$4:$AR$4,1,47-Projects!$C$10+1),0)+IF(AND(Projects!$G$11="Yes",47&gt;=Projects!$C$11,47&lt;Projects!$C$11+Projects!$D$11),Projects!$B$11*INDEX(Curves!$B$4:$AR$4,1,47-Projects!$C$11+1),0)+IF(AND(Projects!$G$12="Yes",47&gt;=Projects!$C$12,47&lt;Projects!$C$12+Projects!$D$12),Projects!$B$12*INDEX(Curves!$B$4:$AR$4,1,47-Projects!$C$12+1),0)+IF(AND(Projects!$G$13="Yes",47&gt;=Projects!$C$13,47&lt;Projects!$C$13+Projects!$D$13),Projects!$B$13*INDEX(Curves!$B$2:$AR$2,1,47-Projects!$C$13+1),0)+IF(AND(Projects!$G$14="Yes",47&gt;=Projects!$C$14,47&lt;Projects!$C$14+Projects!$D$14),Projects!$B$14*INDEX(Curves!$B$2:$AR$2,1,47-Projects!$C$14+1),0)+IF(AND(Projects!$G$15="Yes",47&gt;=Projects!$C$15,47&lt;Projects!$C$15+Projects!$D$15),Projects!$B$15*INDEX(Curves!$B$4:$AR$4,1,47-Projects!$C$15+1),0)+IF(AND(Projects!$G$16="Yes",47&gt;=Projects!$C$16,47&lt;Projects!$C$16+Projects!$D$16),Projects!$B$16*INDEX(Curves!$B$4:$AR$4,1,47-Projects!$C$16+1),0)+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,Actuals!AZ8)</f>
        <v>5656593.4975039996</v>
      </c>
      <c r="BA8" s="3">
        <f>IF(ISBLANK(Actuals!BA8),IF(AND(Projects!$G$2="Yes",48&gt;=Projects!$C$2,48&lt;Projects!$C$2+Projects!$D$2),Projects!$B$2*INDEX(Curves!$B$6:$AR$6,1,48-Projects!$C$2+1),0)+IF(AND(Projects!$G$3="Yes",48&gt;=Projects!$C$3,48&lt;Projects!$C$3+Projects!$D$3),Projects!$B$3*INDEX(Curves!$B$7:$AR$7,1,48-Projects!$C$3+1),0)+IF(AND(Projects!$G$4="Yes",48&gt;=Projects!$C$4,48&lt;Projects!$C$4+Projects!$D$4),Projects!$B$4*INDEX(Curves!$B$8:$AR$8,1,48-Projects!$C$4+1),0)+IF(AND(Projects!$G$5="Yes",48&gt;=Projects!$C$5,48&lt;Projects!$C$5+Projects!$D$5),Projects!$B$5*INDEX(Curves!$B$9:$AR$9,1,48-Projects!$C$5+1),0)+IF(AND(Projects!$G$6="Yes",48&gt;=Projects!$C$6,48&lt;Projects!$C$6+Projects!$D$6),Projects!$B$6*INDEX(Curves!$B$4:$AR$4,1,48-Projects!$C$6+1),0)+IF(AND(Projects!$G$7="Yes",48&gt;=Projects!$C$7,48&lt;Projects!$C$7+Projects!$D$7),Projects!$B$7*INDEX(Curves!$B$3:$AR$3,1,48-Projects!$C$7+1),0)+IF(AND(Projects!$G$8="Yes",48&gt;=Projects!$C$8,48&lt;Projects!$C$8+Projects!$D$8),Projects!$B$8*INDEX(Curves!$B$4:$AR$4,1,48-Projects!$C$8+1),0)+IF(AND(Projects!$G$9="Yes",48&gt;=Projects!$C$9,48&lt;Projects!$C$9+Projects!$D$9),Projects!$B$9*INDEX(Curves!$B$2:$AR$2,1,48-Projects!$C$9+1),0)+IF(AND(Projects!$G$10="Yes",48&gt;=Projects!$C$10,48&lt;Projects!$C$10+Projects!$D$10),Projects!$B$10*INDEX(Curves!$B$4:$AR$4,1,48-Projects!$C$10+1),0)+IF(AND(Projects!$G$11="Yes",48&gt;=Projects!$C$11,48&lt;Projects!$C$11+Projects!$D$11),Projects!$B$11*INDEX(Curves!$B$4:$AR$4,1,48-Projects!$C$11+1),0)+IF(AND(Projects!$G$12="Yes",48&gt;=Projects!$C$12,48&lt;Projects!$C$12+Projects!$D$12),Projects!$B$12*INDEX(Curves!$B$4:$AR$4,1,48-Projects!$C$12+1),0)+IF(AND(Projects!$G$13="Yes",48&gt;=Projects!$C$13,48&lt;Projects!$C$13+Projects!$D$13),Projects!$B$13*INDEX(Curves!$B$2:$AR$2,1,48-Projects!$C$13+1),0)+IF(AND(Projects!$G$14="Yes",48&gt;=Projects!$C$14,48&lt;Projects!$C$14+Projects!$D$14),Projects!$B$14*INDEX(Curves!$B$2:$AR$2,1,48-Projects!$C$14+1),0)+IF(AND(Projects!$G$15="Yes",48&gt;=Projects!$C$15,48&lt;Projects!$C$15+Projects!$D$15),Projects!$B$15*INDEX(Curves!$B$4:$AR$4,1,48-Projects!$C$15+1),0)+IF(AND(Projects!$G$16="Yes",48&gt;=Projects!$C$16,48&lt;Projects!$C$16+Projects!$D$16),Projects!$B$16*INDEX(Curves!$B$4:$AR$4,1,48-Projects!$C$16+1),0)+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,Actuals!BA8)</f>
        <v>5763733.7800079994</v>
      </c>
      <c r="BB8" s="3">
        <f>IF(ISBLANK(Actuals!BB8),IF(AND(Projects!$G$2="Yes",49&gt;=Projects!$C$2,49&lt;Projects!$C$2+Projects!$D$2),Projects!$B$2*INDEX(Curves!$B$6:$AR$6,1,49-Projects!$C$2+1),0)+IF(AND(Projects!$G$3="Yes",49&gt;=Projects!$C$3,49&lt;Projects!$C$3+Projects!$D$3),Projects!$B$3*INDEX(Curves!$B$7:$AR$7,1,49-Projects!$C$3+1),0)+IF(AND(Projects!$G$4="Yes",49&gt;=Projects!$C$4,49&lt;Projects!$C$4+Projects!$D$4),Projects!$B$4*INDEX(Curves!$B$8:$AR$8,1,49-Projects!$C$4+1),0)+IF(AND(Projects!$G$5="Yes",49&gt;=Projects!$C$5,49&lt;Projects!$C$5+Projects!$D$5),Projects!$B$5*INDEX(Curves!$B$9:$AR$9,1,49-Projects!$C$5+1),0)+IF(AND(Projects!$G$6="Yes",49&gt;=Projects!$C$6,49&lt;Projects!$C$6+Projects!$D$6),Projects!$B$6*INDEX(Curves!$B$4:$AR$4,1,49-Projects!$C$6+1),0)+IF(AND(Projects!$G$7="Yes",49&gt;=Projects!$C$7,49&lt;Projects!$C$7+Projects!$D$7),Projects!$B$7*INDEX(Curves!$B$3:$AR$3,1,49-Projects!$C$7+1),0)+IF(AND(Projects!$G$8="Yes",49&gt;=Projects!$C$8,49&lt;Projects!$C$8+Projects!$D$8),Projects!$B$8*INDEX(Curves!$B$4:$AR$4,1,49-Projects!$C$8+1),0)+IF(AND(Projects!$G$9="Yes",49&gt;=Projects!$C$9,49&lt;Projects!$C$9+Projects!$D$9),Projects!$B$9*INDEX(Curves!$B$2:$AR$2,1,49-Projects!$C$9+1),0)+IF(AND(Projects!$G$10="Yes",49&gt;=Projects!$C$10,49&lt;Projects!$C$10+Projects!$D$10),Projects!$B$10*INDEX(Curves!$B$4:$AR$4,1,49-Projects!$C$10+1),0)+IF(AND(Projects!$G$11="Yes",49&gt;=Projects!$C$11,49&lt;Projects!$C$11+Projects!$D$11),Projects!$B$11*INDEX(Curves!$B$4:$AR$4,1,49-Projects!$C$11+1),0)+IF(AND(Projects!$G$12="Yes",49&gt;=Projects!$C$12,49&lt;Projects!$C$12+Projects!$D$12),Projects!$B$12*INDEX(Curves!$B$4:$AR$4,1,49-Projects!$C$12+1),0)+IF(AND(Projects!$G$13="Yes",49&gt;=Projects!$C$13,49&lt;Projects!$C$13+Projects!$D$13),Projects!$B$13*INDEX(Curves!$B$2:$AR$2,1,49-Projects!$C$13+1),0)+IF(AND(Projects!$G$14="Yes",49&gt;=Projects!$C$14,49&lt;Projects!$C$14+Projects!$D$14),Projects!$B$14*INDEX(Curves!$B$2:$AR$2,1,49-Projects!$C$14+1),0)+IF(AND(Projects!$G$15="Yes",49&gt;=Projects!$C$15,49&lt;Projects!$C$15+Projects!$D$15),Projects!$B$15*INDEX(Curves!$B$4:$AR$4,1,49-Projects!$C$15+1),0)+IF(AND(Projects!$G$16="Yes",49&gt;=Projects!$C$16,49&lt;Projects!$C$16+Projects!$D$16),Projects!$B$16*INDEX(Curves!$B$4:$AR$4,1,49-Projects!$C$16+1),0)+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,Actuals!BB8)</f>
        <v>5498712.1712640002</v>
      </c>
      <c r="BC8" s="3">
        <f>IF(ISBLANK(Actuals!BC8),IF(AND(Projects!$G$2="Yes",50&gt;=Projects!$C$2,50&lt;Projects!$C$2+Projects!$D$2),Projects!$B$2*INDEX(Curves!$B$6:$AR$6,1,50-Projects!$C$2+1),0)+IF(AND(Projects!$G$3="Yes",50&gt;=Projects!$C$3,50&lt;Projects!$C$3+Projects!$D$3),Projects!$B$3*INDEX(Curves!$B$7:$AR$7,1,50-Projects!$C$3+1),0)+IF(AND(Projects!$G$4="Yes",50&gt;=Projects!$C$4,50&lt;Projects!$C$4+Projects!$D$4),Projects!$B$4*INDEX(Curves!$B$8:$AR$8,1,50-Projects!$C$4+1),0)+IF(AND(Projects!$G$5="Yes",50&gt;=Projects!$C$5,50&lt;Projects!$C$5+Projects!$D$5),Projects!$B$5*INDEX(Curves!$B$9:$AR$9,1,50-Projects!$C$5+1),0)+IF(AND(Projects!$G$6="Yes",50&gt;=Projects!$C$6,50&lt;Projects!$C$6+Projects!$D$6),Projects!$B$6*INDEX(Curves!$B$4:$AR$4,1,50-Projects!$C$6+1),0)+IF(AND(Projects!$G$7="Yes",50&gt;=Projects!$C$7,50&lt;Projects!$C$7+Projects!$D$7),Projects!$B$7*INDEX(Curves!$B$3:$AR$3,1,50-Projects!$C$7+1),0)+IF(AND(Projects!$G$8="Yes",50&gt;=Projects!$C$8,50&lt;Projects!$C$8+Projects!$D$8),Projects!$B$8*INDEX(Curves!$B$4:$AR$4,1,50-Projects!$C$8+1),0)+IF(AND(Projects!$G$9="Yes",50&gt;=Projects!$C$9,50&lt;Projects!$C$9+Projects!$D$9),Projects!$B$9*INDEX(Curves!$B$2:$AR$2,1,50-Projects!$C$9+1),0)+IF(AND(Projects!$G$10="Yes",50&gt;=Projects!$C$10,50&lt;Projects!$C$10+Projects!$D$10),Projects!$B$10*INDEX(Curves!$B$4:$AR$4,1,50-Projects!$C$10+1),0)+IF(AND(Projects!$G$11="Yes",50&gt;=Projects!$C$11,50&lt;Projects!$C$11+Projects!$D$11),Projects!$B$11*INDEX(Curves!$B$4:$AR$4,1,50-Projects!$C$11+1),0)+IF(AND(Projects!$G$12="Yes",50&gt;=Projects!$C$12,50&lt;Projects!$C$12+Projects!$D$12),Projects!$B$12*INDEX(Curves!$B$4:$AR$4,1,50-Projects!$C$12+1),0)+IF(AND(Projects!$G$13="Yes",50&gt;=Projects!$C$13,50&lt;Projects!$C$13+Projects!$D$13),Projects!$B$13*INDEX(Curves!$B$2:$AR$2,1,50-Projects!$C$13+1),0)+IF(AND(Projects!$G$14="Yes",50&gt;=Projects!$C$14,50&lt;Projects!$C$14+Projects!$D$14),Projects!$B$14*INDEX(Curves!$B$2:$AR$2,1,50-Projects!$C$14+1),0)+IF(AND(Projects!$G$15="Yes",50&gt;=Projects!$C$15,50&lt;Projects!$C$15+Projects!$D$15),Projects!$B$15*INDEX(Curves!$B$4:$AR$4,1,50-Projects!$C$15+1),0)+IF(AND(Projects!$G$16="Yes",50&gt;=Projects!$C$16,50&lt;Projects!$C$16+Projects!$D$16),Projects!$B$16*INDEX(Curves!$B$4:$AR$4,1,50-Projects!$C$16+1),0)+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,Actuals!BC8)</f>
        <v>4873771.3038240001</v>
      </c>
      <c r="BD8" s="3">
        <f>IF(ISBLANK(Actuals!BD8),IF(AND(Projects!$G$2="Yes",51&gt;=Projects!$C$2,51&lt;Projects!$C$2+Projects!$D$2),Projects!$B$2*INDEX(Curves!$B$6:$AR$6,1,51-Projects!$C$2+1),0)+IF(AND(Projects!$G$3="Yes",51&gt;=Projects!$C$3,51&lt;Projects!$C$3+Projects!$D$3),Projects!$B$3*INDEX(Curves!$B$7:$AR$7,1,51-Projects!$C$3+1),0)+IF(AND(Projects!$G$4="Yes",51&gt;=Projects!$C$4,51&lt;Projects!$C$4+Projects!$D$4),Projects!$B$4*INDEX(Curves!$B$8:$AR$8,1,51-Projects!$C$4+1),0)+IF(AND(Projects!$G$5="Yes",51&gt;=Projects!$C$5,51&lt;Projects!$C$5+Projects!$D$5),Projects!$B$5*INDEX(Curves!$B$9:$AR$9,1,51-Projects!$C$5+1),0)+IF(AND(Projects!$G$6="Yes",51&gt;=Projects!$C$6,51&lt;Projects!$C$6+Projects!$D$6),Projects!$B$6*INDEX(Curves!$B$4:$AR$4,1,51-Projects!$C$6+1),0)+IF(AND(Projects!$G$7="Yes",51&gt;=Projects!$C$7,51&lt;Projects!$C$7+Projects!$D$7),Projects!$B$7*INDEX(Curves!$B$3:$AR$3,1,51-Projects!$C$7+1),0)+IF(AND(Projects!$G$8="Yes",51&gt;=Projects!$C$8,51&lt;Projects!$C$8+Projects!$D$8),Projects!$B$8*INDEX(Curves!$B$4:$AR$4,1,51-Projects!$C$8+1),0)+IF(AND(Projects!$G$9="Yes",51&gt;=Projects!$C$9,51&lt;Projects!$C$9+Projects!$D$9),Projects!$B$9*INDEX(Curves!$B$2:$AR$2,1,51-Projects!$C$9+1),0)+IF(AND(Projects!$G$10="Yes",51&gt;=Projects!$C$10,51&lt;Projects!$C$10+Projects!$D$10),Projects!$B$10*INDEX(Curves!$B$4:$AR$4,1,51-Projects!$C$10+1),0)+IF(AND(Projects!$G$11="Yes",51&gt;=Projects!$C$11,51&lt;Projects!$C$11+Projects!$D$11),Projects!$B$11*INDEX(Curves!$B$4:$AR$4,1,51-Projects!$C$11+1),0)+IF(AND(Projects!$G$12="Yes",51&gt;=Projects!$C$12,51&lt;Projects!$C$12+Projects!$D$12),Projects!$B$12*INDEX(Curves!$B$4:$AR$4,1,51-Projects!$C$12+1),0)+IF(AND(Projects!$G$13="Yes",51&gt;=Projects!$C$13,51&lt;Projects!$C$13+Projects!$D$13),Projects!$B$13*INDEX(Curves!$B$2:$AR$2,1,51-Projects!$C$13+1),0)+IF(AND(Projects!$G$14="Yes",51&gt;=Projects!$C$14,51&lt;Projects!$C$14+Projects!$D$14),Projects!$B$14*INDEX(Curves!$B$2:$AR$2,1,51-Projects!$C$14+1),0)+IF(AND(Projects!$G$15="Yes",51&gt;=Projects!$C$15,51&lt;Projects!$C$15+Projects!$D$15),Projects!$B$15*INDEX(Curves!$B$4:$AR$4,1,51-Projects!$C$15+1),0)+IF(AND(Projects!$G$16="Yes",51&gt;=Projects!$C$16,51&lt;Projects!$C$16+Projects!$D$16),Projects!$B$16*INDEX(Curves!$B$4:$AR$4,1,51-Projects!$C$16+1),0)+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,Actuals!BD8)</f>
        <v>4602032.8741359999</v>
      </c>
      <c r="BE8" s="3">
        <f>IF(ISBLANK(Actuals!BE8),IF(AND(Projects!$G$2="Yes",52&gt;=Projects!$C$2,52&lt;Projects!$C$2+Projects!$D$2),Projects!$B$2*INDEX(Curves!$B$6:$AR$6,1,52-Projects!$C$2+1),0)+IF(AND(Projects!$G$3="Yes",52&gt;=Projects!$C$3,52&lt;Projects!$C$3+Projects!$D$3),Projects!$B$3*INDEX(Curves!$B$7:$AR$7,1,52-Projects!$C$3+1),0)+IF(AND(Projects!$G$4="Yes",52&gt;=Projects!$C$4,52&lt;Projects!$C$4+Projects!$D$4),Projects!$B$4*INDEX(Curves!$B$8:$AR$8,1,52-Projects!$C$4+1),0)+IF(AND(Projects!$G$5="Yes",52&gt;=Projects!$C$5,52&lt;Projects!$C$5+Projects!$D$5),Projects!$B$5*INDEX(Curves!$B$9:$AR$9,1,52-Projects!$C$5+1),0)+IF(AND(Projects!$G$6="Yes",52&gt;=Projects!$C$6,52&lt;Projects!$C$6+Projects!$D$6),Projects!$B$6*INDEX(Curves!$B$4:$AR$4,1,52-Projects!$C$6+1),0)+IF(AND(Projects!$G$7="Yes",52&gt;=Projects!$C$7,52&lt;Projects!$C$7+Projects!$D$7),Projects!$B$7*INDEX(Curves!$B$3:$AR$3,1,52-Projects!$C$7+1),0)+IF(AND(Projects!$G$8="Yes",52&gt;=Projects!$C$8,52&lt;Projects!$C$8+Projects!$D$8),Projects!$B$8*INDEX(Curves!$B$4:$AR$4,1,52-Projects!$C$8+1),0)+IF(AND(Projects!$G$9="Yes",52&gt;=Projects!$C$9,52&lt;Projects!$C$9+Projects!$D$9),Projects!$B$9*INDEX(Curves!$B$2:$AR$2,1,52-Projects!$C$9+1),0)+IF(AND(Projects!$G$10="Yes",52&gt;=Projects!$C$10,52&lt;Projects!$C$10+Projects!$D$10),Projects!$B$10*INDEX(Curves!$B$4:$AR$4,1,52-Projects!$C$10+1),0)+IF(AND(Projects!$G$11="Yes",52&gt;=Projects!$C$11,52&lt;Projects!$C$11+Projects!$D$11),Projects!$B$11*INDEX(Curves!$B$4:$AR$4,1,52-Projects!$C$11+1),0)+IF(AND(Projects!$G$12="Yes",52&gt;=Projects!$C$12,52&lt;Projects!$C$12+Projects!$D$12),Projects!$B$12*INDEX(Curves!$B$4:$AR$4,1,52-Projects!$C$12+1),0)+IF(AND(Projects!$G$13="Yes",52&gt;=Projects!$C$13,52&lt;Projects!$C$13+Projects!$D$13),Projects!$B$13*INDEX(Curves!$B$2:$AR$2,1,52-Projects!$C$13+1),0)+IF(AND(Projects!$G$14="Yes",52&gt;=Projects!$C$14,52&lt;Projects!$C$14+Projects!$D$14),Projects!$B$14*INDEX(Curves!$B$2:$AR$2,1,52-Projects!$C$14+1),0)+IF(AND(Projects!$G$15="Yes",52&gt;=Projects!$C$15,52&lt;Projects!$C$15+Projects!$D$15),Projects!$B$15*INDEX(Curves!$B$4:$AR$4,1,52-Projects!$C$15+1),0)+IF(AND(Projects!$G$16="Yes",52&gt;=Projects!$C$16,52&lt;Projects!$C$16+Projects!$D$16),Projects!$B$16*INDEX(Curves!$B$4:$AR$4,1,52-Projects!$C$16+1),0)+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,Actuals!BE8)</f>
        <v>4774958.1601200001</v>
      </c>
      <c r="BF8" s="3">
        <f>IF(ISBLANK(Actuals!BF8),IF(AND(Projects!$G$2="Yes",53&gt;=Projects!$C$2,53&lt;Projects!$C$2+Projects!$D$2),Projects!$B$2*INDEX(Curves!$B$6:$AR$6,1,53-Projects!$C$2+1),0)+IF(AND(Projects!$G$3="Yes",53&gt;=Projects!$C$3,53&lt;Projects!$C$3+Projects!$D$3),Projects!$B$3*INDEX(Curves!$B$7:$AR$7,1,53-Projects!$C$3+1),0)+IF(AND(Projects!$G$4="Yes",53&gt;=Projects!$C$4,53&lt;Projects!$C$4+Projects!$D$4),Projects!$B$4*INDEX(Curves!$B$8:$AR$8,1,53-Projects!$C$4+1),0)+IF(AND(Projects!$G$5="Yes",53&gt;=Projects!$C$5,53&lt;Projects!$C$5+Projects!$D$5),Projects!$B$5*INDEX(Curves!$B$9:$AR$9,1,53-Projects!$C$5+1),0)+IF(AND(Projects!$G$6="Yes",53&gt;=Projects!$C$6,53&lt;Projects!$C$6+Projects!$D$6),Projects!$B$6*INDEX(Curves!$B$4:$AR$4,1,53-Projects!$C$6+1),0)+IF(AND(Projects!$G$7="Yes",53&gt;=Projects!$C$7,53&lt;Projects!$C$7+Projects!$D$7),Projects!$B$7*INDEX(Curves!$B$3:$AR$3,1,53-Projects!$C$7+1),0)+IF(AND(Projects!$G$8="Yes",53&gt;=Projects!$C$8,53&lt;Projects!$C$8+Projects!$D$8),Projects!$B$8*INDEX(Curves!$B$4:$AR$4,1,53-Projects!$C$8+1),0)+IF(AND(Projects!$G$9="Yes",53&gt;=Projects!$C$9,53&lt;Projects!$C$9+Projects!$D$9),Projects!$B$9*INDEX(Curves!$B$2:$AR$2,1,53-Projects!$C$9+1),0)+IF(AND(Projects!$G$10="Yes",53&gt;=Projects!$C$10,53&lt;Projects!$C$10+Projects!$D$10),Projects!$B$10*INDEX(Curves!$B$4:$AR$4,1,53-Projects!$C$10+1),0)+IF(AND(Projects!$G$11="Yes",53&gt;=Projects!$C$11,53&lt;Projects!$C$11+Projects!$D$11),Projects!$B$11*INDEX(Curves!$B$4:$AR$4,1,53-Projects!$C$11+1),0)+IF(AND(Projects!$G$12="Yes",53&gt;=Projects!$C$12,53&lt;Projects!$C$12+Projects!$D$12),Projects!$B$12*INDEX(Curves!$B$4:$AR$4,1,53-Projects!$C$12+1),0)+IF(AND(Projects!$G$13="Yes",53&gt;=Projects!$C$13,53&lt;Projects!$C$13+Projects!$D$13),Projects!$B$13*INDEX(Curves!$B$2:$AR$2,1,53-Projects!$C$13+1),0)+IF(AND(Projects!$G$14="Yes",53&gt;=Projects!$C$14,53&lt;Projects!$C$14+Projects!$D$14),Projects!$B$14*INDEX(Curves!$B$2:$AR$2,1,53-Projects!$C$14+1),0)+IF(AND(Projects!$G$15="Yes",53&gt;=Projects!$C$15,53&lt;Projects!$C$15+Projects!$D$15),Projects!$B$15*INDEX(Curves!$B$4:$AR$4,1,53-Projects!$C$15+1),0)+IF(AND(Projects!$G$16="Yes",53&gt;=Projects!$C$16,53&lt;Projects!$C$16+Projects!$D$16),Projects!$B$16*INDEX(Curves!$B$4:$AR$4,1,53-Projects!$C$16+1),0)+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,Actuals!BF8)</f>
        <v>4247723.6665359996</v>
      </c>
      <c r="BG8" s="3">
        <f>IF(ISBLANK(Actuals!BG8),IF(AND(Projects!$G$2="Yes",54&gt;=Projects!$C$2,54&lt;Projects!$C$2+Projects!$D$2),Projects!$B$2*INDEX(Curves!$B$6:$AR$6,1,54-Projects!$C$2+1),0)+IF(AND(Projects!$G$3="Yes",54&gt;=Projects!$C$3,54&lt;Projects!$C$3+Projects!$D$3),Projects!$B$3*INDEX(Curves!$B$7:$AR$7,1,54-Projects!$C$3+1),0)+IF(AND(Projects!$G$4="Yes",54&gt;=Projects!$C$4,54&lt;Projects!$C$4+Projects!$D$4),Projects!$B$4*INDEX(Curves!$B$8:$AR$8,1,54-Projects!$C$4+1),0)+IF(AND(Projects!$G$5="Yes",54&gt;=Projects!$C$5,54&lt;Projects!$C$5+Projects!$D$5),Projects!$B$5*INDEX(Curves!$B$9:$AR$9,1,54-Projects!$C$5+1),0)+IF(AND(Projects!$G$6="Yes",54&gt;=Projects!$C$6,54&lt;Projects!$C$6+Projects!$D$6),Projects!$B$6*INDEX(Curves!$B$4:$AR$4,1,54-Projects!$C$6+1),0)+IF(AND(Projects!$G$7="Yes",54&gt;=Projects!$C$7,54&lt;Projects!$C$7+Projects!$D$7),Projects!$B$7*INDEX(Curves!$B$3:$AR$3,1,54-Projects!$C$7+1),0)+IF(AND(Projects!$G$8="Yes",54&gt;=Projects!$C$8,54&lt;Projects!$C$8+Projects!$D$8),Projects!$B$8*INDEX(Curves!$B$4:$AR$4,1,54-Projects!$C$8+1),0)+IF(AND(Projects!$G$9="Yes",54&gt;=Projects!$C$9,54&lt;Projects!$C$9+Projects!$D$9),Projects!$B$9*INDEX(Curves!$B$2:$AR$2,1,54-Projects!$C$9+1),0)+IF(AND(Projects!$G$10="Yes",54&gt;=Projects!$C$10,54&lt;Projects!$C$10+Projects!$D$10),Projects!$B$10*INDEX(Curves!$B$4:$AR$4,1,54-Projects!$C$10+1),0)+IF(AND(Projects!$G$11="Yes",54&gt;=Projects!$C$11,54&lt;Projects!$C$11+Projects!$D$11),Projects!$B$11*INDEX(Curves!$B$4:$AR$4,1,54-Projects!$C$11+1),0)+IF(AND(Projects!$G$12="Yes",54&gt;=Projects!$C$12,54&lt;Projects!$C$12+Projects!$D$12),Projects!$B$12*INDEX(Curves!$B$4:$AR$4,1,54-Projects!$C$12+1),0)+IF(AND(Projects!$G$13="Yes",54&gt;=Projects!$C$13,54&lt;Projects!$C$13+Projects!$D$13),Projects!$B$13*INDEX(Curves!$B$2:$AR$2,1,54-Projects!$C$13+1),0)+IF(AND(Projects!$G$14="Yes",54&gt;=Projects!$C$14,54&lt;Projects!$C$14+Projects!$D$14),Projects!$B$14*INDEX(Curves!$B$2:$AR$2,1,54-Projects!$C$14+1),0)+IF(AND(Projects!$G$15="Yes",54&gt;=Projects!$C$15,54&lt;Projects!$C$15+Projects!$D$15),Projects!$B$15*INDEX(Curves!$B$4:$AR$4,1,54-Projects!$C$15+1),0)+IF(AND(Projects!$G$16="Yes",54&gt;=Projects!$C$16,54&lt;Projects!$C$16+Projects!$D$16),Projects!$B$16*INDEX(Curves!$B$4:$AR$4,1,54-Projects!$C$16+1),0)+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,Actuals!BG8)</f>
        <v>4502153.1249839999</v>
      </c>
      <c r="BH8" s="3">
        <f>IF(ISBLANK(Actuals!BH8),IF(AND(Projects!$G$2="Yes",55&gt;=Projects!$C$2,55&lt;Projects!$C$2+Projects!$D$2),Projects!$B$2*INDEX(Curves!$B$6:$AR$6,1,55-Projects!$C$2+1),0)+IF(AND(Projects!$G$3="Yes",55&gt;=Projects!$C$3,55&lt;Projects!$C$3+Projects!$D$3),Projects!$B$3*INDEX(Curves!$B$7:$AR$7,1,55-Projects!$C$3+1),0)+IF(AND(Projects!$G$4="Yes",55&gt;=Projects!$C$4,55&lt;Projects!$C$4+Projects!$D$4),Projects!$B$4*INDEX(Curves!$B$8:$AR$8,1,55-Projects!$C$4+1),0)+IF(AND(Projects!$G$5="Yes",55&gt;=Projects!$C$5,55&lt;Projects!$C$5+Projects!$D$5),Projects!$B$5*INDEX(Curves!$B$9:$AR$9,1,55-Projects!$C$5+1),0)+IF(AND(Projects!$G$6="Yes",55&gt;=Projects!$C$6,55&lt;Projects!$C$6+Projects!$D$6),Projects!$B$6*INDEX(Curves!$B$4:$AR$4,1,55-Projects!$C$6+1),0)+IF(AND(Projects!$G$7="Yes",55&gt;=Projects!$C$7,55&lt;Projects!$C$7+Projects!$D$7),Projects!$B$7*INDEX(Curves!$B$3:$AR$3,1,55-Projects!$C$7+1),0)+IF(AND(Projects!$G$8="Yes",55&gt;=Projects!$C$8,55&lt;Projects!$C$8+Projects!$D$8),Projects!$B$8*INDEX(Curves!$B$4:$AR$4,1,55-Projects!$C$8+1),0)+IF(AND(Projects!$G$9="Yes",55&gt;=Projects!$C$9,55&lt;Projects!$C$9+Projects!$D$9),Projects!$B$9*INDEX(Curves!$B$2:$AR$2,1,55-Projects!$C$9+1),0)+IF(AND(Projects!$G$10="Yes",55&gt;=Projects!$C$10,55&lt;Projects!$C$10+Projects!$D$10),Projects!$B$10*INDEX(Curves!$B$4:$AR$4,1,55-Projects!$C$10+1),0)+IF(AND(Projects!$G$11="Yes",55&gt;=Projects!$C$11,55&lt;Projects!$C$11+Projects!$D$11),Projects!$B$11*INDEX(Curves!$B$4:$AR$4,1,55-Projects!$C$11+1),0)+IF(AND(Projects!$G$12="Yes",55&gt;=Projects!$C$12,55&lt;Projects!$C$12+Projects!$D$12),Projects!$B$12*INDEX(Curves!$B$4:$AR$4,1,55-Projects!$C$12+1),0)+IF(AND(Projects!$G$13="Yes",55&gt;=Projects!$C$13,55&lt;Projects!$C$13+Projects!$D$13),Projects!$B$13*INDEX(Curves!$B$2:$AR$2,1,55-Projects!$C$13+1),0)+IF(AND(Projects!$G$14="Yes",55&gt;=Projects!$C$14,55&lt;Projects!$C$14+Projects!$D$14),Projects!$B$14*INDEX(Curves!$B$2:$AR$2,1,55-Projects!$C$14+1),0)+IF(AND(Projects!$G$15="Yes",55&gt;=Projects!$C$15,55&lt;Projects!$C$15+Projects!$D$15),Projects!$B$15*INDEX(Curves!$B$4:$AR$4,1,55-Projects!$C$15+1),0)+IF(AND(Projects!$G$16="Yes",55&gt;=Projects!$C$16,55&lt;Projects!$C$16+Projects!$D$16),Projects!$B$16*INDEX(Curves!$B$4:$AR$4,1,55-Projects!$C$16+1),0)+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,Actuals!BH8)</f>
        <v>4441918.0753760003</v>
      </c>
      <c r="BI8" s="3">
        <f>IF(ISBLANK(Actuals!BI8),IF(AND(Projects!$G$2="Yes",56&gt;=Projects!$C$2,56&lt;Projects!$C$2+Projects!$D$2),Projects!$B$2*INDEX(Curves!$B$6:$AR$6,1,56-Projects!$C$2+1),0)+IF(AND(Projects!$G$3="Yes",56&gt;=Projects!$C$3,56&lt;Projects!$C$3+Projects!$D$3),Projects!$B$3*INDEX(Curves!$B$7:$AR$7,1,56-Projects!$C$3+1),0)+IF(AND(Projects!$G$4="Yes",56&gt;=Projects!$C$4,56&lt;Projects!$C$4+Projects!$D$4),Projects!$B$4*INDEX(Curves!$B$8:$AR$8,1,56-Projects!$C$4+1),0)+IF(AND(Projects!$G$5="Yes",56&gt;=Projects!$C$5,56&lt;Projects!$C$5+Projects!$D$5),Projects!$B$5*INDEX(Curves!$B$9:$AR$9,1,56-Projects!$C$5+1),0)+IF(AND(Projects!$G$6="Yes",56&gt;=Projects!$C$6,56&lt;Projects!$C$6+Projects!$D$6),Projects!$B$6*INDEX(Curves!$B$4:$AR$4,1,56-Projects!$C$6+1),0)+IF(AND(Projects!$G$7="Yes",56&gt;=Projects!$C$7,56&lt;Projects!$C$7+Projects!$D$7),Projects!$B$7*INDEX(Curves!$B$3:$AR$3,1,56-Projects!$C$7+1),0)+IF(AND(Projects!$G$8="Yes",56&gt;=Projects!$C$8,56&lt;Projects!$C$8+Projects!$D$8),Projects!$B$8*INDEX(Curves!$B$4:$AR$4,1,56-Projects!$C$8+1),0)+IF(AND(Projects!$G$9="Yes",56&gt;=Projects!$C$9,56&lt;Projects!$C$9+Projects!$D$9),Projects!$B$9*INDEX(Curves!$B$2:$AR$2,1,56-Projects!$C$9+1),0)+IF(AND(Projects!$G$10="Yes",56&gt;=Projects!$C$10,56&lt;Projects!$C$10+Projects!$D$10),Projects!$B$10*INDEX(Curves!$B$4:$AR$4,1,56-Projects!$C$10+1),0)+IF(AND(Projects!$G$11="Yes",56&gt;=Projects!$C$11,56&lt;Projects!$C$11+Projects!$D$11),Projects!$B$11*INDEX(Curves!$B$4:$AR$4,1,56-Projects!$C$11+1),0)+IF(AND(Projects!$G$12="Yes",56&gt;=Projects!$C$12,56&lt;Projects!$C$12+Projects!$D$12),Projects!$B$12*INDEX(Curves!$B$4:$AR$4,1,56-Projects!$C$12+1),0)+IF(AND(Projects!$G$13="Yes",56&gt;=Projects!$C$13,56&lt;Projects!$C$13+Projects!$D$13),Projects!$B$13*INDEX(Curves!$B$2:$AR$2,1,56-Projects!$C$13+1),0)+IF(AND(Projects!$G$14="Yes",56&gt;=Projects!$C$14,56&lt;Projects!$C$14+Projects!$D$14),Projects!$B$14*INDEX(Curves!$B$2:$AR$2,1,56-Projects!$C$14+1),0)+IF(AND(Projects!$G$15="Yes",56&gt;=Projects!$C$15,56&lt;Projects!$C$15+Projects!$D$15),Projects!$B$15*INDEX(Curves!$B$4:$AR$4,1,56-Projects!$C$15+1),0)+IF(AND(Projects!$G$16="Yes",56&gt;=Projects!$C$16,56&lt;Projects!$C$16+Projects!$D$16),Projects!$B$16*INDEX(Curves!$B$4:$AR$4,1,56-Projects!$C$16+1),0)+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,Actuals!BI8)</f>
        <v>4400415.9298320003</v>
      </c>
      <c r="BJ8" s="3">
        <f>IF(ISBLANK(Actuals!BJ8),IF(AND(Projects!$G$2="Yes",57&gt;=Projects!$C$2,57&lt;Projects!$C$2+Projects!$D$2),Projects!$B$2*INDEX(Curves!$B$6:$AR$6,1,57-Projects!$C$2+1),0)+IF(AND(Projects!$G$3="Yes",57&gt;=Projects!$C$3,57&lt;Projects!$C$3+Projects!$D$3),Projects!$B$3*INDEX(Curves!$B$7:$AR$7,1,57-Projects!$C$3+1),0)+IF(AND(Projects!$G$4="Yes",57&gt;=Projects!$C$4,57&lt;Projects!$C$4+Projects!$D$4),Projects!$B$4*INDEX(Curves!$B$8:$AR$8,1,57-Projects!$C$4+1),0)+IF(AND(Projects!$G$5="Yes",57&gt;=Projects!$C$5,57&lt;Projects!$C$5+Projects!$D$5),Projects!$B$5*INDEX(Curves!$B$9:$AR$9,1,57-Projects!$C$5+1),0)+IF(AND(Projects!$G$6="Yes",57&gt;=Projects!$C$6,57&lt;Projects!$C$6+Projects!$D$6),Projects!$B$6*INDEX(Curves!$B$4:$AR$4,1,57-Projects!$C$6+1),0)+IF(AND(Projects!$G$7="Yes",57&gt;=Projects!$C$7,57&lt;Projects!$C$7+Projects!$D$7),Projects!$B$7*INDEX(Curves!$B$3:$AR$3,1,57-Projects!$C$7+1),0)+IF(AND(Projects!$G$8="Yes",57&gt;=Projects!$C$8,57&lt;Projects!$C$8+Projects!$D$8),Projects!$B$8*INDEX(Curves!$B$4:$AR$4,1,57-Projects!$C$8+1),0)+IF(AND(Projects!$G$9="Yes",57&gt;=Projects!$C$9,57&lt;Projects!$C$9+Projects!$D$9),Projects!$B$9*INDEX(Curves!$B$2:$AR$2,1,57-Projects!$C$9+1),0)+IF(AND(Projects!$G$10="Yes",57&gt;=Projects!$C$10,57&lt;Projects!$C$10+Projects!$D$10),Projects!$B$10*INDEX(Curves!$B$4:$AR$4,1,57-Projects!$C$10+1),0)+IF(AND(Projects!$G$11="Yes",57&gt;=Projects!$C$11,57&lt;Projects!$C$11+Projects!$D$11),Projects!$B$11*INDEX(Curves!$B$4:$AR$4,1,57-Projects!$C$11+1),0)+IF(AND(Projects!$G$12="Yes",57&gt;=Projects!$C$12,57&lt;Projects!$C$12+Projects!$D$12),Projects!$B$12*INDEX(Curves!$B$4:$AR$4,1,57-Projects!$C$12+1),0)+IF(AND(Projects!$G$13="Yes",57&gt;=Projects!$C$13,57&lt;Projects!$C$13+Projects!$D$13),Projects!$B$13*INDEX(Curves!$B$2:$AR$2,1,57-Projects!$C$13+1),0)+IF(AND(Projects!$G$14="Yes",57&gt;=Projects!$C$14,57&lt;Projects!$C$14+Projects!$D$14),Projects!$B$14*INDEX(Curves!$B$2:$AR$2,1,57-Projects!$C$14+1),0)+IF(AND(Projects!$G$15="Yes",57&gt;=Projects!$C$15,57&lt;Projects!$C$15+Projects!$D$15),Projects!$B$15*INDEX(Curves!$B$4:$AR$4,1,57-Projects!$C$15+1),0)+IF(AND(Projects!$G$16="Yes",57&gt;=Projects!$C$16,57&lt;Projects!$C$16+Projects!$D$16),Projects!$B$16*INDEX(Curves!$B$4:$AR$4,1,57-Projects!$C$16+1),0)+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,Actuals!BJ8)</f>
        <v>3938139</v>
      </c>
      <c r="BK8" s="3">
        <f>IF(ISBLANK(Actuals!BK8),IF(AND(Projects!$G$2="Yes",58&gt;=Projects!$C$2,58&lt;Projects!$C$2+Projects!$D$2),Projects!$B$2*INDEX(Curves!$B$6:$AR$6,1,58-Projects!$C$2+1),0)+IF(AND(Projects!$G$3="Yes",58&gt;=Projects!$C$3,58&lt;Projects!$C$3+Projects!$D$3),Projects!$B$3*INDEX(Curves!$B$7:$AR$7,1,58-Projects!$C$3+1),0)+IF(AND(Projects!$G$4="Yes",58&gt;=Projects!$C$4,58&lt;Projects!$C$4+Projects!$D$4),Projects!$B$4*INDEX(Curves!$B$8:$AR$8,1,58-Projects!$C$4+1),0)+IF(AND(Projects!$G$5="Yes",58&gt;=Projects!$C$5,58&lt;Projects!$C$5+Projects!$D$5),Projects!$B$5*INDEX(Curves!$B$9:$AR$9,1,58-Projects!$C$5+1),0)+IF(AND(Projects!$G$6="Yes",58&gt;=Projects!$C$6,58&lt;Projects!$C$6+Projects!$D$6),Projects!$B$6*INDEX(Curves!$B$4:$AR$4,1,58-Projects!$C$6+1),0)+IF(AND(Projects!$G$7="Yes",58&gt;=Projects!$C$7,58&lt;Projects!$C$7+Projects!$D$7),Projects!$B$7*INDEX(Curves!$B$3:$AR$3,1,58-Projects!$C$7+1),0)+IF(AND(Projects!$G$8="Yes",58&gt;=Projects!$C$8,58&lt;Projects!$C$8+Projects!$D$8),Projects!$B$8*INDEX(Curves!$B$4:$AR$4,1,58-Projects!$C$8+1),0)+IF(AND(Projects!$G$9="Yes",58&gt;=Projects!$C$9,58&lt;Projects!$C$9+Projects!$D$9),Projects!$B$9*INDEX(Curves!$B$2:$AR$2,1,58-Projects!$C$9+1),0)+IF(AND(Projects!$G$10="Yes",58&gt;=Projects!$C$10,58&lt;Projects!$C$10+Projects!$D$10),Projects!$B$10*INDEX(Curves!$B$4:$AR$4,1,58-Projects!$C$10+1),0)+IF(AND(Projects!$G$11="Yes",58&gt;=Projects!$C$11,58&lt;Projects!$C$11+Projects!$D$11),Projects!$B$11*INDEX(Curves!$B$4:$AR$4,1,58-Projects!$C$11+1),0)+IF(AND(Projects!$G$12="Yes",58&gt;=Projects!$C$12,58&lt;Projects!$C$12+Projects!$D$12),Projects!$B$12*INDEX(Curves!$B$4:$AR$4,1,58-Projects!$C$12+1),0)+IF(AND(Projects!$G$13="Yes",58&gt;=Projects!$C$13,58&lt;Projects!$C$13+Projects!$D$13),Projects!$B$13*INDEX(Curves!$B$2:$AR$2,1,58-Projects!$C$13+1),0)+IF(AND(Projects!$G$14="Yes",58&gt;=Projects!$C$14,58&lt;Projects!$C$14+Projects!$D$14),Projects!$B$14*INDEX(Curves!$B$2:$AR$2,1,58-Projects!$C$14+1),0)+IF(AND(Projects!$G$15="Yes",58&gt;=Projects!$C$15,58&lt;Projects!$C$15+Projects!$D$15),Projects!$B$15*INDEX(Curves!$B$4:$AR$4,1,58-Projects!$C$15+1),0)+IF(AND(Projects!$G$16="Yes",58&gt;=Projects!$C$16,58&lt;Projects!$C$16+Projects!$D$16),Projects!$B$16*INDEX(Curves!$B$4:$AR$4,1,58-Projects!$C$16+1),0)+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,Actuals!BK8)</f>
        <v>4589958</v>
      </c>
      <c r="BL8" s="3">
        <f>IF(ISBLANK(Actuals!BL8),IF(AND(Projects!$G$2="Yes",59&gt;=Projects!$C$2,59&lt;Projects!$C$2+Projects!$D$2),Projects!$B$2*INDEX(Curves!$B$6:$AR$6,1,59-Projects!$C$2+1),0)+IF(AND(Projects!$G$3="Yes",59&gt;=Projects!$C$3,59&lt;Projects!$C$3+Projects!$D$3),Projects!$B$3*INDEX(Curves!$B$7:$AR$7,1,59-Projects!$C$3+1),0)+IF(AND(Projects!$G$4="Yes",59&gt;=Projects!$C$4,59&lt;Projects!$C$4+Projects!$D$4),Projects!$B$4*INDEX(Curves!$B$8:$AR$8,1,59-Projects!$C$4+1),0)+IF(AND(Projects!$G$5="Yes",59&gt;=Projects!$C$5,59&lt;Projects!$C$5+Projects!$D$5),Projects!$B$5*INDEX(Curves!$B$9:$AR$9,1,59-Projects!$C$5+1),0)+IF(AND(Projects!$G$6="Yes",59&gt;=Projects!$C$6,59&lt;Projects!$C$6+Projects!$D$6),Projects!$B$6*INDEX(Curves!$B$4:$AR$4,1,59-Projects!$C$6+1),0)+IF(AND(Projects!$G$7="Yes",59&gt;=Projects!$C$7,59&lt;Projects!$C$7+Projects!$D$7),Projects!$B$7*INDEX(Curves!$B$3:$AR$3,1,59-Projects!$C$7+1),0)+IF(AND(Projects!$G$8="Yes",59&gt;=Projects!$C$8,59&lt;Projects!$C$8+Projects!$D$8),Projects!$B$8*INDEX(Curves!$B$4:$AR$4,1,59-Projects!$C$8+1),0)+IF(AND(Projects!$G$9="Yes",59&gt;=Projects!$C$9,59&lt;Projects!$C$9+Projects!$D$9),Projects!$B$9*INDEX(Curves!$B$2:$AR$2,1,59-Projects!$C$9+1),0)+IF(AND(Projects!$G$10="Yes",59&gt;=Projects!$C$10,59&lt;Projects!$C$10+Projects!$D$10),Projects!$B$10*INDEX(Curves!$B$4:$AR$4,1,59-Projects!$C$10+1),0)+IF(AND(Projects!$G$11="Yes",59&gt;=Projects!$C$11,59&lt;Projects!$C$11+Projects!$D$11),Projects!$B$11*INDEX(Curves!$B$4:$AR$4,1,59-Projects!$C$11+1),0)+IF(AND(Projects!$G$12="Yes",59&gt;=Projects!$C$12,59&lt;Projects!$C$12+Projects!$D$12),Projects!$B$12*INDEX(Curves!$B$4:$AR$4,1,59-Projects!$C$12+1),0)+IF(AND(Projects!$G$13="Yes",59&gt;=Projects!$C$13,59&lt;Projects!$C$13+Projects!$D$13),Projects!$B$13*INDEX(Curves!$B$2:$AR$2,1,59-Projects!$C$13+1),0)+IF(AND(Projects!$G$14="Yes",59&gt;=Projects!$C$14,59&lt;Projects!$C$14+Projects!$D$14),Projects!$B$14*INDEX(Curves!$B$2:$AR$2,1,59-Projects!$C$14+1),0)+IF(AND(Projects!$G$15="Yes",59&gt;=Projects!$C$15,59&lt;Projects!$C$15+Projects!$D$15),Projects!$B$15*INDEX(Curves!$B$4:$AR$4,1,59-Projects!$C$15+1),0)+IF(AND(Projects!$G$16="Yes",59&gt;=Projects!$C$16,59&lt;Projects!$C$16+Projects!$D$16),Projects!$B$16*INDEX(Curves!$B$4:$AR$4,1,59-Projects!$C$16+1),0)+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,Actuals!BL8)</f>
        <v>4459140</v>
      </c>
      <c r="BM8" s="3">
        <f>IF(ISBLANK(Actuals!BM8),IF(AND(Projects!$G$2="Yes",60&gt;=Projects!$C$2,60&lt;Projects!$C$2+Projects!$D$2),Projects!$B$2*INDEX(Curves!$B$6:$AR$6,1,60-Projects!$C$2+1),0)+IF(AND(Projects!$G$3="Yes",60&gt;=Projects!$C$3,60&lt;Projects!$C$3+Projects!$D$3),Projects!$B$3*INDEX(Curves!$B$7:$AR$7,1,60-Projects!$C$3+1),0)+IF(AND(Projects!$G$4="Yes",60&gt;=Projects!$C$4,60&lt;Projects!$C$4+Projects!$D$4),Projects!$B$4*INDEX(Curves!$B$8:$AR$8,1,60-Projects!$C$4+1),0)+IF(AND(Projects!$G$5="Yes",60&gt;=Projects!$C$5,60&lt;Projects!$C$5+Projects!$D$5),Projects!$B$5*INDEX(Curves!$B$9:$AR$9,1,60-Projects!$C$5+1),0)+IF(AND(Projects!$G$6="Yes",60&gt;=Projects!$C$6,60&lt;Projects!$C$6+Projects!$D$6),Projects!$B$6*INDEX(Curves!$B$4:$AR$4,1,60-Projects!$C$6+1),0)+IF(AND(Projects!$G$7="Yes",60&gt;=Projects!$C$7,60&lt;Projects!$C$7+Projects!$D$7),Projects!$B$7*INDEX(Curves!$B$3:$AR$3,1,60-Projects!$C$7+1),0)+IF(AND(Projects!$G$8="Yes",60&gt;=Projects!$C$8,60&lt;Projects!$C$8+Projects!$D$8),Projects!$B$8*INDEX(Curves!$B$4:$AR$4,1,60-Projects!$C$8+1),0)+IF(AND(Projects!$G$9="Yes",60&gt;=Projects!$C$9,60&lt;Projects!$C$9+Projects!$D$9),Projects!$B$9*INDEX(Curves!$B$2:$AR$2,1,60-Projects!$C$9+1),0)+IF(AND(Projects!$G$10="Yes",60&gt;=Projects!$C$10,60&lt;Projects!$C$10+Projects!$D$10),Projects!$B$10*INDEX(Curves!$B$4:$AR$4,1,60-Projects!$C$10+1),0)+IF(AND(Projects!$G$11="Yes",60&gt;=Projects!$C$11,60&lt;Projects!$C$11+Projects!$D$11),Projects!$B$11*INDEX(Curves!$B$4:$AR$4,1,60-Projects!$C$11+1),0)+IF(AND(Projects!$G$12="Yes",60&gt;=Projects!$C$12,60&lt;Projects!$C$12+Projects!$D$12),Projects!$B$12*INDEX(Curves!$B$4:$AR$4,1,60-Projects!$C$12+1),0)+IF(AND(Projects!$G$13="Yes",60&gt;=Projects!$C$13,60&lt;Projects!$C$13+Projects!$D$13),Projects!$B$13*INDEX(Curves!$B$2:$AR$2,1,60-Projects!$C$13+1),0)+IF(AND(Projects!$G$14="Yes",60&gt;=Projects!$C$14,60&lt;Projects!$C$14+Projects!$D$14),Projects!$B$14*INDEX(Curves!$B$2:$AR$2,1,60-Projects!$C$14+1),0)+IF(AND(Projects!$G$15="Yes",60&gt;=Projects!$C$15,60&lt;Projects!$C$15+Projects!$D$15),Projects!$B$15*INDEX(Curves!$B$4:$AR$4,1,60-Projects!$C$15+1),0)+IF(AND(Projects!$G$16="Yes",60&gt;=Projects!$C$16,60&lt;Projects!$C$16+Projects!$D$16),Projects!$B$16*INDEX(Curves!$B$4:$AR$4,1,60-Projects!$C$16+1),0)+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,Actuals!BM8)</f>
        <v>5145987</v>
      </c>
      <c r="BN8" s="3">
        <f>IF(ISBLANK(Actuals!BN8),IF(AND(Projects!$G$2="Yes",61&gt;=Projects!$C$2,61&lt;Projects!$C$2+Projects!$D$2),Projects!$B$2*INDEX(Curves!$B$6:$AR$6,1,61-Projects!$C$2+1),0)+IF(AND(Projects!$G$3="Yes",61&gt;=Projects!$C$3,61&lt;Projects!$C$3+Projects!$D$3),Projects!$B$3*INDEX(Curves!$B$7:$AR$7,1,61-Projects!$C$3+1),0)+IF(AND(Projects!$G$4="Yes",61&gt;=Projects!$C$4,61&lt;Projects!$C$4+Projects!$D$4),Projects!$B$4*INDEX(Curves!$B$8:$AR$8,1,61-Projects!$C$4+1),0)+IF(AND(Projects!$G$5="Yes",61&gt;=Projects!$C$5,61&lt;Projects!$C$5+Projects!$D$5),Projects!$B$5*INDEX(Curves!$B$9:$AR$9,1,61-Projects!$C$5+1),0)+IF(AND(Projects!$G$6="Yes",61&gt;=Projects!$C$6,61&lt;Projects!$C$6+Projects!$D$6),Projects!$B$6*INDEX(Curves!$B$4:$AR$4,1,61-Projects!$C$6+1),0)+IF(AND(Projects!$G$7="Yes",61&gt;=Projects!$C$7,61&lt;Projects!$C$7+Projects!$D$7),Projects!$B$7*INDEX(Curves!$B$3:$AR$3,1,61-Projects!$C$7+1),0)+IF(AND(Projects!$G$8="Yes",61&gt;=Projects!$C$8,61&lt;Projects!$C$8+Projects!$D$8),Projects!$B$8*INDEX(Curves!$B$4:$AR$4,1,61-Projects!$C$8+1),0)+IF(AND(Projects!$G$9="Yes",61&gt;=Projects!$C$9,61&lt;Projects!$C$9+Projects!$D$9),Projects!$B$9*INDEX(Curves!$B$2:$AR$2,1,61-Projects!$C$9+1),0)+IF(AND(Projects!$G$10="Yes",61&gt;=Projects!$C$10,61&lt;Projects!$C$10+Projects!$D$10),Projects!$B$10*INDEX(Curves!$B$4:$AR$4,1,61-Projects!$C$10+1),0)+IF(AND(Projects!$G$11="Yes",61&gt;=Projects!$C$11,61&lt;Projects!$C$11+Projects!$D$11),Projects!$B$11*INDEX(Curves!$B$4:$AR$4,1,61-Projects!$C$11+1),0)+IF(AND(Projects!$G$12="Yes",61&gt;=Projects!$C$12,61&lt;Projects!$C$12+Projects!$D$12),Projects!$B$12*INDEX(Curves!$B$4:$AR$4,1,61-Projects!$C$12+1),0)+IF(AND(Projects!$G$13="Yes",61&gt;=Projects!$C$13,61&lt;Projects!$C$13+Projects!$D$13),Projects!$B$13*INDEX(Curves!$B$2:$AR$2,1,61-Projects!$C$13+1),0)+IF(AND(Projects!$G$14="Yes",61&gt;=Projects!$C$14,61&lt;Projects!$C$14+Projects!$D$14),Projects!$B$14*INDEX(Curves!$B$2:$AR$2,1,61-Projects!$C$14+1),0)+IF(AND(Projects!$G$15="Yes",61&gt;=Projects!$C$15,61&lt;Projects!$C$15+Projects!$D$15),Projects!$B$15*INDEX(Curves!$B$4:$AR$4,1,61-Projects!$C$15+1),0)+IF(AND(Projects!$G$16="Yes",61&gt;=Projects!$C$16,61&lt;Projects!$C$16+Projects!$D$16),Projects!$B$16*INDEX(Curves!$B$4:$AR$4,1,61-Projects!$C$16+1),0)+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,Actuals!BN8)</f>
        <v>5456391</v>
      </c>
      <c r="BO8" s="3">
        <f>IF(ISBLANK(Actuals!BO8),IF(AND(Projects!$G$2="Yes",62&gt;=Projects!$C$2,62&lt;Projects!$C$2+Projects!$D$2),Projects!$B$2*INDEX(Curves!$B$6:$AR$6,1,62-Projects!$C$2+1),0)+IF(AND(Projects!$G$3="Yes",62&gt;=Projects!$C$3,62&lt;Projects!$C$3+Projects!$D$3),Projects!$B$3*INDEX(Curves!$B$7:$AR$7,1,62-Projects!$C$3+1),0)+IF(AND(Projects!$G$4="Yes",62&gt;=Projects!$C$4,62&lt;Projects!$C$4+Projects!$D$4),Projects!$B$4*INDEX(Curves!$B$8:$AR$8,1,62-Projects!$C$4+1),0)+IF(AND(Projects!$G$5="Yes",62&gt;=Projects!$C$5,62&lt;Projects!$C$5+Projects!$D$5),Projects!$B$5*INDEX(Curves!$B$9:$AR$9,1,62-Projects!$C$5+1),0)+IF(AND(Projects!$G$6="Yes",62&gt;=Projects!$C$6,62&lt;Projects!$C$6+Projects!$D$6),Projects!$B$6*INDEX(Curves!$B$4:$AR$4,1,62-Projects!$C$6+1),0)+IF(AND(Projects!$G$7="Yes",62&gt;=Projects!$C$7,62&lt;Projects!$C$7+Projects!$D$7),Projects!$B$7*INDEX(Curves!$B$3:$AR$3,1,62-Projects!$C$7+1),0)+IF(AND(Projects!$G$8="Yes",62&gt;=Projects!$C$8,62&lt;Projects!$C$8+Projects!$D$8),Projects!$B$8*INDEX(Curves!$B$4:$AR$4,1,62-Projects!$C$8+1),0)+IF(AND(Projects!$G$9="Yes",62&gt;=Projects!$C$9,62&lt;Projects!$C$9+Projects!$D$9),Projects!$B$9*INDEX(Curves!$B$2:$AR$2,1,62-Projects!$C$9+1),0)+IF(AND(Projects!$G$10="Yes",62&gt;=Projects!$C$10,62&lt;Projects!$C$10+Projects!$D$10),Projects!$B$10*INDEX(Curves!$B$4:$AR$4,1,62-Projects!$C$10+1),0)+IF(AND(Projects!$G$11="Yes",62&gt;=Projects!$C$11,62&lt;Projects!$C$11+Projects!$D$11),Projects!$B$11*INDEX(Curves!$B$4:$AR$4,1,62-Projects!$C$11+1),0)+IF(AND(Projects!$G$12="Yes",62&gt;=Projects!$C$12,62&lt;Projects!$C$12+Projects!$D$12),Projects!$B$12*INDEX(Curves!$B$4:$AR$4,1,62-Projects!$C$12+1),0)+IF(AND(Projects!$G$13="Yes",62&gt;=Projects!$C$13,62&lt;Projects!$C$13+Projects!$D$13),Projects!$B$13*INDEX(Curves!$B$2:$AR$2,1,62-Projects!$C$13+1),0)+IF(AND(Projects!$G$14="Yes",62&gt;=Projects!$C$14,62&lt;Projects!$C$14+Projects!$D$14),Projects!$B$14*INDEX(Curves!$B$2:$AR$2,1,62-Projects!$C$14+1),0)+IF(AND(Projects!$G$15="Yes",62&gt;=Projects!$C$15,62&lt;Projects!$C$15+Projects!$D$15),Projects!$B$15*INDEX(Curves!$B$4:$AR$4,1,62-Projects!$C$15+1),0)+IF(AND(Projects!$G$16="Yes",62&gt;=Projects!$C$16,62&lt;Projects!$C$16+Projects!$D$16),Projects!$B$16*INDEX(Curves!$B$4:$AR$4,1,62-Projects!$C$16+1),0)+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,Actuals!BO8)</f>
        <v>6166941</v>
      </c>
      <c r="BP8" s="3">
        <f>IF(ISBLANK(Actuals!BP8),IF(AND(Projects!$G$2="Yes",63&gt;=Projects!$C$2,63&lt;Projects!$C$2+Projects!$D$2),Projects!$B$2*INDEX(Curves!$B$6:$AR$6,1,63-Projects!$C$2+1),0)+IF(AND(Projects!$G$3="Yes",63&gt;=Projects!$C$3,63&lt;Projects!$C$3+Projects!$D$3),Projects!$B$3*INDEX(Curves!$B$7:$AR$7,1,63-Projects!$C$3+1),0)+IF(AND(Projects!$G$4="Yes",63&gt;=Projects!$C$4,63&lt;Projects!$C$4+Projects!$D$4),Projects!$B$4*INDEX(Curves!$B$8:$AR$8,1,63-Projects!$C$4+1),0)+IF(AND(Projects!$G$5="Yes",63&gt;=Projects!$C$5,63&lt;Projects!$C$5+Projects!$D$5),Projects!$B$5*INDEX(Curves!$B$9:$AR$9,1,63-Projects!$C$5+1),0)+IF(AND(Projects!$G$6="Yes",63&gt;=Projects!$C$6,63&lt;Projects!$C$6+Projects!$D$6),Projects!$B$6*INDEX(Curves!$B$4:$AR$4,1,63-Projects!$C$6+1),0)+IF(AND(Projects!$G$7="Yes",63&gt;=Projects!$C$7,63&lt;Projects!$C$7+Projects!$D$7),Projects!$B$7*INDEX(Curves!$B$3:$AR$3,1,63-Projects!$C$7+1),0)+IF(AND(Projects!$G$8="Yes",63&gt;=Projects!$C$8,63&lt;Projects!$C$8+Projects!$D$8),Projects!$B$8*INDEX(Curves!$B$4:$AR$4,1,63-Projects!$C$8+1),0)+IF(AND(Projects!$G$9="Yes",63&gt;=Projects!$C$9,63&lt;Projects!$C$9+Projects!$D$9),Projects!$B$9*INDEX(Curves!$B$2:$AR$2,1,63-Projects!$C$9+1),0)+IF(AND(Projects!$G$10="Yes",63&gt;=Projects!$C$10,63&lt;Projects!$C$10+Projects!$D$10),Projects!$B$10*INDEX(Curves!$B$4:$AR$4,1,63-Projects!$C$10+1),0)+IF(AND(Projects!$G$11="Yes",63&gt;=Projects!$C$11,63&lt;Projects!$C$11+Projects!$D$11),Projects!$B$11*INDEX(Curves!$B$4:$AR$4,1,63-Projects!$C$11+1),0)+IF(AND(Projects!$G$12="Yes",63&gt;=Projects!$C$12,63&lt;Projects!$C$12+Projects!$D$12),Projects!$B$12*INDEX(Curves!$B$4:$AR$4,1,63-Projects!$C$12+1),0)+IF(AND(Projects!$G$13="Yes",63&gt;=Projects!$C$13,63&lt;Projects!$C$13+Projects!$D$13),Projects!$B$13*INDEX(Curves!$B$2:$AR$2,1,63-Projects!$C$13+1),0)+IF(AND(Projects!$G$14="Yes",63&gt;=Projects!$C$14,63&lt;Projects!$C$14+Projects!$D$14),Projects!$B$14*INDEX(Curves!$B$2:$AR$2,1,63-Projects!$C$14+1),0)+IF(AND(Projects!$G$15="Yes",63&gt;=Projects!$C$15,63&lt;Projects!$C$15+Projects!$D$15),Projects!$B$15*INDEX(Curves!$B$4:$AR$4,1,63-Projects!$C$15+1),0)+IF(AND(Projects!$G$16="Yes",63&gt;=Projects!$C$16,63&lt;Projects!$C$16+Projects!$D$16),Projects!$B$16*INDEX(Curves!$B$4:$AR$4,1,63-Projects!$C$16+1),0)+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,Actuals!BP8)</f>
        <v>6423336</v>
      </c>
      <c r="BQ8" s="3">
        <f>IF(ISBLANK(Actuals!BQ8),IF(AND(Projects!$G$2="Yes",64&gt;=Projects!$C$2,64&lt;Projects!$C$2+Projects!$D$2),Projects!$B$2*INDEX(Curves!$B$6:$AR$6,1,64-Projects!$C$2+1),0)+IF(AND(Projects!$G$3="Yes",64&gt;=Projects!$C$3,64&lt;Projects!$C$3+Projects!$D$3),Projects!$B$3*INDEX(Curves!$B$7:$AR$7,1,64-Projects!$C$3+1),0)+IF(AND(Projects!$G$4="Yes",64&gt;=Projects!$C$4,64&lt;Projects!$C$4+Projects!$D$4),Projects!$B$4*INDEX(Curves!$B$8:$AR$8,1,64-Projects!$C$4+1),0)+IF(AND(Projects!$G$5="Yes",64&gt;=Projects!$C$5,64&lt;Projects!$C$5+Projects!$D$5),Projects!$B$5*INDEX(Curves!$B$9:$AR$9,1,64-Projects!$C$5+1),0)+IF(AND(Projects!$G$6="Yes",64&gt;=Projects!$C$6,64&lt;Projects!$C$6+Projects!$D$6),Projects!$B$6*INDEX(Curves!$B$4:$AR$4,1,64-Projects!$C$6+1),0)+IF(AND(Projects!$G$7="Yes",64&gt;=Projects!$C$7,64&lt;Projects!$C$7+Projects!$D$7),Projects!$B$7*INDEX(Curves!$B$3:$AR$3,1,64-Projects!$C$7+1),0)+IF(AND(Projects!$G$8="Yes",64&gt;=Projects!$C$8,64&lt;Projects!$C$8+Projects!$D$8),Projects!$B$8*INDEX(Curves!$B$4:$AR$4,1,64-Projects!$C$8+1),0)+IF(AND(Projects!$G$9="Yes",64&gt;=Projects!$C$9,64&lt;Projects!$C$9+Projects!$D$9),Projects!$B$9*INDEX(Curves!$B$2:$AR$2,1,64-Projects!$C$9+1),0)+IF(AND(Projects!$G$10="Yes",64&gt;=Projects!$C$10,64&lt;Projects!$C$10+Projects!$D$10),Projects!$B$10*INDEX(Curves!$B$4:$AR$4,1,64-Projects!$C$10+1),0)+IF(AND(Projects!$G$11="Yes",64&gt;=Projects!$C$11,64&lt;Projects!$C$11+Projects!$D$11),Projects!$B$11*INDEX(Curves!$B$4:$AR$4,1,64-Projects!$C$11+1),0)+IF(AND(Projects!$G$12="Yes",64&gt;=Projects!$C$12,64&lt;Projects!$C$12+Projects!$D$12),Projects!$B$12*INDEX(Curves!$B$4:$AR$4,1,64-Projects!$C$12+1),0)+IF(AND(Projects!$G$13="Yes",64&gt;=Projects!$C$13,64&lt;Projects!$C$13+Projects!$D$13),Projects!$B$13*INDEX(Curves!$B$2:$AR$2,1,64-Projects!$C$13+1),0)+IF(AND(Projects!$G$14="Yes",64&gt;=Projects!$C$14,64&lt;Projects!$C$14+Projects!$D$14),Projects!$B$14*INDEX(Curves!$B$2:$AR$2,1,64-Projects!$C$14+1),0)+IF(AND(Projects!$G$15="Yes",64&gt;=Projects!$C$15,64&lt;Projects!$C$15+Projects!$D$15),Projects!$B$15*INDEX(Curves!$B$4:$AR$4,1,64-Projects!$C$15+1),0)+IF(AND(Projects!$G$16="Yes",64&gt;=Projects!$C$16,64&lt;Projects!$C$16+Projects!$D$16),Projects!$B$16*INDEX(Curves!$B$4:$AR$4,1,64-Projects!$C$16+1),0)+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,Actuals!BQ8)</f>
        <v>6590868</v>
      </c>
      <c r="BR8" s="3">
        <f>IF(ISBLANK(Actuals!BR8),IF(AND(Projects!$G$2="Yes",65&gt;=Projects!$C$2,65&lt;Projects!$C$2+Projects!$D$2),Projects!$B$2*INDEX(Curves!$B$6:$AR$6,1,65-Projects!$C$2+1),0)+IF(AND(Projects!$G$3="Yes",65&gt;=Projects!$C$3,65&lt;Projects!$C$3+Projects!$D$3),Projects!$B$3*INDEX(Curves!$B$7:$AR$7,1,65-Projects!$C$3+1),0)+IF(AND(Projects!$G$4="Yes",65&gt;=Projects!$C$4,65&lt;Projects!$C$4+Projects!$D$4),Projects!$B$4*INDEX(Curves!$B$8:$AR$8,1,65-Projects!$C$4+1),0)+IF(AND(Projects!$G$5="Yes",65&gt;=Projects!$C$5,65&lt;Projects!$C$5+Projects!$D$5),Projects!$B$5*INDEX(Curves!$B$9:$AR$9,1,65-Projects!$C$5+1),0)+IF(AND(Projects!$G$6="Yes",65&gt;=Projects!$C$6,65&lt;Projects!$C$6+Projects!$D$6),Projects!$B$6*INDEX(Curves!$B$4:$AR$4,1,65-Projects!$C$6+1),0)+IF(AND(Projects!$G$7="Yes",65&gt;=Projects!$C$7,65&lt;Projects!$C$7+Projects!$D$7),Projects!$B$7*INDEX(Curves!$B$3:$AR$3,1,65-Projects!$C$7+1),0)+IF(AND(Projects!$G$8="Yes",65&gt;=Projects!$C$8,65&lt;Projects!$C$8+Projects!$D$8),Projects!$B$8*INDEX(Curves!$B$4:$AR$4,1,65-Projects!$C$8+1),0)+IF(AND(Projects!$G$9="Yes",65&gt;=Projects!$C$9,65&lt;Projects!$C$9+Projects!$D$9),Projects!$B$9*INDEX(Curves!$B$2:$AR$2,1,65-Projects!$C$9+1),0)+IF(AND(Projects!$G$10="Yes",65&gt;=Projects!$C$10,65&lt;Projects!$C$10+Projects!$D$10),Projects!$B$10*INDEX(Curves!$B$4:$AR$4,1,65-Projects!$C$10+1),0)+IF(AND(Projects!$G$11="Yes",65&gt;=Projects!$C$11,65&lt;Projects!$C$11+Projects!$D$11),Projects!$B$11*INDEX(Curves!$B$4:$AR$4,1,65-Projects!$C$11+1),0)+IF(AND(Projects!$G$12="Yes",65&gt;=Projects!$C$12,65&lt;Projects!$C$12+Projects!$D$12),Projects!$B$12*INDEX(Curves!$B$4:$AR$4,1,65-Projects!$C$12+1),0)+IF(AND(Projects!$G$13="Yes",65&gt;=Projects!$C$13,65&lt;Projects!$C$13+Projects!$D$13),Projects!$B$13*INDEX(Curves!$B$2:$AR$2,1,65-Projects!$C$13+1),0)+IF(AND(Projects!$G$14="Yes",65&gt;=Projects!$C$14,65&lt;Projects!$C$14+Projects!$D$14),Projects!$B$14*INDEX(Curves!$B$2:$AR$2,1,65-Projects!$C$14+1),0)+IF(AND(Projects!$G$15="Yes",65&gt;=Projects!$C$15,65&lt;Projects!$C$15+Projects!$D$15),Projects!$B$15*INDEX(Curves!$B$4:$AR$4,1,65-Projects!$C$15+1),0)+IF(AND(Projects!$G$16="Yes",65&gt;=Projects!$C$16,65&lt;Projects!$C$16+Projects!$D$16),Projects!$B$16*INDEX(Curves!$B$4:$AR$4,1,65-Projects!$C$16+1),0)+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,Actuals!BR8)</f>
        <v>6660939</v>
      </c>
      <c r="BS8" s="3">
        <f>IF(ISBLANK(Actuals!BS8),IF(AND(Projects!$G$2="Yes",66&gt;=Projects!$C$2,66&lt;Projects!$C$2+Projects!$D$2),Projects!$B$2*INDEX(Curves!$B$6:$AR$6,1,66-Projects!$C$2+1),0)+IF(AND(Projects!$G$3="Yes",66&gt;=Projects!$C$3,66&lt;Projects!$C$3+Projects!$D$3),Projects!$B$3*INDEX(Curves!$B$7:$AR$7,1,66-Projects!$C$3+1),0)+IF(AND(Projects!$G$4="Yes",66&gt;=Projects!$C$4,66&lt;Projects!$C$4+Projects!$D$4),Projects!$B$4*INDEX(Curves!$B$8:$AR$8,1,66-Projects!$C$4+1),0)+IF(AND(Projects!$G$5="Yes",66&gt;=Projects!$C$5,66&lt;Projects!$C$5+Projects!$D$5),Projects!$B$5*INDEX(Curves!$B$9:$AR$9,1,66-Projects!$C$5+1),0)+IF(AND(Projects!$G$6="Yes",66&gt;=Projects!$C$6,66&lt;Projects!$C$6+Projects!$D$6),Projects!$B$6*INDEX(Curves!$B$4:$AR$4,1,66-Projects!$C$6+1),0)+IF(AND(Projects!$G$7="Yes",66&gt;=Projects!$C$7,66&lt;Projects!$C$7+Projects!$D$7),Projects!$B$7*INDEX(Curves!$B$3:$AR$3,1,66-Projects!$C$7+1),0)+IF(AND(Projects!$G$8="Yes",66&gt;=Projects!$C$8,66&lt;Projects!$C$8+Projects!$D$8),Projects!$B$8*INDEX(Curves!$B$4:$AR$4,1,66-Projects!$C$8+1),0)+IF(AND(Projects!$G$9="Yes",66&gt;=Projects!$C$9,66&lt;Projects!$C$9+Projects!$D$9),Projects!$B$9*INDEX(Curves!$B$2:$AR$2,1,66-Projects!$C$9+1),0)+IF(AND(Projects!$G$10="Yes",66&gt;=Projects!$C$10,66&lt;Projects!$C$10+Projects!$D$10),Projects!$B$10*INDEX(Curves!$B$4:$AR$4,1,66-Projects!$C$10+1),0)+IF(AND(Projects!$G$11="Yes",66&gt;=Projects!$C$11,66&lt;Projects!$C$11+Projects!$D$11),Projects!$B$11*INDEX(Curves!$B$4:$AR$4,1,66-Projects!$C$11+1),0)+IF(AND(Projects!$G$12="Yes",66&gt;=Projects!$C$12,66&lt;Projects!$C$12+Projects!$D$12),Projects!$B$12*INDEX(Curves!$B$4:$AR$4,1,66-Projects!$C$12+1),0)+IF(AND(Projects!$G$13="Yes",66&gt;=Projects!$C$13,66&lt;Projects!$C$13+Projects!$D$13),Projects!$B$13*INDEX(Curves!$B$2:$AR$2,1,66-Projects!$C$13+1),0)+IF(AND(Projects!$G$14="Yes",66&gt;=Projects!$C$14,66&lt;Projects!$C$14+Projects!$D$14),Projects!$B$14*INDEX(Curves!$B$2:$AR$2,1,66-Projects!$C$14+1),0)+IF(AND(Projects!$G$15="Yes",66&gt;=Projects!$C$15,66&lt;Projects!$C$15+Projects!$D$15),Projects!$B$15*INDEX(Curves!$B$4:$AR$4,1,66-Projects!$C$15+1),0)+IF(AND(Projects!$G$16="Yes",66&gt;=Projects!$C$16,66&lt;Projects!$C$16+Projects!$D$16),Projects!$B$16*INDEX(Curves!$B$4:$AR$4,1,66-Projects!$C$16+1),0)+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,Actuals!BS8)</f>
        <v>6628869</v>
      </c>
      <c r="BT8" s="3">
        <f>IF(ISBLANK(Actuals!BT8),IF(AND(Projects!$G$2="Yes",67&gt;=Projects!$C$2,67&lt;Projects!$C$2+Projects!$D$2),Projects!$B$2*INDEX(Curves!$B$6:$AR$6,1,67-Projects!$C$2+1),0)+IF(AND(Projects!$G$3="Yes",67&gt;=Projects!$C$3,67&lt;Projects!$C$3+Projects!$D$3),Projects!$B$3*INDEX(Curves!$B$7:$AR$7,1,67-Projects!$C$3+1),0)+IF(AND(Projects!$G$4="Yes",67&gt;=Projects!$C$4,67&lt;Projects!$C$4+Projects!$D$4),Projects!$B$4*INDEX(Curves!$B$8:$AR$8,1,67-Projects!$C$4+1),0)+IF(AND(Projects!$G$5="Yes",67&gt;=Projects!$C$5,67&lt;Projects!$C$5+Projects!$D$5),Projects!$B$5*INDEX(Curves!$B$9:$AR$9,1,67-Projects!$C$5+1),0)+IF(AND(Projects!$G$6="Yes",67&gt;=Projects!$C$6,67&lt;Projects!$C$6+Projects!$D$6),Projects!$B$6*INDEX(Curves!$B$4:$AR$4,1,67-Projects!$C$6+1),0)+IF(AND(Projects!$G$7="Yes",67&gt;=Projects!$C$7,67&lt;Projects!$C$7+Projects!$D$7),Projects!$B$7*INDEX(Curves!$B$3:$AR$3,1,67-Projects!$C$7+1),0)+IF(AND(Projects!$G$8="Yes",67&gt;=Projects!$C$8,67&lt;Projects!$C$8+Projects!$D$8),Projects!$B$8*INDEX(Curves!$B$4:$AR$4,1,67-Projects!$C$8+1),0)+IF(AND(Projects!$G$9="Yes",67&gt;=Projects!$C$9,67&lt;Projects!$C$9+Projects!$D$9),Projects!$B$9*INDEX(Curves!$B$2:$AR$2,1,67-Projects!$C$9+1),0)+IF(AND(Projects!$G$10="Yes",67&gt;=Projects!$C$10,67&lt;Projects!$C$10+Projects!$D$10),Projects!$B$10*INDEX(Curves!$B$4:$AR$4,1,67-Projects!$C$10+1),0)+IF(AND(Projects!$G$11="Yes",67&gt;=Projects!$C$11,67&lt;Projects!$C$11+Projects!$D$11),Projects!$B$11*INDEX(Curves!$B$4:$AR$4,1,67-Projects!$C$11+1),0)+IF(AND(Projects!$G$12="Yes",67&gt;=Projects!$C$12,67&lt;Projects!$C$12+Projects!$D$12),Projects!$B$12*INDEX(Curves!$B$4:$AR$4,1,67-Projects!$C$12+1),0)+IF(AND(Projects!$G$13="Yes",67&gt;=Projects!$C$13,67&lt;Projects!$C$13+Projects!$D$13),Projects!$B$13*INDEX(Curves!$B$2:$AR$2,1,67-Projects!$C$13+1),0)+IF(AND(Projects!$G$14="Yes",67&gt;=Projects!$C$14,67&lt;Projects!$C$14+Projects!$D$14),Projects!$B$14*INDEX(Curves!$B$2:$AR$2,1,67-Projects!$C$14+1),0)+IF(AND(Projects!$G$15="Yes",67&gt;=Projects!$C$15,67&lt;Projects!$C$15+Projects!$D$15),Projects!$B$15*INDEX(Curves!$B$4:$AR$4,1,67-Projects!$C$15+1),0)+IF(AND(Projects!$G$16="Yes",67&gt;=Projects!$C$16,67&lt;Projects!$C$16+Projects!$D$16),Projects!$B$16*INDEX(Curves!$B$4:$AR$4,1,67-Projects!$C$16+1),0)+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,Actuals!BT8)</f>
        <v>6180102</v>
      </c>
      <c r="BU8" s="3">
        <f>IF(ISBLANK(Actuals!BU8),IF(AND(Projects!$G$2="Yes",68&gt;=Projects!$C$2,68&lt;Projects!$C$2+Projects!$D$2),Projects!$B$2*INDEX(Curves!$B$6:$AR$6,1,68-Projects!$C$2+1),0)+IF(AND(Projects!$G$3="Yes",68&gt;=Projects!$C$3,68&lt;Projects!$C$3+Projects!$D$3),Projects!$B$3*INDEX(Curves!$B$7:$AR$7,1,68-Projects!$C$3+1),0)+IF(AND(Projects!$G$4="Yes",68&gt;=Projects!$C$4,68&lt;Projects!$C$4+Projects!$D$4),Projects!$B$4*INDEX(Curves!$B$8:$AR$8,1,68-Projects!$C$4+1),0)+IF(AND(Projects!$G$5="Yes",68&gt;=Projects!$C$5,68&lt;Projects!$C$5+Projects!$D$5),Projects!$B$5*INDEX(Curves!$B$9:$AR$9,1,68-Projects!$C$5+1),0)+IF(AND(Projects!$G$6="Yes",68&gt;=Projects!$C$6,68&lt;Projects!$C$6+Projects!$D$6),Projects!$B$6*INDEX(Curves!$B$4:$AR$4,1,68-Projects!$C$6+1),0)+IF(AND(Projects!$G$7="Yes",68&gt;=Projects!$C$7,68&lt;Projects!$C$7+Projects!$D$7),Projects!$B$7*INDEX(Curves!$B$3:$AR$3,1,68-Projects!$C$7+1),0)+IF(AND(Projects!$G$8="Yes",68&gt;=Projects!$C$8,68&lt;Projects!$C$8+Projects!$D$8),Projects!$B$8*INDEX(Curves!$B$4:$AR$4,1,68-Projects!$C$8+1),0)+IF(AND(Projects!$G$9="Yes",68&gt;=Projects!$C$9,68&lt;Projects!$C$9+Projects!$D$9),Projects!$B$9*INDEX(Curves!$B$2:$AR$2,1,68-Projects!$C$9+1),0)+IF(AND(Projects!$G$10="Yes",68&gt;=Projects!$C$10,68&lt;Projects!$C$10+Projects!$D$10),Projects!$B$10*INDEX(Curves!$B$4:$AR$4,1,68-Projects!$C$10+1),0)+IF(AND(Projects!$G$11="Yes",68&gt;=Projects!$C$11,68&lt;Projects!$C$11+Projects!$D$11),Projects!$B$11*INDEX(Curves!$B$4:$AR$4,1,68-Projects!$C$11+1),0)+IF(AND(Projects!$G$12="Yes",68&gt;=Projects!$C$12,68&lt;Projects!$C$12+Projects!$D$12),Projects!$B$12*INDEX(Curves!$B$4:$AR$4,1,68-Projects!$C$12+1),0)+IF(AND(Projects!$G$13="Yes",68&gt;=Projects!$C$13,68&lt;Projects!$C$13+Projects!$D$13),Projects!$B$13*INDEX(Curves!$B$2:$AR$2,1,68-Projects!$C$13+1),0)+IF(AND(Projects!$G$14="Yes",68&gt;=Projects!$C$14,68&lt;Projects!$C$14+Projects!$D$14),Projects!$B$14*INDEX(Curves!$B$2:$AR$2,1,68-Projects!$C$14+1),0)+IF(AND(Projects!$G$15="Yes",68&gt;=Projects!$C$15,68&lt;Projects!$C$15+Projects!$D$15),Projects!$B$15*INDEX(Curves!$B$4:$AR$4,1,68-Projects!$C$15+1),0)+IF(AND(Projects!$G$16="Yes",68&gt;=Projects!$C$16,68&lt;Projects!$C$16+Projects!$D$16),Projects!$B$16*INDEX(Curves!$B$4:$AR$4,1,68-Projects!$C$16+1),0)+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,Actuals!BU8)</f>
        <v>6496329</v>
      </c>
      <c r="BV8" s="3">
        <f>IF(ISBLANK(Actuals!BV8),IF(AND(Projects!$G$2="Yes",69&gt;=Projects!$C$2,69&lt;Projects!$C$2+Projects!$D$2),Projects!$B$2*INDEX(Curves!$B$6:$AR$6,1,69-Projects!$C$2+1),0)+IF(AND(Projects!$G$3="Yes",69&gt;=Projects!$C$3,69&lt;Projects!$C$3+Projects!$D$3),Projects!$B$3*INDEX(Curves!$B$7:$AR$7,1,69-Projects!$C$3+1),0)+IF(AND(Projects!$G$4="Yes",69&gt;=Projects!$C$4,69&lt;Projects!$C$4+Projects!$D$4),Projects!$B$4*INDEX(Curves!$B$8:$AR$8,1,69-Projects!$C$4+1),0)+IF(AND(Projects!$G$5="Yes",69&gt;=Projects!$C$5,69&lt;Projects!$C$5+Projects!$D$5),Projects!$B$5*INDEX(Curves!$B$9:$AR$9,1,69-Projects!$C$5+1),0)+IF(AND(Projects!$G$6="Yes",69&gt;=Projects!$C$6,69&lt;Projects!$C$6+Projects!$D$6),Projects!$B$6*INDEX(Curves!$B$4:$AR$4,1,69-Projects!$C$6+1),0)+IF(AND(Projects!$G$7="Yes",69&gt;=Projects!$C$7,69&lt;Projects!$C$7+Projects!$D$7),Projects!$B$7*INDEX(Curves!$B$3:$AR$3,1,69-Projects!$C$7+1),0)+IF(AND(Projects!$G$8="Yes",69&gt;=Projects!$C$8,69&lt;Projects!$C$8+Projects!$D$8),Projects!$B$8*INDEX(Curves!$B$4:$AR$4,1,69-Projects!$C$8+1),0)+IF(AND(Projects!$G$9="Yes",69&gt;=Projects!$C$9,69&lt;Projects!$C$9+Projects!$D$9),Projects!$B$9*INDEX(Curves!$B$2:$AR$2,1,69-Projects!$C$9+1),0)+IF(AND(Projects!$G$10="Yes",69&gt;=Projects!$C$10,69&lt;Projects!$C$10+Projects!$D$10),Projects!$B$10*INDEX(Curves!$B$4:$AR$4,1,69-Projects!$C$10+1),0)+IF(AND(Projects!$G$11="Yes",69&gt;=Projects!$C$11,69&lt;Projects!$C$11+Projects!$D$11),Projects!$B$11*INDEX(Curves!$B$4:$AR$4,1,69-Projects!$C$11+1),0)+IF(AND(Projects!$G$12="Yes",69&gt;=Projects!$C$12,69&lt;Projects!$C$12+Projects!$D$12),Projects!$B$12*INDEX(Curves!$B$4:$AR$4,1,69-Projects!$C$12+1),0)+IF(AND(Projects!$G$13="Yes",69&gt;=Projects!$C$13,69&lt;Projects!$C$13+Projects!$D$13),Projects!$B$13*INDEX(Curves!$B$2:$AR$2,1,69-Projects!$C$13+1),0)+IF(AND(Projects!$G$14="Yes",69&gt;=Projects!$C$14,69&lt;Projects!$C$14+Projects!$D$14),Projects!$B$14*INDEX(Curves!$B$2:$AR$2,1,69-Projects!$C$14+1),0)+IF(AND(Projects!$G$15="Yes",69&gt;=Projects!$C$15,69&lt;Projects!$C$15+Projects!$D$15),Projects!$B$15*INDEX(Curves!$B$4:$AR$4,1,69-Projects!$C$15+1),0)+IF(AND(Projects!$G$16="Yes",69&gt;=Projects!$C$16,69&lt;Projects!$C$16+Projects!$D$16),Projects!$B$16*INDEX(Curves!$B$4:$AR$4,1,69-Projects!$C$16+1),0)+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,Actuals!BV8)</f>
        <v>6345600</v>
      </c>
      <c r="BW8" s="3">
        <f>IF(ISBLANK(Actuals!BW8),IF(AND(Projects!$G$2="Yes",70&gt;=Projects!$C$2,70&lt;Projects!$C$2+Projects!$D$2),Projects!$B$2*INDEX(Curves!$B$6:$AR$6,1,70-Projects!$C$2+1),0)+IF(AND(Projects!$G$3="Yes",70&gt;=Projects!$C$3,70&lt;Projects!$C$3+Projects!$D$3),Projects!$B$3*INDEX(Curves!$B$7:$AR$7,1,70-Projects!$C$3+1),0)+IF(AND(Projects!$G$4="Yes",70&gt;=Projects!$C$4,70&lt;Projects!$C$4+Projects!$D$4),Projects!$B$4*INDEX(Curves!$B$8:$AR$8,1,70-Projects!$C$4+1),0)+IF(AND(Projects!$G$5="Yes",70&gt;=Projects!$C$5,70&lt;Projects!$C$5+Projects!$D$5),Projects!$B$5*INDEX(Curves!$B$9:$AR$9,1,70-Projects!$C$5+1),0)+IF(AND(Projects!$G$6="Yes",70&gt;=Projects!$C$6,70&lt;Projects!$C$6+Projects!$D$6),Projects!$B$6*INDEX(Curves!$B$4:$AR$4,1,70-Projects!$C$6+1),0)+IF(AND(Projects!$G$7="Yes",70&gt;=Projects!$C$7,70&lt;Projects!$C$7+Projects!$D$7),Projects!$B$7*INDEX(Curves!$B$3:$AR$3,1,70-Projects!$C$7+1),0)+IF(AND(Projects!$G$8="Yes",70&gt;=Projects!$C$8,70&lt;Projects!$C$8+Projects!$D$8),Projects!$B$8*INDEX(Curves!$B$4:$AR$4,1,70-Projects!$C$8+1),0)+IF(AND(Projects!$G$9="Yes",70&gt;=Projects!$C$9,70&lt;Projects!$C$9+Projects!$D$9),Projects!$B$9*INDEX(Curves!$B$2:$AR$2,1,70-Projects!$C$9+1),0)+IF(AND(Projects!$G$10="Yes",70&gt;=Projects!$C$10,70&lt;Projects!$C$10+Projects!$D$10),Projects!$B$10*INDEX(Curves!$B$4:$AR$4,1,70-Projects!$C$10+1),0)+IF(AND(Projects!$G$11="Yes",70&gt;=Projects!$C$11,70&lt;Projects!$C$11+Projects!$D$11),Projects!$B$11*INDEX(Curves!$B$4:$AR$4,1,70-Projects!$C$11+1),0)+IF(AND(Projects!$G$12="Yes",70&gt;=Projects!$C$12,70&lt;Projects!$C$12+Projects!$D$12),Projects!$B$12*INDEX(Curves!$B$4:$AR$4,1,70-Projects!$C$12+1),0)+IF(AND(Projects!$G$13="Yes",70&gt;=Projects!$C$13,70&lt;Projects!$C$13+Projects!$D$13),Projects!$B$13*INDEX(Curves!$B$2:$AR$2,1,70-Projects!$C$13+1),0)+IF(AND(Projects!$G$14="Yes",70&gt;=Projects!$C$14,70&lt;Projects!$C$14+Projects!$D$14),Projects!$B$14*INDEX(Curves!$B$2:$AR$2,1,70-Projects!$C$14+1),0)+IF(AND(Projects!$G$15="Yes",70&gt;=Projects!$C$15,70&lt;Projects!$C$15+Projects!$D$15),Projects!$B$15*INDEX(Curves!$B$4:$AR$4,1,70-Projects!$C$15+1),0)+IF(AND(Projects!$G$16="Yes",70&gt;=Projects!$C$16,70&lt;Projects!$C$16+Projects!$D$16),Projects!$B$16*INDEX(Curves!$B$4:$AR$4,1,70-Projects!$C$16+1),0)+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,Actuals!BW8)</f>
        <v>6114504</v>
      </c>
      <c r="BX8" s="3">
        <f>IF(ISBLANK(Actuals!BX8),IF(AND(Projects!$G$2="Yes",71&gt;=Projects!$C$2,71&lt;Projects!$C$2+Projects!$D$2),Projects!$B$2*INDEX(Curves!$B$6:$AR$6,1,71-Projects!$C$2+1),0)+IF(AND(Projects!$G$3="Yes",71&gt;=Projects!$C$3,71&lt;Projects!$C$3+Projects!$D$3),Projects!$B$3*INDEX(Curves!$B$7:$AR$7,1,71-Projects!$C$3+1),0)+IF(AND(Projects!$G$4="Yes",71&gt;=Projects!$C$4,71&lt;Projects!$C$4+Projects!$D$4),Projects!$B$4*INDEX(Curves!$B$8:$AR$8,1,71-Projects!$C$4+1),0)+IF(AND(Projects!$G$5="Yes",71&gt;=Projects!$C$5,71&lt;Projects!$C$5+Projects!$D$5),Projects!$B$5*INDEX(Curves!$B$9:$AR$9,1,71-Projects!$C$5+1),0)+IF(AND(Projects!$G$6="Yes",71&gt;=Projects!$C$6,71&lt;Projects!$C$6+Projects!$D$6),Projects!$B$6*INDEX(Curves!$B$4:$AR$4,1,71-Projects!$C$6+1),0)+IF(AND(Projects!$G$7="Yes",71&gt;=Projects!$C$7,71&lt;Projects!$C$7+Projects!$D$7),Projects!$B$7*INDEX(Curves!$B$3:$AR$3,1,71-Projects!$C$7+1),0)+IF(AND(Projects!$G$8="Yes",71&gt;=Projects!$C$8,71&lt;Projects!$C$8+Projects!$D$8),Projects!$B$8*INDEX(Curves!$B$4:$AR$4,1,71-Projects!$C$8+1),0)+IF(AND(Projects!$G$9="Yes",71&gt;=Projects!$C$9,71&lt;Projects!$C$9+Projects!$D$9),Projects!$B$9*INDEX(Curves!$B$2:$AR$2,1,71-Projects!$C$9+1),0)+IF(AND(Projects!$G$10="Yes",71&gt;=Projects!$C$10,71&lt;Projects!$C$10+Projects!$D$10),Projects!$B$10*INDEX(Curves!$B$4:$AR$4,1,71-Projects!$C$10+1),0)+IF(AND(Projects!$G$11="Yes",71&gt;=Projects!$C$11,71&lt;Projects!$C$11+Projects!$D$11),Projects!$B$11*INDEX(Curves!$B$4:$AR$4,1,71-Projects!$C$11+1),0)+IF(AND(Projects!$G$12="Yes",71&gt;=Projects!$C$12,71&lt;Projects!$C$12+Projects!$D$12),Projects!$B$12*INDEX(Curves!$B$4:$AR$4,1,71-Projects!$C$12+1),0)+IF(AND(Projects!$G$13="Yes",71&gt;=Projects!$C$13,71&lt;Projects!$C$13+Projects!$D$13),Projects!$B$13*INDEX(Curves!$B$2:$AR$2,1,71-Projects!$C$13+1),0)+IF(AND(Projects!$G$14="Yes",71&gt;=Projects!$C$14,71&lt;Projects!$C$14+Projects!$D$14),Projects!$B$14*INDEX(Curves!$B$2:$AR$2,1,71-Projects!$C$14+1),0)+IF(AND(Projects!$G$15="Yes",71&gt;=Projects!$C$15,71&lt;Projects!$C$15+Projects!$D$15),Projects!$B$15*INDEX(Curves!$B$4:$AR$4,1,71-Projects!$C$15+1),0)+IF(AND(Projects!$G$16="Yes",71&gt;=Projects!$C$16,71&lt;Projects!$C$16+Projects!$D$16),Projects!$B$16*INDEX(Curves!$B$4:$AR$4,1,71-Projects!$C$16+1),0)+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,Actuals!BX8)</f>
        <v>5438307</v>
      </c>
      <c r="BY8" s="3">
        <f>IF(ISBLANK(Actuals!BY8),IF(AND(Projects!$G$2="Yes",72&gt;=Projects!$C$2,72&lt;Projects!$C$2+Projects!$D$2),Projects!$B$2*INDEX(Curves!$B$6:$AR$6,1,72-Projects!$C$2+1),0)+IF(AND(Projects!$G$3="Yes",72&gt;=Projects!$C$3,72&lt;Projects!$C$3+Projects!$D$3),Projects!$B$3*INDEX(Curves!$B$7:$AR$7,1,72-Projects!$C$3+1),0)+IF(AND(Projects!$G$4="Yes",72&gt;=Projects!$C$4,72&lt;Projects!$C$4+Projects!$D$4),Projects!$B$4*INDEX(Curves!$B$8:$AR$8,1,72-Projects!$C$4+1),0)+IF(AND(Projects!$G$5="Yes",72&gt;=Projects!$C$5,72&lt;Projects!$C$5+Projects!$D$5),Projects!$B$5*INDEX(Curves!$B$9:$AR$9,1,72-Projects!$C$5+1),0)+IF(AND(Projects!$G$6="Yes",72&gt;=Projects!$C$6,72&lt;Projects!$C$6+Projects!$D$6),Projects!$B$6*INDEX(Curves!$B$4:$AR$4,1,72-Projects!$C$6+1),0)+IF(AND(Projects!$G$7="Yes",72&gt;=Projects!$C$7,72&lt;Projects!$C$7+Projects!$D$7),Projects!$B$7*INDEX(Curves!$B$3:$AR$3,1,72-Projects!$C$7+1),0)+IF(AND(Projects!$G$8="Yes",72&gt;=Projects!$C$8,72&lt;Projects!$C$8+Projects!$D$8),Projects!$B$8*INDEX(Curves!$B$4:$AR$4,1,72-Projects!$C$8+1),0)+IF(AND(Projects!$G$9="Yes",72&gt;=Projects!$C$9,72&lt;Projects!$C$9+Projects!$D$9),Projects!$B$9*INDEX(Curves!$B$2:$AR$2,1,72-Projects!$C$9+1),0)+IF(AND(Projects!$G$10="Yes",72&gt;=Projects!$C$10,72&lt;Projects!$C$10+Projects!$D$10),Projects!$B$10*INDEX(Curves!$B$4:$AR$4,1,72-Projects!$C$10+1),0)+IF(AND(Projects!$G$11="Yes",72&gt;=Projects!$C$11,72&lt;Projects!$C$11+Projects!$D$11),Projects!$B$11*INDEX(Curves!$B$4:$AR$4,1,72-Projects!$C$11+1),0)+IF(AND(Projects!$G$12="Yes",72&gt;=Projects!$C$12,72&lt;Projects!$C$12+Projects!$D$12),Projects!$B$12*INDEX(Curves!$B$4:$AR$4,1,72-Projects!$C$12+1),0)+IF(AND(Projects!$G$13="Yes",72&gt;=Projects!$C$13,72&lt;Projects!$C$13+Projects!$D$13),Projects!$B$13*INDEX(Curves!$B$2:$AR$2,1,72-Projects!$C$13+1),0)+IF(AND(Projects!$G$14="Yes",72&gt;=Projects!$C$14,72&lt;Projects!$C$14+Projects!$D$14),Projects!$B$14*INDEX(Curves!$B$2:$AR$2,1,72-Projects!$C$14+1),0)+IF(AND(Projects!$G$15="Yes",72&gt;=Projects!$C$15,72&lt;Projects!$C$15+Projects!$D$15),Projects!$B$15*INDEX(Curves!$B$4:$AR$4,1,72-Projects!$C$15+1),0)+IF(AND(Projects!$G$16="Yes",72&gt;=Projects!$C$16,72&lt;Projects!$C$16+Projects!$D$16),Projects!$B$16*INDEX(Curves!$B$4:$AR$4,1,72-Projects!$C$16+1),0)+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,Actuals!BY8)</f>
        <v>5171064</v>
      </c>
      <c r="BZ8" s="3">
        <f>IF(ISBLANK(Actuals!BZ8),IF(AND(Projects!$G$2="Yes",73&gt;=Projects!$C$2,73&lt;Projects!$C$2+Projects!$D$2),Projects!$B$2*INDEX(Curves!$B$6:$AR$6,1,73-Projects!$C$2+1),0)+IF(AND(Projects!$G$3="Yes",73&gt;=Projects!$C$3,73&lt;Projects!$C$3+Projects!$D$3),Projects!$B$3*INDEX(Curves!$B$7:$AR$7,1,73-Projects!$C$3+1),0)+IF(AND(Projects!$G$4="Yes",73&gt;=Projects!$C$4,73&lt;Projects!$C$4+Projects!$D$4),Projects!$B$4*INDEX(Curves!$B$8:$AR$8,1,73-Projects!$C$4+1),0)+IF(AND(Projects!$G$5="Yes",73&gt;=Projects!$C$5,73&lt;Projects!$C$5+Projects!$D$5),Projects!$B$5*INDEX(Curves!$B$9:$AR$9,1,73-Projects!$C$5+1),0)+IF(AND(Projects!$G$6="Yes",73&gt;=Projects!$C$6,73&lt;Projects!$C$6+Projects!$D$6),Projects!$B$6*INDEX(Curves!$B$4:$AR$4,1,73-Projects!$C$6+1),0)+IF(AND(Projects!$G$7="Yes",73&gt;=Projects!$C$7,73&lt;Projects!$C$7+Projects!$D$7),Projects!$B$7*INDEX(Curves!$B$3:$AR$3,1,73-Projects!$C$7+1),0)+IF(AND(Projects!$G$8="Yes",73&gt;=Projects!$C$8,73&lt;Projects!$C$8+Projects!$D$8),Projects!$B$8*INDEX(Curves!$B$4:$AR$4,1,73-Projects!$C$8+1),0)+IF(AND(Projects!$G$9="Yes",73&gt;=Projects!$C$9,73&lt;Projects!$C$9+Projects!$D$9),Projects!$B$9*INDEX(Curves!$B$2:$AR$2,1,73-Projects!$C$9+1),0)+IF(AND(Projects!$G$10="Yes",73&gt;=Projects!$C$10,73&lt;Projects!$C$10+Projects!$D$10),Projects!$B$10*INDEX(Curves!$B$4:$AR$4,1,73-Projects!$C$10+1),0)+IF(AND(Projects!$G$11="Yes",73&gt;=Projects!$C$11,73&lt;Projects!$C$11+Projects!$D$11),Projects!$B$11*INDEX(Curves!$B$4:$AR$4,1,73-Projects!$C$11+1),0)+IF(AND(Projects!$G$12="Yes",73&gt;=Projects!$C$12,73&lt;Projects!$C$12+Projects!$D$12),Projects!$B$12*INDEX(Curves!$B$4:$AR$4,1,73-Projects!$C$12+1),0)+IF(AND(Projects!$G$13="Yes",73&gt;=Projects!$C$13,73&lt;Projects!$C$13+Projects!$D$13),Projects!$B$13*INDEX(Curves!$B$2:$AR$2,1,73-Projects!$C$13+1),0)+IF(AND(Projects!$G$14="Yes",73&gt;=Projects!$C$14,73&lt;Projects!$C$14+Projects!$D$14),Projects!$B$14*INDEX(Curves!$B$2:$AR$2,1,73-Projects!$C$14+1),0)+IF(AND(Projects!$G$15="Yes",73&gt;=Projects!$C$15,73&lt;Projects!$C$15+Projects!$D$15),Projects!$B$15*INDEX(Curves!$B$4:$AR$4,1,73-Projects!$C$15+1),0)+IF(AND(Projects!$G$16="Yes",73&gt;=Projects!$C$16,73&lt;Projects!$C$16+Projects!$D$16),Projects!$B$16*INDEX(Curves!$B$4:$AR$4,1,73-Projects!$C$16+1),0)+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,Actuals!BZ8)</f>
        <v>4534929</v>
      </c>
      <c r="CA8" s="3">
        <f>IF(ISBLANK(Actuals!CA8),IF(AND(Projects!$G$2="Yes",74&gt;=Projects!$C$2,74&lt;Projects!$C$2+Projects!$D$2),Projects!$B$2*INDEX(Curves!$B$6:$AR$6,1,74-Projects!$C$2+1),0)+IF(AND(Projects!$G$3="Yes",74&gt;=Projects!$C$3,74&lt;Projects!$C$3+Projects!$D$3),Projects!$B$3*INDEX(Curves!$B$7:$AR$7,1,74-Projects!$C$3+1),0)+IF(AND(Projects!$G$4="Yes",74&gt;=Projects!$C$4,74&lt;Projects!$C$4+Projects!$D$4),Projects!$B$4*INDEX(Curves!$B$8:$AR$8,1,74-Projects!$C$4+1),0)+IF(AND(Projects!$G$5="Yes",74&gt;=Projects!$C$5,74&lt;Projects!$C$5+Projects!$D$5),Projects!$B$5*INDEX(Curves!$B$9:$AR$9,1,74-Projects!$C$5+1),0)+IF(AND(Projects!$G$6="Yes",74&gt;=Projects!$C$6,74&lt;Projects!$C$6+Projects!$D$6),Projects!$B$6*INDEX(Curves!$B$4:$AR$4,1,74-Projects!$C$6+1),0)+IF(AND(Projects!$G$7="Yes",74&gt;=Projects!$C$7,74&lt;Projects!$C$7+Projects!$D$7),Projects!$B$7*INDEX(Curves!$B$3:$AR$3,1,74-Projects!$C$7+1),0)+IF(AND(Projects!$G$8="Yes",74&gt;=Projects!$C$8,74&lt;Projects!$C$8+Projects!$D$8),Projects!$B$8*INDEX(Curves!$B$4:$AR$4,1,74-Projects!$C$8+1),0)+IF(AND(Projects!$G$9="Yes",74&gt;=Projects!$C$9,74&lt;Projects!$C$9+Projects!$D$9),Projects!$B$9*INDEX(Curves!$B$2:$AR$2,1,74-Projects!$C$9+1),0)+IF(AND(Projects!$G$10="Yes",74&gt;=Projects!$C$10,74&lt;Projects!$C$10+Projects!$D$10),Projects!$B$10*INDEX(Curves!$B$4:$AR$4,1,74-Projects!$C$10+1),0)+IF(AND(Projects!$G$11="Yes",74&gt;=Projects!$C$11,74&lt;Projects!$C$11+Projects!$D$11),Projects!$B$11*INDEX(Curves!$B$4:$AR$4,1,74-Projects!$C$11+1),0)+IF(AND(Projects!$G$12="Yes",74&gt;=Projects!$C$12,74&lt;Projects!$C$12+Projects!$D$12),Projects!$B$12*INDEX(Curves!$B$4:$AR$4,1,74-Projects!$C$12+1),0)+IF(AND(Projects!$G$13="Yes",74&gt;=Projects!$C$13,74&lt;Projects!$C$13+Projects!$D$13),Projects!$B$13*INDEX(Curves!$B$2:$AR$2,1,74-Projects!$C$13+1),0)+IF(AND(Projects!$G$14="Yes",74&gt;=Projects!$C$14,74&lt;Projects!$C$14+Projects!$D$14),Projects!$B$14*INDEX(Curves!$B$2:$AR$2,1,74-Projects!$C$14+1),0)+IF(AND(Projects!$G$15="Yes",74&gt;=Projects!$C$15,74&lt;Projects!$C$15+Projects!$D$15),Projects!$B$15*INDEX(Curves!$B$4:$AR$4,1,74-Projects!$C$15+1),0)+IF(AND(Projects!$G$16="Yes",74&gt;=Projects!$C$16,74&lt;Projects!$C$16+Projects!$D$16),Projects!$B$16*INDEX(Curves!$B$4:$AR$4,1,74-Projects!$C$16+1),0)+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,Actuals!CA8)</f>
        <v>4721739</v>
      </c>
      <c r="CB8" s="3">
        <f>IF(ISBLANK(Actuals!CB8),IF(AND(Projects!$G$2="Yes",75&gt;=Projects!$C$2,75&lt;Projects!$C$2+Projects!$D$2),Projects!$B$2*INDEX(Curves!$B$6:$AR$6,1,75-Projects!$C$2+1),0)+IF(AND(Projects!$G$3="Yes",75&gt;=Projects!$C$3,75&lt;Projects!$C$3+Projects!$D$3),Projects!$B$3*INDEX(Curves!$B$7:$AR$7,1,75-Projects!$C$3+1),0)+IF(AND(Projects!$G$4="Yes",75&gt;=Projects!$C$4,75&lt;Projects!$C$4+Projects!$D$4),Projects!$B$4*INDEX(Curves!$B$8:$AR$8,1,75-Projects!$C$4+1),0)+IF(AND(Projects!$G$5="Yes",75&gt;=Projects!$C$5,75&lt;Projects!$C$5+Projects!$D$5),Projects!$B$5*INDEX(Curves!$B$9:$AR$9,1,75-Projects!$C$5+1),0)+IF(AND(Projects!$G$6="Yes",75&gt;=Projects!$C$6,75&lt;Projects!$C$6+Projects!$D$6),Projects!$B$6*INDEX(Curves!$B$4:$AR$4,1,75-Projects!$C$6+1),0)+IF(AND(Projects!$G$7="Yes",75&gt;=Projects!$C$7,75&lt;Projects!$C$7+Projects!$D$7),Projects!$B$7*INDEX(Curves!$B$3:$AR$3,1,75-Projects!$C$7+1),0)+IF(AND(Projects!$G$8="Yes",75&gt;=Projects!$C$8,75&lt;Projects!$C$8+Projects!$D$8),Projects!$B$8*INDEX(Curves!$B$4:$AR$4,1,75-Projects!$C$8+1),0)+IF(AND(Projects!$G$9="Yes",75&gt;=Projects!$C$9,75&lt;Projects!$C$9+Projects!$D$9),Projects!$B$9*INDEX(Curves!$B$2:$AR$2,1,75-Projects!$C$9+1),0)+IF(AND(Projects!$G$10="Yes",75&gt;=Projects!$C$10,75&lt;Projects!$C$10+Projects!$D$10),Projects!$B$10*INDEX(Curves!$B$4:$AR$4,1,75-Projects!$C$10+1),0)+IF(AND(Projects!$G$11="Yes",75&gt;=Projects!$C$11,75&lt;Projects!$C$11+Projects!$D$11),Projects!$B$11*INDEX(Curves!$B$4:$AR$4,1,75-Projects!$C$11+1),0)+IF(AND(Projects!$G$12="Yes",75&gt;=Projects!$C$12,75&lt;Projects!$C$12+Projects!$D$12),Projects!$B$12*INDEX(Curves!$B$4:$AR$4,1,75-Projects!$C$12+1),0)+IF(AND(Projects!$G$13="Yes",75&gt;=Projects!$C$13,75&lt;Projects!$C$13+Projects!$D$13),Projects!$B$13*INDEX(Curves!$B$2:$AR$2,1,75-Projects!$C$13+1),0)+IF(AND(Projects!$G$14="Yes",75&gt;=Projects!$C$14,75&lt;Projects!$C$14+Projects!$D$14),Projects!$B$14*INDEX(Curves!$B$2:$AR$2,1,75-Projects!$C$14+1),0)+IF(AND(Projects!$G$15="Yes",75&gt;=Projects!$C$15,75&lt;Projects!$C$15+Projects!$D$15),Projects!$B$15*INDEX(Curves!$B$4:$AR$4,1,75-Projects!$C$15+1),0)+IF(AND(Projects!$G$16="Yes",75&gt;=Projects!$C$16,75&lt;Projects!$C$16+Projects!$D$16),Projects!$B$16*INDEX(Curves!$B$4:$AR$4,1,75-Projects!$C$16+1),0)+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,Actuals!CB8)</f>
        <v>4190844</v>
      </c>
      <c r="CC8" s="3">
        <f>IF(ISBLANK(Actuals!CC8),IF(AND(Projects!$G$2="Yes",76&gt;=Projects!$C$2,76&lt;Projects!$C$2+Projects!$D$2),Projects!$B$2*INDEX(Curves!$B$6:$AR$6,1,76-Projects!$C$2+1),0)+IF(AND(Projects!$G$3="Yes",76&gt;=Projects!$C$3,76&lt;Projects!$C$3+Projects!$D$3),Projects!$B$3*INDEX(Curves!$B$7:$AR$7,1,76-Projects!$C$3+1),0)+IF(AND(Projects!$G$4="Yes",76&gt;=Projects!$C$4,76&lt;Projects!$C$4+Projects!$D$4),Projects!$B$4*INDEX(Curves!$B$8:$AR$8,1,76-Projects!$C$4+1),0)+IF(AND(Projects!$G$5="Yes",76&gt;=Projects!$C$5,76&lt;Projects!$C$5+Projects!$D$5),Projects!$B$5*INDEX(Curves!$B$9:$AR$9,1,76-Projects!$C$5+1),0)+IF(AND(Projects!$G$6="Yes",76&gt;=Projects!$C$6,76&lt;Projects!$C$6+Projects!$D$6),Projects!$B$6*INDEX(Curves!$B$4:$AR$4,1,76-Projects!$C$6+1),0)+IF(AND(Projects!$G$7="Yes",76&gt;=Projects!$C$7,76&lt;Projects!$C$7+Projects!$D$7),Projects!$B$7*INDEX(Curves!$B$3:$AR$3,1,76-Projects!$C$7+1),0)+IF(AND(Projects!$G$8="Yes",76&gt;=Projects!$C$8,76&lt;Projects!$C$8+Projects!$D$8),Projects!$B$8*INDEX(Curves!$B$4:$AR$4,1,76-Projects!$C$8+1),0)+IF(AND(Projects!$G$9="Yes",76&gt;=Projects!$C$9,76&lt;Projects!$C$9+Projects!$D$9),Projects!$B$9*INDEX(Curves!$B$2:$AR$2,1,76-Projects!$C$9+1),0)+IF(AND(Projects!$G$10="Yes",76&gt;=Projects!$C$10,76&lt;Projects!$C$10+Projects!$D$10),Projects!$B$10*INDEX(Curves!$B$4:$AR$4,1,76-Projects!$C$10+1),0)+IF(AND(Projects!$G$11="Yes",76&gt;=Projects!$C$11,76&lt;Projects!$C$11+Projects!$D$11),Projects!$B$11*INDEX(Curves!$B$4:$AR$4,1,76-Projects!$C$11+1),0)+IF(AND(Projects!$G$12="Yes",76&gt;=Projects!$C$12,76&lt;Projects!$C$12+Projects!$D$12),Projects!$B$12*INDEX(Curves!$B$4:$AR$4,1,76-Projects!$C$12+1),0)+IF(AND(Projects!$G$13="Yes",76&gt;=Projects!$C$13,76&lt;Projects!$C$13+Projects!$D$13),Projects!$B$13*INDEX(Curves!$B$2:$AR$2,1,76-Projects!$C$13+1),0)+IF(AND(Projects!$G$14="Yes",76&gt;=Projects!$C$14,76&lt;Projects!$C$14+Projects!$D$14),Projects!$B$14*INDEX(Curves!$B$2:$AR$2,1,76-Projects!$C$14+1),0)+IF(AND(Projects!$G$15="Yes",76&gt;=Projects!$C$15,76&lt;Projects!$C$15+Projects!$D$15),Projects!$B$15*INDEX(Curves!$B$4:$AR$4,1,76-Projects!$C$15+1),0)+IF(AND(Projects!$G$16="Yes",76&gt;=Projects!$C$16,76&lt;Projects!$C$16+Projects!$D$16),Projects!$B$16*INDEX(Curves!$B$4:$AR$4,1,76-Projects!$C$16+1),0)+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,Actuals!CC8)</f>
        <v>4427067</v>
      </c>
      <c r="CD8" s="3">
        <f>IF(ISBLANK(Actuals!CD8),IF(AND(Projects!$G$2="Yes",77&gt;=Projects!$C$2,77&lt;Projects!$C$2+Projects!$D$2),Projects!$B$2*INDEX(Curves!$B$6:$AR$6,1,77-Projects!$C$2+1),0)+IF(AND(Projects!$G$3="Yes",77&gt;=Projects!$C$3,77&lt;Projects!$C$3+Projects!$D$3),Projects!$B$3*INDEX(Curves!$B$7:$AR$7,1,77-Projects!$C$3+1),0)+IF(AND(Projects!$G$4="Yes",77&gt;=Projects!$C$4,77&lt;Projects!$C$4+Projects!$D$4),Projects!$B$4*INDEX(Curves!$B$8:$AR$8,1,77-Projects!$C$4+1),0)+IF(AND(Projects!$G$5="Yes",77&gt;=Projects!$C$5,77&lt;Projects!$C$5+Projects!$D$5),Projects!$B$5*INDEX(Curves!$B$9:$AR$9,1,77-Projects!$C$5+1),0)+IF(AND(Projects!$G$6="Yes",77&gt;=Projects!$C$6,77&lt;Projects!$C$6+Projects!$D$6),Projects!$B$6*INDEX(Curves!$B$4:$AR$4,1,77-Projects!$C$6+1),0)+IF(AND(Projects!$G$7="Yes",77&gt;=Projects!$C$7,77&lt;Projects!$C$7+Projects!$D$7),Projects!$B$7*INDEX(Curves!$B$3:$AR$3,1,77-Projects!$C$7+1),0)+IF(AND(Projects!$G$8="Yes",77&gt;=Projects!$C$8,77&lt;Projects!$C$8+Projects!$D$8),Projects!$B$8*INDEX(Curves!$B$4:$AR$4,1,77-Projects!$C$8+1),0)+IF(AND(Projects!$G$9="Yes",77&gt;=Projects!$C$9,77&lt;Projects!$C$9+Projects!$D$9),Projects!$B$9*INDEX(Curves!$B$2:$AR$2,1,77-Projects!$C$9+1),0)+IF(AND(Projects!$G$10="Yes",77&gt;=Projects!$C$10,77&lt;Projects!$C$10+Projects!$D$10),Projects!$B$10*INDEX(Curves!$B$4:$AR$4,1,77-Projects!$C$10+1),0)+IF(AND(Projects!$G$11="Yes",77&gt;=Projects!$C$11,77&lt;Projects!$C$11+Projects!$D$11),Projects!$B$11*INDEX(Curves!$B$4:$AR$4,1,77-Projects!$C$11+1),0)+IF(AND(Projects!$G$12="Yes",77&gt;=Projects!$C$12,77&lt;Projects!$C$12+Projects!$D$12),Projects!$B$12*INDEX(Curves!$B$4:$AR$4,1,77-Projects!$C$12+1),0)+IF(AND(Projects!$G$13="Yes",77&gt;=Projects!$C$13,77&lt;Projects!$C$13+Projects!$D$13),Projects!$B$13*INDEX(Curves!$B$2:$AR$2,1,77-Projects!$C$13+1),0)+IF(AND(Projects!$G$14="Yes",77&gt;=Projects!$C$14,77&lt;Projects!$C$14+Projects!$D$14),Projects!$B$14*INDEX(Curves!$B$2:$AR$2,1,77-Projects!$C$14+1),0)+IF(AND(Projects!$G$15="Yes",77&gt;=Projects!$C$15,77&lt;Projects!$C$15+Projects!$D$15),Projects!$B$15*INDEX(Curves!$B$4:$AR$4,1,77-Projects!$C$15+1),0)+IF(AND(Projects!$G$16="Yes",77&gt;=Projects!$C$16,77&lt;Projects!$C$16+Projects!$D$16),Projects!$B$16*INDEX(Curves!$B$4:$AR$4,1,77-Projects!$C$16+1),0)+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,Actuals!CD8)</f>
        <v>3961002</v>
      </c>
      <c r="CE8" s="3">
        <f>IF(ISBLANK(Actuals!CE8),IF(AND(Projects!$G$2="Yes",78&gt;=Projects!$C$2,78&lt;Projects!$C$2+Projects!$D$2),Projects!$B$2*INDEX(Curves!$B$6:$AR$6,1,78-Projects!$C$2+1),0)+IF(AND(Projects!$G$3="Yes",78&gt;=Projects!$C$3,78&lt;Projects!$C$3+Projects!$D$3),Projects!$B$3*INDEX(Curves!$B$7:$AR$7,1,78-Projects!$C$3+1),0)+IF(AND(Projects!$G$4="Yes",78&gt;=Projects!$C$4,78&lt;Projects!$C$4+Projects!$D$4),Projects!$B$4*INDEX(Curves!$B$8:$AR$8,1,78-Projects!$C$4+1),0)+IF(AND(Projects!$G$5="Yes",78&gt;=Projects!$C$5,78&lt;Projects!$C$5+Projects!$D$5),Projects!$B$5*INDEX(Curves!$B$9:$AR$9,1,78-Projects!$C$5+1),0)+IF(AND(Projects!$G$6="Yes",78&gt;=Projects!$C$6,78&lt;Projects!$C$6+Projects!$D$6),Projects!$B$6*INDEX(Curves!$B$4:$AR$4,1,78-Projects!$C$6+1),0)+IF(AND(Projects!$G$7="Yes",78&gt;=Projects!$C$7,78&lt;Projects!$C$7+Projects!$D$7),Projects!$B$7*INDEX(Curves!$B$3:$AR$3,1,78-Projects!$C$7+1),0)+IF(AND(Projects!$G$8="Yes",78&gt;=Projects!$C$8,78&lt;Projects!$C$8+Projects!$D$8),Projects!$B$8*INDEX(Curves!$B$4:$AR$4,1,78-Projects!$C$8+1),0)+IF(AND(Projects!$G$9="Yes",78&gt;=Projects!$C$9,78&lt;Projects!$C$9+Projects!$D$9),Projects!$B$9*INDEX(Curves!$B$2:$AR$2,1,78-Projects!$C$9+1),0)+IF(AND(Projects!$G$10="Yes",78&gt;=Projects!$C$10,78&lt;Projects!$C$10+Projects!$D$10),Projects!$B$10*INDEX(Curves!$B$4:$AR$4,1,78-Projects!$C$10+1),0)+IF(AND(Projects!$G$11="Yes",78&gt;=Projects!$C$11,78&lt;Projects!$C$11+Projects!$D$11),Projects!$B$11*INDEX(Curves!$B$4:$AR$4,1,78-Projects!$C$11+1),0)+IF(AND(Projects!$G$12="Yes",78&gt;=Projects!$C$12,78&lt;Projects!$C$12+Projects!$D$12),Projects!$B$12*INDEX(Curves!$B$4:$AR$4,1,78-Projects!$C$12+1),0)+IF(AND(Projects!$G$13="Yes",78&gt;=Projects!$C$13,78&lt;Projects!$C$13+Projects!$D$13),Projects!$B$13*INDEX(Curves!$B$2:$AR$2,1,78-Projects!$C$13+1),0)+IF(AND(Projects!$G$14="Yes",78&gt;=Projects!$C$14,78&lt;Projects!$C$14+Projects!$D$14),Projects!$B$14*INDEX(Curves!$B$2:$AR$2,1,78-Projects!$C$14+1),0)+IF(AND(Projects!$G$15="Yes",78&gt;=Projects!$C$15,78&lt;Projects!$C$15+Projects!$D$15),Projects!$B$15*INDEX(Curves!$B$4:$AR$4,1,78-Projects!$C$15+1),0)+IF(AND(Projects!$G$16="Yes",78&gt;=Projects!$C$16,78&lt;Projects!$C$16+Projects!$D$16),Projects!$B$16*INDEX(Curves!$B$4:$AR$4,1,78-Projects!$C$16+1),0)+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,Actuals!CE8)</f>
        <v>4347516</v>
      </c>
      <c r="CF8" s="3">
        <f>IF(ISBLANK(Actuals!CF8),IF(AND(Projects!$G$2="Yes",79&gt;=Projects!$C$2,79&lt;Projects!$C$2+Projects!$D$2),Projects!$B$2*INDEX(Curves!$B$6:$AR$6,1,79-Projects!$C$2+1),0)+IF(AND(Projects!$G$3="Yes",79&gt;=Projects!$C$3,79&lt;Projects!$C$3+Projects!$D$3),Projects!$B$3*INDEX(Curves!$B$7:$AR$7,1,79-Projects!$C$3+1),0)+IF(AND(Projects!$G$4="Yes",79&gt;=Projects!$C$4,79&lt;Projects!$C$4+Projects!$D$4),Projects!$B$4*INDEX(Curves!$B$8:$AR$8,1,79-Projects!$C$4+1),0)+IF(AND(Projects!$G$5="Yes",79&gt;=Projects!$C$5,79&lt;Projects!$C$5+Projects!$D$5),Projects!$B$5*INDEX(Curves!$B$9:$AR$9,1,79-Projects!$C$5+1),0)+IF(AND(Projects!$G$6="Yes",79&gt;=Projects!$C$6,79&lt;Projects!$C$6+Projects!$D$6),Projects!$B$6*INDEX(Curves!$B$4:$AR$4,1,79-Projects!$C$6+1),0)+IF(AND(Projects!$G$7="Yes",79&gt;=Projects!$C$7,79&lt;Projects!$C$7+Projects!$D$7),Projects!$B$7*INDEX(Curves!$B$3:$AR$3,1,79-Projects!$C$7+1),0)+IF(AND(Projects!$G$8="Yes",79&gt;=Projects!$C$8,79&lt;Projects!$C$8+Projects!$D$8),Projects!$B$8*INDEX(Curves!$B$4:$AR$4,1,79-Projects!$C$8+1),0)+IF(AND(Projects!$G$9="Yes",79&gt;=Projects!$C$9,79&lt;Projects!$C$9+Projects!$D$9),Projects!$B$9*INDEX(Curves!$B$2:$AR$2,1,79-Projects!$C$9+1),0)+IF(AND(Projects!$G$10="Yes",79&gt;=Projects!$C$10,79&lt;Projects!$C$10+Projects!$D$10),Projects!$B$10*INDEX(Curves!$B$4:$AR$4,1,79-Projects!$C$10+1),0)+IF(AND(Projects!$G$11="Yes",79&gt;=Projects!$C$11,79&lt;Projects!$C$11+Projects!$D$11),Projects!$B$11*INDEX(Curves!$B$4:$AR$4,1,79-Projects!$C$11+1),0)+IF(AND(Projects!$G$12="Yes",79&gt;=Projects!$C$12,79&lt;Projects!$C$12+Projects!$D$12),Projects!$B$12*INDEX(Curves!$B$4:$AR$4,1,79-Projects!$C$12+1),0)+IF(AND(Projects!$G$13="Yes",79&gt;=Projects!$C$13,79&lt;Projects!$C$13+Projects!$D$13),Projects!$B$13*INDEX(Curves!$B$2:$AR$2,1,79-Projects!$C$13+1),0)+IF(AND(Projects!$G$14="Yes",79&gt;=Projects!$C$14,79&lt;Projects!$C$14+Projects!$D$14),Projects!$B$14*INDEX(Curves!$B$2:$AR$2,1,79-Projects!$C$14+1),0)+IF(AND(Projects!$G$15="Yes",79&gt;=Projects!$C$15,79&lt;Projects!$C$15+Projects!$D$15),Projects!$B$15*INDEX(Curves!$B$4:$AR$4,1,79-Projects!$C$15+1),0)+IF(AND(Projects!$G$16="Yes",79&gt;=Projects!$C$16,79&lt;Projects!$C$16+Projects!$D$16),Projects!$B$16*INDEX(Curves!$B$4:$AR$4,1,79-Projects!$C$16+1),0)+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,Actuals!CF8)</f>
        <v>4092561</v>
      </c>
      <c r="CG8" s="3">
        <f>IF(ISBLANK(Actuals!CG8),IF(AND(Projects!$G$2="Yes",80&gt;=Projects!$C$2,80&lt;Projects!$C$2+Projects!$D$2),Projects!$B$2*INDEX(Curves!$B$6:$AR$6,1,80-Projects!$C$2+1),0)+IF(AND(Projects!$G$3="Yes",80&gt;=Projects!$C$3,80&lt;Projects!$C$3+Projects!$D$3),Projects!$B$3*INDEX(Curves!$B$7:$AR$7,1,80-Projects!$C$3+1),0)+IF(AND(Projects!$G$4="Yes",80&gt;=Projects!$C$4,80&lt;Projects!$C$4+Projects!$D$4),Projects!$B$4*INDEX(Curves!$B$8:$AR$8,1,80-Projects!$C$4+1),0)+IF(AND(Projects!$G$5="Yes",80&gt;=Projects!$C$5,80&lt;Projects!$C$5+Projects!$D$5),Projects!$B$5*INDEX(Curves!$B$9:$AR$9,1,80-Projects!$C$5+1),0)+IF(AND(Projects!$G$6="Yes",80&gt;=Projects!$C$6,80&lt;Projects!$C$6+Projects!$D$6),Projects!$B$6*INDEX(Curves!$B$4:$AR$4,1,80-Projects!$C$6+1),0)+IF(AND(Projects!$G$7="Yes",80&gt;=Projects!$C$7,80&lt;Projects!$C$7+Projects!$D$7),Projects!$B$7*INDEX(Curves!$B$3:$AR$3,1,80-Projects!$C$7+1),0)+IF(AND(Projects!$G$8="Yes",80&gt;=Projects!$C$8,80&lt;Projects!$C$8+Projects!$D$8),Projects!$B$8*INDEX(Curves!$B$4:$AR$4,1,80-Projects!$C$8+1),0)+IF(AND(Projects!$G$9="Yes",80&gt;=Projects!$C$9,80&lt;Projects!$C$9+Projects!$D$9),Projects!$B$9*INDEX(Curves!$B$2:$AR$2,1,80-Projects!$C$9+1),0)+IF(AND(Projects!$G$10="Yes",80&gt;=Projects!$C$10,80&lt;Projects!$C$10+Projects!$D$10),Projects!$B$10*INDEX(Curves!$B$4:$AR$4,1,80-Projects!$C$10+1),0)+IF(AND(Projects!$G$11="Yes",80&gt;=Projects!$C$11,80&lt;Projects!$C$11+Projects!$D$11),Projects!$B$11*INDEX(Curves!$B$4:$AR$4,1,80-Projects!$C$11+1),0)+IF(AND(Projects!$G$12="Yes",80&gt;=Projects!$C$12,80&lt;Projects!$C$12+Projects!$D$12),Projects!$B$12*INDEX(Curves!$B$4:$AR$4,1,80-Projects!$C$12+1),0)+IF(AND(Projects!$G$13="Yes",80&gt;=Projects!$C$13,80&lt;Projects!$C$13+Projects!$D$13),Projects!$B$13*INDEX(Curves!$B$2:$AR$2,1,80-Projects!$C$13+1),0)+IF(AND(Projects!$G$14="Yes",80&gt;=Projects!$C$14,80&lt;Projects!$C$14+Projects!$D$14),Projects!$B$14*INDEX(Curves!$B$2:$AR$2,1,80-Projects!$C$14+1),0)+IF(AND(Projects!$G$15="Yes",80&gt;=Projects!$C$15,80&lt;Projects!$C$15+Projects!$D$15),Projects!$B$15*INDEX(Curves!$B$4:$AR$4,1,80-Projects!$C$15+1),0)+IF(AND(Projects!$G$16="Yes",80&gt;=Projects!$C$16,80&lt;Projects!$C$16+Projects!$D$16),Projects!$B$16*INDEX(Curves!$B$4:$AR$4,1,80-Projects!$C$16+1),0)+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,Actuals!CG8)</f>
        <v>4682844</v>
      </c>
      <c r="CH8" s="3">
        <f>IF(ISBLANK(Actuals!CH8),IF(AND(Projects!$G$2="Yes",81&gt;=Projects!$C$2,81&lt;Projects!$C$2+Projects!$D$2),Projects!$B$2*INDEX(Curves!$B$6:$AR$6,1,81-Projects!$C$2+1),0)+IF(AND(Projects!$G$3="Yes",81&gt;=Projects!$C$3,81&lt;Projects!$C$3+Projects!$D$3),Projects!$B$3*INDEX(Curves!$B$7:$AR$7,1,81-Projects!$C$3+1),0)+IF(AND(Projects!$G$4="Yes",81&gt;=Projects!$C$4,81&lt;Projects!$C$4+Projects!$D$4),Projects!$B$4*INDEX(Curves!$B$8:$AR$8,1,81-Projects!$C$4+1),0)+IF(AND(Projects!$G$5="Yes",81&gt;=Projects!$C$5,81&lt;Projects!$C$5+Projects!$D$5),Projects!$B$5*INDEX(Curves!$B$9:$AR$9,1,81-Projects!$C$5+1),0)+IF(AND(Projects!$G$6="Yes",81&gt;=Projects!$C$6,81&lt;Projects!$C$6+Projects!$D$6),Projects!$B$6*INDEX(Curves!$B$4:$AR$4,1,81-Projects!$C$6+1),0)+IF(AND(Projects!$G$7="Yes",81&gt;=Projects!$C$7,81&lt;Projects!$C$7+Projects!$D$7),Projects!$B$7*INDEX(Curves!$B$3:$AR$3,1,81-Projects!$C$7+1),0)+IF(AND(Projects!$G$8="Yes",81&gt;=Projects!$C$8,81&lt;Projects!$C$8+Projects!$D$8),Projects!$B$8*INDEX(Curves!$B$4:$AR$4,1,81-Projects!$C$8+1),0)+IF(AND(Projects!$G$9="Yes",81&gt;=Projects!$C$9,81&lt;Projects!$C$9+Projects!$D$9),Projects!$B$9*INDEX(Curves!$B$2:$AR$2,1,81-Projects!$C$9+1),0)+IF(AND(Projects!$G$10="Yes",81&gt;=Projects!$C$10,81&lt;Projects!$C$10+Projects!$D$10),Projects!$B$10*INDEX(Curves!$B$4:$AR$4,1,81-Projects!$C$10+1),0)+IF(AND(Projects!$G$11="Yes",81&gt;=Projects!$C$11,81&lt;Projects!$C$11+Projects!$D$11),Projects!$B$11*INDEX(Curves!$B$4:$AR$4,1,81-Projects!$C$11+1),0)+IF(AND(Projects!$G$12="Yes",81&gt;=Projects!$C$12,81&lt;Projects!$C$12+Projects!$D$12),Projects!$B$12*INDEX(Curves!$B$4:$AR$4,1,81-Projects!$C$12+1),0)+IF(AND(Projects!$G$13="Yes",81&gt;=Projects!$C$13,81&lt;Projects!$C$13+Projects!$D$13),Projects!$B$13*INDEX(Curves!$B$2:$AR$2,1,81-Projects!$C$13+1),0)+IF(AND(Projects!$G$14="Yes",81&gt;=Projects!$C$14,81&lt;Projects!$C$14+Projects!$D$14),Projects!$B$14*INDEX(Curves!$B$2:$AR$2,1,81-Projects!$C$14+1),0)+IF(AND(Projects!$G$15="Yes",81&gt;=Projects!$C$15,81&lt;Projects!$C$15+Projects!$D$15),Projects!$B$15*INDEX(Curves!$B$4:$AR$4,1,81-Projects!$C$15+1),0)+IF(AND(Projects!$G$16="Yes",81&gt;=Projects!$C$16,81&lt;Projects!$C$16+Projects!$D$16),Projects!$B$16*INDEX(Curves!$B$4:$AR$4,1,81-Projects!$C$16+1),0)+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,Actuals!CH8)</f>
        <v>4493976</v>
      </c>
      <c r="CI8" s="3">
        <f>IF(ISBLANK(Actuals!CI8),IF(AND(Projects!$G$2="Yes",82&gt;=Projects!$C$2,82&lt;Projects!$C$2+Projects!$D$2),Projects!$B$2*INDEX(Curves!$B$6:$AR$6,1,82-Projects!$C$2+1),0)+IF(AND(Projects!$G$3="Yes",82&gt;=Projects!$C$3,82&lt;Projects!$C$3+Projects!$D$3),Projects!$B$3*INDEX(Curves!$B$7:$AR$7,1,82-Projects!$C$3+1),0)+IF(AND(Projects!$G$4="Yes",82&gt;=Projects!$C$4,82&lt;Projects!$C$4+Projects!$D$4),Projects!$B$4*INDEX(Curves!$B$8:$AR$8,1,82-Projects!$C$4+1),0)+IF(AND(Projects!$G$5="Yes",82&gt;=Projects!$C$5,82&lt;Projects!$C$5+Projects!$D$5),Projects!$B$5*INDEX(Curves!$B$9:$AR$9,1,82-Projects!$C$5+1),0)+IF(AND(Projects!$G$6="Yes",82&gt;=Projects!$C$6,82&lt;Projects!$C$6+Projects!$D$6),Projects!$B$6*INDEX(Curves!$B$4:$AR$4,1,82-Projects!$C$6+1),0)+IF(AND(Projects!$G$7="Yes",82&gt;=Projects!$C$7,82&lt;Projects!$C$7+Projects!$D$7),Projects!$B$7*INDEX(Curves!$B$3:$AR$3,1,82-Projects!$C$7+1),0)+IF(AND(Projects!$G$8="Yes",82&gt;=Projects!$C$8,82&lt;Projects!$C$8+Projects!$D$8),Projects!$B$8*INDEX(Curves!$B$4:$AR$4,1,82-Projects!$C$8+1),0)+IF(AND(Projects!$G$9="Yes",82&gt;=Projects!$C$9,82&lt;Projects!$C$9+Projects!$D$9),Projects!$B$9*INDEX(Curves!$B$2:$AR$2,1,82-Projects!$C$9+1),0)+IF(AND(Projects!$G$10="Yes",82&gt;=Projects!$C$10,82&lt;Projects!$C$10+Projects!$D$10),Projects!$B$10*INDEX(Curves!$B$4:$AR$4,1,82-Projects!$C$10+1),0)+IF(AND(Projects!$G$11="Yes",82&gt;=Projects!$C$11,82&lt;Projects!$C$11+Projects!$D$11),Projects!$B$11*INDEX(Curves!$B$4:$AR$4,1,82-Projects!$C$11+1),0)+IF(AND(Projects!$G$12="Yes",82&gt;=Projects!$C$12,82&lt;Projects!$C$12+Projects!$D$12),Projects!$B$12*INDEX(Curves!$B$4:$AR$4,1,82-Projects!$C$12+1),0)+IF(AND(Projects!$G$13="Yes",82&gt;=Projects!$C$13,82&lt;Projects!$C$13+Projects!$D$13),Projects!$B$13*INDEX(Curves!$B$2:$AR$2,1,82-Projects!$C$13+1),0)+IF(AND(Projects!$G$14="Yes",82&gt;=Projects!$C$14,82&lt;Projects!$C$14+Projects!$D$14),Projects!$B$14*INDEX(Curves!$B$2:$AR$2,1,82-Projects!$C$14+1),0)+IF(AND(Projects!$G$15="Yes",82&gt;=Projects!$C$15,82&lt;Projects!$C$15+Projects!$D$15),Projects!$B$15*INDEX(Curves!$B$4:$AR$4,1,82-Projects!$C$15+1),0)+IF(AND(Projects!$G$16="Yes",82&gt;=Projects!$C$16,82&lt;Projects!$C$16+Projects!$D$16),Projects!$B$16*INDEX(Curves!$B$4:$AR$4,1,82-Projects!$C$16+1),0)+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,Actuals!CI8)</f>
        <v>5129856</v>
      </c>
      <c r="CJ8" s="3">
        <f>IF(ISBLANK(Actuals!CJ8),IF(AND(Projects!$G$2="Yes",83&gt;=Projects!$C$2,83&lt;Projects!$C$2+Projects!$D$2),Projects!$B$2*INDEX(Curves!$B$6:$AR$6,1,83-Projects!$C$2+1),0)+IF(AND(Projects!$G$3="Yes",83&gt;=Projects!$C$3,83&lt;Projects!$C$3+Projects!$D$3),Projects!$B$3*INDEX(Curves!$B$7:$AR$7,1,83-Projects!$C$3+1),0)+IF(AND(Projects!$G$4="Yes",83&gt;=Projects!$C$4,83&lt;Projects!$C$4+Projects!$D$4),Projects!$B$4*INDEX(Curves!$B$8:$AR$8,1,83-Projects!$C$4+1),0)+IF(AND(Projects!$G$5="Yes",83&gt;=Projects!$C$5,83&lt;Projects!$C$5+Projects!$D$5),Projects!$B$5*INDEX(Curves!$B$9:$AR$9,1,83-Projects!$C$5+1),0)+IF(AND(Projects!$G$6="Yes",83&gt;=Projects!$C$6,83&lt;Projects!$C$6+Projects!$D$6),Projects!$B$6*INDEX(Curves!$B$4:$AR$4,1,83-Projects!$C$6+1),0)+IF(AND(Projects!$G$7="Yes",83&gt;=Projects!$C$7,83&lt;Projects!$C$7+Projects!$D$7),Projects!$B$7*INDEX(Curves!$B$3:$AR$3,1,83-Projects!$C$7+1),0)+IF(AND(Projects!$G$8="Yes",83&gt;=Projects!$C$8,83&lt;Projects!$C$8+Projects!$D$8),Projects!$B$8*INDEX(Curves!$B$4:$AR$4,1,83-Projects!$C$8+1),0)+IF(AND(Projects!$G$9="Yes",83&gt;=Projects!$C$9,83&lt;Projects!$C$9+Projects!$D$9),Projects!$B$9*INDEX(Curves!$B$2:$AR$2,1,83-Projects!$C$9+1),0)+IF(AND(Projects!$G$10="Yes",83&gt;=Projects!$C$10,83&lt;Projects!$C$10+Projects!$D$10),Projects!$B$10*INDEX(Curves!$B$4:$AR$4,1,83-Projects!$C$10+1),0)+IF(AND(Projects!$G$11="Yes",83&gt;=Projects!$C$11,83&lt;Projects!$C$11+Projects!$D$11),Projects!$B$11*INDEX(Curves!$B$4:$AR$4,1,83-Projects!$C$11+1),0)+IF(AND(Projects!$G$12="Yes",83&gt;=Projects!$C$12,83&lt;Projects!$C$12+Projects!$D$12),Projects!$B$12*INDEX(Curves!$B$4:$AR$4,1,83-Projects!$C$12+1),0)+IF(AND(Projects!$G$13="Yes",83&gt;=Projects!$C$13,83&lt;Projects!$C$13+Projects!$D$13),Projects!$B$13*INDEX(Curves!$B$2:$AR$2,1,83-Projects!$C$13+1),0)+IF(AND(Projects!$G$14="Yes",83&gt;=Projects!$C$14,83&lt;Projects!$C$14+Projects!$D$14),Projects!$B$14*INDEX(Curves!$B$2:$AR$2,1,83-Projects!$C$14+1),0)+IF(AND(Projects!$G$15="Yes",83&gt;=Projects!$C$15,83&lt;Projects!$C$15+Projects!$D$15),Projects!$B$15*INDEX(Curves!$B$4:$AR$4,1,83-Projects!$C$15+1),0)+IF(AND(Projects!$G$16="Yes",83&gt;=Projects!$C$16,83&lt;Projects!$C$16+Projects!$D$16),Projects!$B$16*INDEX(Curves!$B$4:$AR$4,1,83-Projects!$C$16+1),0)+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,Actuals!CJ8)</f>
        <v>5398977</v>
      </c>
      <c r="CK8" s="3">
        <f>IF(ISBLANK(Actuals!CK8),IF(AND(Projects!$G$2="Yes",84&gt;=Projects!$C$2,84&lt;Projects!$C$2+Projects!$D$2),Projects!$B$2*INDEX(Curves!$B$6:$AR$6,1,84-Projects!$C$2+1),0)+IF(AND(Projects!$G$3="Yes",84&gt;=Projects!$C$3,84&lt;Projects!$C$3+Projects!$D$3),Projects!$B$3*INDEX(Curves!$B$7:$AR$7,1,84-Projects!$C$3+1),0)+IF(AND(Projects!$G$4="Yes",84&gt;=Projects!$C$4,84&lt;Projects!$C$4+Projects!$D$4),Projects!$B$4*INDEX(Curves!$B$8:$AR$8,1,84-Projects!$C$4+1),0)+IF(AND(Projects!$G$5="Yes",84&gt;=Projects!$C$5,84&lt;Projects!$C$5+Projects!$D$5),Projects!$B$5*INDEX(Curves!$B$9:$AR$9,1,84-Projects!$C$5+1),0)+IF(AND(Projects!$G$6="Yes",84&gt;=Projects!$C$6,84&lt;Projects!$C$6+Projects!$D$6),Projects!$B$6*INDEX(Curves!$B$4:$AR$4,1,84-Projects!$C$6+1),0)+IF(AND(Projects!$G$7="Yes",84&gt;=Projects!$C$7,84&lt;Projects!$C$7+Projects!$D$7),Projects!$B$7*INDEX(Curves!$B$3:$AR$3,1,84-Projects!$C$7+1),0)+IF(AND(Projects!$G$8="Yes",84&gt;=Projects!$C$8,84&lt;Projects!$C$8+Projects!$D$8),Projects!$B$8*INDEX(Curves!$B$4:$AR$4,1,84-Projects!$C$8+1),0)+IF(AND(Projects!$G$9="Yes",84&gt;=Projects!$C$9,84&lt;Projects!$C$9+Projects!$D$9),Projects!$B$9*INDEX(Curves!$B$2:$AR$2,1,84-Projects!$C$9+1),0)+IF(AND(Projects!$G$10="Yes",84&gt;=Projects!$C$10,84&lt;Projects!$C$10+Projects!$D$10),Projects!$B$10*INDEX(Curves!$B$4:$AR$4,1,84-Projects!$C$10+1),0)+IF(AND(Projects!$G$11="Yes",84&gt;=Projects!$C$11,84&lt;Projects!$C$11+Projects!$D$11),Projects!$B$11*INDEX(Curves!$B$4:$AR$4,1,84-Projects!$C$11+1),0)+IF(AND(Projects!$G$12="Yes",84&gt;=Projects!$C$12,84&lt;Projects!$C$12+Projects!$D$12),Projects!$B$12*INDEX(Curves!$B$4:$AR$4,1,84-Projects!$C$12+1),0)+IF(AND(Projects!$G$13="Yes",84&gt;=Projects!$C$13,84&lt;Projects!$C$13+Projects!$D$13),Projects!$B$13*INDEX(Curves!$B$2:$AR$2,1,84-Projects!$C$13+1),0)+IF(AND(Projects!$G$14="Yes",84&gt;=Projects!$C$14,84&lt;Projects!$C$14+Projects!$D$14),Projects!$B$14*INDEX(Curves!$B$2:$AR$2,1,84-Projects!$C$14+1),0)+IF(AND(Projects!$G$15="Yes",84&gt;=Projects!$C$15,84&lt;Projects!$C$15+Projects!$D$15),Projects!$B$15*INDEX(Curves!$B$4:$AR$4,1,84-Projects!$C$15+1),0)+IF(AND(Projects!$G$16="Yes",84&gt;=Projects!$C$16,84&lt;Projects!$C$16+Projects!$D$16),Projects!$B$16*INDEX(Curves!$B$4:$AR$4,1,84-Projects!$C$16+1),0)+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,Actuals!CK8)</f>
        <v>5602041</v>
      </c>
      <c r="CL8" s="3">
        <f>IF(ISBLANK(Actuals!CL8),IF(AND(Projects!$G$2="Yes",85&gt;=Projects!$C$2,85&lt;Projects!$C$2+Projects!$D$2),Projects!$B$2*INDEX(Curves!$B$6:$AR$6,1,85-Projects!$C$2+1),0)+IF(AND(Projects!$G$3="Yes",85&gt;=Projects!$C$3,85&lt;Projects!$C$3+Projects!$D$3),Projects!$B$3*INDEX(Curves!$B$7:$AR$7,1,85-Projects!$C$3+1),0)+IF(AND(Projects!$G$4="Yes",85&gt;=Projects!$C$4,85&lt;Projects!$C$4+Projects!$D$4),Projects!$B$4*INDEX(Curves!$B$8:$AR$8,1,85-Projects!$C$4+1),0)+IF(AND(Projects!$G$5="Yes",85&gt;=Projects!$C$5,85&lt;Projects!$C$5+Projects!$D$5),Projects!$B$5*INDEX(Curves!$B$9:$AR$9,1,85-Projects!$C$5+1),0)+IF(AND(Projects!$G$6="Yes",85&gt;=Projects!$C$6,85&lt;Projects!$C$6+Projects!$D$6),Projects!$B$6*INDEX(Curves!$B$4:$AR$4,1,85-Projects!$C$6+1),0)+IF(AND(Projects!$G$7="Yes",85&gt;=Projects!$C$7,85&lt;Projects!$C$7+Projects!$D$7),Projects!$B$7*INDEX(Curves!$B$3:$AR$3,1,85-Projects!$C$7+1),0)+IF(AND(Projects!$G$8="Yes",85&gt;=Projects!$C$8,85&lt;Projects!$C$8+Projects!$D$8),Projects!$B$8*INDEX(Curves!$B$4:$AR$4,1,85-Projects!$C$8+1),0)+IF(AND(Projects!$G$9="Yes",85&gt;=Projects!$C$9,85&lt;Projects!$C$9+Projects!$D$9),Projects!$B$9*INDEX(Curves!$B$2:$AR$2,1,85-Projects!$C$9+1),0)+IF(AND(Projects!$G$10="Yes",85&gt;=Projects!$C$10,85&lt;Projects!$C$10+Projects!$D$10),Projects!$B$10*INDEX(Curves!$B$4:$AR$4,1,85-Projects!$C$10+1),0)+IF(AND(Projects!$G$11="Yes",85&gt;=Projects!$C$11,85&lt;Projects!$C$11+Projects!$D$11),Projects!$B$11*INDEX(Curves!$B$4:$AR$4,1,85-Projects!$C$11+1),0)+IF(AND(Projects!$G$12="Yes",85&gt;=Projects!$C$12,85&lt;Projects!$C$12+Projects!$D$12),Projects!$B$12*INDEX(Curves!$B$4:$AR$4,1,85-Projects!$C$12+1),0)+IF(AND(Projects!$G$13="Yes",85&gt;=Projects!$C$13,85&lt;Projects!$C$13+Projects!$D$13),Projects!$B$13*INDEX(Curves!$B$2:$AR$2,1,85-Projects!$C$13+1),0)+IF(AND(Projects!$G$14="Yes",85&gt;=Projects!$C$14,85&lt;Projects!$C$14+Projects!$D$14),Projects!$B$14*INDEX(Curves!$B$2:$AR$2,1,85-Projects!$C$14+1),0)+IF(AND(Projects!$G$15="Yes",85&gt;=Projects!$C$15,85&lt;Projects!$C$15+Projects!$D$15),Projects!$B$15*INDEX(Curves!$B$4:$AR$4,1,85-Projects!$C$15+1),0)+IF(AND(Projects!$G$16="Yes",85&gt;=Projects!$C$16,85&lt;Projects!$C$16+Projects!$D$16),Projects!$B$16*INDEX(Curves!$B$4:$AR$4,1,85-Projects!$C$16+1),0)+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,Actuals!CL8)</f>
        <v>5727156</v>
      </c>
      <c r="CM8" s="3">
        <f>IF(ISBLANK(Actuals!CM8),IF(AND(Projects!$G$2="Yes",86&gt;=Projects!$C$2,86&lt;Projects!$C$2+Projects!$D$2),Projects!$B$2*INDEX(Curves!$B$6:$AR$6,1,86-Projects!$C$2+1),0)+IF(AND(Projects!$G$3="Yes",86&gt;=Projects!$C$3,86&lt;Projects!$C$3+Projects!$D$3),Projects!$B$3*INDEX(Curves!$B$7:$AR$7,1,86-Projects!$C$3+1),0)+IF(AND(Projects!$G$4="Yes",86&gt;=Projects!$C$4,86&lt;Projects!$C$4+Projects!$D$4),Projects!$B$4*INDEX(Curves!$B$8:$AR$8,1,86-Projects!$C$4+1),0)+IF(AND(Projects!$G$5="Yes",86&gt;=Projects!$C$5,86&lt;Projects!$C$5+Projects!$D$5),Projects!$B$5*INDEX(Curves!$B$9:$AR$9,1,86-Projects!$C$5+1),0)+IF(AND(Projects!$G$6="Yes",86&gt;=Projects!$C$6,86&lt;Projects!$C$6+Projects!$D$6),Projects!$B$6*INDEX(Curves!$B$4:$AR$4,1,86-Projects!$C$6+1),0)+IF(AND(Projects!$G$7="Yes",86&gt;=Projects!$C$7,86&lt;Projects!$C$7+Projects!$D$7),Projects!$B$7*INDEX(Curves!$B$3:$AR$3,1,86-Projects!$C$7+1),0)+IF(AND(Projects!$G$8="Yes",86&gt;=Projects!$C$8,86&lt;Projects!$C$8+Projects!$D$8),Projects!$B$8*INDEX(Curves!$B$4:$AR$4,1,86-Projects!$C$8+1),0)+IF(AND(Projects!$G$9="Yes",86&gt;=Projects!$C$9,86&lt;Projects!$C$9+Projects!$D$9),Projects!$B$9*INDEX(Curves!$B$2:$AR$2,1,86-Projects!$C$9+1),0)+IF(AND(Projects!$G$10="Yes",86&gt;=Projects!$C$10,86&lt;Projects!$C$10+Projects!$D$10),Projects!$B$10*INDEX(Curves!$B$4:$AR$4,1,86-Projects!$C$10+1),0)+IF(AND(Projects!$G$11="Yes",86&gt;=Projects!$C$11,86&lt;Projects!$C$11+Projects!$D$11),Projects!$B$11*INDEX(Curves!$B$4:$AR$4,1,86-Projects!$C$11+1),0)+IF(AND(Projects!$G$12="Yes",86&gt;=Projects!$C$12,86&lt;Projects!$C$12+Projects!$D$12),Projects!$B$12*INDEX(Curves!$B$4:$AR$4,1,86-Projects!$C$12+1),0)+IF(AND(Projects!$G$13="Yes",86&gt;=Projects!$C$13,86&lt;Projects!$C$13+Projects!$D$13),Projects!$B$13*INDEX(Curves!$B$2:$AR$2,1,86-Projects!$C$13+1),0)+IF(AND(Projects!$G$14="Yes",86&gt;=Projects!$C$14,86&lt;Projects!$C$14+Projects!$D$14),Projects!$B$14*INDEX(Curves!$B$2:$AR$2,1,86-Projects!$C$14+1),0)+IF(AND(Projects!$G$15="Yes",86&gt;=Projects!$C$15,86&lt;Projects!$C$15+Projects!$D$15),Projects!$B$15*INDEX(Curves!$B$4:$AR$4,1,86-Projects!$C$15+1),0)+IF(AND(Projects!$G$16="Yes",86&gt;=Projects!$C$16,86&lt;Projects!$C$16+Projects!$D$16),Projects!$B$16*INDEX(Curves!$B$4:$AR$4,1,86-Projects!$C$16+1),0)+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,Actuals!CM8)</f>
        <v>5765268</v>
      </c>
      <c r="CN8" s="3">
        <f>IF(ISBLANK(Actuals!CN8),IF(AND(Projects!$G$2="Yes",87&gt;=Projects!$C$2,87&lt;Projects!$C$2+Projects!$D$2),Projects!$B$2*INDEX(Curves!$B$6:$AR$6,1,87-Projects!$C$2+1),0)+IF(AND(Projects!$G$3="Yes",87&gt;=Projects!$C$3,87&lt;Projects!$C$3+Projects!$D$3),Projects!$B$3*INDEX(Curves!$B$7:$AR$7,1,87-Projects!$C$3+1),0)+IF(AND(Projects!$G$4="Yes",87&gt;=Projects!$C$4,87&lt;Projects!$C$4+Projects!$D$4),Projects!$B$4*INDEX(Curves!$B$8:$AR$8,1,87-Projects!$C$4+1),0)+IF(AND(Projects!$G$5="Yes",87&gt;=Projects!$C$5,87&lt;Projects!$C$5+Projects!$D$5),Projects!$B$5*INDEX(Curves!$B$9:$AR$9,1,87-Projects!$C$5+1),0)+IF(AND(Projects!$G$6="Yes",87&gt;=Projects!$C$6,87&lt;Projects!$C$6+Projects!$D$6),Projects!$B$6*INDEX(Curves!$B$4:$AR$4,1,87-Projects!$C$6+1),0)+IF(AND(Projects!$G$7="Yes",87&gt;=Projects!$C$7,87&lt;Projects!$C$7+Projects!$D$7),Projects!$B$7*INDEX(Curves!$B$3:$AR$3,1,87-Projects!$C$7+1),0)+IF(AND(Projects!$G$8="Yes",87&gt;=Projects!$C$8,87&lt;Projects!$C$8+Projects!$D$8),Projects!$B$8*INDEX(Curves!$B$4:$AR$4,1,87-Projects!$C$8+1),0)+IF(AND(Projects!$G$9="Yes",87&gt;=Projects!$C$9,87&lt;Projects!$C$9+Projects!$D$9),Projects!$B$9*INDEX(Curves!$B$2:$AR$2,1,87-Projects!$C$9+1),0)+IF(AND(Projects!$G$10="Yes",87&gt;=Projects!$C$10,87&lt;Projects!$C$10+Projects!$D$10),Projects!$B$10*INDEX(Curves!$B$4:$AR$4,1,87-Projects!$C$10+1),0)+IF(AND(Projects!$G$11="Yes",87&gt;=Projects!$C$11,87&lt;Projects!$C$11+Projects!$D$11),Projects!$B$11*INDEX(Curves!$B$4:$AR$4,1,87-Projects!$C$11+1),0)+IF(AND(Projects!$G$12="Yes",87&gt;=Projects!$C$12,87&lt;Projects!$C$12+Projects!$D$12),Projects!$B$12*INDEX(Curves!$B$4:$AR$4,1,87-Projects!$C$12+1),0)+IF(AND(Projects!$G$13="Yes",87&gt;=Projects!$C$13,87&lt;Projects!$C$13+Projects!$D$13),Projects!$B$13*INDEX(Curves!$B$2:$AR$2,1,87-Projects!$C$13+1),0)+IF(AND(Projects!$G$14="Yes",87&gt;=Projects!$C$14,87&lt;Projects!$C$14+Projects!$D$14),Projects!$B$14*INDEX(Curves!$B$2:$AR$2,1,87-Projects!$C$14+1),0)+IF(AND(Projects!$G$15="Yes",87&gt;=Projects!$C$15,87&lt;Projects!$C$15+Projects!$D$15),Projects!$B$15*INDEX(Curves!$B$4:$AR$4,1,87-Projects!$C$15+1),0)+IF(AND(Projects!$G$16="Yes",87&gt;=Projects!$C$16,87&lt;Projects!$C$16+Projects!$D$16),Projects!$B$16*INDEX(Curves!$B$4:$AR$4,1,87-Projects!$C$16+1),0)+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,Actuals!CN8)</f>
        <v>5334108</v>
      </c>
      <c r="CO8" s="3">
        <f>IF(ISBLANK(Actuals!CO8),IF(AND(Projects!$G$2="Yes",88&gt;=Projects!$C$2,88&lt;Projects!$C$2+Projects!$D$2),Projects!$B$2*INDEX(Curves!$B$6:$AR$6,1,88-Projects!$C$2+1),0)+IF(AND(Projects!$G$3="Yes",88&gt;=Projects!$C$3,88&lt;Projects!$C$3+Projects!$D$3),Projects!$B$3*INDEX(Curves!$B$7:$AR$7,1,88-Projects!$C$3+1),0)+IF(AND(Projects!$G$4="Yes",88&gt;=Projects!$C$4,88&lt;Projects!$C$4+Projects!$D$4),Projects!$B$4*INDEX(Curves!$B$8:$AR$8,1,88-Projects!$C$4+1),0)+IF(AND(Projects!$G$5="Yes",88&gt;=Projects!$C$5,88&lt;Projects!$C$5+Projects!$D$5),Projects!$B$5*INDEX(Curves!$B$9:$AR$9,1,88-Projects!$C$5+1),0)+IF(AND(Projects!$G$6="Yes",88&gt;=Projects!$C$6,88&lt;Projects!$C$6+Projects!$D$6),Projects!$B$6*INDEX(Curves!$B$4:$AR$4,1,88-Projects!$C$6+1),0)+IF(AND(Projects!$G$7="Yes",88&gt;=Projects!$C$7,88&lt;Projects!$C$7+Projects!$D$7),Projects!$B$7*INDEX(Curves!$B$3:$AR$3,1,88-Projects!$C$7+1),0)+IF(AND(Projects!$G$8="Yes",88&gt;=Projects!$C$8,88&lt;Projects!$C$8+Projects!$D$8),Projects!$B$8*INDEX(Curves!$B$4:$AR$4,1,88-Projects!$C$8+1),0)+IF(AND(Projects!$G$9="Yes",88&gt;=Projects!$C$9,88&lt;Projects!$C$9+Projects!$D$9),Projects!$B$9*INDEX(Curves!$B$2:$AR$2,1,88-Projects!$C$9+1),0)+IF(AND(Projects!$G$10="Yes",88&gt;=Projects!$C$10,88&lt;Projects!$C$10+Projects!$D$10),Projects!$B$10*INDEX(Curves!$B$4:$AR$4,1,88-Projects!$C$10+1),0)+IF(AND(Projects!$G$11="Yes",88&gt;=Projects!$C$11,88&lt;Projects!$C$11+Projects!$D$11),Projects!$B$11*INDEX(Curves!$B$4:$AR$4,1,88-Projects!$C$11+1),0)+IF(AND(Projects!$G$12="Yes",88&gt;=Projects!$C$12,88&lt;Projects!$C$12+Projects!$D$12),Projects!$B$12*INDEX(Curves!$B$4:$AR$4,1,88-Projects!$C$12+1),0)+IF(AND(Projects!$G$13="Yes",88&gt;=Projects!$C$13,88&lt;Projects!$C$13+Projects!$D$13),Projects!$B$13*INDEX(Curves!$B$2:$AR$2,1,88-Projects!$C$13+1),0)+IF(AND(Projects!$G$14="Yes",88&gt;=Projects!$C$14,88&lt;Projects!$C$14+Projects!$D$14),Projects!$B$14*INDEX(Curves!$B$2:$AR$2,1,88-Projects!$C$14+1),0)+IF(AND(Projects!$G$15="Yes",88&gt;=Projects!$C$15,88&lt;Projects!$C$15+Projects!$D$15),Projects!$B$15*INDEX(Curves!$B$4:$AR$4,1,88-Projects!$C$15+1),0)+IF(AND(Projects!$G$16="Yes",88&gt;=Projects!$C$16,88&lt;Projects!$C$16+Projects!$D$16),Projects!$B$16*INDEX(Curves!$B$4:$AR$4,1,88-Projects!$C$16+1),0)+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,Actuals!CO8)</f>
        <v>5273190</v>
      </c>
      <c r="CP8" s="3">
        <f>IF(ISBLANK(Actuals!CP8),IF(AND(Projects!$G$2="Yes",89&gt;=Projects!$C$2,89&lt;Projects!$C$2+Projects!$D$2),Projects!$B$2*INDEX(Curves!$B$6:$AR$6,1,89-Projects!$C$2+1),0)+IF(AND(Projects!$G$3="Yes",89&gt;=Projects!$C$3,89&lt;Projects!$C$3+Projects!$D$3),Projects!$B$3*INDEX(Curves!$B$7:$AR$7,1,89-Projects!$C$3+1),0)+IF(AND(Projects!$G$4="Yes",89&gt;=Projects!$C$4,89&lt;Projects!$C$4+Projects!$D$4),Projects!$B$4*INDEX(Curves!$B$8:$AR$8,1,89-Projects!$C$4+1),0)+IF(AND(Projects!$G$5="Yes",89&gt;=Projects!$C$5,89&lt;Projects!$C$5+Projects!$D$5),Projects!$B$5*INDEX(Curves!$B$9:$AR$9,1,89-Projects!$C$5+1),0)+IF(AND(Projects!$G$6="Yes",89&gt;=Projects!$C$6,89&lt;Projects!$C$6+Projects!$D$6),Projects!$B$6*INDEX(Curves!$B$4:$AR$4,1,89-Projects!$C$6+1),0)+IF(AND(Projects!$G$7="Yes",89&gt;=Projects!$C$7,89&lt;Projects!$C$7+Projects!$D$7),Projects!$B$7*INDEX(Curves!$B$3:$AR$3,1,89-Projects!$C$7+1),0)+IF(AND(Projects!$G$8="Yes",89&gt;=Projects!$C$8,89&lt;Projects!$C$8+Projects!$D$8),Projects!$B$8*INDEX(Curves!$B$4:$AR$4,1,89-Projects!$C$8+1),0)+IF(AND(Projects!$G$9="Yes",89&gt;=Projects!$C$9,89&lt;Projects!$C$9+Projects!$D$9),Projects!$B$9*INDEX(Curves!$B$2:$AR$2,1,89-Projects!$C$9+1),0)+IF(AND(Projects!$G$10="Yes",89&gt;=Projects!$C$10,89&lt;Projects!$C$10+Projects!$D$10),Projects!$B$10*INDEX(Curves!$B$4:$AR$4,1,89-Projects!$C$10+1),0)+IF(AND(Projects!$G$11="Yes",89&gt;=Projects!$C$11,89&lt;Projects!$C$11+Projects!$D$11),Projects!$B$11*INDEX(Curves!$B$4:$AR$4,1,89-Projects!$C$11+1),0)+IF(AND(Projects!$G$12="Yes",89&gt;=Projects!$C$12,89&lt;Projects!$C$12+Projects!$D$12),Projects!$B$12*INDEX(Curves!$B$4:$AR$4,1,89-Projects!$C$12+1),0)+IF(AND(Projects!$G$13="Yes",89&gt;=Projects!$C$13,89&lt;Projects!$C$13+Projects!$D$13),Projects!$B$13*INDEX(Curves!$B$2:$AR$2,1,89-Projects!$C$13+1),0)+IF(AND(Projects!$G$14="Yes",89&gt;=Projects!$C$14,89&lt;Projects!$C$14+Projects!$D$14),Projects!$B$14*INDEX(Curves!$B$2:$AR$2,1,89-Projects!$C$14+1),0)+IF(AND(Projects!$G$15="Yes",89&gt;=Projects!$C$15,89&lt;Projects!$C$15+Projects!$D$15),Projects!$B$15*INDEX(Curves!$B$4:$AR$4,1,89-Projects!$C$15+1),0)+IF(AND(Projects!$G$16="Yes",89&gt;=Projects!$C$16,89&lt;Projects!$C$16+Projects!$D$16),Projects!$B$16*INDEX(Curves!$B$4:$AR$4,1,89-Projects!$C$16+1),0)+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,Actuals!CP8)</f>
        <v>5108706</v>
      </c>
      <c r="CQ8" s="3">
        <f>IF(ISBLANK(Actuals!CQ8),IF(AND(Projects!$G$2="Yes",90&gt;=Projects!$C$2,90&lt;Projects!$C$2+Projects!$D$2),Projects!$B$2*INDEX(Curves!$B$6:$AR$6,1,90-Projects!$C$2+1),0)+IF(AND(Projects!$G$3="Yes",90&gt;=Projects!$C$3,90&lt;Projects!$C$3+Projects!$D$3),Projects!$B$3*INDEX(Curves!$B$7:$AR$7,1,90-Projects!$C$3+1),0)+IF(AND(Projects!$G$4="Yes",90&gt;=Projects!$C$4,90&lt;Projects!$C$4+Projects!$D$4),Projects!$B$4*INDEX(Curves!$B$8:$AR$8,1,90-Projects!$C$4+1),0)+IF(AND(Projects!$G$5="Yes",90&gt;=Projects!$C$5,90&lt;Projects!$C$5+Projects!$D$5),Projects!$B$5*INDEX(Curves!$B$9:$AR$9,1,90-Projects!$C$5+1),0)+IF(AND(Projects!$G$6="Yes",90&gt;=Projects!$C$6,90&lt;Projects!$C$6+Projects!$D$6),Projects!$B$6*INDEX(Curves!$B$4:$AR$4,1,90-Projects!$C$6+1),0)+IF(AND(Projects!$G$7="Yes",90&gt;=Projects!$C$7,90&lt;Projects!$C$7+Projects!$D$7),Projects!$B$7*INDEX(Curves!$B$3:$AR$3,1,90-Projects!$C$7+1),0)+IF(AND(Projects!$G$8="Yes",90&gt;=Projects!$C$8,90&lt;Projects!$C$8+Projects!$D$8),Projects!$B$8*INDEX(Curves!$B$4:$AR$4,1,90-Projects!$C$8+1),0)+IF(AND(Projects!$G$9="Yes",90&gt;=Projects!$C$9,90&lt;Projects!$C$9+Projects!$D$9),Projects!$B$9*INDEX(Curves!$B$2:$AR$2,1,90-Projects!$C$9+1),0)+IF(AND(Projects!$G$10="Yes",90&gt;=Projects!$C$10,90&lt;Projects!$C$10+Projects!$D$10),Projects!$B$10*INDEX(Curves!$B$4:$AR$4,1,90-Projects!$C$10+1),0)+IF(AND(Projects!$G$11="Yes",90&gt;=Projects!$C$11,90&lt;Projects!$C$11+Projects!$D$11),Projects!$B$11*INDEX(Curves!$B$4:$AR$4,1,90-Projects!$C$11+1),0)+IF(AND(Projects!$G$12="Yes",90&gt;=Projects!$C$12,90&lt;Projects!$C$12+Projects!$D$12),Projects!$B$12*INDEX(Curves!$B$4:$AR$4,1,90-Projects!$C$12+1),0)+IF(AND(Projects!$G$13="Yes",90&gt;=Projects!$C$13,90&lt;Projects!$C$13+Projects!$D$13),Projects!$B$13*INDEX(Curves!$B$2:$AR$2,1,90-Projects!$C$13+1),0)+IF(AND(Projects!$G$14="Yes",90&gt;=Projects!$C$14,90&lt;Projects!$C$14+Projects!$D$14),Projects!$B$14*INDEX(Curves!$B$2:$AR$2,1,90-Projects!$C$14+1),0)+IF(AND(Projects!$G$15="Yes",90&gt;=Projects!$C$15,90&lt;Projects!$C$15+Projects!$D$15),Projects!$B$15*INDEX(Curves!$B$4:$AR$4,1,90-Projects!$C$15+1),0)+IF(AND(Projects!$G$16="Yes",90&gt;=Projects!$C$16,90&lt;Projects!$C$16+Projects!$D$16),Projects!$B$16*INDEX(Curves!$B$4:$AR$4,1,90-Projects!$C$16+1),0)+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,Actuals!CQ8)</f>
        <v>4850157</v>
      </c>
      <c r="CR8" s="3">
        <f>IF(ISBLANK(Actuals!CR8),IF(AND(Projects!$G$2="Yes",91&gt;=Projects!$C$2,91&lt;Projects!$C$2+Projects!$D$2),Projects!$B$2*INDEX(Curves!$B$6:$AR$6,1,91-Projects!$C$2+1),0)+IF(AND(Projects!$G$3="Yes",91&gt;=Projects!$C$3,91&lt;Projects!$C$3+Projects!$D$3),Projects!$B$3*INDEX(Curves!$B$7:$AR$7,1,91-Projects!$C$3+1),0)+IF(AND(Projects!$G$4="Yes",91&gt;=Projects!$C$4,91&lt;Projects!$C$4+Projects!$D$4),Projects!$B$4*INDEX(Curves!$B$8:$AR$8,1,91-Projects!$C$4+1),0)+IF(AND(Projects!$G$5="Yes",91&gt;=Projects!$C$5,91&lt;Projects!$C$5+Projects!$D$5),Projects!$B$5*INDEX(Curves!$B$9:$AR$9,1,91-Projects!$C$5+1),0)+IF(AND(Projects!$G$6="Yes",91&gt;=Projects!$C$6,91&lt;Projects!$C$6+Projects!$D$6),Projects!$B$6*INDEX(Curves!$B$4:$AR$4,1,91-Projects!$C$6+1),0)+IF(AND(Projects!$G$7="Yes",91&gt;=Projects!$C$7,91&lt;Projects!$C$7+Projects!$D$7),Projects!$B$7*INDEX(Curves!$B$3:$AR$3,1,91-Projects!$C$7+1),0)+IF(AND(Projects!$G$8="Yes",91&gt;=Projects!$C$8,91&lt;Projects!$C$8+Projects!$D$8),Projects!$B$8*INDEX(Curves!$B$4:$AR$4,1,91-Projects!$C$8+1),0)+IF(AND(Projects!$G$9="Yes",91&gt;=Projects!$C$9,91&lt;Projects!$C$9+Projects!$D$9),Projects!$B$9*INDEX(Curves!$B$2:$AR$2,1,91-Projects!$C$9+1),0)+IF(AND(Projects!$G$10="Yes",91&gt;=Projects!$C$10,91&lt;Projects!$C$10+Projects!$D$10),Projects!$B$10*INDEX(Curves!$B$4:$AR$4,1,91-Projects!$C$10+1),0)+IF(AND(Projects!$G$11="Yes",91&gt;=Projects!$C$11,91&lt;Projects!$C$11+Projects!$D$11),Projects!$B$11*INDEX(Curves!$B$4:$AR$4,1,91-Projects!$C$11+1),0)+IF(AND(Projects!$G$12="Yes",91&gt;=Projects!$C$12,91&lt;Projects!$C$12+Projects!$D$12),Projects!$B$12*INDEX(Curves!$B$4:$AR$4,1,91-Projects!$C$12+1),0)+IF(AND(Projects!$G$13="Yes",91&gt;=Projects!$C$13,91&lt;Projects!$C$13+Projects!$D$13),Projects!$B$13*INDEX(Curves!$B$2:$AR$2,1,91-Projects!$C$13+1),0)+IF(AND(Projects!$G$14="Yes",91&gt;=Projects!$C$14,91&lt;Projects!$C$14+Projects!$D$14),Projects!$B$14*INDEX(Curves!$B$2:$AR$2,1,91-Projects!$C$14+1),0)+IF(AND(Projects!$G$15="Yes",91&gt;=Projects!$C$15,91&lt;Projects!$C$15+Projects!$D$15),Projects!$B$15*INDEX(Curves!$B$4:$AR$4,1,91-Projects!$C$15+1),0)+IF(AND(Projects!$G$16="Yes",91&gt;=Projects!$C$16,91&lt;Projects!$C$16+Projects!$D$16),Projects!$B$16*INDEX(Curves!$B$4:$AR$4,1,91-Projects!$C$16+1),0)+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,Actuals!CR8)</f>
        <v>4512030</v>
      </c>
      <c r="CS8" s="3">
        <f>IF(ISBLANK(Actuals!CS8),IF(AND(Projects!$G$2="Yes",92&gt;=Projects!$C$2,92&lt;Projects!$C$2+Projects!$D$2),Projects!$B$2*INDEX(Curves!$B$6:$AR$6,1,92-Projects!$C$2+1),0)+IF(AND(Projects!$G$3="Yes",92&gt;=Projects!$C$3,92&lt;Projects!$C$3+Projects!$D$3),Projects!$B$3*INDEX(Curves!$B$7:$AR$7,1,92-Projects!$C$3+1),0)+IF(AND(Projects!$G$4="Yes",92&gt;=Projects!$C$4,92&lt;Projects!$C$4+Projects!$D$4),Projects!$B$4*INDEX(Curves!$B$8:$AR$8,1,92-Projects!$C$4+1),0)+IF(AND(Projects!$G$5="Yes",92&gt;=Projects!$C$5,92&lt;Projects!$C$5+Projects!$D$5),Projects!$B$5*INDEX(Curves!$B$9:$AR$9,1,92-Projects!$C$5+1),0)+IF(AND(Projects!$G$6="Yes",92&gt;=Projects!$C$6,92&lt;Projects!$C$6+Projects!$D$6),Projects!$B$6*INDEX(Curves!$B$4:$AR$4,1,92-Projects!$C$6+1),0)+IF(AND(Projects!$G$7="Yes",92&gt;=Projects!$C$7,92&lt;Projects!$C$7+Projects!$D$7),Projects!$B$7*INDEX(Curves!$B$3:$AR$3,1,92-Projects!$C$7+1),0)+IF(AND(Projects!$G$8="Yes",92&gt;=Projects!$C$8,92&lt;Projects!$C$8+Projects!$D$8),Projects!$B$8*INDEX(Curves!$B$4:$AR$4,1,92-Projects!$C$8+1),0)+IF(AND(Projects!$G$9="Yes",92&gt;=Projects!$C$9,92&lt;Projects!$C$9+Projects!$D$9),Projects!$B$9*INDEX(Curves!$B$2:$AR$2,1,92-Projects!$C$9+1),0)+IF(AND(Projects!$G$10="Yes",92&gt;=Projects!$C$10,92&lt;Projects!$C$10+Projects!$D$10),Projects!$B$10*INDEX(Curves!$B$4:$AR$4,1,92-Projects!$C$10+1),0)+IF(AND(Projects!$G$11="Yes",92&gt;=Projects!$C$11,92&lt;Projects!$C$11+Projects!$D$11),Projects!$B$11*INDEX(Curves!$B$4:$AR$4,1,92-Projects!$C$11+1),0)+IF(AND(Projects!$G$12="Yes",92&gt;=Projects!$C$12,92&lt;Projects!$C$12+Projects!$D$12),Projects!$B$12*INDEX(Curves!$B$4:$AR$4,1,92-Projects!$C$12+1),0)+IF(AND(Projects!$G$13="Yes",92&gt;=Projects!$C$13,92&lt;Projects!$C$13+Projects!$D$13),Projects!$B$13*INDEX(Curves!$B$2:$AR$2,1,92-Projects!$C$13+1),0)+IF(AND(Projects!$G$14="Yes",92&gt;=Projects!$C$14,92&lt;Projects!$C$14+Projects!$D$14),Projects!$B$14*INDEX(Curves!$B$2:$AR$2,1,92-Projects!$C$14+1),0)+IF(AND(Projects!$G$15="Yes",92&gt;=Projects!$C$15,92&lt;Projects!$C$15+Projects!$D$15),Projects!$B$15*INDEX(Curves!$B$4:$AR$4,1,92-Projects!$C$15+1),0)+IF(AND(Projects!$G$16="Yes",92&gt;=Projects!$C$16,92&lt;Projects!$C$16+Projects!$D$16),Projects!$B$16*INDEX(Curves!$B$4:$AR$4,1,92-Projects!$C$16+1),0)+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,Actuals!CS8)</f>
        <v>4112652</v>
      </c>
      <c r="CT8" s="3">
        <f>IF(ISBLANK(Actuals!CT8),IF(AND(Projects!$G$2="Yes",93&gt;=Projects!$C$2,93&lt;Projects!$C$2+Projects!$D$2),Projects!$B$2*INDEX(Curves!$B$6:$AR$6,1,93-Projects!$C$2+1),0)+IF(AND(Projects!$G$3="Yes",93&gt;=Projects!$C$3,93&lt;Projects!$C$3+Projects!$D$3),Projects!$B$3*INDEX(Curves!$B$7:$AR$7,1,93-Projects!$C$3+1),0)+IF(AND(Projects!$G$4="Yes",93&gt;=Projects!$C$4,93&lt;Projects!$C$4+Projects!$D$4),Projects!$B$4*INDEX(Curves!$B$8:$AR$8,1,93-Projects!$C$4+1),0)+IF(AND(Projects!$G$5="Yes",93&gt;=Projects!$C$5,93&lt;Projects!$C$5+Projects!$D$5),Projects!$B$5*INDEX(Curves!$B$9:$AR$9,1,93-Projects!$C$5+1),0)+IF(AND(Projects!$G$6="Yes",93&gt;=Projects!$C$6,93&lt;Projects!$C$6+Projects!$D$6),Projects!$B$6*INDEX(Curves!$B$4:$AR$4,1,93-Projects!$C$6+1),0)+IF(AND(Projects!$G$7="Yes",93&gt;=Projects!$C$7,93&lt;Projects!$C$7+Projects!$D$7),Projects!$B$7*INDEX(Curves!$B$3:$AR$3,1,93-Projects!$C$7+1),0)+IF(AND(Projects!$G$8="Yes",93&gt;=Projects!$C$8,93&lt;Projects!$C$8+Projects!$D$8),Projects!$B$8*INDEX(Curves!$B$4:$AR$4,1,93-Projects!$C$8+1),0)+IF(AND(Projects!$G$9="Yes",93&gt;=Projects!$C$9,93&lt;Projects!$C$9+Projects!$D$9),Projects!$B$9*INDEX(Curves!$B$2:$AR$2,1,93-Projects!$C$9+1),0)+IF(AND(Projects!$G$10="Yes",93&gt;=Projects!$C$10,93&lt;Projects!$C$10+Projects!$D$10),Projects!$B$10*INDEX(Curves!$B$4:$AR$4,1,93-Projects!$C$10+1),0)+IF(AND(Projects!$G$11="Yes",93&gt;=Projects!$C$11,93&lt;Projects!$C$11+Projects!$D$11),Projects!$B$11*INDEX(Curves!$B$4:$AR$4,1,93-Projects!$C$11+1),0)+IF(AND(Projects!$G$12="Yes",93&gt;=Projects!$C$12,93&lt;Projects!$C$12+Projects!$D$12),Projects!$B$12*INDEX(Curves!$B$4:$AR$4,1,93-Projects!$C$12+1),0)+IF(AND(Projects!$G$13="Yes",93&gt;=Projects!$C$13,93&lt;Projects!$C$13+Projects!$D$13),Projects!$B$13*INDEX(Curves!$B$2:$AR$2,1,93-Projects!$C$13+1),0)+IF(AND(Projects!$G$14="Yes",93&gt;=Projects!$C$14,93&lt;Projects!$C$14+Projects!$D$14),Projects!$B$14*INDEX(Curves!$B$2:$AR$2,1,93-Projects!$C$14+1),0)+IF(AND(Projects!$G$15="Yes",93&gt;=Projects!$C$15,93&lt;Projects!$C$15+Projects!$D$15),Projects!$B$15*INDEX(Curves!$B$4:$AR$4,1,93-Projects!$C$15+1),0)+IF(AND(Projects!$G$16="Yes",93&gt;=Projects!$C$16,93&lt;Projects!$C$16+Projects!$D$16),Projects!$B$16*INDEX(Curves!$B$4:$AR$4,1,93-Projects!$C$16+1),0)+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,Actuals!CT8)</f>
        <v>3295551</v>
      </c>
      <c r="CU8" s="3">
        <f>IF(ISBLANK(Actuals!CU8),IF(AND(Projects!$G$2="Yes",94&gt;=Projects!$C$2,94&lt;Projects!$C$2+Projects!$D$2),Projects!$B$2*INDEX(Curves!$B$6:$AR$6,1,94-Projects!$C$2+1),0)+IF(AND(Projects!$G$3="Yes",94&gt;=Projects!$C$3,94&lt;Projects!$C$3+Projects!$D$3),Projects!$B$3*INDEX(Curves!$B$7:$AR$7,1,94-Projects!$C$3+1),0)+IF(AND(Projects!$G$4="Yes",94&gt;=Projects!$C$4,94&lt;Projects!$C$4+Projects!$D$4),Projects!$B$4*INDEX(Curves!$B$8:$AR$8,1,94-Projects!$C$4+1),0)+IF(AND(Projects!$G$5="Yes",94&gt;=Projects!$C$5,94&lt;Projects!$C$5+Projects!$D$5),Projects!$B$5*INDEX(Curves!$B$9:$AR$9,1,94-Projects!$C$5+1),0)+IF(AND(Projects!$G$6="Yes",94&gt;=Projects!$C$6,94&lt;Projects!$C$6+Projects!$D$6),Projects!$B$6*INDEX(Curves!$B$4:$AR$4,1,94-Projects!$C$6+1),0)+IF(AND(Projects!$G$7="Yes",94&gt;=Projects!$C$7,94&lt;Projects!$C$7+Projects!$D$7),Projects!$B$7*INDEX(Curves!$B$3:$AR$3,1,94-Projects!$C$7+1),0)+IF(AND(Projects!$G$8="Yes",94&gt;=Projects!$C$8,94&lt;Projects!$C$8+Projects!$D$8),Projects!$B$8*INDEX(Curves!$B$4:$AR$4,1,94-Projects!$C$8+1),0)+IF(AND(Projects!$G$9="Yes",94&gt;=Projects!$C$9,94&lt;Projects!$C$9+Projects!$D$9),Projects!$B$9*INDEX(Curves!$B$2:$AR$2,1,94-Projects!$C$9+1),0)+IF(AND(Projects!$G$10="Yes",94&gt;=Projects!$C$10,94&lt;Projects!$C$10+Projects!$D$10),Projects!$B$10*INDEX(Curves!$B$4:$AR$4,1,94-Projects!$C$10+1),0)+IF(AND(Projects!$G$11="Yes",94&gt;=Projects!$C$11,94&lt;Projects!$C$11+Projects!$D$11),Projects!$B$11*INDEX(Curves!$B$4:$AR$4,1,94-Projects!$C$11+1),0)+IF(AND(Projects!$G$12="Yes",94&gt;=Projects!$C$12,94&lt;Projects!$C$12+Projects!$D$12),Projects!$B$12*INDEX(Curves!$B$4:$AR$4,1,94-Projects!$C$12+1),0)+IF(AND(Projects!$G$13="Yes",94&gt;=Projects!$C$13,94&lt;Projects!$C$13+Projects!$D$13),Projects!$B$13*INDEX(Curves!$B$2:$AR$2,1,94-Projects!$C$13+1),0)+IF(AND(Projects!$G$14="Yes",94&gt;=Projects!$C$14,94&lt;Projects!$C$14+Projects!$D$14),Projects!$B$14*INDEX(Curves!$B$2:$AR$2,1,94-Projects!$C$14+1),0)+IF(AND(Projects!$G$15="Yes",94&gt;=Projects!$C$15,94&lt;Projects!$C$15+Projects!$D$15),Projects!$B$15*INDEX(Curves!$B$4:$AR$4,1,94-Projects!$C$15+1),0)+IF(AND(Projects!$G$16="Yes",94&gt;=Projects!$C$16,94&lt;Projects!$C$16+Projects!$D$16),Projects!$B$16*INDEX(Curves!$B$4:$AR$4,1,94-Projects!$C$16+1),0)+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,Actuals!CU8)</f>
        <v>2921964</v>
      </c>
      <c r="CV8" s="3">
        <f>IF(ISBLANK(Actuals!CV8),IF(AND(Projects!$G$2="Yes",95&gt;=Projects!$C$2,95&lt;Projects!$C$2+Projects!$D$2),Projects!$B$2*INDEX(Curves!$B$6:$AR$6,1,95-Projects!$C$2+1),0)+IF(AND(Projects!$G$3="Yes",95&gt;=Projects!$C$3,95&lt;Projects!$C$3+Projects!$D$3),Projects!$B$3*INDEX(Curves!$B$7:$AR$7,1,95-Projects!$C$3+1),0)+IF(AND(Projects!$G$4="Yes",95&gt;=Projects!$C$4,95&lt;Projects!$C$4+Projects!$D$4),Projects!$B$4*INDEX(Curves!$B$8:$AR$8,1,95-Projects!$C$4+1),0)+IF(AND(Projects!$G$5="Yes",95&gt;=Projects!$C$5,95&lt;Projects!$C$5+Projects!$D$5),Projects!$B$5*INDEX(Curves!$B$9:$AR$9,1,95-Projects!$C$5+1),0)+IF(AND(Projects!$G$6="Yes",95&gt;=Projects!$C$6,95&lt;Projects!$C$6+Projects!$D$6),Projects!$B$6*INDEX(Curves!$B$4:$AR$4,1,95-Projects!$C$6+1),0)+IF(AND(Projects!$G$7="Yes",95&gt;=Projects!$C$7,95&lt;Projects!$C$7+Projects!$D$7),Projects!$B$7*INDEX(Curves!$B$3:$AR$3,1,95-Projects!$C$7+1),0)+IF(AND(Projects!$G$8="Yes",95&gt;=Projects!$C$8,95&lt;Projects!$C$8+Projects!$D$8),Projects!$B$8*INDEX(Curves!$B$4:$AR$4,1,95-Projects!$C$8+1),0)+IF(AND(Projects!$G$9="Yes",95&gt;=Projects!$C$9,95&lt;Projects!$C$9+Projects!$D$9),Projects!$B$9*INDEX(Curves!$B$2:$AR$2,1,95-Projects!$C$9+1),0)+IF(AND(Projects!$G$10="Yes",95&gt;=Projects!$C$10,95&lt;Projects!$C$10+Projects!$D$10),Projects!$B$10*INDEX(Curves!$B$4:$AR$4,1,95-Projects!$C$10+1),0)+IF(AND(Projects!$G$11="Yes",95&gt;=Projects!$C$11,95&lt;Projects!$C$11+Projects!$D$11),Projects!$B$11*INDEX(Curves!$B$4:$AR$4,1,95-Projects!$C$11+1),0)+IF(AND(Projects!$G$12="Yes",95&gt;=Projects!$C$12,95&lt;Projects!$C$12+Projects!$D$12),Projects!$B$12*INDEX(Curves!$B$4:$AR$4,1,95-Projects!$C$12+1),0)+IF(AND(Projects!$G$13="Yes",95&gt;=Projects!$C$13,95&lt;Projects!$C$13+Projects!$D$13),Projects!$B$13*INDEX(Curves!$B$2:$AR$2,1,95-Projects!$C$13+1),0)+IF(AND(Projects!$G$14="Yes",95&gt;=Projects!$C$14,95&lt;Projects!$C$14+Projects!$D$14),Projects!$B$14*INDEX(Curves!$B$2:$AR$2,1,95-Projects!$C$14+1),0)+IF(AND(Projects!$G$15="Yes",95&gt;=Projects!$C$15,95&lt;Projects!$C$15+Projects!$D$15),Projects!$B$15*INDEX(Curves!$B$4:$AR$4,1,95-Projects!$C$15+1),0)+IF(AND(Projects!$G$16="Yes",95&gt;=Projects!$C$16,95&lt;Projects!$C$16+Projects!$D$16),Projects!$B$16*INDEX(Curves!$B$4:$AR$4,1,95-Projects!$C$16+1),0)+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,Actuals!CV8)</f>
        <v>2219661</v>
      </c>
      <c r="CW8" s="3">
        <f>IF(ISBLANK(Actuals!CW8),IF(AND(Projects!$G$2="Yes",96&gt;=Projects!$C$2,96&lt;Projects!$C$2+Projects!$D$2),Projects!$B$2*INDEX(Curves!$B$6:$AR$6,1,96-Projects!$C$2+1),0)+IF(AND(Projects!$G$3="Yes",96&gt;=Projects!$C$3,96&lt;Projects!$C$3+Projects!$D$3),Projects!$B$3*INDEX(Curves!$B$7:$AR$7,1,96-Projects!$C$3+1),0)+IF(AND(Projects!$G$4="Yes",96&gt;=Projects!$C$4,96&lt;Projects!$C$4+Projects!$D$4),Projects!$B$4*INDEX(Curves!$B$8:$AR$8,1,96-Projects!$C$4+1),0)+IF(AND(Projects!$G$5="Yes",96&gt;=Projects!$C$5,96&lt;Projects!$C$5+Projects!$D$5),Projects!$B$5*INDEX(Curves!$B$9:$AR$9,1,96-Projects!$C$5+1),0)+IF(AND(Projects!$G$6="Yes",96&gt;=Projects!$C$6,96&lt;Projects!$C$6+Projects!$D$6),Projects!$B$6*INDEX(Curves!$B$4:$AR$4,1,96-Projects!$C$6+1),0)+IF(AND(Projects!$G$7="Yes",96&gt;=Projects!$C$7,96&lt;Projects!$C$7+Projects!$D$7),Projects!$B$7*INDEX(Curves!$B$3:$AR$3,1,96-Projects!$C$7+1),0)+IF(AND(Projects!$G$8="Yes",96&gt;=Projects!$C$8,96&lt;Projects!$C$8+Projects!$D$8),Projects!$B$8*INDEX(Curves!$B$4:$AR$4,1,96-Projects!$C$8+1),0)+IF(AND(Projects!$G$9="Yes",96&gt;=Projects!$C$9,96&lt;Projects!$C$9+Projects!$D$9),Projects!$B$9*INDEX(Curves!$B$2:$AR$2,1,96-Projects!$C$9+1),0)+IF(AND(Projects!$G$10="Yes",96&gt;=Projects!$C$10,96&lt;Projects!$C$10+Projects!$D$10),Projects!$B$10*INDEX(Curves!$B$4:$AR$4,1,96-Projects!$C$10+1),0)+IF(AND(Projects!$G$11="Yes",96&gt;=Projects!$C$11,96&lt;Projects!$C$11+Projects!$D$11),Projects!$B$11*INDEX(Curves!$B$4:$AR$4,1,96-Projects!$C$11+1),0)+IF(AND(Projects!$G$12="Yes",96&gt;=Projects!$C$12,96&lt;Projects!$C$12+Projects!$D$12),Projects!$B$12*INDEX(Curves!$B$4:$AR$4,1,96-Projects!$C$12+1),0)+IF(AND(Projects!$G$13="Yes",96&gt;=Projects!$C$13,96&lt;Projects!$C$13+Projects!$D$13),Projects!$B$13*INDEX(Curves!$B$2:$AR$2,1,96-Projects!$C$13+1),0)+IF(AND(Projects!$G$14="Yes",96&gt;=Projects!$C$14,96&lt;Projects!$C$14+Projects!$D$14),Projects!$B$14*INDEX(Curves!$B$2:$AR$2,1,96-Projects!$C$14+1),0)+IF(AND(Projects!$G$15="Yes",96&gt;=Projects!$C$15,96&lt;Projects!$C$15+Projects!$D$15),Projects!$B$15*INDEX(Curves!$B$4:$AR$4,1,96-Projects!$C$15+1),0)+IF(AND(Projects!$G$16="Yes",96&gt;=Projects!$C$16,96&lt;Projects!$C$16+Projects!$D$16),Projects!$B$16*INDEX(Curves!$B$4:$AR$4,1,96-Projects!$C$16+1),0)+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,Actuals!CW8)</f>
        <v>1906701</v>
      </c>
      <c r="CX8" s="3">
        <f>IF(ISBLANK(Actuals!CX8),IF(AND(Projects!$G$2="Yes",97&gt;=Projects!$C$2,97&lt;Projects!$C$2+Projects!$D$2),Projects!$B$2*INDEX(Curves!$B$6:$AR$6,1,97-Projects!$C$2+1),0)+IF(AND(Projects!$G$3="Yes",97&gt;=Projects!$C$3,97&lt;Projects!$C$3+Projects!$D$3),Projects!$B$3*INDEX(Curves!$B$7:$AR$7,1,97-Projects!$C$3+1),0)+IF(AND(Projects!$G$4="Yes",97&gt;=Projects!$C$4,97&lt;Projects!$C$4+Projects!$D$4),Projects!$B$4*INDEX(Curves!$B$8:$AR$8,1,97-Projects!$C$4+1),0)+IF(AND(Projects!$G$5="Yes",97&gt;=Projects!$C$5,97&lt;Projects!$C$5+Projects!$D$5),Projects!$B$5*INDEX(Curves!$B$9:$AR$9,1,97-Projects!$C$5+1),0)+IF(AND(Projects!$G$6="Yes",97&gt;=Projects!$C$6,97&lt;Projects!$C$6+Projects!$D$6),Projects!$B$6*INDEX(Curves!$B$4:$AR$4,1,97-Projects!$C$6+1),0)+IF(AND(Projects!$G$7="Yes",97&gt;=Projects!$C$7,97&lt;Projects!$C$7+Projects!$D$7),Projects!$B$7*INDEX(Curves!$B$3:$AR$3,1,97-Projects!$C$7+1),0)+IF(AND(Projects!$G$8="Yes",97&gt;=Projects!$C$8,97&lt;Projects!$C$8+Projects!$D$8),Projects!$B$8*INDEX(Curves!$B$4:$AR$4,1,97-Projects!$C$8+1),0)+IF(AND(Projects!$G$9="Yes",97&gt;=Projects!$C$9,97&lt;Projects!$C$9+Projects!$D$9),Projects!$B$9*INDEX(Curves!$B$2:$AR$2,1,97-Projects!$C$9+1),0)+IF(AND(Projects!$G$10="Yes",97&gt;=Projects!$C$10,97&lt;Projects!$C$10+Projects!$D$10),Projects!$B$10*INDEX(Curves!$B$4:$AR$4,1,97-Projects!$C$10+1),0)+IF(AND(Projects!$G$11="Yes",97&gt;=Projects!$C$11,97&lt;Projects!$C$11+Projects!$D$11),Projects!$B$11*INDEX(Curves!$B$4:$AR$4,1,97-Projects!$C$11+1),0)+IF(AND(Projects!$G$12="Yes",97&gt;=Projects!$C$12,97&lt;Projects!$C$12+Projects!$D$12),Projects!$B$12*INDEX(Curves!$B$4:$AR$4,1,97-Projects!$C$12+1),0)+IF(AND(Projects!$G$13="Yes",97&gt;=Projects!$C$13,97&lt;Projects!$C$13+Projects!$D$13),Projects!$B$13*INDEX(Curves!$B$2:$AR$2,1,97-Projects!$C$13+1),0)+IF(AND(Projects!$G$14="Yes",97&gt;=Projects!$C$14,97&lt;Projects!$C$14+Projects!$D$14),Projects!$B$14*INDEX(Curves!$B$2:$AR$2,1,97-Projects!$C$14+1),0)+IF(AND(Projects!$G$15="Yes",97&gt;=Projects!$C$15,97&lt;Projects!$C$15+Projects!$D$15),Projects!$B$15*INDEX(Curves!$B$4:$AR$4,1,97-Projects!$C$15+1),0)+IF(AND(Projects!$G$16="Yes",97&gt;=Projects!$C$16,97&lt;Projects!$C$16+Projects!$D$16),Projects!$B$16*INDEX(Curves!$B$4:$AR$4,1,97-Projects!$C$16+1),0)+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,Actuals!CX8)</f>
        <v>1285878</v>
      </c>
      <c r="CY8" s="3">
        <f>IF(ISBLANK(Actuals!CY8),IF(AND(Projects!$G$2="Yes",98&gt;=Projects!$C$2,98&lt;Projects!$C$2+Projects!$D$2),Projects!$B$2*INDEX(Curves!$B$6:$AR$6,1,98-Projects!$C$2+1),0)+IF(AND(Projects!$G$3="Yes",98&gt;=Projects!$C$3,98&lt;Projects!$C$3+Projects!$D$3),Projects!$B$3*INDEX(Curves!$B$7:$AR$7,1,98-Projects!$C$3+1),0)+IF(AND(Projects!$G$4="Yes",98&gt;=Projects!$C$4,98&lt;Projects!$C$4+Projects!$D$4),Projects!$B$4*INDEX(Curves!$B$8:$AR$8,1,98-Projects!$C$4+1),0)+IF(AND(Projects!$G$5="Yes",98&gt;=Projects!$C$5,98&lt;Projects!$C$5+Projects!$D$5),Projects!$B$5*INDEX(Curves!$B$9:$AR$9,1,98-Projects!$C$5+1),0)+IF(AND(Projects!$G$6="Yes",98&gt;=Projects!$C$6,98&lt;Projects!$C$6+Projects!$D$6),Projects!$B$6*INDEX(Curves!$B$4:$AR$4,1,98-Projects!$C$6+1),0)+IF(AND(Projects!$G$7="Yes",98&gt;=Projects!$C$7,98&lt;Projects!$C$7+Projects!$D$7),Projects!$B$7*INDEX(Curves!$B$3:$AR$3,1,98-Projects!$C$7+1),0)+IF(AND(Projects!$G$8="Yes",98&gt;=Projects!$C$8,98&lt;Projects!$C$8+Projects!$D$8),Projects!$B$8*INDEX(Curves!$B$4:$AR$4,1,98-Projects!$C$8+1),0)+IF(AND(Projects!$G$9="Yes",98&gt;=Projects!$C$9,98&lt;Projects!$C$9+Projects!$D$9),Projects!$B$9*INDEX(Curves!$B$2:$AR$2,1,98-Projects!$C$9+1),0)+IF(AND(Projects!$G$10="Yes",98&gt;=Projects!$C$10,98&lt;Projects!$C$10+Projects!$D$10),Projects!$B$10*INDEX(Curves!$B$4:$AR$4,1,98-Projects!$C$10+1),0)+IF(AND(Projects!$G$11="Yes",98&gt;=Projects!$C$11,98&lt;Projects!$C$11+Projects!$D$11),Projects!$B$11*INDEX(Curves!$B$4:$AR$4,1,98-Projects!$C$11+1),0)+IF(AND(Projects!$G$12="Yes",98&gt;=Projects!$C$12,98&lt;Projects!$C$12+Projects!$D$12),Projects!$B$12*INDEX(Curves!$B$4:$AR$4,1,98-Projects!$C$12+1),0)+IF(AND(Projects!$G$13="Yes",98&gt;=Projects!$C$13,98&lt;Projects!$C$13+Projects!$D$13),Projects!$B$13*INDEX(Curves!$B$2:$AR$2,1,98-Projects!$C$13+1),0)+IF(AND(Projects!$G$14="Yes",98&gt;=Projects!$C$14,98&lt;Projects!$C$14+Projects!$D$14),Projects!$B$14*INDEX(Curves!$B$2:$AR$2,1,98-Projects!$C$14+1),0)+IF(AND(Projects!$G$15="Yes",98&gt;=Projects!$C$15,98&lt;Projects!$C$15+Projects!$D$15),Projects!$B$15*INDEX(Curves!$B$4:$AR$4,1,98-Projects!$C$15+1),0)+IF(AND(Projects!$G$16="Yes",98&gt;=Projects!$C$16,98&lt;Projects!$C$16+Projects!$D$16),Projects!$B$16*INDEX(Curves!$B$4:$AR$4,1,98-Projects!$C$16+1),0)+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,Actuals!CY8)</f>
        <v>1069536</v>
      </c>
      <c r="CZ8" s="3">
        <f>IF(ISBLANK(Actuals!CZ8),IF(AND(Projects!$G$2="Yes",99&gt;=Projects!$C$2,99&lt;Projects!$C$2+Projects!$D$2),Projects!$B$2*INDEX(Curves!$B$6:$AR$6,1,99-Projects!$C$2+1),0)+IF(AND(Projects!$G$3="Yes",99&gt;=Projects!$C$3,99&lt;Projects!$C$3+Projects!$D$3),Projects!$B$3*INDEX(Curves!$B$7:$AR$7,1,99-Projects!$C$3+1),0)+IF(AND(Projects!$G$4="Yes",99&gt;=Projects!$C$4,99&lt;Projects!$C$4+Projects!$D$4),Projects!$B$4*INDEX(Curves!$B$8:$AR$8,1,99-Projects!$C$4+1),0)+IF(AND(Projects!$G$5="Yes",99&gt;=Projects!$C$5,99&lt;Projects!$C$5+Projects!$D$5),Projects!$B$5*INDEX(Curves!$B$9:$AR$9,1,99-Projects!$C$5+1),0)+IF(AND(Projects!$G$6="Yes",99&gt;=Projects!$C$6,99&lt;Projects!$C$6+Projects!$D$6),Projects!$B$6*INDEX(Curves!$B$4:$AR$4,1,99-Projects!$C$6+1),0)+IF(AND(Projects!$G$7="Yes",99&gt;=Projects!$C$7,99&lt;Projects!$C$7+Projects!$D$7),Projects!$B$7*INDEX(Curves!$B$3:$AR$3,1,99-Projects!$C$7+1),0)+IF(AND(Projects!$G$8="Yes",99&gt;=Projects!$C$8,99&lt;Projects!$C$8+Projects!$D$8),Projects!$B$8*INDEX(Curves!$B$4:$AR$4,1,99-Projects!$C$8+1),0)+IF(AND(Projects!$G$9="Yes",99&gt;=Projects!$C$9,99&lt;Projects!$C$9+Projects!$D$9),Projects!$B$9*INDEX(Curves!$B$2:$AR$2,1,99-Projects!$C$9+1),0)+IF(AND(Projects!$G$10="Yes",99&gt;=Projects!$C$10,99&lt;Projects!$C$10+Projects!$D$10),Projects!$B$10*INDEX(Curves!$B$4:$AR$4,1,99-Projects!$C$10+1),0)+IF(AND(Projects!$G$11="Yes",99&gt;=Projects!$C$11,99&lt;Projects!$C$11+Projects!$D$11),Projects!$B$11*INDEX(Curves!$B$4:$AR$4,1,99-Projects!$C$11+1),0)+IF(AND(Projects!$G$12="Yes",99&gt;=Projects!$C$12,99&lt;Projects!$C$12+Projects!$D$12),Projects!$B$12*INDEX(Curves!$B$4:$AR$4,1,99-Projects!$C$12+1),0)+IF(AND(Projects!$G$13="Yes",99&gt;=Projects!$C$13,99&lt;Projects!$C$13+Projects!$D$13),Projects!$B$13*INDEX(Curves!$B$2:$AR$2,1,99-Projects!$C$13+1),0)+IF(AND(Projects!$G$14="Yes",99&gt;=Projects!$C$14,99&lt;Projects!$C$14+Projects!$D$14),Projects!$B$14*INDEX(Curves!$B$2:$AR$2,1,99-Projects!$C$14+1),0)+IF(AND(Projects!$G$15="Yes",99&gt;=Projects!$C$15,99&lt;Projects!$C$15+Projects!$D$15),Projects!$B$15*INDEX(Curves!$B$4:$AR$4,1,99-Projects!$C$15+1),0)+IF(AND(Projects!$G$16="Yes",99&gt;=Projects!$C$16,99&lt;Projects!$C$16+Projects!$D$16),Projects!$B$16*INDEX(Curves!$B$4:$AR$4,1,99-Projects!$C$16+1),0)+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,Actuals!CZ8)</f>
        <v>491415</v>
      </c>
      <c r="DA8" s="3">
        <f>IF(ISBLANK(Actuals!DA8),IF(AND(Projects!$G$2="Yes",100&gt;=Projects!$C$2,100&lt;Projects!$C$2+Projects!$D$2),Projects!$B$2*INDEX(Curves!$B$6:$AR$6,1,100-Projects!$C$2+1),0)+IF(AND(Projects!$G$3="Yes",100&gt;=Projects!$C$3,100&lt;Projects!$C$3+Projects!$D$3),Projects!$B$3*INDEX(Curves!$B$7:$AR$7,1,100-Projects!$C$3+1),0)+IF(AND(Projects!$G$4="Yes",100&gt;=Projects!$C$4,100&lt;Projects!$C$4+Projects!$D$4),Projects!$B$4*INDEX(Curves!$B$8:$AR$8,1,100-Projects!$C$4+1),0)+IF(AND(Projects!$G$5="Yes",100&gt;=Projects!$C$5,100&lt;Projects!$C$5+Projects!$D$5),Projects!$B$5*INDEX(Curves!$B$9:$AR$9,1,100-Projects!$C$5+1),0)+IF(AND(Projects!$G$6="Yes",100&gt;=Projects!$C$6,100&lt;Projects!$C$6+Projects!$D$6),Projects!$B$6*INDEX(Curves!$B$4:$AR$4,1,100-Projects!$C$6+1),0)+IF(AND(Projects!$G$7="Yes",100&gt;=Projects!$C$7,100&lt;Projects!$C$7+Projects!$D$7),Projects!$B$7*INDEX(Curves!$B$3:$AR$3,1,100-Projects!$C$7+1),0)+IF(AND(Projects!$G$8="Yes",100&gt;=Projects!$C$8,100&lt;Projects!$C$8+Projects!$D$8),Projects!$B$8*INDEX(Curves!$B$4:$AR$4,1,100-Projects!$C$8+1),0)+IF(AND(Projects!$G$9="Yes",100&gt;=Projects!$C$9,100&lt;Projects!$C$9+Projects!$D$9),Projects!$B$9*INDEX(Curves!$B$2:$AR$2,1,100-Projects!$C$9+1),0)+IF(AND(Projects!$G$10="Yes",100&gt;=Projects!$C$10,100&lt;Projects!$C$10+Projects!$D$10),Projects!$B$10*INDEX(Curves!$B$4:$AR$4,1,100-Projects!$C$10+1),0)+IF(AND(Projects!$G$11="Yes",100&gt;=Projects!$C$11,100&lt;Projects!$C$11+Projects!$D$11),Projects!$B$11*INDEX(Curves!$B$4:$AR$4,1,100-Projects!$C$11+1),0)+IF(AND(Projects!$G$12="Yes",100&gt;=Projects!$C$12,100&lt;Projects!$C$12+Projects!$D$12),Projects!$B$12*INDEX(Curves!$B$4:$AR$4,1,100-Projects!$C$12+1),0)+IF(AND(Projects!$G$13="Yes",100&gt;=Projects!$C$13,100&lt;Projects!$C$13+Projects!$D$13),Projects!$B$13*INDEX(Curves!$B$2:$AR$2,1,100-Projects!$C$13+1),0)+IF(AND(Projects!$G$14="Yes",100&gt;=Projects!$C$14,100&lt;Projects!$C$14+Projects!$D$14),Projects!$B$14*INDEX(Curves!$B$2:$AR$2,1,100-Projects!$C$14+1),0)+IF(AND(Projects!$G$15="Yes",100&gt;=Projects!$C$15,100&lt;Projects!$C$15+Projects!$D$15),Projects!$B$15*INDEX(Curves!$B$4:$AR$4,1,100-Projects!$C$15+1),0)+IF(AND(Projects!$G$16="Yes",100&gt;=Projects!$C$16,100&lt;Projects!$C$16+Projects!$D$16),Projects!$B$16*INDEX(Curves!$B$4:$AR$4,1,100-Projects!$C$16+1),0)+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,Actuals!DA8)</f>
        <v>397755</v>
      </c>
      <c r="DB8" s="3">
        <f>IF(ISBLANK(Actuals!DB8),IF(AND(Projects!$G$2="Yes",101&gt;=Projects!$C$2,101&lt;Projects!$C$2+Projects!$D$2),Projects!$B$2*INDEX(Curves!$B$6:$AR$6,1,101-Projects!$C$2+1),0)+IF(AND(Projects!$G$3="Yes",101&gt;=Projects!$C$3,101&lt;Projects!$C$3+Projects!$D$3),Projects!$B$3*INDEX(Curves!$B$7:$AR$7,1,101-Projects!$C$3+1),0)+IF(AND(Projects!$G$4="Yes",101&gt;=Projects!$C$4,101&lt;Projects!$C$4+Projects!$D$4),Projects!$B$4*INDEX(Curves!$B$8:$AR$8,1,101-Projects!$C$4+1),0)+IF(AND(Projects!$G$5="Yes",101&gt;=Projects!$C$5,101&lt;Projects!$C$5+Projects!$D$5),Projects!$B$5*INDEX(Curves!$B$9:$AR$9,1,101-Projects!$C$5+1),0)+IF(AND(Projects!$G$6="Yes",101&gt;=Projects!$C$6,101&lt;Projects!$C$6+Projects!$D$6),Projects!$B$6*INDEX(Curves!$B$4:$AR$4,1,101-Projects!$C$6+1),0)+IF(AND(Projects!$G$7="Yes",101&gt;=Projects!$C$7,101&lt;Projects!$C$7+Projects!$D$7),Projects!$B$7*INDEX(Curves!$B$3:$AR$3,1,101-Projects!$C$7+1),0)+IF(AND(Projects!$G$8="Yes",101&gt;=Projects!$C$8,101&lt;Projects!$C$8+Projects!$D$8),Projects!$B$8*INDEX(Curves!$B$4:$AR$4,1,101-Projects!$C$8+1),0)+IF(AND(Projects!$G$9="Yes",101&gt;=Projects!$C$9,101&lt;Projects!$C$9+Projects!$D$9),Projects!$B$9*INDEX(Curves!$B$2:$AR$2,1,101-Projects!$C$9+1),0)+IF(AND(Projects!$G$10="Yes",101&gt;=Projects!$C$10,101&lt;Projects!$C$10+Projects!$D$10),Projects!$B$10*INDEX(Curves!$B$4:$AR$4,1,101-Projects!$C$10+1),0)+IF(AND(Projects!$G$11="Yes",101&gt;=Projects!$C$11,101&lt;Projects!$C$11+Projects!$D$11),Projects!$B$11*INDEX(Curves!$B$4:$AR$4,1,101-Projects!$C$11+1),0)+IF(AND(Projects!$G$12="Yes",101&gt;=Projects!$C$12,101&lt;Projects!$C$12+Projects!$D$12),Projects!$B$12*INDEX(Curves!$B$4:$AR$4,1,101-Projects!$C$12+1),0)+IF(AND(Projects!$G$13="Yes",101&gt;=Projects!$C$13,101&lt;Projects!$C$13+Projects!$D$13),Projects!$B$13*INDEX(Curves!$B$2:$AR$2,1,101-Projects!$C$13+1),0)+IF(AND(Projects!$G$14="Yes",101&gt;=Projects!$C$14,101&lt;Projects!$C$14+Projects!$D$14),Projects!$B$14*INDEX(Curves!$B$2:$AR$2,1,101-Projects!$C$14+1),0)+IF(AND(Projects!$G$15="Yes",101&gt;=Projects!$C$15,101&lt;Projects!$C$15+Projects!$D$15),Projects!$B$15*INDEX(Curves!$B$4:$AR$4,1,101-Projects!$C$15+1),0)+IF(AND(Projects!$G$16="Yes",101&gt;=Projects!$C$16,101&lt;Projects!$C$16+Projects!$D$16),Projects!$B$16*INDEX(Curves!$B$4:$AR$4,1,101-Projects!$C$16+1),0)+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,Actuals!DB8)</f>
        <v>0</v>
      </c>
      <c r="DC8" s="3">
        <f>IF(ISBLANK(Actuals!DC8),IF(AND(Projects!$G$2="Yes",102&gt;=Projects!$C$2,102&lt;Projects!$C$2+Projects!$D$2),Projects!$B$2*INDEX(Curves!$B$6:$AR$6,1,102-Projects!$C$2+1),0)+IF(AND(Projects!$G$3="Yes",102&gt;=Projects!$C$3,102&lt;Projects!$C$3+Projects!$D$3),Projects!$B$3*INDEX(Curves!$B$7:$AR$7,1,102-Projects!$C$3+1),0)+IF(AND(Projects!$G$4="Yes",102&gt;=Projects!$C$4,102&lt;Projects!$C$4+Projects!$D$4),Projects!$B$4*INDEX(Curves!$B$8:$AR$8,1,102-Projects!$C$4+1),0)+IF(AND(Projects!$G$5="Yes",102&gt;=Projects!$C$5,102&lt;Projects!$C$5+Projects!$D$5),Projects!$B$5*INDEX(Curves!$B$9:$AR$9,1,102-Projects!$C$5+1),0)+IF(AND(Projects!$G$6="Yes",102&gt;=Projects!$C$6,102&lt;Projects!$C$6+Projects!$D$6),Projects!$B$6*INDEX(Curves!$B$4:$AR$4,1,102-Projects!$C$6+1),0)+IF(AND(Projects!$G$7="Yes",102&gt;=Projects!$C$7,102&lt;Projects!$C$7+Projects!$D$7),Projects!$B$7*INDEX(Curves!$B$3:$AR$3,1,102-Projects!$C$7+1),0)+IF(AND(Projects!$G$8="Yes",102&gt;=Projects!$C$8,102&lt;Projects!$C$8+Projects!$D$8),Projects!$B$8*INDEX(Curves!$B$4:$AR$4,1,102-Projects!$C$8+1),0)+IF(AND(Projects!$G$9="Yes",102&gt;=Projects!$C$9,102&lt;Projects!$C$9+Projects!$D$9),Projects!$B$9*INDEX(Curves!$B$2:$AR$2,1,102-Projects!$C$9+1),0)+IF(AND(Projects!$G$10="Yes",102&gt;=Projects!$C$10,102&lt;Projects!$C$10+Projects!$D$10),Projects!$B$10*INDEX(Curves!$B$4:$AR$4,1,102-Projects!$C$10+1),0)+IF(AND(Projects!$G$11="Yes",102&gt;=Projects!$C$11,102&lt;Projects!$C$11+Projects!$D$11),Projects!$B$11*INDEX(Curves!$B$4:$AR$4,1,102-Projects!$C$11+1),0)+IF(AND(Projects!$G$12="Yes",102&gt;=Projects!$C$12,102&lt;Projects!$C$12+Projects!$D$12),Projects!$B$12*INDEX(Curves!$B$4:$AR$4,1,102-Projects!$C$12+1),0)+IF(AND(Projects!$G$13="Yes",102&gt;=Projects!$C$13,102&lt;Projects!$C$13+Projects!$D$13),Projects!$B$13*INDEX(Curves!$B$2:$AR$2,1,102-Projects!$C$13+1),0)+IF(AND(Projects!$G$14="Yes",102&gt;=Projects!$C$14,102&lt;Projects!$C$14+Projects!$D$14),Projects!$B$14*INDEX(Curves!$B$2:$AR$2,1,102-Projects!$C$14+1),0)+IF(AND(Projects!$G$15="Yes",102&gt;=Projects!$C$15,102&lt;Projects!$C$15+Projects!$D$15),Projects!$B$15*INDEX(Curves!$B$4:$AR$4,1,102-Projects!$C$15+1),0)+IF(AND(Projects!$G$16="Yes",102&gt;=Projects!$C$16,102&lt;Projects!$C$16+Projects!$D$16),Projects!$B$16*INDEX(Curves!$B$4:$AR$4,1,102-Projects!$C$16+1),0)+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,Actuals!DC8)</f>
        <v>0</v>
      </c>
      <c r="DD8" s="3">
        <f>IF(ISBLANK(Actuals!DD8),IF(AND(Projects!$G$2="Yes",103&gt;=Projects!$C$2,103&lt;Projects!$C$2+Projects!$D$2),Projects!$B$2*INDEX(Curves!$B$6:$AR$6,1,103-Projects!$C$2+1),0)+IF(AND(Projects!$G$3="Yes",103&gt;=Projects!$C$3,103&lt;Projects!$C$3+Projects!$D$3),Projects!$B$3*INDEX(Curves!$B$7:$AR$7,1,103-Projects!$C$3+1),0)+IF(AND(Projects!$G$4="Yes",103&gt;=Projects!$C$4,103&lt;Projects!$C$4+Projects!$D$4),Projects!$B$4*INDEX(Curves!$B$8:$AR$8,1,103-Projects!$C$4+1),0)+IF(AND(Projects!$G$5="Yes",103&gt;=Projects!$C$5,103&lt;Projects!$C$5+Projects!$D$5),Projects!$B$5*INDEX(Curves!$B$9:$AR$9,1,103-Projects!$C$5+1),0)+IF(AND(Projects!$G$6="Yes",103&gt;=Projects!$C$6,103&lt;Projects!$C$6+Projects!$D$6),Projects!$B$6*INDEX(Curves!$B$4:$AR$4,1,103-Projects!$C$6+1),0)+IF(AND(Projects!$G$7="Yes",103&gt;=Projects!$C$7,103&lt;Projects!$C$7+Projects!$D$7),Projects!$B$7*INDEX(Curves!$B$3:$AR$3,1,103-Projects!$C$7+1),0)+IF(AND(Projects!$G$8="Yes",103&gt;=Projects!$C$8,103&lt;Projects!$C$8+Projects!$D$8),Projects!$B$8*INDEX(Curves!$B$4:$AR$4,1,103-Projects!$C$8+1),0)+IF(AND(Projects!$G$9="Yes",103&gt;=Projects!$C$9,103&lt;Projects!$C$9+Projects!$D$9),Projects!$B$9*INDEX(Curves!$B$2:$AR$2,1,103-Projects!$C$9+1),0)+IF(AND(Projects!$G$10="Yes",103&gt;=Projects!$C$10,103&lt;Projects!$C$10+Projects!$D$10),Projects!$B$10*INDEX(Curves!$B$4:$AR$4,1,103-Projects!$C$10+1),0)+IF(AND(Projects!$G$11="Yes",103&gt;=Projects!$C$11,103&lt;Projects!$C$11+Projects!$D$11),Projects!$B$11*INDEX(Curves!$B$4:$AR$4,1,103-Projects!$C$11+1),0)+IF(AND(Projects!$G$12="Yes",103&gt;=Projects!$C$12,103&lt;Projects!$C$12+Projects!$D$12),Projects!$B$12*INDEX(Curves!$B$4:$AR$4,1,103-Projects!$C$12+1),0)+IF(AND(Projects!$G$13="Yes",103&gt;=Projects!$C$13,103&lt;Projects!$C$13+Projects!$D$13),Projects!$B$13*INDEX(Curves!$B$2:$AR$2,1,103-Projects!$C$13+1),0)+IF(AND(Projects!$G$14="Yes",103&gt;=Projects!$C$14,103&lt;Projects!$C$14+Projects!$D$14),Projects!$B$14*INDEX(Curves!$B$2:$AR$2,1,103-Projects!$C$14+1),0)+IF(AND(Projects!$G$15="Yes",103&gt;=Projects!$C$15,103&lt;Projects!$C$15+Projects!$D$15),Projects!$B$15*INDEX(Curves!$B$4:$AR$4,1,103-Projects!$C$15+1),0)+IF(AND(Projects!$G$16="Yes",103&gt;=Projects!$C$16,103&lt;Projects!$C$16+Projects!$D$16),Projects!$B$16*INDEX(Curves!$B$4:$AR$4,1,103-Projects!$C$16+1),0)+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,Actuals!DD8)</f>
        <v>0</v>
      </c>
      <c r="DE8" s="3">
        <f>IF(ISBLANK(Actuals!DE8),IF(AND(Projects!$G$2="Yes",104&gt;=Projects!$C$2,104&lt;Projects!$C$2+Projects!$D$2),Projects!$B$2*INDEX(Curves!$B$6:$AR$6,1,104-Projects!$C$2+1),0)+IF(AND(Projects!$G$3="Yes",104&gt;=Projects!$C$3,104&lt;Projects!$C$3+Projects!$D$3),Projects!$B$3*INDEX(Curves!$B$7:$AR$7,1,104-Projects!$C$3+1),0)+IF(AND(Projects!$G$4="Yes",104&gt;=Projects!$C$4,104&lt;Projects!$C$4+Projects!$D$4),Projects!$B$4*INDEX(Curves!$B$8:$AR$8,1,104-Projects!$C$4+1),0)+IF(AND(Projects!$G$5="Yes",104&gt;=Projects!$C$5,104&lt;Projects!$C$5+Projects!$D$5),Projects!$B$5*INDEX(Curves!$B$9:$AR$9,1,104-Projects!$C$5+1),0)+IF(AND(Projects!$G$6="Yes",104&gt;=Projects!$C$6,104&lt;Projects!$C$6+Projects!$D$6),Projects!$B$6*INDEX(Curves!$B$4:$AR$4,1,104-Projects!$C$6+1),0)+IF(AND(Projects!$G$7="Yes",104&gt;=Projects!$C$7,104&lt;Projects!$C$7+Projects!$D$7),Projects!$B$7*INDEX(Curves!$B$3:$AR$3,1,104-Projects!$C$7+1),0)+IF(AND(Projects!$G$8="Yes",104&gt;=Projects!$C$8,104&lt;Projects!$C$8+Projects!$D$8),Projects!$B$8*INDEX(Curves!$B$4:$AR$4,1,104-Projects!$C$8+1),0)+IF(AND(Projects!$G$9="Yes",104&gt;=Projects!$C$9,104&lt;Projects!$C$9+Projects!$D$9),Projects!$B$9*INDEX(Curves!$B$2:$AR$2,1,104-Projects!$C$9+1),0)+IF(AND(Projects!$G$10="Yes",104&gt;=Projects!$C$10,104&lt;Projects!$C$10+Projects!$D$10),Projects!$B$10*INDEX(Curves!$B$4:$AR$4,1,104-Projects!$C$10+1),0)+IF(AND(Projects!$G$11="Yes",104&gt;=Projects!$C$11,104&lt;Projects!$C$11+Projects!$D$11),Projects!$B$11*INDEX(Curves!$B$4:$AR$4,1,104-Projects!$C$11+1),0)+IF(AND(Projects!$G$12="Yes",104&gt;=Projects!$C$12,104&lt;Projects!$C$12+Projects!$D$12),Projects!$B$12*INDEX(Curves!$B$4:$AR$4,1,104-Projects!$C$12+1),0)+IF(AND(Projects!$G$13="Yes",104&gt;=Projects!$C$13,104&lt;Projects!$C$13+Projects!$D$13),Projects!$B$13*INDEX(Curves!$B$2:$AR$2,1,104-Projects!$C$13+1),0)+IF(AND(Projects!$G$14="Yes",104&gt;=Projects!$C$14,104&lt;Projects!$C$14+Projects!$D$14),Projects!$B$14*INDEX(Curves!$B$2:$AR$2,1,104-Projects!$C$14+1),0)+IF(AND(Projects!$G$15="Yes",104&gt;=Projects!$C$15,104&lt;Projects!$C$15+Projects!$D$15),Projects!$B$15*INDEX(Curves!$B$4:$AR$4,1,104-Projects!$C$15+1),0)+IF(AND(Projects!$G$16="Yes",104&gt;=Projects!$C$16,104&lt;Projects!$C$16+Projects!$D$16),Projects!$B$16*INDEX(Curves!$B$4:$AR$4,1,104-Projects!$C$16+1),0)+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,Actuals!DE8)</f>
        <v>0</v>
      </c>
      <c r="DF8" s="3">
        <f>IF(ISBLANK(Actuals!DF8),IF(AND(Projects!$G$2="Yes",105&gt;=Projects!$C$2,105&lt;Projects!$C$2+Projects!$D$2),Projects!$B$2*INDEX(Curves!$B$6:$AR$6,1,105-Projects!$C$2+1),0)+IF(AND(Projects!$G$3="Yes",105&gt;=Projects!$C$3,105&lt;Projects!$C$3+Projects!$D$3),Projects!$B$3*INDEX(Curves!$B$7:$AR$7,1,105-Projects!$C$3+1),0)+IF(AND(Projects!$G$4="Yes",105&gt;=Projects!$C$4,105&lt;Projects!$C$4+Projects!$D$4),Projects!$B$4*INDEX(Curves!$B$8:$AR$8,1,105-Projects!$C$4+1),0)+IF(AND(Projects!$G$5="Yes",105&gt;=Projects!$C$5,105&lt;Projects!$C$5+Projects!$D$5),Projects!$B$5*INDEX(Curves!$B$9:$AR$9,1,105-Projects!$C$5+1),0)+IF(AND(Projects!$G$6="Yes",105&gt;=Projects!$C$6,105&lt;Projects!$C$6+Projects!$D$6),Projects!$B$6*INDEX(Curves!$B$4:$AR$4,1,105-Projects!$C$6+1),0)+IF(AND(Projects!$G$7="Yes",105&gt;=Projects!$C$7,105&lt;Projects!$C$7+Projects!$D$7),Projects!$B$7*INDEX(Curves!$B$3:$AR$3,1,105-Projects!$C$7+1),0)+IF(AND(Projects!$G$8="Yes",105&gt;=Projects!$C$8,105&lt;Projects!$C$8+Projects!$D$8),Projects!$B$8*INDEX(Curves!$B$4:$AR$4,1,105-Projects!$C$8+1),0)+IF(AND(Projects!$G$9="Yes",105&gt;=Projects!$C$9,105&lt;Projects!$C$9+Projects!$D$9),Projects!$B$9*INDEX(Curves!$B$2:$AR$2,1,105-Projects!$C$9+1),0)+IF(AND(Projects!$G$10="Yes",105&gt;=Projects!$C$10,105&lt;Projects!$C$10+Projects!$D$10),Projects!$B$10*INDEX(Curves!$B$4:$AR$4,1,105-Projects!$C$10+1),0)+IF(AND(Projects!$G$11="Yes",105&gt;=Projects!$C$11,105&lt;Projects!$C$11+Projects!$D$11),Projects!$B$11*INDEX(Curves!$B$4:$AR$4,1,105-Projects!$C$11+1),0)+IF(AND(Projects!$G$12="Yes",105&gt;=Projects!$C$12,105&lt;Projects!$C$12+Projects!$D$12),Projects!$B$12*INDEX(Curves!$B$4:$AR$4,1,105-Projects!$C$12+1),0)+IF(AND(Projects!$G$13="Yes",105&gt;=Projects!$C$13,105&lt;Projects!$C$13+Projects!$D$13),Projects!$B$13*INDEX(Curves!$B$2:$AR$2,1,105-Projects!$C$13+1),0)+IF(AND(Projects!$G$14="Yes",105&gt;=Projects!$C$14,105&lt;Projects!$C$14+Projects!$D$14),Projects!$B$14*INDEX(Curves!$B$2:$AR$2,1,105-Projects!$C$14+1),0)+IF(AND(Projects!$G$15="Yes",105&gt;=Projects!$C$15,105&lt;Projects!$C$15+Projects!$D$15),Projects!$B$15*INDEX(Curves!$B$4:$AR$4,1,105-Projects!$C$15+1),0)+IF(AND(Projects!$G$16="Yes",105&gt;=Projects!$C$16,105&lt;Projects!$C$16+Projects!$D$16),Projects!$B$16*INDEX(Curves!$B$4:$AR$4,1,105-Projects!$C$16+1),0)+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,Actuals!DF8)</f>
        <v>0</v>
      </c>
    </row>
    <row r="9" spans="1:110" ht="15" customHeight="1" x14ac:dyDescent="0.25">
      <c r="A9" s="13"/>
      <c r="B9" s="5"/>
      <c r="C9" s="1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</row>
    <row r="10" spans="1:110" ht="15" customHeight="1" x14ac:dyDescent="0.25">
      <c r="A10" s="13" t="s">
        <v>56</v>
      </c>
      <c r="B10" s="302"/>
      <c r="C10" s="3">
        <f>IF(ISBLANK(Actuals!C9),0,Actuals!C9)</f>
        <v>116363.3</v>
      </c>
      <c r="D10" s="3">
        <f>IF(ISBLANK(Actuals!D9),0,Actuals!D9)</f>
        <v>138801.51999999999</v>
      </c>
      <c r="E10" s="3">
        <f>IF(ISBLANK(Actuals!E9),0,Actuals!E9)</f>
        <v>219366.88</v>
      </c>
      <c r="F10" s="3">
        <f>IF(ISBLANK(Actuals!F9),(SUMPRODUCT((Projects!$G$2:$G$14="Yes")*(1&gt;=Projects!$C$2:$C$14)*(1&lt;Projects!$C$2:$C$14+Projects!$D$2:$D$14)*Projects!$B$2:$B$14*Assumptions!$B$10/Projects!$D$2:$D$14*0.95)+SUMPRODUCT((Projects!$G$2:$G$14="Yes")*(1=Projects!$C$2:$C$14+Projects!$D$2:$D$14-1)*Projects!$B$2:$B$14*Assumptions!$B$10*0.05)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)+(SUMPRODUCT((Projects!$G$2:$G$14="Yes")*(1&gt;=Projects!$C$2:$C$14)*(1&lt;Projects!$C$2:$C$14+Projects!$D$2:$D$14)*Projects!$B$2:$B$14*Assumptions!$B$12/Projects!$D$2:$D$14*0.95)+SUMPRODUCT((Projects!$G$2:$G$14="Yes")*(1=Projects!$C$2:$C$14+Projects!$D$2:$D$14-1)*Projects!$B$2:$B$14*Assumptions!$B$12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),Actuals!F9)</f>
        <v>212079.14</v>
      </c>
      <c r="G10" s="3">
        <f>IF(ISBLANK(Actuals!G9),(SUMPRODUCT((Projects!$G$2:$G$14="Yes")*(2&gt;=Projects!$C$2:$C$14)*(2&lt;Projects!$C$2:$C$14+Projects!$D$2:$D$14)*Projects!$B$2:$B$14*Assumptions!$B$10/Projects!$D$2:$D$14*0.95)+SUMPRODUCT((Projects!$G$2:$G$14="Yes")*(2=Projects!$C$2:$C$14+Projects!$D$2:$D$14-1)*Projects!$B$2:$B$14*Assumptions!$B$10*0.05)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)+(SUMPRODUCT((Projects!$G$2:$G$14="Yes")*(2&gt;=Projects!$C$2:$C$14)*(2&lt;Projects!$C$2:$C$14+Projects!$D$2:$D$14)*Projects!$B$2:$B$14*Assumptions!$B$12/Projects!$D$2:$D$14*0.95)+SUMPRODUCT((Projects!$G$2:$G$14="Yes")*(2=Projects!$C$2:$C$14+Projects!$D$2:$D$14-1)*Projects!$B$2:$B$14*Assumptions!$B$12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),Actuals!G9)</f>
        <v>267934.87995748856</v>
      </c>
      <c r="H10" s="3">
        <f>IF(ISBLANK(Actuals!H9),(SUMPRODUCT((Projects!$G$2:$G$14="Yes")*(3&gt;=Projects!$C$2:$C$14)*(3&lt;Projects!$C$2:$C$14+Projects!$D$2:$D$14)*Projects!$B$2:$B$14*Assumptions!$B$10/Projects!$D$2:$D$14*0.95)+SUMPRODUCT((Projects!$G$2:$G$14="Yes")*(3=Projects!$C$2:$C$14+Projects!$D$2:$D$14-1)*Projects!$B$2:$B$14*Assumptions!$B$10*0.05)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)+(SUMPRODUCT((Projects!$G$2:$G$14="Yes")*(3&gt;=Projects!$C$2:$C$14)*(3&lt;Projects!$C$2:$C$14+Projects!$D$2:$D$14)*Projects!$B$2:$B$14*Assumptions!$B$12/Projects!$D$2:$D$14*0.95)+SUMPRODUCT((Projects!$G$2:$G$14="Yes")*(3=Projects!$C$2:$C$14+Projects!$D$2:$D$14-1)*Projects!$B$2:$B$14*Assumptions!$B$12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),Actuals!H9)</f>
        <v>267934.87995748856</v>
      </c>
      <c r="I10" s="3">
        <f>IF(ISBLANK(Actuals!I9),(SUMPRODUCT((Projects!$G$2:$G$14="Yes")*(4&gt;=Projects!$C$2:$C$14)*(4&lt;Projects!$C$2:$C$14+Projects!$D$2:$D$14)*Projects!$B$2:$B$14*Assumptions!$B$10/Projects!$D$2:$D$14*0.95)+SUMPRODUCT((Projects!$G$2:$G$14="Yes")*(4=Projects!$C$2:$C$14+Projects!$D$2:$D$14-1)*Projects!$B$2:$B$14*Assumptions!$B$10*0.05)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)+(SUMPRODUCT((Projects!$G$2:$G$14="Yes")*(4&gt;=Projects!$C$2:$C$14)*(4&lt;Projects!$C$2:$C$14+Projects!$D$2:$D$14)*Projects!$B$2:$B$14*Assumptions!$B$12/Projects!$D$2:$D$14*0.95)+SUMPRODUCT((Projects!$G$2:$G$14="Yes")*(4=Projects!$C$2:$C$14+Projects!$D$2:$D$14-1)*Projects!$B$2:$B$14*Assumptions!$B$12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),Actuals!I9)</f>
        <v>361542.0019958886</v>
      </c>
      <c r="J10" s="3">
        <f>IF(ISBLANK(Actuals!J9),(SUMPRODUCT((Projects!$G$2:$G$14="Yes")*(5&gt;=Projects!$C$2:$C$14)*(5&lt;Projects!$C$2:$C$14+Projects!$D$2:$D$14)*Projects!$B$2:$B$14*Assumptions!$B$10/Projects!$D$2:$D$14*0.95)+SUMPRODUCT((Projects!$G$2:$G$14="Yes")*(5=Projects!$C$2:$C$14+Projects!$D$2:$D$14-1)*Projects!$B$2:$B$14*Assumptions!$B$10*0.05)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)+(SUMPRODUCT((Projects!$G$2:$G$14="Yes")*(5&gt;=Projects!$C$2:$C$14)*(5&lt;Projects!$C$2:$C$14+Projects!$D$2:$D$14)*Projects!$B$2:$B$14*Assumptions!$B$12/Projects!$D$2:$D$14*0.95)+SUMPRODUCT((Projects!$G$2:$G$14="Yes")*(5=Projects!$C$2:$C$14+Projects!$D$2:$D$14-1)*Projects!$B$2:$B$14*Assumptions!$B$12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),Actuals!J9)</f>
        <v>361542.0019958886</v>
      </c>
      <c r="K10" s="3">
        <f>IF(ISBLANK(Actuals!K9),(SUMPRODUCT((Projects!$G$2:$G$14="Yes")*(6&gt;=Projects!$C$2:$C$14)*(6&lt;Projects!$C$2:$C$14+Projects!$D$2:$D$14)*Projects!$B$2:$B$14*Assumptions!$B$10/Projects!$D$2:$D$14*0.95)+SUMPRODUCT((Projects!$G$2:$G$14="Yes")*(6=Projects!$C$2:$C$14+Projects!$D$2:$D$14-1)*Projects!$B$2:$B$14*Assumptions!$B$10*0.05)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)+(SUMPRODUCT((Projects!$G$2:$G$14="Yes")*(6&gt;=Projects!$C$2:$C$14)*(6&lt;Projects!$C$2:$C$14+Projects!$D$2:$D$14)*Projects!$B$2:$B$14*Assumptions!$B$12/Projects!$D$2:$D$14*0.95)+SUMPRODUCT((Projects!$G$2:$G$14="Yes")*(6=Projects!$C$2:$C$14+Projects!$D$2:$D$14-1)*Projects!$B$2:$B$14*Assumptions!$B$12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),Actuals!K9)</f>
        <v>361542.0019958886</v>
      </c>
      <c r="L10" s="3">
        <f>IF(ISBLANK(Actuals!L9),(SUMPRODUCT((Projects!$G$2:$G$14="Yes")*(7&gt;=Projects!$C$2:$C$14)*(7&lt;Projects!$C$2:$C$14+Projects!$D$2:$D$14)*Projects!$B$2:$B$14*Assumptions!$B$10/Projects!$D$2:$D$14*0.95)+SUMPRODUCT((Projects!$G$2:$G$14="Yes")*(7=Projects!$C$2:$C$14+Projects!$D$2:$D$14-1)*Projects!$B$2:$B$14*Assumptions!$B$10*0.05)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)+(SUMPRODUCT((Projects!$G$2:$G$14="Yes")*(7&gt;=Projects!$C$2:$C$14)*(7&lt;Projects!$C$2:$C$14+Projects!$D$2:$D$14)*Projects!$B$2:$B$14*Assumptions!$B$12/Projects!$D$2:$D$14*0.95)+SUMPRODUCT((Projects!$G$2:$G$14="Yes")*(7=Projects!$C$2:$C$14+Projects!$D$2:$D$14-1)*Projects!$B$2:$B$14*Assumptions!$B$12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),Actuals!L9)</f>
        <v>442929.46088908025</v>
      </c>
      <c r="M10" s="3">
        <f>IF(ISBLANK(Actuals!M9),(SUMPRODUCT((Projects!$G$2:$G$14="Yes")*(8&gt;=Projects!$C$2:$C$14)*(8&lt;Projects!$C$2:$C$14+Projects!$D$2:$D$14)*Projects!$B$2:$B$14*Assumptions!$B$10/Projects!$D$2:$D$14*0.95)+SUMPRODUCT((Projects!$G$2:$G$14="Yes")*(8=Projects!$C$2:$C$14+Projects!$D$2:$D$14-1)*Projects!$B$2:$B$14*Assumptions!$B$10*0.05)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)+(SUMPRODUCT((Projects!$G$2:$G$14="Yes")*(8&gt;=Projects!$C$2:$C$14)*(8&lt;Projects!$C$2:$C$14+Projects!$D$2:$D$14)*Projects!$B$2:$B$14*Assumptions!$B$12/Projects!$D$2:$D$14*0.95)+SUMPRODUCT((Projects!$G$2:$G$14="Yes")*(8=Projects!$C$2:$C$14+Projects!$D$2:$D$14-1)*Projects!$B$2:$B$14*Assumptions!$B$12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),Actuals!M9)</f>
        <v>525344.50860475737</v>
      </c>
      <c r="N10" s="3">
        <f>IF(ISBLANK(Actuals!N9),(SUMPRODUCT((Projects!$G$2:$G$14="Yes")*(9&gt;=Projects!$C$2:$C$14)*(9&lt;Projects!$C$2:$C$14+Projects!$D$2:$D$14)*Projects!$B$2:$B$14*Assumptions!$B$10/Projects!$D$2:$D$14*0.95)+SUMPRODUCT((Projects!$G$2:$G$14="Yes")*(9=Projects!$C$2:$C$14+Projects!$D$2:$D$14-1)*Projects!$B$2:$B$14*Assumptions!$B$10*0.05)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)+(SUMPRODUCT((Projects!$G$2:$G$14="Yes")*(9&gt;=Projects!$C$2:$C$14)*(9&lt;Projects!$C$2:$C$14+Projects!$D$2:$D$14)*Projects!$B$2:$B$14*Assumptions!$B$12/Projects!$D$2:$D$14*0.95)+SUMPRODUCT((Projects!$G$2:$G$14="Yes")*(9=Projects!$C$2:$C$14+Projects!$D$2:$D$14-1)*Projects!$B$2:$B$14*Assumptions!$B$12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),Actuals!N9)</f>
        <v>442616.79048053862</v>
      </c>
      <c r="O10" s="3">
        <f>IF(ISBLANK(Actuals!O9),(SUMPRODUCT((Projects!$G$2:$G$14="Yes")*(10&gt;=Projects!$C$2:$C$14)*(10&lt;Projects!$C$2:$C$14+Projects!$D$2:$D$14)*Projects!$B$2:$B$14*Assumptions!$B$10/Projects!$D$2:$D$14*0.95)+SUMPRODUCT((Projects!$G$2:$G$14="Yes")*(10=Projects!$C$2:$C$14+Projects!$D$2:$D$14-1)*Projects!$B$2:$B$14*Assumptions!$B$10*0.05)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)+(SUMPRODUCT((Projects!$G$2:$G$14="Yes")*(10&gt;=Projects!$C$2:$C$14)*(10&lt;Projects!$C$2:$C$14+Projects!$D$2:$D$14)*Projects!$B$2:$B$14*Assumptions!$B$12/Projects!$D$2:$D$14*0.95)+SUMPRODUCT((Projects!$G$2:$G$14="Yes")*(10=Projects!$C$2:$C$14+Projects!$D$2:$D$14-1)*Projects!$B$2:$B$14*Assumptions!$B$12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),Actuals!O9)</f>
        <v>442616.79048053862</v>
      </c>
      <c r="P10" s="3">
        <f>IF(ISBLANK(Actuals!P9),(SUMPRODUCT((Projects!$G$2:$G$14="Yes")*(11&gt;=Projects!$C$2:$C$14)*(11&lt;Projects!$C$2:$C$14+Projects!$D$2:$D$14)*Projects!$B$2:$B$14*Assumptions!$B$10/Projects!$D$2:$D$14*0.95)+SUMPRODUCT((Projects!$G$2:$G$14="Yes")*(11=Projects!$C$2:$C$14+Projects!$D$2:$D$14-1)*Projects!$B$2:$B$14*Assumptions!$B$10*0.05)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)+(SUMPRODUCT((Projects!$G$2:$G$14="Yes")*(11&gt;=Projects!$C$2:$C$14)*(11&lt;Projects!$C$2:$C$14+Projects!$D$2:$D$14)*Projects!$B$2:$B$14*Assumptions!$B$12/Projects!$D$2:$D$14*0.95)+SUMPRODUCT((Projects!$G$2:$G$14="Yes")*(11=Projects!$C$2:$C$14+Projects!$D$2:$D$14-1)*Projects!$B$2:$B$14*Assumptions!$B$12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),Actuals!P9)</f>
        <v>442616.79048053862</v>
      </c>
      <c r="Q10" s="3">
        <f>IF(ISBLANK(Actuals!Q9),(SUMPRODUCT((Projects!$G$2:$G$14="Yes")*(12&gt;=Projects!$C$2:$C$14)*(12&lt;Projects!$C$2:$C$14+Projects!$D$2:$D$14)*Projects!$B$2:$B$14*Assumptions!$B$10/Projects!$D$2:$D$14*0.95)+SUMPRODUCT((Projects!$G$2:$G$14="Yes")*(12=Projects!$C$2:$C$14+Projects!$D$2:$D$14-1)*Projects!$B$2:$B$14*Assumptions!$B$10*0.05)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)+(SUMPRODUCT((Projects!$G$2:$G$14="Yes")*(12&gt;=Projects!$C$2:$C$14)*(12&lt;Projects!$C$2:$C$14+Projects!$D$2:$D$14)*Projects!$B$2:$B$14*Assumptions!$B$12/Projects!$D$2:$D$14*0.95)+SUMPRODUCT((Projects!$G$2:$G$14="Yes")*(12=Projects!$C$2:$C$14+Projects!$D$2:$D$14-1)*Projects!$B$2:$B$14*Assumptions!$B$12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),Actuals!Q9)</f>
        <v>442616.79048053862</v>
      </c>
      <c r="R10" s="3">
        <f>IF(ISBLANK(Actuals!R9),(SUMPRODUCT((Projects!$G$2:$G$14="Yes")*(13&gt;=Projects!$C$2:$C$14)*(13&lt;Projects!$C$2:$C$14+Projects!$D$2:$D$14)*Projects!$B$2:$B$14*Assumptions!$B$10/Projects!$D$2:$D$14*0.95)+SUMPRODUCT((Projects!$G$2:$G$14="Yes")*(13=Projects!$C$2:$C$14+Projects!$D$2:$D$14-1)*Projects!$B$2:$B$14*Assumptions!$B$10*0.05)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)+(SUMPRODUCT((Projects!$G$2:$G$14="Yes")*(13&gt;=Projects!$C$2:$C$14)*(13&lt;Projects!$C$2:$C$14+Projects!$D$2:$D$14)*Projects!$B$2:$B$14*Assumptions!$B$12/Projects!$D$2:$D$14*0.95)+SUMPRODUCT((Projects!$G$2:$G$14="Yes")*(13=Projects!$C$2:$C$14+Projects!$D$2:$D$14-1)*Projects!$B$2:$B$14*Assumptions!$B$12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),Actuals!R9)</f>
        <v>541230.82614862197</v>
      </c>
      <c r="S10" s="3">
        <f>IF(ISBLANK(Actuals!S9),(SUMPRODUCT((Projects!$G$2:$G$14="Yes")*(14&gt;=Projects!$C$2:$C$14)*(14&lt;Projects!$C$2:$C$14+Projects!$D$2:$D$14)*Projects!$B$2:$B$14*Assumptions!$B$10/Projects!$D$2:$D$14*0.95)+SUMPRODUCT((Projects!$G$2:$G$14="Yes")*(14=Projects!$C$2:$C$14+Projects!$D$2:$D$14-1)*Projects!$B$2:$B$14*Assumptions!$B$10*0.05)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)+(SUMPRODUCT((Projects!$G$2:$G$14="Yes")*(14&gt;=Projects!$C$2:$C$14)*(14&lt;Projects!$C$2:$C$14+Projects!$D$2:$D$14)*Projects!$B$2:$B$14*Assumptions!$B$12/Projects!$D$2:$D$14*0.95)+SUMPRODUCT((Projects!$G$2:$G$14="Yes")*(14=Projects!$C$2:$C$14+Projects!$D$2:$D$14-1)*Projects!$B$2:$B$14*Assumptions!$B$12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),Actuals!S9)</f>
        <v>541230.82614862197</v>
      </c>
      <c r="T10" s="3">
        <f>IF(ISBLANK(Actuals!T9),(SUMPRODUCT((Projects!$G$2:$G$14="Yes")*(15&gt;=Projects!$C$2:$C$14)*(15&lt;Projects!$C$2:$C$14+Projects!$D$2:$D$14)*Projects!$B$2:$B$14*Assumptions!$B$10/Projects!$D$2:$D$14*0.95)+SUMPRODUCT((Projects!$G$2:$G$14="Yes")*(15=Projects!$C$2:$C$14+Projects!$D$2:$D$14-1)*Projects!$B$2:$B$14*Assumptions!$B$10*0.05)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)+(SUMPRODUCT((Projects!$G$2:$G$14="Yes")*(15&gt;=Projects!$C$2:$C$14)*(15&lt;Projects!$C$2:$C$14+Projects!$D$2:$D$14)*Projects!$B$2:$B$14*Assumptions!$B$12/Projects!$D$2:$D$14*0.95)+SUMPRODUCT((Projects!$G$2:$G$14="Yes")*(15=Projects!$C$2:$C$14+Projects!$D$2:$D$14-1)*Projects!$B$2:$B$14*Assumptions!$B$12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),Actuals!T9)</f>
        <v>631894.94486762187</v>
      </c>
      <c r="U10" s="3">
        <f>IF(ISBLANK(Actuals!U9),(SUMPRODUCT((Projects!$G$2:$G$14="Yes")*(16&gt;=Projects!$C$2:$C$14)*(16&lt;Projects!$C$2:$C$14+Projects!$D$2:$D$14)*Projects!$B$2:$B$14*Assumptions!$B$10/Projects!$D$2:$D$14*0.95)+SUMPRODUCT((Projects!$G$2:$G$14="Yes")*(16=Projects!$C$2:$C$14+Projects!$D$2:$D$14-1)*Projects!$B$2:$B$14*Assumptions!$B$10*0.05)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)+(SUMPRODUCT((Projects!$G$2:$G$14="Yes")*(16&gt;=Projects!$C$2:$C$14)*(16&lt;Projects!$C$2:$C$14+Projects!$D$2:$D$14)*Projects!$B$2:$B$14*Assumptions!$B$12/Projects!$D$2:$D$14*0.95)+SUMPRODUCT((Projects!$G$2:$G$14="Yes")*(16=Projects!$C$2:$C$14+Projects!$D$2:$D$14-1)*Projects!$B$2:$B$14*Assumptions!$B$12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),Actuals!U9)</f>
        <v>495791.54955230525</v>
      </c>
      <c r="V10" s="3">
        <f>IF(ISBLANK(Actuals!V9),(SUMPRODUCT((Projects!$G$2:$G$14="Yes")*(17&gt;=Projects!$C$2:$C$14)*(17&lt;Projects!$C$2:$C$14+Projects!$D$2:$D$14)*Projects!$B$2:$B$14*Assumptions!$B$10/Projects!$D$2:$D$14*0.95)+SUMPRODUCT((Projects!$G$2:$G$14="Yes")*(17=Projects!$C$2:$C$14+Projects!$D$2:$D$14-1)*Projects!$B$2:$B$14*Assumptions!$B$10*0.05)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)+(SUMPRODUCT((Projects!$G$2:$G$14="Yes")*(17&gt;=Projects!$C$2:$C$14)*(17&lt;Projects!$C$2:$C$14+Projects!$D$2:$D$14)*Projects!$B$2:$B$14*Assumptions!$B$12/Projects!$D$2:$D$14*0.95)+SUMPRODUCT((Projects!$G$2:$G$14="Yes")*(17=Projects!$C$2:$C$14+Projects!$D$2:$D$14-1)*Projects!$B$2:$B$14*Assumptions!$B$12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),Actuals!V9)</f>
        <v>343974.80482285202</v>
      </c>
      <c r="W10" s="3">
        <f>IF(ISBLANK(Actuals!W9),(SUMPRODUCT((Projects!$G$2:$G$14="Yes")*(18&gt;=Projects!$C$2:$C$14)*(18&lt;Projects!$C$2:$C$14+Projects!$D$2:$D$14)*Projects!$B$2:$B$14*Assumptions!$B$10/Projects!$D$2:$D$14*0.95)+SUMPRODUCT((Projects!$G$2:$G$14="Yes")*(18=Projects!$C$2:$C$14+Projects!$D$2:$D$14-1)*Projects!$B$2:$B$14*Assumptions!$B$10*0.05)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)+(SUMPRODUCT((Projects!$G$2:$G$14="Yes")*(18&gt;=Projects!$C$2:$C$14)*(18&lt;Projects!$C$2:$C$14+Projects!$D$2:$D$14)*Projects!$B$2:$B$14*Assumptions!$B$12/Projects!$D$2:$D$14*0.95)+SUMPRODUCT((Projects!$G$2:$G$14="Yes")*(18=Projects!$C$2:$C$14+Projects!$D$2:$D$14-1)*Projects!$B$2:$B$14*Assumptions!$B$12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),Actuals!W9)</f>
        <v>343974.80482285202</v>
      </c>
      <c r="X10" s="3">
        <f>IF(ISBLANK(Actuals!X9),(SUMPRODUCT((Projects!$G$2:$G$14="Yes")*(19&gt;=Projects!$C$2:$C$14)*(19&lt;Projects!$C$2:$C$14+Projects!$D$2:$D$14)*Projects!$B$2:$B$14*Assumptions!$B$10/Projects!$D$2:$D$14*0.95)+SUMPRODUCT((Projects!$G$2:$G$14="Yes")*(19=Projects!$C$2:$C$14+Projects!$D$2:$D$14-1)*Projects!$B$2:$B$14*Assumptions!$B$10*0.05)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)+(SUMPRODUCT((Projects!$G$2:$G$14="Yes")*(19&gt;=Projects!$C$2:$C$14)*(19&lt;Projects!$C$2:$C$14+Projects!$D$2:$D$14)*Projects!$B$2:$B$14*Assumptions!$B$12/Projects!$D$2:$D$14*0.95)+SUMPRODUCT((Projects!$G$2:$G$14="Yes")*(19=Projects!$C$2:$C$14+Projects!$D$2:$D$14-1)*Projects!$B$2:$B$14*Assumptions!$B$12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),Actuals!X9)</f>
        <v>356437.86181160202</v>
      </c>
      <c r="Y10" s="3">
        <f>IF(ISBLANK(Actuals!Y9),(SUMPRODUCT((Projects!$G$2:$G$14="Yes")*(20&gt;=Projects!$C$2:$C$14)*(20&lt;Projects!$C$2:$C$14+Projects!$D$2:$D$14)*Projects!$B$2:$B$14*Assumptions!$B$10/Projects!$D$2:$D$14*0.95)+SUMPRODUCT((Projects!$G$2:$G$14="Yes")*(20=Projects!$C$2:$C$14+Projects!$D$2:$D$14-1)*Projects!$B$2:$B$14*Assumptions!$B$10*0.05)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)+(SUMPRODUCT((Projects!$G$2:$G$14="Yes")*(20&gt;=Projects!$C$2:$C$14)*(20&lt;Projects!$C$2:$C$14+Projects!$D$2:$D$14)*Projects!$B$2:$B$14*Assumptions!$B$12/Projects!$D$2:$D$14*0.95)+SUMPRODUCT((Projects!$G$2:$G$14="Yes")*(20=Projects!$C$2:$C$14+Projects!$D$2:$D$14-1)*Projects!$B$2:$B$14*Assumptions!$B$12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),Actuals!Y9)</f>
        <v>331511.74783410208</v>
      </c>
      <c r="Z10" s="3">
        <f>IF(ISBLANK(Actuals!Z9),(SUMPRODUCT((Projects!$G$2:$G$14="Yes")*(21&gt;=Projects!$C$2:$C$14)*(21&lt;Projects!$C$2:$C$14+Projects!$D$2:$D$14)*Projects!$B$2:$B$14*Assumptions!$B$10/Projects!$D$2:$D$14*0.95)+SUMPRODUCT((Projects!$G$2:$G$14="Yes")*(21=Projects!$C$2:$C$14+Projects!$D$2:$D$14-1)*Projects!$B$2:$B$14*Assumptions!$B$10*0.05)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)+(SUMPRODUCT((Projects!$G$2:$G$14="Yes")*(21&gt;=Projects!$C$2:$C$14)*(21&lt;Projects!$C$2:$C$14+Projects!$D$2:$D$14)*Projects!$B$2:$B$14*Assumptions!$B$12/Projects!$D$2:$D$14*0.95)+SUMPRODUCT((Projects!$G$2:$G$14="Yes")*(21=Projects!$C$2:$C$14+Projects!$D$2:$D$14-1)*Projects!$B$2:$B$14*Assumptions!$B$12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),Actuals!Z9)</f>
        <v>331511.74783410208</v>
      </c>
      <c r="AA10" s="3">
        <f>IF(ISBLANK(Actuals!AA9),(SUMPRODUCT((Projects!$G$2:$G$14="Yes")*(22&gt;=Projects!$C$2:$C$14)*(22&lt;Projects!$C$2:$C$14+Projects!$D$2:$D$14)*Projects!$B$2:$B$14*Assumptions!$B$10/Projects!$D$2:$D$14*0.95)+SUMPRODUCT((Projects!$G$2:$G$14="Yes")*(22=Projects!$C$2:$C$14+Projects!$D$2:$D$14-1)*Projects!$B$2:$B$14*Assumptions!$B$10*0.05)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)+(SUMPRODUCT((Projects!$G$2:$G$14="Yes")*(22&gt;=Projects!$C$2:$C$14)*(22&lt;Projects!$C$2:$C$14+Projects!$D$2:$D$14)*Projects!$B$2:$B$14*Assumptions!$B$12/Projects!$D$2:$D$14*0.95)+SUMPRODUCT((Projects!$G$2:$G$14="Yes")*(22=Projects!$C$2:$C$14+Projects!$D$2:$D$14-1)*Projects!$B$2:$B$14*Assumptions!$B$12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),Actuals!AA9)</f>
        <v>331511.74783410208</v>
      </c>
      <c r="AB10" s="3">
        <f>IF(ISBLANK(Actuals!AB9),(SUMPRODUCT((Projects!$G$2:$G$14="Yes")*(23&gt;=Projects!$C$2:$C$14)*(23&lt;Projects!$C$2:$C$14+Projects!$D$2:$D$14)*Projects!$B$2:$B$14*Assumptions!$B$10/Projects!$D$2:$D$14*0.95)+SUMPRODUCT((Projects!$G$2:$G$14="Yes")*(23=Projects!$C$2:$C$14+Projects!$D$2:$D$14-1)*Projects!$B$2:$B$14*Assumptions!$B$10*0.05)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)+(SUMPRODUCT((Projects!$G$2:$G$14="Yes")*(23&gt;=Projects!$C$2:$C$14)*(23&lt;Projects!$C$2:$C$14+Projects!$D$2:$D$14)*Projects!$B$2:$B$14*Assumptions!$B$12/Projects!$D$2:$D$14*0.95)+SUMPRODUCT((Projects!$G$2:$G$14="Yes")*(23=Projects!$C$2:$C$14+Projects!$D$2:$D$14-1)*Projects!$B$2:$B$14*Assumptions!$B$12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),Actuals!AB9)</f>
        <v>331511.74783410208</v>
      </c>
      <c r="AC10" s="3">
        <f>IF(ISBLANK(Actuals!AC9),(SUMPRODUCT((Projects!$G$2:$G$14="Yes")*(24&gt;=Projects!$C$2:$C$14)*(24&lt;Projects!$C$2:$C$14+Projects!$D$2:$D$14)*Projects!$B$2:$B$14*Assumptions!$B$10/Projects!$D$2:$D$14*0.95)+SUMPRODUCT((Projects!$G$2:$G$14="Yes")*(24=Projects!$C$2:$C$14+Projects!$D$2:$D$14-1)*Projects!$B$2:$B$14*Assumptions!$B$10*0.05)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)+(SUMPRODUCT((Projects!$G$2:$G$14="Yes")*(24&gt;=Projects!$C$2:$C$14)*(24&lt;Projects!$C$2:$C$14+Projects!$D$2:$D$14)*Projects!$B$2:$B$14*Assumptions!$B$12/Projects!$D$2:$D$14*0.95)+SUMPRODUCT((Projects!$G$2:$G$14="Yes")*(24=Projects!$C$2:$C$14+Projects!$D$2:$D$14-1)*Projects!$B$2:$B$14*Assumptions!$B$12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),Actuals!AC9)</f>
        <v>331511.74783410208</v>
      </c>
      <c r="AD10" s="3">
        <f>IF(ISBLANK(Actuals!AD9),(SUMPRODUCT((Projects!$G$2:$G$14="Yes")*(25&gt;=Projects!$C$2:$C$14)*(25&lt;Projects!$C$2:$C$14+Projects!$D$2:$D$14)*Projects!$B$2:$B$14*Assumptions!$B$10/Projects!$D$2:$D$14*0.95)+SUMPRODUCT((Projects!$G$2:$G$14="Yes")*(25=Projects!$C$2:$C$14+Projects!$D$2:$D$14-1)*Projects!$B$2:$B$14*Assumptions!$B$10*0.05)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)+(SUMPRODUCT((Projects!$G$2:$G$14="Yes")*(25&gt;=Projects!$C$2:$C$14)*(25&lt;Projects!$C$2:$C$14+Projects!$D$2:$D$14)*Projects!$B$2:$B$14*Assumptions!$B$12/Projects!$D$2:$D$14*0.95)+SUMPRODUCT((Projects!$G$2:$G$14="Yes")*(25=Projects!$C$2:$C$14+Projects!$D$2:$D$14-1)*Projects!$B$2:$B$14*Assumptions!$B$12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),Actuals!AD9)</f>
        <v>378380.99707110209</v>
      </c>
      <c r="AE10" s="3">
        <f>IF(ISBLANK(Actuals!AE9),(SUMPRODUCT((Projects!$G$2:$G$14="Yes")*(26&gt;=Projects!$C$2:$C$14)*(26&lt;Projects!$C$2:$C$14+Projects!$D$2:$D$14)*Projects!$B$2:$B$14*Assumptions!$B$10/Projects!$D$2:$D$14*0.95)+SUMPRODUCT((Projects!$G$2:$G$14="Yes")*(26=Projects!$C$2:$C$14+Projects!$D$2:$D$14-1)*Projects!$B$2:$B$14*Assumptions!$B$10*0.05)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)+(SUMPRODUCT((Projects!$G$2:$G$14="Yes")*(26&gt;=Projects!$C$2:$C$14)*(26&lt;Projects!$C$2:$C$14+Projects!$D$2:$D$14)*Projects!$B$2:$B$14*Assumptions!$B$12/Projects!$D$2:$D$14*0.95)+SUMPRODUCT((Projects!$G$2:$G$14="Yes")*(26=Projects!$C$2:$C$14+Projects!$D$2:$D$14-1)*Projects!$B$2:$B$14*Assumptions!$B$12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),Actuals!AE9)</f>
        <v>284642.49859710207</v>
      </c>
      <c r="AF10" s="3">
        <f>IF(ISBLANK(Actuals!AF9),(SUMPRODUCT((Projects!$G$2:$G$14="Yes")*(27&gt;=Projects!$C$2:$C$14)*(27&lt;Projects!$C$2:$C$14+Projects!$D$2:$D$14)*Projects!$B$2:$B$14*Assumptions!$B$10/Projects!$D$2:$D$14*0.95)+SUMPRODUCT((Projects!$G$2:$G$14="Yes")*(27=Projects!$C$2:$C$14+Projects!$D$2:$D$14-1)*Projects!$B$2:$B$14*Assumptions!$B$10*0.05)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)+(SUMPRODUCT((Projects!$G$2:$G$14="Yes")*(27&gt;=Projects!$C$2:$C$14)*(27&lt;Projects!$C$2:$C$14+Projects!$D$2:$D$14)*Projects!$B$2:$B$14*Assumptions!$B$12/Projects!$D$2:$D$14*0.95)+SUMPRODUCT((Projects!$G$2:$G$14="Yes")*(27=Projects!$C$2:$C$14+Projects!$D$2:$D$14-1)*Projects!$B$2:$B$14*Assumptions!$B$12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),Actuals!AF9)</f>
        <v>374733.90903103538</v>
      </c>
      <c r="AG10" s="3">
        <f>IF(ISBLANK(Actuals!AG9),(SUMPRODUCT((Projects!$G$2:$G$14="Yes")*(28&gt;=Projects!$C$2:$C$14)*(28&lt;Projects!$C$2:$C$14+Projects!$D$2:$D$14)*Projects!$B$2:$B$14*Assumptions!$B$10/Projects!$D$2:$D$14*0.95)+SUMPRODUCT((Projects!$G$2:$G$14="Yes")*(28=Projects!$C$2:$C$14+Projects!$D$2:$D$14-1)*Projects!$B$2:$B$14*Assumptions!$B$10*0.05)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)+(SUMPRODUCT((Projects!$G$2:$G$14="Yes")*(28&gt;=Projects!$C$2:$C$14)*(28&lt;Projects!$C$2:$C$14+Projects!$D$2:$D$14)*Projects!$B$2:$B$14*Assumptions!$B$12/Projects!$D$2:$D$14*0.95)+SUMPRODUCT((Projects!$G$2:$G$14="Yes")*(28=Projects!$C$2:$C$14+Projects!$D$2:$D$14-1)*Projects!$B$2:$B$14*Assumptions!$B$12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),Actuals!AG9)</f>
        <v>374733.90903103538</v>
      </c>
      <c r="AH10" s="3">
        <f>IF(ISBLANK(Actuals!AH9),(SUMPRODUCT((Projects!$G$2:$G$14="Yes")*(29&gt;=Projects!$C$2:$C$14)*(29&lt;Projects!$C$2:$C$14+Projects!$D$2:$D$14)*Projects!$B$2:$B$14*Assumptions!$B$10/Projects!$D$2:$D$14*0.95)+SUMPRODUCT((Projects!$G$2:$G$14="Yes")*(29=Projects!$C$2:$C$14+Projects!$D$2:$D$14-1)*Projects!$B$2:$B$14*Assumptions!$B$10*0.05)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)+(SUMPRODUCT((Projects!$G$2:$G$14="Yes")*(29&gt;=Projects!$C$2:$C$14)*(29&lt;Projects!$C$2:$C$14+Projects!$D$2:$D$14)*Projects!$B$2:$B$14*Assumptions!$B$12/Projects!$D$2:$D$14*0.95)+SUMPRODUCT((Projects!$G$2:$G$14="Yes")*(29=Projects!$C$2:$C$14+Projects!$D$2:$D$14-1)*Projects!$B$2:$B$14*Assumptions!$B$12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),Actuals!AH9)</f>
        <v>374733.90903103538</v>
      </c>
      <c r="AI10" s="3">
        <f>IF(ISBLANK(Actuals!AI9),(SUMPRODUCT((Projects!$G$2:$G$14="Yes")*(30&gt;=Projects!$C$2:$C$14)*(30&lt;Projects!$C$2:$C$14+Projects!$D$2:$D$14)*Projects!$B$2:$B$14*Assumptions!$B$10/Projects!$D$2:$D$14*0.95)+SUMPRODUCT((Projects!$G$2:$G$14="Yes")*(30=Projects!$C$2:$C$14+Projects!$D$2:$D$14-1)*Projects!$B$2:$B$14*Assumptions!$B$10*0.05)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)+(SUMPRODUCT((Projects!$G$2:$G$14="Yes")*(30&gt;=Projects!$C$2:$C$14)*(30&lt;Projects!$C$2:$C$14+Projects!$D$2:$D$14)*Projects!$B$2:$B$14*Assumptions!$B$12/Projects!$D$2:$D$14*0.95)+SUMPRODUCT((Projects!$G$2:$G$14="Yes")*(30=Projects!$C$2:$C$14+Projects!$D$2:$D$14-1)*Projects!$B$2:$B$14*Assumptions!$B$12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),Actuals!AI9)</f>
        <v>374733.90903103538</v>
      </c>
      <c r="AJ10" s="3">
        <f>IF(ISBLANK(Actuals!AJ9),(SUMPRODUCT((Projects!$G$2:$G$14="Yes")*(31&gt;=Projects!$C$2:$C$14)*(31&lt;Projects!$C$2:$C$14+Projects!$D$2:$D$14)*Projects!$B$2:$B$14*Assumptions!$B$10/Projects!$D$2:$D$14*0.95)+SUMPRODUCT((Projects!$G$2:$G$14="Yes")*(31=Projects!$C$2:$C$14+Projects!$D$2:$D$14-1)*Projects!$B$2:$B$14*Assumptions!$B$10*0.05)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)+(SUMPRODUCT((Projects!$G$2:$G$14="Yes")*(31&gt;=Projects!$C$2:$C$14)*(31&lt;Projects!$C$2:$C$14+Projects!$D$2:$D$14)*Projects!$B$2:$B$14*Assumptions!$B$12/Projects!$D$2:$D$14*0.95)+SUMPRODUCT((Projects!$G$2:$G$14="Yes")*(31=Projects!$C$2:$C$14+Projects!$D$2:$D$14-1)*Projects!$B$2:$B$14*Assumptions!$B$12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),Actuals!AJ9)</f>
        <v>499470.95637978544</v>
      </c>
      <c r="AK10" s="3">
        <f>IF(ISBLANK(Actuals!AK9),(SUMPRODUCT((Projects!$G$2:$G$14="Yes")*(32&gt;=Projects!$C$2:$C$14)*(32&lt;Projects!$C$2:$C$14+Projects!$D$2:$D$14)*Projects!$B$2:$B$14*Assumptions!$B$10/Projects!$D$2:$D$14*0.95)+SUMPRODUCT((Projects!$G$2:$G$14="Yes")*(32=Projects!$C$2:$C$14+Projects!$D$2:$D$14-1)*Projects!$B$2:$B$14*Assumptions!$B$10*0.05)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)+(SUMPRODUCT((Projects!$G$2:$G$14="Yes")*(32&gt;=Projects!$C$2:$C$14)*(32&lt;Projects!$C$2:$C$14+Projects!$D$2:$D$14)*Projects!$B$2:$B$14*Assumptions!$B$12/Projects!$D$2:$D$14*0.95)+SUMPRODUCT((Projects!$G$2:$G$14="Yes")*(32=Projects!$C$2:$C$14+Projects!$D$2:$D$14-1)*Projects!$B$2:$B$14*Assumptions!$B$12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),Actuals!AK9)</f>
        <v>368427.02779660828</v>
      </c>
      <c r="AL10" s="3">
        <f>IF(ISBLANK(Actuals!AL9),(SUMPRODUCT((Projects!$G$2:$G$14="Yes")*(33&gt;=Projects!$C$2:$C$14)*(33&lt;Projects!$C$2:$C$14+Projects!$D$2:$D$14)*Projects!$B$2:$B$14*Assumptions!$B$10/Projects!$D$2:$D$14*0.95)+SUMPRODUCT((Projects!$G$2:$G$14="Yes")*(33=Projects!$C$2:$C$14+Projects!$D$2:$D$14-1)*Projects!$B$2:$B$14*Assumptions!$B$10*0.05)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)+(SUMPRODUCT((Projects!$G$2:$G$14="Yes")*(33&gt;=Projects!$C$2:$C$14)*(33&lt;Projects!$C$2:$C$14+Projects!$D$2:$D$14)*Projects!$B$2:$B$14*Assumptions!$B$12/Projects!$D$2:$D$14*0.95)+SUMPRODUCT((Projects!$G$2:$G$14="Yes")*(33=Projects!$C$2:$C$14+Projects!$D$2:$D$14-1)*Projects!$B$2:$B$14*Assumptions!$B$12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),Actuals!AL9)</f>
        <v>516227.74680460832</v>
      </c>
      <c r="AM10" s="3">
        <f>IF(ISBLANK(Actuals!AM9),(SUMPRODUCT((Projects!$G$2:$G$14="Yes")*(34&gt;=Projects!$C$2:$C$14)*(34&lt;Projects!$C$2:$C$14+Projects!$D$2:$D$14)*Projects!$B$2:$B$14*Assumptions!$B$10/Projects!$D$2:$D$14*0.95)+SUMPRODUCT((Projects!$G$2:$G$14="Yes")*(34=Projects!$C$2:$C$14+Projects!$D$2:$D$14-1)*Projects!$B$2:$B$14*Assumptions!$B$10*0.05)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)+(SUMPRODUCT((Projects!$G$2:$G$14="Yes")*(34&gt;=Projects!$C$2:$C$14)*(34&lt;Projects!$C$2:$C$14+Projects!$D$2:$D$14)*Projects!$B$2:$B$14*Assumptions!$B$12/Projects!$D$2:$D$14*0.95)+SUMPRODUCT((Projects!$G$2:$G$14="Yes")*(34=Projects!$C$2:$C$14+Projects!$D$2:$D$14-1)*Projects!$B$2:$B$14*Assumptions!$B$12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),Actuals!AM9)</f>
        <v>326416.15575820836</v>
      </c>
      <c r="AN10" s="3">
        <f>IF(ISBLANK(Actuals!AN9),(SUMPRODUCT((Projects!$G$2:$G$14="Yes")*(35&gt;=Projects!$C$2:$C$14)*(35&lt;Projects!$C$2:$C$14+Projects!$D$2:$D$14)*Projects!$B$2:$B$14*Assumptions!$B$10/Projects!$D$2:$D$14*0.95)+SUMPRODUCT((Projects!$G$2:$G$14="Yes")*(35=Projects!$C$2:$C$14+Projects!$D$2:$D$14-1)*Projects!$B$2:$B$14*Assumptions!$B$10*0.05)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)+(SUMPRODUCT((Projects!$G$2:$G$14="Yes")*(35&gt;=Projects!$C$2:$C$14)*(35&lt;Projects!$C$2:$C$14+Projects!$D$2:$D$14)*Projects!$B$2:$B$14*Assumptions!$B$12/Projects!$D$2:$D$14*0.95)+SUMPRODUCT((Projects!$G$2:$G$14="Yes")*(35=Projects!$C$2:$C$14+Projects!$D$2:$D$14-1)*Projects!$B$2:$B$14*Assumptions!$B$12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),Actuals!AN9)</f>
        <v>326416.15575820836</v>
      </c>
      <c r="AO10" s="3">
        <f>IF(ISBLANK(Actuals!AO9),(SUMPRODUCT((Projects!$G$2:$G$14="Yes")*(36&gt;=Projects!$C$2:$C$14)*(36&lt;Projects!$C$2:$C$14+Projects!$D$2:$D$14)*Projects!$B$2:$B$14*Assumptions!$B$10/Projects!$D$2:$D$14*0.95)+SUMPRODUCT((Projects!$G$2:$G$14="Yes")*(36=Projects!$C$2:$C$14+Projects!$D$2:$D$14-1)*Projects!$B$2:$B$14*Assumptions!$B$10*0.05)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)+(SUMPRODUCT((Projects!$G$2:$G$14="Yes")*(36&gt;=Projects!$C$2:$C$14)*(36&lt;Projects!$C$2:$C$14+Projects!$D$2:$D$14)*Projects!$B$2:$B$14*Assumptions!$B$12/Projects!$D$2:$D$14*0.95)+SUMPRODUCT((Projects!$G$2:$G$14="Yes")*(36=Projects!$C$2:$C$14+Projects!$D$2:$D$14-1)*Projects!$B$2:$B$14*Assumptions!$B$12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),Actuals!AO9)</f>
        <v>380918.5920574583</v>
      </c>
      <c r="AP10" s="3">
        <f>IF(ISBLANK(Actuals!AP9),(SUMPRODUCT((Projects!$G$2:$G$14="Yes")*(37&gt;=Projects!$C$2:$C$14)*(37&lt;Projects!$C$2:$C$14+Projects!$D$2:$D$14)*Projects!$B$2:$B$14*Assumptions!$B$10/Projects!$D$2:$D$14*0.95)+SUMPRODUCT((Projects!$G$2:$G$14="Yes")*(37=Projects!$C$2:$C$14+Projects!$D$2:$D$14-1)*Projects!$B$2:$B$14*Assumptions!$B$10*0.05)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)+(SUMPRODUCT((Projects!$G$2:$G$14="Yes")*(37&gt;=Projects!$C$2:$C$14)*(37&lt;Projects!$C$2:$C$14+Projects!$D$2:$D$14)*Projects!$B$2:$B$14*Assumptions!$B$12/Projects!$D$2:$D$14*0.95)+SUMPRODUCT((Projects!$G$2:$G$14="Yes")*(37=Projects!$C$2:$C$14+Projects!$D$2:$D$14-1)*Projects!$B$2:$B$14*Assumptions!$B$12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),Actuals!AP9)</f>
        <v>353813.44610201661</v>
      </c>
      <c r="AQ10" s="3">
        <f>IF(ISBLANK(Actuals!AQ9),(SUMPRODUCT((Projects!$G$2:$G$14="Yes")*(38&gt;=Projects!$C$2:$C$14)*(38&lt;Projects!$C$2:$C$14+Projects!$D$2:$D$14)*Projects!$B$2:$B$14*Assumptions!$B$10/Projects!$D$2:$D$14*0.95)+SUMPRODUCT((Projects!$G$2:$G$14="Yes")*(38=Projects!$C$2:$C$14+Projects!$D$2:$D$14-1)*Projects!$B$2:$B$14*Assumptions!$B$10*0.05)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)+(SUMPRODUCT((Projects!$G$2:$G$14="Yes")*(38&gt;=Projects!$C$2:$C$14)*(38&lt;Projects!$C$2:$C$14+Projects!$D$2:$D$14)*Projects!$B$2:$B$14*Assumptions!$B$12/Projects!$D$2:$D$14*0.95)+SUMPRODUCT((Projects!$G$2:$G$14="Yes")*(38=Projects!$C$2:$C$14+Projects!$D$2:$D$14-1)*Projects!$B$2:$B$14*Assumptions!$B$12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),Actuals!AQ9)</f>
        <v>353813.44610201661</v>
      </c>
      <c r="AR10" s="3">
        <f>IF(ISBLANK(Actuals!AR9),(SUMPRODUCT((Projects!$G$2:$G$14="Yes")*(39&gt;=Projects!$C$2:$C$14)*(39&lt;Projects!$C$2:$C$14+Projects!$D$2:$D$14)*Projects!$B$2:$B$14*Assumptions!$B$10/Projects!$D$2:$D$14*0.95)+SUMPRODUCT((Projects!$G$2:$G$14="Yes")*(39=Projects!$C$2:$C$14+Projects!$D$2:$D$14-1)*Projects!$B$2:$B$14*Assumptions!$B$10*0.05)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)+(SUMPRODUCT((Projects!$G$2:$G$14="Yes")*(39&gt;=Projects!$C$2:$C$14)*(39&lt;Projects!$C$2:$C$14+Projects!$D$2:$D$14)*Projects!$B$2:$B$14*Assumptions!$B$12/Projects!$D$2:$D$14*0.95)+SUMPRODUCT((Projects!$G$2:$G$14="Yes")*(39=Projects!$C$2:$C$14+Projects!$D$2:$D$14-1)*Projects!$B$2:$B$14*Assumptions!$B$12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),Actuals!AR9)</f>
        <v>353813.44610201661</v>
      </c>
      <c r="AS10" s="3">
        <f>IF(ISBLANK(Actuals!AS9),(SUMPRODUCT((Projects!$G$2:$G$14="Yes")*(40&gt;=Projects!$C$2:$C$14)*(40&lt;Projects!$C$2:$C$14+Projects!$D$2:$D$14)*Projects!$B$2:$B$14*Assumptions!$B$10/Projects!$D$2:$D$14*0.95)+SUMPRODUCT((Projects!$G$2:$G$14="Yes")*(40=Projects!$C$2:$C$14+Projects!$D$2:$D$14-1)*Projects!$B$2:$B$14*Assumptions!$B$10*0.05)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)+(SUMPRODUCT((Projects!$G$2:$G$14="Yes")*(40&gt;=Projects!$C$2:$C$14)*(40&lt;Projects!$C$2:$C$14+Projects!$D$2:$D$14)*Projects!$B$2:$B$14*Assumptions!$B$12/Projects!$D$2:$D$14*0.95)+SUMPRODUCT((Projects!$G$2:$G$14="Yes")*(40=Projects!$C$2:$C$14+Projects!$D$2:$D$14-1)*Projects!$B$2:$B$14*Assumptions!$B$12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),Actuals!AS9)</f>
        <v>415728.94610201661</v>
      </c>
      <c r="AT10" s="3">
        <f>IF(ISBLANK(Actuals!AT9),(SUMPRODUCT((Projects!$G$2:$G$14="Yes")*(41&gt;=Projects!$C$2:$C$14)*(41&lt;Projects!$C$2:$C$14+Projects!$D$2:$D$14)*Projects!$B$2:$B$14*Assumptions!$B$10/Projects!$D$2:$D$14*0.95)+SUMPRODUCT((Projects!$G$2:$G$14="Yes")*(41=Projects!$C$2:$C$14+Projects!$D$2:$D$14-1)*Projects!$B$2:$B$14*Assumptions!$B$10*0.05)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)+(SUMPRODUCT((Projects!$G$2:$G$14="Yes")*(41&gt;=Projects!$C$2:$C$14)*(41&lt;Projects!$C$2:$C$14+Projects!$D$2:$D$14)*Projects!$B$2:$B$14*Assumptions!$B$12/Projects!$D$2:$D$14*0.95)+SUMPRODUCT((Projects!$G$2:$G$14="Yes")*(41=Projects!$C$2:$C$14+Projects!$D$2:$D$14-1)*Projects!$B$2:$B$14*Assumptions!$B$12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),Actuals!AT9)</f>
        <v>415728.94610201661</v>
      </c>
      <c r="AU10" s="3">
        <f>IF(ISBLANK(Actuals!AU9),(SUMPRODUCT((Projects!$G$2:$G$14="Yes")*(42&gt;=Projects!$C$2:$C$14)*(42&lt;Projects!$C$2:$C$14+Projects!$D$2:$D$14)*Projects!$B$2:$B$14*Assumptions!$B$10/Projects!$D$2:$D$14*0.95)+SUMPRODUCT((Projects!$G$2:$G$14="Yes")*(42=Projects!$C$2:$C$14+Projects!$D$2:$D$14-1)*Projects!$B$2:$B$14*Assumptions!$B$10*0.05)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)+(SUMPRODUCT((Projects!$G$2:$G$14="Yes")*(42&gt;=Projects!$C$2:$C$14)*(42&lt;Projects!$C$2:$C$14+Projects!$D$2:$D$14)*Projects!$B$2:$B$14*Assumptions!$B$12/Projects!$D$2:$D$14*0.95)+SUMPRODUCT((Projects!$G$2:$G$14="Yes")*(42=Projects!$C$2:$C$14+Projects!$D$2:$D$14-1)*Projects!$B$2:$B$14*Assumptions!$B$12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),Actuals!AU9)</f>
        <v>571435.31820951658</v>
      </c>
      <c r="AV10" s="3">
        <f>IF(ISBLANK(Actuals!AV9),(SUMPRODUCT((Projects!$G$2:$G$14="Yes")*(43&gt;=Projects!$C$2:$C$14)*(43&lt;Projects!$C$2:$C$14+Projects!$D$2:$D$14)*Projects!$B$2:$B$14*Assumptions!$B$10/Projects!$D$2:$D$14*0.95)+SUMPRODUCT((Projects!$G$2:$G$14="Yes")*(43=Projects!$C$2:$C$14+Projects!$D$2:$D$14-1)*Projects!$B$2:$B$14*Assumptions!$B$10*0.05)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)+(SUMPRODUCT((Projects!$G$2:$G$14="Yes")*(43&gt;=Projects!$C$2:$C$14)*(43&lt;Projects!$C$2:$C$14+Projects!$D$2:$D$14)*Projects!$B$2:$B$14*Assumptions!$B$12/Projects!$D$2:$D$14*0.95)+SUMPRODUCT((Projects!$G$2:$G$14="Yes")*(43=Projects!$C$2:$C$14+Projects!$D$2:$D$14-1)*Projects!$B$2:$B$14*Assumptions!$B$12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),Actuals!AV9)</f>
        <v>317114.91043393337</v>
      </c>
      <c r="AW10" s="3">
        <f>IF(ISBLANK(Actuals!AW9),(SUMPRODUCT((Projects!$G$2:$G$14="Yes")*(44&gt;=Projects!$C$2:$C$14)*(44&lt;Projects!$C$2:$C$14+Projects!$D$2:$D$14)*Projects!$B$2:$B$14*Assumptions!$B$10/Projects!$D$2:$D$14*0.95)+SUMPRODUCT((Projects!$G$2:$G$14="Yes")*(44=Projects!$C$2:$C$14+Projects!$D$2:$D$14-1)*Projects!$B$2:$B$14*Assumptions!$B$10*0.05)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)+(SUMPRODUCT((Projects!$G$2:$G$14="Yes")*(44&gt;=Projects!$C$2:$C$14)*(44&lt;Projects!$C$2:$C$14+Projects!$D$2:$D$14)*Projects!$B$2:$B$14*Assumptions!$B$12/Projects!$D$2:$D$14*0.95)+SUMPRODUCT((Projects!$G$2:$G$14="Yes")*(44=Projects!$C$2:$C$14+Projects!$D$2:$D$14-1)*Projects!$B$2:$B$14*Assumptions!$B$12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),Actuals!AW9)</f>
        <v>317114.91043393337</v>
      </c>
      <c r="AX10" s="3">
        <f>IF(ISBLANK(Actuals!AX9),(SUMPRODUCT((Projects!$G$2:$G$14="Yes")*(45&gt;=Projects!$C$2:$C$14)*(45&lt;Projects!$C$2:$C$14+Projects!$D$2:$D$14)*Projects!$B$2:$B$14*Assumptions!$B$10/Projects!$D$2:$D$14*0.95)+SUMPRODUCT((Projects!$G$2:$G$14="Yes")*(45=Projects!$C$2:$C$14+Projects!$D$2:$D$14-1)*Projects!$B$2:$B$14*Assumptions!$B$10*0.05)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)+(SUMPRODUCT((Projects!$G$2:$G$14="Yes")*(45&gt;=Projects!$C$2:$C$14)*(45&lt;Projects!$C$2:$C$14+Projects!$D$2:$D$14)*Projects!$B$2:$B$14*Assumptions!$B$12/Projects!$D$2:$D$14*0.95)+SUMPRODUCT((Projects!$G$2:$G$14="Yes")*(45=Projects!$C$2:$C$14+Projects!$D$2:$D$14-1)*Projects!$B$2:$B$14*Assumptions!$B$12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),Actuals!AX9)</f>
        <v>317114.91043393337</v>
      </c>
      <c r="AY10" s="3">
        <f>IF(ISBLANK(Actuals!AY9),(SUMPRODUCT((Projects!$G$2:$G$14="Yes")*(46&gt;=Projects!$C$2:$C$14)*(46&lt;Projects!$C$2:$C$14+Projects!$D$2:$D$14)*Projects!$B$2:$B$14*Assumptions!$B$10/Projects!$D$2:$D$14*0.95)+SUMPRODUCT((Projects!$G$2:$G$14="Yes")*(46=Projects!$C$2:$C$14+Projects!$D$2:$D$14-1)*Projects!$B$2:$B$14*Assumptions!$B$10*0.05)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)+(SUMPRODUCT((Projects!$G$2:$G$14="Yes")*(46&gt;=Projects!$C$2:$C$14)*(46&lt;Projects!$C$2:$C$14+Projects!$D$2:$D$14)*Projects!$B$2:$B$14*Assumptions!$B$12/Projects!$D$2:$D$14*0.95)+SUMPRODUCT((Projects!$G$2:$G$14="Yes")*(46=Projects!$C$2:$C$14+Projects!$D$2:$D$14-1)*Projects!$B$2:$B$14*Assumptions!$B$12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),Actuals!AY9)</f>
        <v>317114.91043393337</v>
      </c>
      <c r="AZ10" s="3">
        <f>IF(ISBLANK(Actuals!AZ9),(SUMPRODUCT((Projects!$G$2:$G$14="Yes")*(47&gt;=Projects!$C$2:$C$14)*(47&lt;Projects!$C$2:$C$14+Projects!$D$2:$D$14)*Projects!$B$2:$B$14*Assumptions!$B$10/Projects!$D$2:$D$14*0.95)+SUMPRODUCT((Projects!$G$2:$G$14="Yes")*(47=Projects!$C$2:$C$14+Projects!$D$2:$D$14-1)*Projects!$B$2:$B$14*Assumptions!$B$10*0.05)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)+(SUMPRODUCT((Projects!$G$2:$G$14="Yes")*(47&gt;=Projects!$C$2:$C$14)*(47&lt;Projects!$C$2:$C$14+Projects!$D$2:$D$14)*Projects!$B$2:$B$14*Assumptions!$B$12/Projects!$D$2:$D$14*0.95)+SUMPRODUCT((Projects!$G$2:$G$14="Yes")*(47=Projects!$C$2:$C$14+Projects!$D$2:$D$14-1)*Projects!$B$2:$B$14*Assumptions!$B$12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),Actuals!AZ9)</f>
        <v>317114.91043393337</v>
      </c>
      <c r="BA10" s="3">
        <f>IF(ISBLANK(Actuals!BA9),(SUMPRODUCT((Projects!$G$2:$G$14="Yes")*(48&gt;=Projects!$C$2:$C$14)*(48&lt;Projects!$C$2:$C$14+Projects!$D$2:$D$14)*Projects!$B$2:$B$14*Assumptions!$B$10/Projects!$D$2:$D$14*0.95)+SUMPRODUCT((Projects!$G$2:$G$14="Yes")*(48=Projects!$C$2:$C$14+Projects!$D$2:$D$14-1)*Projects!$B$2:$B$14*Assumptions!$B$10*0.05)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)+(SUMPRODUCT((Projects!$G$2:$G$14="Yes")*(48&gt;=Projects!$C$2:$C$14)*(48&lt;Projects!$C$2:$C$14+Projects!$D$2:$D$14)*Projects!$B$2:$B$14*Assumptions!$B$12/Projects!$D$2:$D$14*0.95)+SUMPRODUCT((Projects!$G$2:$G$14="Yes")*(48=Projects!$C$2:$C$14+Projects!$D$2:$D$14-1)*Projects!$B$2:$B$14*Assumptions!$B$12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),Actuals!BA9)</f>
        <v>368711.16043393331</v>
      </c>
      <c r="BB10" s="3">
        <f>IF(ISBLANK(Actuals!BB9),(SUMPRODUCT((Projects!$G$2:$G$14="Yes")*(49&gt;=Projects!$C$2:$C$14)*(49&lt;Projects!$C$2:$C$14+Projects!$D$2:$D$14)*Projects!$B$2:$B$14*Assumptions!$B$10/Projects!$D$2:$D$14*0.95)+SUMPRODUCT((Projects!$G$2:$G$14="Yes")*(49=Projects!$C$2:$C$14+Projects!$D$2:$D$14-1)*Projects!$B$2:$B$14*Assumptions!$B$10*0.05)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)+(SUMPRODUCT((Projects!$G$2:$G$14="Yes")*(49&gt;=Projects!$C$2:$C$14)*(49&lt;Projects!$C$2:$C$14+Projects!$D$2:$D$14)*Projects!$B$2:$B$14*Assumptions!$B$12/Projects!$D$2:$D$14*0.95)+SUMPRODUCT((Projects!$G$2:$G$14="Yes")*(49=Projects!$C$2:$C$14+Projects!$D$2:$D$14-1)*Projects!$B$2:$B$14*Assumptions!$B$12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),Actuals!BB9)</f>
        <v>420307.41043393331</v>
      </c>
      <c r="BC10" s="3">
        <f>IF(ISBLANK(Actuals!BC9),(SUMPRODUCT((Projects!$G$2:$G$14="Yes")*(50&gt;=Projects!$C$2:$C$14)*(50&lt;Projects!$C$2:$C$14+Projects!$D$2:$D$14)*Projects!$B$2:$B$14*Assumptions!$B$10/Projects!$D$2:$D$14*0.95)+SUMPRODUCT((Projects!$G$2:$G$14="Yes")*(50=Projects!$C$2:$C$14+Projects!$D$2:$D$14-1)*Projects!$B$2:$B$14*Assumptions!$B$10*0.05)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)+(SUMPRODUCT((Projects!$G$2:$G$14="Yes")*(50&gt;=Projects!$C$2:$C$14)*(50&lt;Projects!$C$2:$C$14+Projects!$D$2:$D$14)*Projects!$B$2:$B$14*Assumptions!$B$12/Projects!$D$2:$D$14*0.95)+SUMPRODUCT((Projects!$G$2:$G$14="Yes")*(50=Projects!$C$2:$C$14+Projects!$D$2:$D$14-1)*Projects!$B$2:$B$14*Assumptions!$B$12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),Actuals!BC9)</f>
        <v>317114.91043393337</v>
      </c>
      <c r="BD10" s="3">
        <f>IF(ISBLANK(Actuals!BD9),(SUMPRODUCT((Projects!$G$2:$G$14="Yes")*(51&gt;=Projects!$C$2:$C$14)*(51&lt;Projects!$C$2:$C$14+Projects!$D$2:$D$14)*Projects!$B$2:$B$14*Assumptions!$B$10/Projects!$D$2:$D$14*0.95)+SUMPRODUCT((Projects!$G$2:$G$14="Yes")*(51=Projects!$C$2:$C$14+Projects!$D$2:$D$14-1)*Projects!$B$2:$B$14*Assumptions!$B$10*0.05)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)+(SUMPRODUCT((Projects!$G$2:$G$14="Yes")*(51&gt;=Projects!$C$2:$C$14)*(51&lt;Projects!$C$2:$C$14+Projects!$D$2:$D$14)*Projects!$B$2:$B$14*Assumptions!$B$12/Projects!$D$2:$D$14*0.95)+SUMPRODUCT((Projects!$G$2:$G$14="Yes")*(51=Projects!$C$2:$C$14+Projects!$D$2:$D$14-1)*Projects!$B$2:$B$14*Assumptions!$B$12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),Actuals!BD9)</f>
        <v>317114.91043393337</v>
      </c>
      <c r="BE10" s="3">
        <f>IF(ISBLANK(Actuals!BE9),(SUMPRODUCT((Projects!$G$2:$G$14="Yes")*(52&gt;=Projects!$C$2:$C$14)*(52&lt;Projects!$C$2:$C$14+Projects!$D$2:$D$14)*Projects!$B$2:$B$14*Assumptions!$B$10/Projects!$D$2:$D$14*0.95)+SUMPRODUCT((Projects!$G$2:$G$14="Yes")*(52=Projects!$C$2:$C$14+Projects!$D$2:$D$14-1)*Projects!$B$2:$B$14*Assumptions!$B$10*0.05)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)+(SUMPRODUCT((Projects!$G$2:$G$14="Yes")*(52&gt;=Projects!$C$2:$C$14)*(52&lt;Projects!$C$2:$C$14+Projects!$D$2:$D$14)*Projects!$B$2:$B$14*Assumptions!$B$12/Projects!$D$2:$D$14*0.95)+SUMPRODUCT((Projects!$G$2:$G$14="Yes")*(52=Projects!$C$2:$C$14+Projects!$D$2:$D$14-1)*Projects!$B$2:$B$14*Assumptions!$B$12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),Actuals!BE9)</f>
        <v>430626.66043393331</v>
      </c>
      <c r="BF10" s="3">
        <f>IF(ISBLANK(Actuals!BF9),(SUMPRODUCT((Projects!$G$2:$G$14="Yes")*(53&gt;=Projects!$C$2:$C$14)*(53&lt;Projects!$C$2:$C$14+Projects!$D$2:$D$14)*Projects!$B$2:$B$14*Assumptions!$B$10/Projects!$D$2:$D$14*0.95)+SUMPRODUCT((Projects!$G$2:$G$14="Yes")*(53=Projects!$C$2:$C$14+Projects!$D$2:$D$14-1)*Projects!$B$2:$B$14*Assumptions!$B$10*0.05)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)+(SUMPRODUCT((Projects!$G$2:$G$14="Yes")*(53&gt;=Projects!$C$2:$C$14)*(53&lt;Projects!$C$2:$C$14+Projects!$D$2:$D$14)*Projects!$B$2:$B$14*Assumptions!$B$12/Projects!$D$2:$D$14*0.95)+SUMPRODUCT((Projects!$G$2:$G$14="Yes")*(53=Projects!$C$2:$C$14+Projects!$D$2:$D$14-1)*Projects!$B$2:$B$14*Assumptions!$B$12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),Actuals!BF9)</f>
        <v>327434.16043393331</v>
      </c>
      <c r="BG10" s="3">
        <f>IF(ISBLANK(Actuals!BG9),(SUMPRODUCT((Projects!$G$2:$G$14="Yes")*(54&gt;=Projects!$C$2:$C$14)*(54&lt;Projects!$C$2:$C$14+Projects!$D$2:$D$14)*Projects!$B$2:$B$14*Assumptions!$B$10/Projects!$D$2:$D$14*0.95)+SUMPRODUCT((Projects!$G$2:$G$14="Yes")*(54=Projects!$C$2:$C$14+Projects!$D$2:$D$14-1)*Projects!$B$2:$B$14*Assumptions!$B$10*0.05)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)+(SUMPRODUCT((Projects!$G$2:$G$14="Yes")*(54&gt;=Projects!$C$2:$C$14)*(54&lt;Projects!$C$2:$C$14+Projects!$D$2:$D$14)*Projects!$B$2:$B$14*Assumptions!$B$12/Projects!$D$2:$D$14*0.95)+SUMPRODUCT((Projects!$G$2:$G$14="Yes")*(54=Projects!$C$2:$C$14+Projects!$D$2:$D$14-1)*Projects!$B$2:$B$14*Assumptions!$B$12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),Actuals!BG9)</f>
        <v>379030.41043393331</v>
      </c>
      <c r="BH10" s="3">
        <f>IF(ISBLANK(Actuals!BH9),(SUMPRODUCT((Projects!$G$2:$G$14="Yes")*(55&gt;=Projects!$C$2:$C$14)*(55&lt;Projects!$C$2:$C$14+Projects!$D$2:$D$14)*Projects!$B$2:$B$14*Assumptions!$B$10/Projects!$D$2:$D$14*0.95)+SUMPRODUCT((Projects!$G$2:$G$14="Yes")*(55=Projects!$C$2:$C$14+Projects!$D$2:$D$14-1)*Projects!$B$2:$B$14*Assumptions!$B$10*0.05)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)+(SUMPRODUCT((Projects!$G$2:$G$14="Yes")*(55&gt;=Projects!$C$2:$C$14)*(55&lt;Projects!$C$2:$C$14+Projects!$D$2:$D$14)*Projects!$B$2:$B$14*Assumptions!$B$12/Projects!$D$2:$D$14*0.95)+SUMPRODUCT((Projects!$G$2:$G$14="Yes")*(55=Projects!$C$2:$C$14+Projects!$D$2:$D$14-1)*Projects!$B$2:$B$14*Assumptions!$B$12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),Actuals!BH9)</f>
        <v>440945.91043393331</v>
      </c>
      <c r="BI10" s="3">
        <f>IF(ISBLANK(Actuals!BI9),(SUMPRODUCT((Projects!$G$2:$G$14="Yes")*(56&gt;=Projects!$C$2:$C$14)*(56&lt;Projects!$C$2:$C$14+Projects!$D$2:$D$14)*Projects!$B$2:$B$14*Assumptions!$B$10/Projects!$D$2:$D$14*0.95)+SUMPRODUCT((Projects!$G$2:$G$14="Yes")*(56=Projects!$C$2:$C$14+Projects!$D$2:$D$14-1)*Projects!$B$2:$B$14*Assumptions!$B$10*0.05)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)+(SUMPRODUCT((Projects!$G$2:$G$14="Yes")*(56&gt;=Projects!$C$2:$C$14)*(56&lt;Projects!$C$2:$C$14+Projects!$D$2:$D$14)*Projects!$B$2:$B$14*Assumptions!$B$12/Projects!$D$2:$D$14*0.95)+SUMPRODUCT((Projects!$G$2:$G$14="Yes")*(56=Projects!$C$2:$C$14+Projects!$D$2:$D$14-1)*Projects!$B$2:$B$14*Assumptions!$B$12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),Actuals!BI9)</f>
        <v>510960.75585593336</v>
      </c>
      <c r="BJ10" s="3">
        <f>IF(ISBLANK(Actuals!BJ9),(SUMPRODUCT((Projects!$G$2:$G$14="Yes")*(57&gt;=Projects!$C$2:$C$14)*(57&lt;Projects!$C$2:$C$14+Projects!$D$2:$D$14)*Projects!$B$2:$B$14*Assumptions!$B$10/Projects!$D$2:$D$14*0.95)+SUMPRODUCT((Projects!$G$2:$G$14="Yes")*(57=Projects!$C$2:$C$14+Projects!$D$2:$D$14-1)*Projects!$B$2:$B$14*Assumptions!$B$10*0.05)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)+(SUMPRODUCT((Projects!$G$2:$G$14="Yes")*(57&gt;=Projects!$C$2:$C$14)*(57&lt;Projects!$C$2:$C$14+Projects!$D$2:$D$14)*Projects!$B$2:$B$14*Assumptions!$B$12/Projects!$D$2:$D$14*0.95)+SUMPRODUCT((Projects!$G$2:$G$14="Yes")*(57=Projects!$C$2:$C$14+Projects!$D$2:$D$14-1)*Projects!$B$2:$B$14*Assumptions!$B$12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),Actuals!BJ9)</f>
        <v>278619.75</v>
      </c>
      <c r="BK10" s="3">
        <f>IF(ISBLANK(Actuals!BK9),(SUMPRODUCT((Projects!$G$2:$G$14="Yes")*(58&gt;=Projects!$C$2:$C$14)*(58&lt;Projects!$C$2:$C$14+Projects!$D$2:$D$14)*Projects!$B$2:$B$14*Assumptions!$B$10/Projects!$D$2:$D$14*0.95)+SUMPRODUCT((Projects!$G$2:$G$14="Yes")*(58=Projects!$C$2:$C$14+Projects!$D$2:$D$14-1)*Projects!$B$2:$B$14*Assumptions!$B$10*0.05)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)+(SUMPRODUCT((Projects!$G$2:$G$14="Yes")*(58&gt;=Projects!$C$2:$C$14)*(58&lt;Projects!$C$2:$C$14+Projects!$D$2:$D$14)*Projects!$B$2:$B$14*Assumptions!$B$12/Projects!$D$2:$D$14*0.95)+SUMPRODUCT((Projects!$G$2:$G$14="Yes")*(58=Projects!$C$2:$C$14+Projects!$D$2:$D$14-1)*Projects!$B$2:$B$14*Assumptions!$B$12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),Actuals!BK9)</f>
        <v>402450.75</v>
      </c>
      <c r="BL10" s="3">
        <f>IF(ISBLANK(Actuals!BL9),(SUMPRODUCT((Projects!$G$2:$G$14="Yes")*(59&gt;=Projects!$C$2:$C$14)*(59&lt;Projects!$C$2:$C$14+Projects!$D$2:$D$14)*Projects!$B$2:$B$14*Assumptions!$B$10/Projects!$D$2:$D$14*0.95)+SUMPRODUCT((Projects!$G$2:$G$14="Yes")*(59=Projects!$C$2:$C$14+Projects!$D$2:$D$14-1)*Projects!$B$2:$B$14*Assumptions!$B$10*0.05)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)+(SUMPRODUCT((Projects!$G$2:$G$14="Yes")*(59&gt;=Projects!$C$2:$C$14)*(59&lt;Projects!$C$2:$C$14+Projects!$D$2:$D$14)*Projects!$B$2:$B$14*Assumptions!$B$12/Projects!$D$2:$D$14*0.95)+SUMPRODUCT((Projects!$G$2:$G$14="Yes")*(59=Projects!$C$2:$C$14+Projects!$D$2:$D$14-1)*Projects!$B$2:$B$14*Assumptions!$B$12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),Actuals!BL9)</f>
        <v>278619.75</v>
      </c>
      <c r="BM10" s="3">
        <f>IF(ISBLANK(Actuals!BM9),(SUMPRODUCT((Projects!$G$2:$G$14="Yes")*(60&gt;=Projects!$C$2:$C$14)*(60&lt;Projects!$C$2:$C$14+Projects!$D$2:$D$14)*Projects!$B$2:$B$14*Assumptions!$B$10/Projects!$D$2:$D$14*0.95)+SUMPRODUCT((Projects!$G$2:$G$14="Yes")*(60=Projects!$C$2:$C$14+Projects!$D$2:$D$14-1)*Projects!$B$2:$B$14*Assumptions!$B$10*0.05)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)+(SUMPRODUCT((Projects!$G$2:$G$14="Yes")*(60&gt;=Projects!$C$2:$C$14)*(60&lt;Projects!$C$2:$C$14+Projects!$D$2:$D$14)*Projects!$B$2:$B$14*Assumptions!$B$12/Projects!$D$2:$D$14*0.95)+SUMPRODUCT((Projects!$G$2:$G$14="Yes")*(60=Projects!$C$2:$C$14+Projects!$D$2:$D$14-1)*Projects!$B$2:$B$14*Assumptions!$B$12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),Actuals!BM9)</f>
        <v>330216</v>
      </c>
      <c r="BN10" s="3">
        <f>IF(ISBLANK(Actuals!BN9),(SUMPRODUCT((Projects!$G$2:$G$14="Yes")*(61&gt;=Projects!$C$2:$C$14)*(61&lt;Projects!$C$2:$C$14+Projects!$D$2:$D$14)*Projects!$B$2:$B$14*Assumptions!$B$10/Projects!$D$2:$D$14*0.95)+SUMPRODUCT((Projects!$G$2:$G$14="Yes")*(61=Projects!$C$2:$C$14+Projects!$D$2:$D$14-1)*Projects!$B$2:$B$14*Assumptions!$B$10*0.05)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)+(SUMPRODUCT((Projects!$G$2:$G$14="Yes")*(61&gt;=Projects!$C$2:$C$14)*(61&lt;Projects!$C$2:$C$14+Projects!$D$2:$D$14)*Projects!$B$2:$B$14*Assumptions!$B$12/Projects!$D$2:$D$14*0.95)+SUMPRODUCT((Projects!$G$2:$G$14="Yes")*(61=Projects!$C$2:$C$14+Projects!$D$2:$D$14-1)*Projects!$B$2:$B$14*Assumptions!$B$12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),Actuals!BN9)</f>
        <v>330216</v>
      </c>
      <c r="BO10" s="3">
        <f>IF(ISBLANK(Actuals!BO9),(SUMPRODUCT((Projects!$G$2:$G$14="Yes")*(62&gt;=Projects!$C$2:$C$14)*(62&lt;Projects!$C$2:$C$14+Projects!$D$2:$D$14)*Projects!$B$2:$B$14*Assumptions!$B$10/Projects!$D$2:$D$14*0.95)+SUMPRODUCT((Projects!$G$2:$G$14="Yes")*(62=Projects!$C$2:$C$14+Projects!$D$2:$D$14-1)*Projects!$B$2:$B$14*Assumptions!$B$10*0.05)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)+(SUMPRODUCT((Projects!$G$2:$G$14="Yes")*(62&gt;=Projects!$C$2:$C$14)*(62&lt;Projects!$C$2:$C$14+Projects!$D$2:$D$14)*Projects!$B$2:$B$14*Assumptions!$B$12/Projects!$D$2:$D$14*0.95)+SUMPRODUCT((Projects!$G$2:$G$14="Yes")*(62=Projects!$C$2:$C$14+Projects!$D$2:$D$14-1)*Projects!$B$2:$B$14*Assumptions!$B$12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),Actuals!BO9)</f>
        <v>392131.5</v>
      </c>
      <c r="BP10" s="3">
        <f>IF(ISBLANK(Actuals!BP9),(SUMPRODUCT((Projects!$G$2:$G$14="Yes")*(63&gt;=Projects!$C$2:$C$14)*(63&lt;Projects!$C$2:$C$14+Projects!$D$2:$D$14)*Projects!$B$2:$B$14*Assumptions!$B$10/Projects!$D$2:$D$14*0.95)+SUMPRODUCT((Projects!$G$2:$G$14="Yes")*(63=Projects!$C$2:$C$14+Projects!$D$2:$D$14-1)*Projects!$B$2:$B$14*Assumptions!$B$10*0.05)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)+(SUMPRODUCT((Projects!$G$2:$G$14="Yes")*(63&gt;=Projects!$C$2:$C$14)*(63&lt;Projects!$C$2:$C$14+Projects!$D$2:$D$14)*Projects!$B$2:$B$14*Assumptions!$B$12/Projects!$D$2:$D$14*0.95)+SUMPRODUCT((Projects!$G$2:$G$14="Yes")*(63=Projects!$C$2:$C$14+Projects!$D$2:$D$14-1)*Projects!$B$2:$B$14*Assumptions!$B$12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),Actuals!BP9)</f>
        <v>392131.5</v>
      </c>
      <c r="BQ10" s="3">
        <f>IF(ISBLANK(Actuals!BQ9),(SUMPRODUCT((Projects!$G$2:$G$14="Yes")*(64&gt;=Projects!$C$2:$C$14)*(64&lt;Projects!$C$2:$C$14+Projects!$D$2:$D$14)*Projects!$B$2:$B$14*Assumptions!$B$10/Projects!$D$2:$D$14*0.95)+SUMPRODUCT((Projects!$G$2:$G$14="Yes")*(64=Projects!$C$2:$C$14+Projects!$D$2:$D$14-1)*Projects!$B$2:$B$14*Assumptions!$B$10*0.05)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)+(SUMPRODUCT((Projects!$G$2:$G$14="Yes")*(64&gt;=Projects!$C$2:$C$14)*(64&lt;Projects!$C$2:$C$14+Projects!$D$2:$D$14)*Projects!$B$2:$B$14*Assumptions!$B$12/Projects!$D$2:$D$14*0.95)+SUMPRODUCT((Projects!$G$2:$G$14="Yes")*(64=Projects!$C$2:$C$14+Projects!$D$2:$D$14-1)*Projects!$B$2:$B$14*Assumptions!$B$12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),Actuals!BQ9)</f>
        <v>392131.5</v>
      </c>
      <c r="BR10" s="3">
        <f>IF(ISBLANK(Actuals!BR9),(SUMPRODUCT((Projects!$G$2:$G$14="Yes")*(65&gt;=Projects!$C$2:$C$14)*(65&lt;Projects!$C$2:$C$14+Projects!$D$2:$D$14)*Projects!$B$2:$B$14*Assumptions!$B$10/Projects!$D$2:$D$14*0.95)+SUMPRODUCT((Projects!$G$2:$G$14="Yes")*(65=Projects!$C$2:$C$14+Projects!$D$2:$D$14-1)*Projects!$B$2:$B$14*Assumptions!$B$10*0.05)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)+(SUMPRODUCT((Projects!$G$2:$G$14="Yes")*(65&gt;=Projects!$C$2:$C$14)*(65&lt;Projects!$C$2:$C$14+Projects!$D$2:$D$14)*Projects!$B$2:$B$14*Assumptions!$B$12/Projects!$D$2:$D$14*0.95)+SUMPRODUCT((Projects!$G$2:$G$14="Yes")*(65=Projects!$C$2:$C$14+Projects!$D$2:$D$14-1)*Projects!$B$2:$B$14*Assumptions!$B$12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),Actuals!BR9)</f>
        <v>392131.5</v>
      </c>
      <c r="BS10" s="3">
        <f>IF(ISBLANK(Actuals!BS9),(SUMPRODUCT((Projects!$G$2:$G$14="Yes")*(66&gt;=Projects!$C$2:$C$14)*(66&lt;Projects!$C$2:$C$14+Projects!$D$2:$D$14)*Projects!$B$2:$B$14*Assumptions!$B$10/Projects!$D$2:$D$14*0.95)+SUMPRODUCT((Projects!$G$2:$G$14="Yes")*(66=Projects!$C$2:$C$14+Projects!$D$2:$D$14-1)*Projects!$B$2:$B$14*Assumptions!$B$10*0.05)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)+(SUMPRODUCT((Projects!$G$2:$G$14="Yes")*(66&gt;=Projects!$C$2:$C$14)*(66&lt;Projects!$C$2:$C$14+Projects!$D$2:$D$14)*Projects!$B$2:$B$14*Assumptions!$B$12/Projects!$D$2:$D$14*0.95)+SUMPRODUCT((Projects!$G$2:$G$14="Yes")*(66=Projects!$C$2:$C$14+Projects!$D$2:$D$14-1)*Projects!$B$2:$B$14*Assumptions!$B$12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),Actuals!BS9)</f>
        <v>443727.75</v>
      </c>
      <c r="BT10" s="3">
        <f>IF(ISBLANK(Actuals!BT9),(SUMPRODUCT((Projects!$G$2:$G$14="Yes")*(67&gt;=Projects!$C$2:$C$14)*(67&lt;Projects!$C$2:$C$14+Projects!$D$2:$D$14)*Projects!$B$2:$B$14*Assumptions!$B$10/Projects!$D$2:$D$14*0.95)+SUMPRODUCT((Projects!$G$2:$G$14="Yes")*(67=Projects!$C$2:$C$14+Projects!$D$2:$D$14-1)*Projects!$B$2:$B$14*Assumptions!$B$10*0.05)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)+(SUMPRODUCT((Projects!$G$2:$G$14="Yes")*(67&gt;=Projects!$C$2:$C$14)*(67&lt;Projects!$C$2:$C$14+Projects!$D$2:$D$14)*Projects!$B$2:$B$14*Assumptions!$B$12/Projects!$D$2:$D$14*0.95)+SUMPRODUCT((Projects!$G$2:$G$14="Yes")*(67=Projects!$C$2:$C$14+Projects!$D$2:$D$14-1)*Projects!$B$2:$B$14*Assumptions!$B$12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),Actuals!BT9)</f>
        <v>340535.25</v>
      </c>
      <c r="BU10" s="3">
        <f>IF(ISBLANK(Actuals!BU9),(SUMPRODUCT((Projects!$G$2:$G$14="Yes")*(68&gt;=Projects!$C$2:$C$14)*(68&lt;Projects!$C$2:$C$14+Projects!$D$2:$D$14)*Projects!$B$2:$B$14*Assumptions!$B$10/Projects!$D$2:$D$14*0.95)+SUMPRODUCT((Projects!$G$2:$G$14="Yes")*(68=Projects!$C$2:$C$14+Projects!$D$2:$D$14-1)*Projects!$B$2:$B$14*Assumptions!$B$10*0.05)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)+(SUMPRODUCT((Projects!$G$2:$G$14="Yes")*(68&gt;=Projects!$C$2:$C$14)*(68&lt;Projects!$C$2:$C$14+Projects!$D$2:$D$14)*Projects!$B$2:$B$14*Assumptions!$B$12/Projects!$D$2:$D$14*0.95)+SUMPRODUCT((Projects!$G$2:$G$14="Yes")*(68=Projects!$C$2:$C$14+Projects!$D$2:$D$14-1)*Projects!$B$2:$B$14*Assumptions!$B$12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),Actuals!BU9)</f>
        <v>402450.75</v>
      </c>
      <c r="BV10" s="3">
        <f>IF(ISBLANK(Actuals!BV9),(SUMPRODUCT((Projects!$G$2:$G$14="Yes")*(69&gt;=Projects!$C$2:$C$14)*(69&lt;Projects!$C$2:$C$14+Projects!$D$2:$D$14)*Projects!$B$2:$B$14*Assumptions!$B$10/Projects!$D$2:$D$14*0.95)+SUMPRODUCT((Projects!$G$2:$G$14="Yes")*(69=Projects!$C$2:$C$14+Projects!$D$2:$D$14-1)*Projects!$B$2:$B$14*Assumptions!$B$10*0.05)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)+(SUMPRODUCT((Projects!$G$2:$G$14="Yes")*(69&gt;=Projects!$C$2:$C$14)*(69&lt;Projects!$C$2:$C$14+Projects!$D$2:$D$14)*Projects!$B$2:$B$14*Assumptions!$B$12/Projects!$D$2:$D$14*0.95)+SUMPRODUCT((Projects!$G$2:$G$14="Yes")*(69=Projects!$C$2:$C$14+Projects!$D$2:$D$14-1)*Projects!$B$2:$B$14*Assumptions!$B$12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),Actuals!BV9)</f>
        <v>402450.75</v>
      </c>
      <c r="BW10" s="3">
        <f>IF(ISBLANK(Actuals!BW9),(SUMPRODUCT((Projects!$G$2:$G$14="Yes")*(70&gt;=Projects!$C$2:$C$14)*(70&lt;Projects!$C$2:$C$14+Projects!$D$2:$D$14)*Projects!$B$2:$B$14*Assumptions!$B$10/Projects!$D$2:$D$14*0.95)+SUMPRODUCT((Projects!$G$2:$G$14="Yes")*(70=Projects!$C$2:$C$14+Projects!$D$2:$D$14-1)*Projects!$B$2:$B$14*Assumptions!$B$10*0.05)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)+(SUMPRODUCT((Projects!$G$2:$G$14="Yes")*(70&gt;=Projects!$C$2:$C$14)*(70&lt;Projects!$C$2:$C$14+Projects!$D$2:$D$14)*Projects!$B$2:$B$14*Assumptions!$B$12/Projects!$D$2:$D$14*0.95)+SUMPRODUCT((Projects!$G$2:$G$14="Yes")*(70=Projects!$C$2:$C$14+Projects!$D$2:$D$14-1)*Projects!$B$2:$B$14*Assumptions!$B$12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),Actuals!BW9)</f>
        <v>464366.25</v>
      </c>
      <c r="BX10" s="3">
        <f>IF(ISBLANK(Actuals!BX9),(SUMPRODUCT((Projects!$G$2:$G$14="Yes")*(71&gt;=Projects!$C$2:$C$14)*(71&lt;Projects!$C$2:$C$14+Projects!$D$2:$D$14)*Projects!$B$2:$B$14*Assumptions!$B$10/Projects!$D$2:$D$14*0.95)+SUMPRODUCT((Projects!$G$2:$G$14="Yes")*(71=Projects!$C$2:$C$14+Projects!$D$2:$D$14-1)*Projects!$B$2:$B$14*Assumptions!$B$10*0.05)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)+(SUMPRODUCT((Projects!$G$2:$G$14="Yes")*(71&gt;=Projects!$C$2:$C$14)*(71&lt;Projects!$C$2:$C$14+Projects!$D$2:$D$14)*Projects!$B$2:$B$14*Assumptions!$B$12/Projects!$D$2:$D$14*0.95)+SUMPRODUCT((Projects!$G$2:$G$14="Yes")*(71=Projects!$C$2:$C$14+Projects!$D$2:$D$14-1)*Projects!$B$2:$B$14*Assumptions!$B$12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),Actuals!BX9)</f>
        <v>340535.25</v>
      </c>
      <c r="BY10" s="3">
        <f>IF(ISBLANK(Actuals!BY9),(SUMPRODUCT((Projects!$G$2:$G$14="Yes")*(72&gt;=Projects!$C$2:$C$14)*(72&lt;Projects!$C$2:$C$14+Projects!$D$2:$D$14)*Projects!$B$2:$B$14*Assumptions!$B$10/Projects!$D$2:$D$14*0.95)+SUMPRODUCT((Projects!$G$2:$G$14="Yes")*(72=Projects!$C$2:$C$14+Projects!$D$2:$D$14-1)*Projects!$B$2:$B$14*Assumptions!$B$10*0.05)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)+(SUMPRODUCT((Projects!$G$2:$G$14="Yes")*(72&gt;=Projects!$C$2:$C$14)*(72&lt;Projects!$C$2:$C$14+Projects!$D$2:$D$14)*Projects!$B$2:$B$14*Assumptions!$B$12/Projects!$D$2:$D$14*0.95)+SUMPRODUCT((Projects!$G$2:$G$14="Yes")*(72=Projects!$C$2:$C$14+Projects!$D$2:$D$14-1)*Projects!$B$2:$B$14*Assumptions!$B$12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),Actuals!BY9)</f>
        <v>392131.49999999994</v>
      </c>
      <c r="BZ10" s="3">
        <f>IF(ISBLANK(Actuals!BZ9),(SUMPRODUCT((Projects!$G$2:$G$14="Yes")*(73&gt;=Projects!$C$2:$C$14)*(73&lt;Projects!$C$2:$C$14+Projects!$D$2:$D$14)*Projects!$B$2:$B$14*Assumptions!$B$10/Projects!$D$2:$D$14*0.95)+SUMPRODUCT((Projects!$G$2:$G$14="Yes")*(73=Projects!$C$2:$C$14+Projects!$D$2:$D$14-1)*Projects!$B$2:$B$14*Assumptions!$B$10*0.05)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)+(SUMPRODUCT((Projects!$G$2:$G$14="Yes")*(73&gt;=Projects!$C$2:$C$14)*(73&lt;Projects!$C$2:$C$14+Projects!$D$2:$D$14)*Projects!$B$2:$B$14*Assumptions!$B$12/Projects!$D$2:$D$14*0.95)+SUMPRODUCT((Projects!$G$2:$G$14="Yes")*(73=Projects!$C$2:$C$14+Projects!$D$2:$D$14-1)*Projects!$B$2:$B$14*Assumptions!$B$12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),Actuals!BZ9)</f>
        <v>288939</v>
      </c>
      <c r="CA10" s="3">
        <f>IF(ISBLANK(Actuals!CA9),(SUMPRODUCT((Projects!$G$2:$G$14="Yes")*(74&gt;=Projects!$C$2:$C$14)*(74&lt;Projects!$C$2:$C$14+Projects!$D$2:$D$14)*Projects!$B$2:$B$14*Assumptions!$B$10/Projects!$D$2:$D$14*0.95)+SUMPRODUCT((Projects!$G$2:$G$14="Yes")*(74=Projects!$C$2:$C$14+Projects!$D$2:$D$14-1)*Projects!$B$2:$B$14*Assumptions!$B$10*0.05)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)+(SUMPRODUCT((Projects!$G$2:$G$14="Yes")*(74&gt;=Projects!$C$2:$C$14)*(74&lt;Projects!$C$2:$C$14+Projects!$D$2:$D$14)*Projects!$B$2:$B$14*Assumptions!$B$12/Projects!$D$2:$D$14*0.95)+SUMPRODUCT((Projects!$G$2:$G$14="Yes")*(74=Projects!$C$2:$C$14+Projects!$D$2:$D$14-1)*Projects!$B$2:$B$14*Assumptions!$B$12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),Actuals!CA9)</f>
        <v>402450.75</v>
      </c>
      <c r="CB10" s="3">
        <f>IF(ISBLANK(Actuals!CB9),(SUMPRODUCT((Projects!$G$2:$G$14="Yes")*(75&gt;=Projects!$C$2:$C$14)*(75&lt;Projects!$C$2:$C$14+Projects!$D$2:$D$14)*Projects!$B$2:$B$14*Assumptions!$B$10/Projects!$D$2:$D$14*0.95)+SUMPRODUCT((Projects!$G$2:$G$14="Yes")*(75=Projects!$C$2:$C$14+Projects!$D$2:$D$14-1)*Projects!$B$2:$B$14*Assumptions!$B$10*0.05)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)+(SUMPRODUCT((Projects!$G$2:$G$14="Yes")*(75&gt;=Projects!$C$2:$C$14)*(75&lt;Projects!$C$2:$C$14+Projects!$D$2:$D$14)*Projects!$B$2:$B$14*Assumptions!$B$12/Projects!$D$2:$D$14*0.95)+SUMPRODUCT((Projects!$G$2:$G$14="Yes")*(75=Projects!$C$2:$C$14+Projects!$D$2:$D$14-1)*Projects!$B$2:$B$14*Assumptions!$B$12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),Actuals!CB9)</f>
        <v>299258.25</v>
      </c>
      <c r="CC10" s="3">
        <f>IF(ISBLANK(Actuals!CC9),(SUMPRODUCT((Projects!$G$2:$G$14="Yes")*(76&gt;=Projects!$C$2:$C$14)*(76&lt;Projects!$C$2:$C$14+Projects!$D$2:$D$14)*Projects!$B$2:$B$14*Assumptions!$B$10/Projects!$D$2:$D$14*0.95)+SUMPRODUCT((Projects!$G$2:$G$14="Yes")*(76=Projects!$C$2:$C$14+Projects!$D$2:$D$14-1)*Projects!$B$2:$B$14*Assumptions!$B$10*0.05)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)+(SUMPRODUCT((Projects!$G$2:$G$14="Yes")*(76&gt;=Projects!$C$2:$C$14)*(76&lt;Projects!$C$2:$C$14+Projects!$D$2:$D$14)*Projects!$B$2:$B$14*Assumptions!$B$12/Projects!$D$2:$D$14*0.95)+SUMPRODUCT((Projects!$G$2:$G$14="Yes")*(76=Projects!$C$2:$C$14+Projects!$D$2:$D$14-1)*Projects!$B$2:$B$14*Assumptions!$B$12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),Actuals!CC9)</f>
        <v>412770</v>
      </c>
      <c r="CD10" s="3">
        <f>IF(ISBLANK(Actuals!CD9),(SUMPRODUCT((Projects!$G$2:$G$14="Yes")*(77&gt;=Projects!$C$2:$C$14)*(77&lt;Projects!$C$2:$C$14+Projects!$D$2:$D$14)*Projects!$B$2:$B$14*Assumptions!$B$10/Projects!$D$2:$D$14*0.95)+SUMPRODUCT((Projects!$G$2:$G$14="Yes")*(77=Projects!$C$2:$C$14+Projects!$D$2:$D$14-1)*Projects!$B$2:$B$14*Assumptions!$B$10*0.05)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)+(SUMPRODUCT((Projects!$G$2:$G$14="Yes")*(77&gt;=Projects!$C$2:$C$14)*(77&lt;Projects!$C$2:$C$14+Projects!$D$2:$D$14)*Projects!$B$2:$B$14*Assumptions!$B$12/Projects!$D$2:$D$14*0.95)+SUMPRODUCT((Projects!$G$2:$G$14="Yes")*(77=Projects!$C$2:$C$14+Projects!$D$2:$D$14-1)*Projects!$B$2:$B$14*Assumptions!$B$12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),Actuals!CD9)</f>
        <v>288939</v>
      </c>
      <c r="CE10" s="3">
        <f>IF(ISBLANK(Actuals!CE9),(SUMPRODUCT((Projects!$G$2:$G$14="Yes")*(78&gt;=Projects!$C$2:$C$14)*(78&lt;Projects!$C$2:$C$14+Projects!$D$2:$D$14)*Projects!$B$2:$B$14*Assumptions!$B$10/Projects!$D$2:$D$14*0.95)+SUMPRODUCT((Projects!$G$2:$G$14="Yes")*(78=Projects!$C$2:$C$14+Projects!$D$2:$D$14-1)*Projects!$B$2:$B$14*Assumptions!$B$10*0.05)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)+(SUMPRODUCT((Projects!$G$2:$G$14="Yes")*(78&gt;=Projects!$C$2:$C$14)*(78&lt;Projects!$C$2:$C$14+Projects!$D$2:$D$14)*Projects!$B$2:$B$14*Assumptions!$B$12/Projects!$D$2:$D$14*0.95)+SUMPRODUCT((Projects!$G$2:$G$14="Yes")*(78=Projects!$C$2:$C$14+Projects!$D$2:$D$14-1)*Projects!$B$2:$B$14*Assumptions!$B$12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),Actuals!CE9)</f>
        <v>392131.49999999994</v>
      </c>
      <c r="CF10" s="3">
        <f>IF(ISBLANK(Actuals!CF9),(SUMPRODUCT((Projects!$G$2:$G$14="Yes")*(79&gt;=Projects!$C$2:$C$14)*(79&lt;Projects!$C$2:$C$14+Projects!$D$2:$D$14)*Projects!$B$2:$B$14*Assumptions!$B$10/Projects!$D$2:$D$14*0.95)+SUMPRODUCT((Projects!$G$2:$G$14="Yes")*(79=Projects!$C$2:$C$14+Projects!$D$2:$D$14-1)*Projects!$B$2:$B$14*Assumptions!$B$10*0.05)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)+(SUMPRODUCT((Projects!$G$2:$G$14="Yes")*(79&gt;=Projects!$C$2:$C$14)*(79&lt;Projects!$C$2:$C$14+Projects!$D$2:$D$14)*Projects!$B$2:$B$14*Assumptions!$B$12/Projects!$D$2:$D$14*0.95)+SUMPRODUCT((Projects!$G$2:$G$14="Yes")*(79=Projects!$C$2:$C$14+Projects!$D$2:$D$14-1)*Projects!$B$2:$B$14*Assumptions!$B$12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),Actuals!CF9)</f>
        <v>288939</v>
      </c>
      <c r="CG10" s="3">
        <f>IF(ISBLANK(Actuals!CG9),(SUMPRODUCT((Projects!$G$2:$G$14="Yes")*(80&gt;=Projects!$C$2:$C$14)*(80&lt;Projects!$C$2:$C$14+Projects!$D$2:$D$14)*Projects!$B$2:$B$14*Assumptions!$B$10/Projects!$D$2:$D$14*0.95)+SUMPRODUCT((Projects!$G$2:$G$14="Yes")*(80=Projects!$C$2:$C$14+Projects!$D$2:$D$14-1)*Projects!$B$2:$B$14*Assumptions!$B$10*0.05)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)+(SUMPRODUCT((Projects!$G$2:$G$14="Yes")*(80&gt;=Projects!$C$2:$C$14)*(80&lt;Projects!$C$2:$C$14+Projects!$D$2:$D$14)*Projects!$B$2:$B$14*Assumptions!$B$12/Projects!$D$2:$D$14*0.95)+SUMPRODUCT((Projects!$G$2:$G$14="Yes")*(80=Projects!$C$2:$C$14+Projects!$D$2:$D$14-1)*Projects!$B$2:$B$14*Assumptions!$B$12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),Actuals!CG9)</f>
        <v>412770.00000000006</v>
      </c>
      <c r="CH10" s="3">
        <f>IF(ISBLANK(Actuals!CH9),(SUMPRODUCT((Projects!$G$2:$G$14="Yes")*(81&gt;=Projects!$C$2:$C$14)*(81&lt;Projects!$C$2:$C$14+Projects!$D$2:$D$14)*Projects!$B$2:$B$14*Assumptions!$B$10/Projects!$D$2:$D$14*0.95)+SUMPRODUCT((Projects!$G$2:$G$14="Yes")*(81=Projects!$C$2:$C$14+Projects!$D$2:$D$14-1)*Projects!$B$2:$B$14*Assumptions!$B$10*0.05)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)+(SUMPRODUCT((Projects!$G$2:$G$14="Yes")*(81&gt;=Projects!$C$2:$C$14)*(81&lt;Projects!$C$2:$C$14+Projects!$D$2:$D$14)*Projects!$B$2:$B$14*Assumptions!$B$12/Projects!$D$2:$D$14*0.95)+SUMPRODUCT((Projects!$G$2:$G$14="Yes")*(81=Projects!$C$2:$C$14+Projects!$D$2:$D$14-1)*Projects!$B$2:$B$14*Assumptions!$B$12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),Actuals!CH9)</f>
        <v>288939</v>
      </c>
      <c r="CI10" s="3">
        <f>IF(ISBLANK(Actuals!CI9),(SUMPRODUCT((Projects!$G$2:$G$14="Yes")*(82&gt;=Projects!$C$2:$C$14)*(82&lt;Projects!$C$2:$C$14+Projects!$D$2:$D$14)*Projects!$B$2:$B$14*Assumptions!$B$10/Projects!$D$2:$D$14*0.95)+SUMPRODUCT((Projects!$G$2:$G$14="Yes")*(82=Projects!$C$2:$C$14+Projects!$D$2:$D$14-1)*Projects!$B$2:$B$14*Assumptions!$B$10*0.05)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)+(SUMPRODUCT((Projects!$G$2:$G$14="Yes")*(82&gt;=Projects!$C$2:$C$14)*(82&lt;Projects!$C$2:$C$14+Projects!$D$2:$D$14)*Projects!$B$2:$B$14*Assumptions!$B$12/Projects!$D$2:$D$14*0.95)+SUMPRODUCT((Projects!$G$2:$G$14="Yes")*(82=Projects!$C$2:$C$14+Projects!$D$2:$D$14-1)*Projects!$B$2:$B$14*Assumptions!$B$12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),Actuals!CI9)</f>
        <v>340535.25</v>
      </c>
      <c r="CJ10" s="3">
        <f>IF(ISBLANK(Actuals!CJ9),(SUMPRODUCT((Projects!$G$2:$G$14="Yes")*(83&gt;=Projects!$C$2:$C$14)*(83&lt;Projects!$C$2:$C$14+Projects!$D$2:$D$14)*Projects!$B$2:$B$14*Assumptions!$B$10/Projects!$D$2:$D$14*0.95)+SUMPRODUCT((Projects!$G$2:$G$14="Yes")*(83=Projects!$C$2:$C$14+Projects!$D$2:$D$14-1)*Projects!$B$2:$B$14*Assumptions!$B$10*0.05)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)+(SUMPRODUCT((Projects!$G$2:$G$14="Yes")*(83&gt;=Projects!$C$2:$C$14)*(83&lt;Projects!$C$2:$C$14+Projects!$D$2:$D$14)*Projects!$B$2:$B$14*Assumptions!$B$12/Projects!$D$2:$D$14*0.95)+SUMPRODUCT((Projects!$G$2:$G$14="Yes")*(83=Projects!$C$2:$C$14+Projects!$D$2:$D$14-1)*Projects!$B$2:$B$14*Assumptions!$B$12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),Actuals!CJ9)</f>
        <v>340535.25</v>
      </c>
      <c r="CK10" s="3">
        <f>IF(ISBLANK(Actuals!CK9),(SUMPRODUCT((Projects!$G$2:$G$14="Yes")*(84&gt;=Projects!$C$2:$C$14)*(84&lt;Projects!$C$2:$C$14+Projects!$D$2:$D$14)*Projects!$B$2:$B$14*Assumptions!$B$10/Projects!$D$2:$D$14*0.95)+SUMPRODUCT((Projects!$G$2:$G$14="Yes")*(84=Projects!$C$2:$C$14+Projects!$D$2:$D$14-1)*Projects!$B$2:$B$14*Assumptions!$B$10*0.05)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)+(SUMPRODUCT((Projects!$G$2:$G$14="Yes")*(84&gt;=Projects!$C$2:$C$14)*(84&lt;Projects!$C$2:$C$14+Projects!$D$2:$D$14)*Projects!$B$2:$B$14*Assumptions!$B$12/Projects!$D$2:$D$14*0.95)+SUMPRODUCT((Projects!$G$2:$G$14="Yes")*(84=Projects!$C$2:$C$14+Projects!$D$2:$D$14-1)*Projects!$B$2:$B$14*Assumptions!$B$12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),Actuals!CK9)</f>
        <v>340535.25</v>
      </c>
      <c r="CL10" s="3">
        <f>IF(ISBLANK(Actuals!CL9),(SUMPRODUCT((Projects!$G$2:$G$14="Yes")*(85&gt;=Projects!$C$2:$C$14)*(85&lt;Projects!$C$2:$C$14+Projects!$D$2:$D$14)*Projects!$B$2:$B$14*Assumptions!$B$10/Projects!$D$2:$D$14*0.95)+SUMPRODUCT((Projects!$G$2:$G$14="Yes")*(85=Projects!$C$2:$C$14+Projects!$D$2:$D$14-1)*Projects!$B$2:$B$14*Assumptions!$B$10*0.05)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)+(SUMPRODUCT((Projects!$G$2:$G$14="Yes")*(85&gt;=Projects!$C$2:$C$14)*(85&lt;Projects!$C$2:$C$14+Projects!$D$2:$D$14)*Projects!$B$2:$B$14*Assumptions!$B$12/Projects!$D$2:$D$14*0.95)+SUMPRODUCT((Projects!$G$2:$G$14="Yes")*(85=Projects!$C$2:$C$14+Projects!$D$2:$D$14-1)*Projects!$B$2:$B$14*Assumptions!$B$12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),Actuals!CL9)</f>
        <v>340535.25</v>
      </c>
      <c r="CM10" s="3">
        <f>IF(ISBLANK(Actuals!CM9),(SUMPRODUCT((Projects!$G$2:$G$14="Yes")*(86&gt;=Projects!$C$2:$C$14)*(86&lt;Projects!$C$2:$C$14+Projects!$D$2:$D$14)*Projects!$B$2:$B$14*Assumptions!$B$10/Projects!$D$2:$D$14*0.95)+SUMPRODUCT((Projects!$G$2:$G$14="Yes")*(86=Projects!$C$2:$C$14+Projects!$D$2:$D$14-1)*Projects!$B$2:$B$14*Assumptions!$B$10*0.05)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)+(SUMPRODUCT((Projects!$G$2:$G$14="Yes")*(86&gt;=Projects!$C$2:$C$14)*(86&lt;Projects!$C$2:$C$14+Projects!$D$2:$D$14)*Projects!$B$2:$B$14*Assumptions!$B$12/Projects!$D$2:$D$14*0.95)+SUMPRODUCT((Projects!$G$2:$G$14="Yes")*(86=Projects!$C$2:$C$14+Projects!$D$2:$D$14-1)*Projects!$B$2:$B$14*Assumptions!$B$12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),Actuals!CM9)</f>
        <v>402450.75</v>
      </c>
      <c r="CN10" s="3">
        <f>IF(ISBLANK(Actuals!CN9),(SUMPRODUCT((Projects!$G$2:$G$14="Yes")*(87&gt;=Projects!$C$2:$C$14)*(87&lt;Projects!$C$2:$C$14+Projects!$D$2:$D$14)*Projects!$B$2:$B$14*Assumptions!$B$10/Projects!$D$2:$D$14*0.95)+SUMPRODUCT((Projects!$G$2:$G$14="Yes")*(87=Projects!$C$2:$C$14+Projects!$D$2:$D$14-1)*Projects!$B$2:$B$14*Assumptions!$B$10*0.05)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)+(SUMPRODUCT((Projects!$G$2:$G$14="Yes")*(87&gt;=Projects!$C$2:$C$14)*(87&lt;Projects!$C$2:$C$14+Projects!$D$2:$D$14)*Projects!$B$2:$B$14*Assumptions!$B$12/Projects!$D$2:$D$14*0.95)+SUMPRODUCT((Projects!$G$2:$G$14="Yes")*(87=Projects!$C$2:$C$14+Projects!$D$2:$D$14-1)*Projects!$B$2:$B$14*Assumptions!$B$12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),Actuals!CN9)</f>
        <v>278619.75</v>
      </c>
      <c r="CO10" s="3">
        <f>IF(ISBLANK(Actuals!CO9),(SUMPRODUCT((Projects!$G$2:$G$14="Yes")*(88&gt;=Projects!$C$2:$C$14)*(88&lt;Projects!$C$2:$C$14+Projects!$D$2:$D$14)*Projects!$B$2:$B$14*Assumptions!$B$10/Projects!$D$2:$D$14*0.95)+SUMPRODUCT((Projects!$G$2:$G$14="Yes")*(88=Projects!$C$2:$C$14+Projects!$D$2:$D$14-1)*Projects!$B$2:$B$14*Assumptions!$B$10*0.05)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)+(SUMPRODUCT((Projects!$G$2:$G$14="Yes")*(88&gt;=Projects!$C$2:$C$14)*(88&lt;Projects!$C$2:$C$14+Projects!$D$2:$D$14)*Projects!$B$2:$B$14*Assumptions!$B$12/Projects!$D$2:$D$14*0.95)+SUMPRODUCT((Projects!$G$2:$G$14="Yes")*(88=Projects!$C$2:$C$14+Projects!$D$2:$D$14-1)*Projects!$B$2:$B$14*Assumptions!$B$12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),Actuals!CO9)</f>
        <v>278619.75</v>
      </c>
      <c r="CP10" s="3">
        <f>IF(ISBLANK(Actuals!CP9),(SUMPRODUCT((Projects!$G$2:$G$14="Yes")*(89&gt;=Projects!$C$2:$C$14)*(89&lt;Projects!$C$2:$C$14+Projects!$D$2:$D$14)*Projects!$B$2:$B$14*Assumptions!$B$10/Projects!$D$2:$D$14*0.95)+SUMPRODUCT((Projects!$G$2:$G$14="Yes")*(89=Projects!$C$2:$C$14+Projects!$D$2:$D$14-1)*Projects!$B$2:$B$14*Assumptions!$B$10*0.05)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)+(SUMPRODUCT((Projects!$G$2:$G$14="Yes")*(89&gt;=Projects!$C$2:$C$14)*(89&lt;Projects!$C$2:$C$14+Projects!$D$2:$D$14)*Projects!$B$2:$B$14*Assumptions!$B$12/Projects!$D$2:$D$14*0.95)+SUMPRODUCT((Projects!$G$2:$G$14="Yes")*(89=Projects!$C$2:$C$14+Projects!$D$2:$D$14-1)*Projects!$B$2:$B$14*Assumptions!$B$12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),Actuals!CP9)</f>
        <v>278619.75</v>
      </c>
      <c r="CQ10" s="3">
        <f>IF(ISBLANK(Actuals!CQ9),(SUMPRODUCT((Projects!$G$2:$G$14="Yes")*(90&gt;=Projects!$C$2:$C$14)*(90&lt;Projects!$C$2:$C$14+Projects!$D$2:$D$14)*Projects!$B$2:$B$14*Assumptions!$B$10/Projects!$D$2:$D$14*0.95)+SUMPRODUCT((Projects!$G$2:$G$14="Yes")*(90=Projects!$C$2:$C$14+Projects!$D$2:$D$14-1)*Projects!$B$2:$B$14*Assumptions!$B$10*0.05)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)+(SUMPRODUCT((Projects!$G$2:$G$14="Yes")*(90&gt;=Projects!$C$2:$C$14)*(90&lt;Projects!$C$2:$C$14+Projects!$D$2:$D$14)*Projects!$B$2:$B$14*Assumptions!$B$12/Projects!$D$2:$D$14*0.95)+SUMPRODUCT((Projects!$G$2:$G$14="Yes")*(90=Projects!$C$2:$C$14+Projects!$D$2:$D$14-1)*Projects!$B$2:$B$14*Assumptions!$B$12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),Actuals!CQ9)</f>
        <v>278619.75</v>
      </c>
      <c r="CR10" s="3">
        <f>IF(ISBLANK(Actuals!CR9),(SUMPRODUCT((Projects!$G$2:$G$14="Yes")*(91&gt;=Projects!$C$2:$C$14)*(91&lt;Projects!$C$2:$C$14+Projects!$D$2:$D$14)*Projects!$B$2:$B$14*Assumptions!$B$10/Projects!$D$2:$D$14*0.95)+SUMPRODUCT((Projects!$G$2:$G$14="Yes")*(91=Projects!$C$2:$C$14+Projects!$D$2:$D$14-1)*Projects!$B$2:$B$14*Assumptions!$B$10*0.05)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)+(SUMPRODUCT((Projects!$G$2:$G$14="Yes")*(91&gt;=Projects!$C$2:$C$14)*(91&lt;Projects!$C$2:$C$14+Projects!$D$2:$D$14)*Projects!$B$2:$B$14*Assumptions!$B$12/Projects!$D$2:$D$14*0.95)+SUMPRODUCT((Projects!$G$2:$G$14="Yes")*(91=Projects!$C$2:$C$14+Projects!$D$2:$D$14-1)*Projects!$B$2:$B$14*Assumptions!$B$12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),Actuals!CR9)</f>
        <v>278619.75</v>
      </c>
      <c r="CS10" s="3">
        <f>IF(ISBLANK(Actuals!CS9),(SUMPRODUCT((Projects!$G$2:$G$14="Yes")*(92&gt;=Projects!$C$2:$C$14)*(92&lt;Projects!$C$2:$C$14+Projects!$D$2:$D$14)*Projects!$B$2:$B$14*Assumptions!$B$10/Projects!$D$2:$D$14*0.95)+SUMPRODUCT((Projects!$G$2:$G$14="Yes")*(92=Projects!$C$2:$C$14+Projects!$D$2:$D$14-1)*Projects!$B$2:$B$14*Assumptions!$B$10*0.05)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)+(SUMPRODUCT((Projects!$G$2:$G$14="Yes")*(92&gt;=Projects!$C$2:$C$14)*(92&lt;Projects!$C$2:$C$14+Projects!$D$2:$D$14)*Projects!$B$2:$B$14*Assumptions!$B$12/Projects!$D$2:$D$14*0.95)+SUMPRODUCT((Projects!$G$2:$G$14="Yes")*(92=Projects!$C$2:$C$14+Projects!$D$2:$D$14-1)*Projects!$B$2:$B$14*Assumptions!$B$12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),Actuals!CS9)</f>
        <v>340535.25</v>
      </c>
      <c r="CT10" s="3">
        <f>IF(ISBLANK(Actuals!CT9),(SUMPRODUCT((Projects!$G$2:$G$14="Yes")*(93&gt;=Projects!$C$2:$C$14)*(93&lt;Projects!$C$2:$C$14+Projects!$D$2:$D$14)*Projects!$B$2:$B$14*Assumptions!$B$10/Projects!$D$2:$D$14*0.95)+SUMPRODUCT((Projects!$G$2:$G$14="Yes")*(93=Projects!$C$2:$C$14+Projects!$D$2:$D$14-1)*Projects!$B$2:$B$14*Assumptions!$B$10*0.05)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)+(SUMPRODUCT((Projects!$G$2:$G$14="Yes")*(93&gt;=Projects!$C$2:$C$14)*(93&lt;Projects!$C$2:$C$14+Projects!$D$2:$D$14)*Projects!$B$2:$B$14*Assumptions!$B$12/Projects!$D$2:$D$14*0.95)+SUMPRODUCT((Projects!$G$2:$G$14="Yes")*(93=Projects!$C$2:$C$14+Projects!$D$2:$D$14-1)*Projects!$B$2:$B$14*Assumptions!$B$12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),Actuals!CT9)</f>
        <v>216704.25</v>
      </c>
      <c r="CU10" s="3">
        <f>IF(ISBLANK(Actuals!CU9),(SUMPRODUCT((Projects!$G$2:$G$14="Yes")*(94&gt;=Projects!$C$2:$C$14)*(94&lt;Projects!$C$2:$C$14+Projects!$D$2:$D$14)*Projects!$B$2:$B$14*Assumptions!$B$10/Projects!$D$2:$D$14*0.95)+SUMPRODUCT((Projects!$G$2:$G$14="Yes")*(94=Projects!$C$2:$C$14+Projects!$D$2:$D$14-1)*Projects!$B$2:$B$14*Assumptions!$B$10*0.05)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)+(SUMPRODUCT((Projects!$G$2:$G$14="Yes")*(94&gt;=Projects!$C$2:$C$14)*(94&lt;Projects!$C$2:$C$14+Projects!$D$2:$D$14)*Projects!$B$2:$B$14*Assumptions!$B$12/Projects!$D$2:$D$14*0.95)+SUMPRODUCT((Projects!$G$2:$G$14="Yes")*(94=Projects!$C$2:$C$14+Projects!$D$2:$D$14-1)*Projects!$B$2:$B$14*Assumptions!$B$12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),Actuals!CU9)</f>
        <v>268300.5</v>
      </c>
      <c r="CV10" s="3">
        <f>IF(ISBLANK(Actuals!CV9),(SUMPRODUCT((Projects!$G$2:$G$14="Yes")*(95&gt;=Projects!$C$2:$C$14)*(95&lt;Projects!$C$2:$C$14+Projects!$D$2:$D$14)*Projects!$B$2:$B$14*Assumptions!$B$10/Projects!$D$2:$D$14*0.95)+SUMPRODUCT((Projects!$G$2:$G$14="Yes")*(95=Projects!$C$2:$C$14+Projects!$D$2:$D$14-1)*Projects!$B$2:$B$14*Assumptions!$B$10*0.05)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)+(SUMPRODUCT((Projects!$G$2:$G$14="Yes")*(95&gt;=Projects!$C$2:$C$14)*(95&lt;Projects!$C$2:$C$14+Projects!$D$2:$D$14)*Projects!$B$2:$B$14*Assumptions!$B$12/Projects!$D$2:$D$14*0.95)+SUMPRODUCT((Projects!$G$2:$G$14="Yes")*(95=Projects!$C$2:$C$14+Projects!$D$2:$D$14-1)*Projects!$B$2:$B$14*Assumptions!$B$12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),Actuals!CV9)</f>
        <v>165108</v>
      </c>
      <c r="CW10" s="3">
        <f>IF(ISBLANK(Actuals!CW9),(SUMPRODUCT((Projects!$G$2:$G$14="Yes")*(96&gt;=Projects!$C$2:$C$14)*(96&lt;Projects!$C$2:$C$14+Projects!$D$2:$D$14)*Projects!$B$2:$B$14*Assumptions!$B$10/Projects!$D$2:$D$14*0.95)+SUMPRODUCT((Projects!$G$2:$G$14="Yes")*(96=Projects!$C$2:$C$14+Projects!$D$2:$D$14-1)*Projects!$B$2:$B$14*Assumptions!$B$10*0.05)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)+(SUMPRODUCT((Projects!$G$2:$G$14="Yes")*(96&gt;=Projects!$C$2:$C$14)*(96&lt;Projects!$C$2:$C$14+Projects!$D$2:$D$14)*Projects!$B$2:$B$14*Assumptions!$B$12/Projects!$D$2:$D$14*0.95)+SUMPRODUCT((Projects!$G$2:$G$14="Yes")*(96=Projects!$C$2:$C$14+Projects!$D$2:$D$14-1)*Projects!$B$2:$B$14*Assumptions!$B$12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),Actuals!CW9)</f>
        <v>216704.25</v>
      </c>
      <c r="CX10" s="3">
        <f>IF(ISBLANK(Actuals!CX9),(SUMPRODUCT((Projects!$G$2:$G$14="Yes")*(97&gt;=Projects!$C$2:$C$14)*(97&lt;Projects!$C$2:$C$14+Projects!$D$2:$D$14)*Projects!$B$2:$B$14*Assumptions!$B$10/Projects!$D$2:$D$14*0.95)+SUMPRODUCT((Projects!$G$2:$G$14="Yes")*(97=Projects!$C$2:$C$14+Projects!$D$2:$D$14-1)*Projects!$B$2:$B$14*Assumptions!$B$10*0.05)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)+(SUMPRODUCT((Projects!$G$2:$G$14="Yes")*(97&gt;=Projects!$C$2:$C$14)*(97&lt;Projects!$C$2:$C$14+Projects!$D$2:$D$14)*Projects!$B$2:$B$14*Assumptions!$B$12/Projects!$D$2:$D$14*0.95)+SUMPRODUCT((Projects!$G$2:$G$14="Yes")*(97=Projects!$C$2:$C$14+Projects!$D$2:$D$14-1)*Projects!$B$2:$B$14*Assumptions!$B$12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),Actuals!CX9)</f>
        <v>113511.74999999999</v>
      </c>
      <c r="CY10" s="3">
        <f>IF(ISBLANK(Actuals!CY9),(SUMPRODUCT((Projects!$G$2:$G$14="Yes")*(98&gt;=Projects!$C$2:$C$14)*(98&lt;Projects!$C$2:$C$14+Projects!$D$2:$D$14)*Projects!$B$2:$B$14*Assumptions!$B$10/Projects!$D$2:$D$14*0.95)+SUMPRODUCT((Projects!$G$2:$G$14="Yes")*(98=Projects!$C$2:$C$14+Projects!$D$2:$D$14-1)*Projects!$B$2:$B$14*Assumptions!$B$10*0.05)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)+(SUMPRODUCT((Projects!$G$2:$G$14="Yes")*(98&gt;=Projects!$C$2:$C$14)*(98&lt;Projects!$C$2:$C$14+Projects!$D$2:$D$14)*Projects!$B$2:$B$14*Assumptions!$B$12/Projects!$D$2:$D$14*0.95)+SUMPRODUCT((Projects!$G$2:$G$14="Yes")*(98=Projects!$C$2:$C$14+Projects!$D$2:$D$14-1)*Projects!$B$2:$B$14*Assumptions!$B$12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),Actuals!CY9)</f>
        <v>175427.25</v>
      </c>
      <c r="CZ10" s="3">
        <f>IF(ISBLANK(Actuals!CZ9),(SUMPRODUCT((Projects!$G$2:$G$14="Yes")*(99&gt;=Projects!$C$2:$C$14)*(99&lt;Projects!$C$2:$C$14+Projects!$D$2:$D$14)*Projects!$B$2:$B$14*Assumptions!$B$10/Projects!$D$2:$D$14*0.95)+SUMPRODUCT((Projects!$G$2:$G$14="Yes")*(99=Projects!$C$2:$C$14+Projects!$D$2:$D$14-1)*Projects!$B$2:$B$14*Assumptions!$B$10*0.05)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)+(SUMPRODUCT((Projects!$G$2:$G$14="Yes")*(99&gt;=Projects!$C$2:$C$14)*(99&lt;Projects!$C$2:$C$14+Projects!$D$2:$D$14)*Projects!$B$2:$B$14*Assumptions!$B$12/Projects!$D$2:$D$14*0.95)+SUMPRODUCT((Projects!$G$2:$G$14="Yes")*(99=Projects!$C$2:$C$14+Projects!$D$2:$D$14-1)*Projects!$B$2:$B$14*Assumptions!$B$12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),Actuals!CZ9)</f>
        <v>51596.249999999985</v>
      </c>
      <c r="DA10" s="3">
        <f>IF(ISBLANK(Actuals!DA9),(SUMPRODUCT((Projects!$G$2:$G$14="Yes")*(100&gt;=Projects!$C$2:$C$14)*(100&lt;Projects!$C$2:$C$14+Projects!$D$2:$D$14)*Projects!$B$2:$B$14*Assumptions!$B$10/Projects!$D$2:$D$14*0.95)+SUMPRODUCT((Projects!$G$2:$G$14="Yes")*(100=Projects!$C$2:$C$14+Projects!$D$2:$D$14-1)*Projects!$B$2:$B$14*Assumptions!$B$10*0.05)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)+(SUMPRODUCT((Projects!$G$2:$G$14="Yes")*(100&gt;=Projects!$C$2:$C$14)*(100&lt;Projects!$C$2:$C$14+Projects!$D$2:$D$14)*Projects!$B$2:$B$14*Assumptions!$B$12/Projects!$D$2:$D$14*0.95)+SUMPRODUCT((Projects!$G$2:$G$14="Yes")*(100=Projects!$C$2:$C$14+Projects!$D$2:$D$14-1)*Projects!$B$2:$B$14*Assumptions!$B$12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),Actuals!DA9)</f>
        <v>103192.5</v>
      </c>
      <c r="DB10" s="3">
        <f>IF(ISBLANK(Actuals!DB9),(SUMPRODUCT((Projects!$G$2:$G$14="Yes")*(101&gt;=Projects!$C$2:$C$14)*(101&lt;Projects!$C$2:$C$14+Projects!$D$2:$D$14)*Projects!$B$2:$B$14*Assumptions!$B$10/Projects!$D$2:$D$14*0.95)+SUMPRODUCT((Projects!$G$2:$G$14="Yes")*(101=Projects!$C$2:$C$14+Projects!$D$2:$D$14-1)*Projects!$B$2:$B$14*Assumptions!$B$10*0.05)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)+(SUMPRODUCT((Projects!$G$2:$G$14="Yes")*(101&gt;=Projects!$C$2:$C$14)*(101&lt;Projects!$C$2:$C$14+Projects!$D$2:$D$14)*Projects!$B$2:$B$14*Assumptions!$B$12/Projects!$D$2:$D$14*0.95)+SUMPRODUCT((Projects!$G$2:$G$14="Yes")*(101=Projects!$C$2:$C$14+Projects!$D$2:$D$14-1)*Projects!$B$2:$B$14*Assumptions!$B$12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),Actuals!DB9)</f>
        <v>0</v>
      </c>
      <c r="DC10" s="3">
        <f>IF(ISBLANK(Actuals!DC9),(SUMPRODUCT((Projects!$G$2:$G$14="Yes")*(102&gt;=Projects!$C$2:$C$14)*(102&lt;Projects!$C$2:$C$14+Projects!$D$2:$D$14)*Projects!$B$2:$B$14*Assumptions!$B$10/Projects!$D$2:$D$14*0.95)+SUMPRODUCT((Projects!$G$2:$G$14="Yes")*(102=Projects!$C$2:$C$14+Projects!$D$2:$D$14-1)*Projects!$B$2:$B$14*Assumptions!$B$10*0.05)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)+(SUMPRODUCT((Projects!$G$2:$G$14="Yes")*(102&gt;=Projects!$C$2:$C$14)*(102&lt;Projects!$C$2:$C$14+Projects!$D$2:$D$14)*Projects!$B$2:$B$14*Assumptions!$B$12/Projects!$D$2:$D$14*0.95)+SUMPRODUCT((Projects!$G$2:$G$14="Yes")*(102=Projects!$C$2:$C$14+Projects!$D$2:$D$14-1)*Projects!$B$2:$B$14*Assumptions!$B$12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),Actuals!DC9)</f>
        <v>0</v>
      </c>
      <c r="DD10" s="3">
        <f>IF(ISBLANK(Actuals!DD9),(SUMPRODUCT((Projects!$G$2:$G$14="Yes")*(103&gt;=Projects!$C$2:$C$14)*(103&lt;Projects!$C$2:$C$14+Projects!$D$2:$D$14)*Projects!$B$2:$B$14*Assumptions!$B$10/Projects!$D$2:$D$14*0.95)+SUMPRODUCT((Projects!$G$2:$G$14="Yes")*(103=Projects!$C$2:$C$14+Projects!$D$2:$D$14-1)*Projects!$B$2:$B$14*Assumptions!$B$10*0.05)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)+(SUMPRODUCT((Projects!$G$2:$G$14="Yes")*(103&gt;=Projects!$C$2:$C$14)*(103&lt;Projects!$C$2:$C$14+Projects!$D$2:$D$14)*Projects!$B$2:$B$14*Assumptions!$B$12/Projects!$D$2:$D$14*0.95)+SUMPRODUCT((Projects!$G$2:$G$14="Yes")*(103=Projects!$C$2:$C$14+Projects!$D$2:$D$14-1)*Projects!$B$2:$B$14*Assumptions!$B$12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),Actuals!DD9)</f>
        <v>0</v>
      </c>
      <c r="DE10" s="3">
        <f>IF(ISBLANK(Actuals!DE9),(SUMPRODUCT((Projects!$G$2:$G$14="Yes")*(104&gt;=Projects!$C$2:$C$14)*(104&lt;Projects!$C$2:$C$14+Projects!$D$2:$D$14)*Projects!$B$2:$B$14*Assumptions!$B$10/Projects!$D$2:$D$14*0.95)+SUMPRODUCT((Projects!$G$2:$G$14="Yes")*(104=Projects!$C$2:$C$14+Projects!$D$2:$D$14-1)*Projects!$B$2:$B$14*Assumptions!$B$10*0.05)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)+(SUMPRODUCT((Projects!$G$2:$G$14="Yes")*(104&gt;=Projects!$C$2:$C$14)*(104&lt;Projects!$C$2:$C$14+Projects!$D$2:$D$14)*Projects!$B$2:$B$14*Assumptions!$B$12/Projects!$D$2:$D$14*0.95)+SUMPRODUCT((Projects!$G$2:$G$14="Yes")*(104=Projects!$C$2:$C$14+Projects!$D$2:$D$14-1)*Projects!$B$2:$B$14*Assumptions!$B$12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),Actuals!DE9)</f>
        <v>0</v>
      </c>
      <c r="DF10" s="3">
        <f>IF(ISBLANK(Actuals!DF9),(SUMPRODUCT((Projects!$G$2:$G$14="Yes")*(105&gt;=Projects!$C$2:$C$14)*(105&lt;Projects!$C$2:$C$14+Projects!$D$2:$D$14)*Projects!$B$2:$B$14*Assumptions!$B$10/Projects!$D$2:$D$14*0.95)+SUMPRODUCT((Projects!$G$2:$G$14="Yes")*(105=Projects!$C$2:$C$14+Projects!$D$2:$D$14-1)*Projects!$B$2:$B$14*Assumptions!$B$10*0.05)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)+(SUMPRODUCT((Projects!$G$2:$G$14="Yes")*(105&gt;=Projects!$C$2:$C$14)*(105&lt;Projects!$C$2:$C$14+Projects!$D$2:$D$14)*Projects!$B$2:$B$14*Assumptions!$B$12/Projects!$D$2:$D$14*0.95)+SUMPRODUCT((Projects!$G$2:$G$14="Yes")*(105=Projects!$C$2:$C$14+Projects!$D$2:$D$14-1)*Projects!$B$2:$B$14*Assumptions!$B$12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),Actuals!DF9)</f>
        <v>0</v>
      </c>
    </row>
    <row r="11" spans="1:110" ht="15" hidden="1" customHeight="1" x14ac:dyDescent="0.25">
      <c r="A11" s="13" t="s">
        <v>57</v>
      </c>
      <c r="B11" s="302"/>
      <c r="C11" s="3">
        <f>IF(ISBLANK(Actuals!C10),0,Actuals!C10)</f>
        <v>0</v>
      </c>
      <c r="D11" s="3">
        <f>IF(ISBLANK(Actuals!D10),0,Actuals!D10)</f>
        <v>0</v>
      </c>
      <c r="E11" s="3">
        <f>IF(ISBLANK(Actuals!E10),0,Actuals!E10)</f>
        <v>0</v>
      </c>
      <c r="F11" s="3">
        <f>IF(ISBLANK(Actuals!F10),0,Actuals!F10)</f>
        <v>0</v>
      </c>
      <c r="G11" s="3">
        <f>IF(ISBLANK(Actuals!G10),0,Actuals!G10)</f>
        <v>0</v>
      </c>
      <c r="H11" s="3">
        <f>IF(ISBLANK(Actuals!H10),0,Actuals!H10)</f>
        <v>0</v>
      </c>
      <c r="I11" s="3">
        <f>IF(ISBLANK(Actuals!I10),0,Actuals!I10)</f>
        <v>0</v>
      </c>
      <c r="J11" s="3">
        <f>IF(ISBLANK(Actuals!J10),0,Actuals!J10)</f>
        <v>0</v>
      </c>
      <c r="K11" s="3">
        <f>IF(ISBLANK(Actuals!K10),0,Actuals!K10)</f>
        <v>0</v>
      </c>
      <c r="L11" s="3">
        <f>IF(ISBLANK(Actuals!L10),0,Actuals!L10)</f>
        <v>0</v>
      </c>
      <c r="M11" s="3">
        <f>IF(ISBLANK(Actuals!M10),0,Actuals!M10)</f>
        <v>0</v>
      </c>
      <c r="N11" s="3">
        <f>IF(ISBLANK(Actuals!N10),0,Actuals!N10)</f>
        <v>0</v>
      </c>
      <c r="O11" s="3">
        <f>IF(ISBLANK(Actuals!O10),0,Actuals!O10)</f>
        <v>0</v>
      </c>
      <c r="P11" s="3">
        <f>IF(ISBLANK(Actuals!P10),0,Actuals!P10)</f>
        <v>0</v>
      </c>
      <c r="Q11" s="3">
        <f>IF(ISBLANK(Actuals!Q10),0,Actuals!Q10)</f>
        <v>0</v>
      </c>
      <c r="R11" s="3">
        <f>IF(ISBLANK(Actuals!R10),0,Actuals!R10)</f>
        <v>0</v>
      </c>
      <c r="S11" s="3">
        <f>IF(ISBLANK(Actuals!S10),0,Actuals!S10)</f>
        <v>0</v>
      </c>
      <c r="T11" s="3">
        <f>IF(ISBLANK(Actuals!T10),0,Actuals!T10)</f>
        <v>0</v>
      </c>
      <c r="U11" s="3">
        <f>IF(ISBLANK(Actuals!U10),0,Actuals!U10)</f>
        <v>0</v>
      </c>
      <c r="V11" s="3">
        <f>IF(ISBLANK(Actuals!V10),0,Actuals!V10)</f>
        <v>0</v>
      </c>
      <c r="W11" s="3">
        <f>IF(ISBLANK(Actuals!W10),0,Actuals!W10)</f>
        <v>0</v>
      </c>
      <c r="X11" s="3">
        <f>IF(ISBLANK(Actuals!X10),0,Actuals!X10)</f>
        <v>0</v>
      </c>
      <c r="Y11" s="3">
        <f>IF(ISBLANK(Actuals!Y10),0,Actuals!Y10)</f>
        <v>0</v>
      </c>
      <c r="Z11" s="3">
        <f>IF(ISBLANK(Actuals!Z10),0,Actuals!Z10)</f>
        <v>0</v>
      </c>
      <c r="AA11" s="3">
        <f>IF(ISBLANK(Actuals!AA10),0,Actuals!AA10)</f>
        <v>0</v>
      </c>
      <c r="AB11" s="3">
        <f>IF(ISBLANK(Actuals!AB10),0,Actuals!AB10)</f>
        <v>0</v>
      </c>
      <c r="AC11" s="3">
        <f>IF(ISBLANK(Actuals!AC10),0,Actuals!AC10)</f>
        <v>0</v>
      </c>
      <c r="AD11" s="3">
        <f>IF(ISBLANK(Actuals!AD10),0,Actuals!AD10)</f>
        <v>0</v>
      </c>
      <c r="AE11" s="3">
        <f>IF(ISBLANK(Actuals!AE10),0,Actuals!AE10)</f>
        <v>0</v>
      </c>
      <c r="AF11" s="3">
        <f>IF(ISBLANK(Actuals!AF10),0,Actuals!AF10)</f>
        <v>0</v>
      </c>
      <c r="AG11" s="3">
        <f>IF(ISBLANK(Actuals!AG10),0,Actuals!AG10)</f>
        <v>0</v>
      </c>
      <c r="AH11" s="3">
        <f>IF(ISBLANK(Actuals!AH10),0,Actuals!AH10)</f>
        <v>0</v>
      </c>
      <c r="AI11" s="3">
        <f>IF(ISBLANK(Actuals!AI10),0,Actuals!AI10)</f>
        <v>0</v>
      </c>
      <c r="AJ11" s="3">
        <f>IF(ISBLANK(Actuals!AJ10),0,Actuals!AJ10)</f>
        <v>0</v>
      </c>
      <c r="AK11" s="3">
        <f>IF(ISBLANK(Actuals!AK10),0,Actuals!AK10)</f>
        <v>0</v>
      </c>
      <c r="AL11" s="3">
        <f>IF(ISBLANK(Actuals!AL10),0,Actuals!AL10)</f>
        <v>0</v>
      </c>
      <c r="AM11" s="3">
        <f>IF(ISBLANK(Actuals!AM10),0,Actuals!AM10)</f>
        <v>0</v>
      </c>
      <c r="AN11" s="3">
        <f>IF(ISBLANK(Actuals!AN10),0,Actuals!AN10)</f>
        <v>0</v>
      </c>
      <c r="AO11" s="3">
        <f>IF(ISBLANK(Actuals!AO10),0,Actuals!AO10)</f>
        <v>0</v>
      </c>
      <c r="AP11" s="3">
        <f>IF(ISBLANK(Actuals!AP10),0,Actuals!AP10)</f>
        <v>0</v>
      </c>
      <c r="AQ11" s="3">
        <f>IF(ISBLANK(Actuals!AQ10),0,Actuals!AQ10)</f>
        <v>0</v>
      </c>
      <c r="AR11" s="3">
        <f>IF(ISBLANK(Actuals!AR10),0,Actuals!AR10)</f>
        <v>0</v>
      </c>
      <c r="AS11" s="3">
        <f>IF(ISBLANK(Actuals!AS10),0,Actuals!AS10)</f>
        <v>0</v>
      </c>
      <c r="AT11" s="3">
        <f>IF(ISBLANK(Actuals!AT10),0,Actuals!AT10)</f>
        <v>0</v>
      </c>
      <c r="AU11" s="3">
        <f>IF(ISBLANK(Actuals!AU10),0,Actuals!AU10)</f>
        <v>0</v>
      </c>
      <c r="AV11" s="3">
        <f>IF(ISBLANK(Actuals!AV10),0,Actuals!AV10)</f>
        <v>0</v>
      </c>
      <c r="AW11" s="3">
        <f>IF(ISBLANK(Actuals!AW10),0,Actuals!AW10)</f>
        <v>0</v>
      </c>
      <c r="AX11" s="3">
        <f>IF(ISBLANK(Actuals!AX10),0,Actuals!AX10)</f>
        <v>0</v>
      </c>
      <c r="AY11" s="3">
        <f>IF(ISBLANK(Actuals!AY10),0,Actuals!AY10)</f>
        <v>0</v>
      </c>
      <c r="AZ11" s="3">
        <f>IF(ISBLANK(Actuals!AZ10),0,Actuals!AZ10)</f>
        <v>0</v>
      </c>
      <c r="BA11" s="3">
        <f>IF(ISBLANK(Actuals!BA10),0,Actuals!BA10)</f>
        <v>0</v>
      </c>
      <c r="BB11" s="3">
        <f>IF(ISBLANK(Actuals!BB10),0,Actuals!BB10)</f>
        <v>0</v>
      </c>
      <c r="BC11" s="3">
        <f>IF(ISBLANK(Actuals!BC10),0,Actuals!BC10)</f>
        <v>0</v>
      </c>
      <c r="BD11" s="3">
        <f>IF(ISBLANK(Actuals!BD10),0,Actuals!BD10)</f>
        <v>0</v>
      </c>
      <c r="BE11" s="3">
        <f>IF(ISBLANK(Actuals!BE10),0,Actuals!BE10)</f>
        <v>0</v>
      </c>
      <c r="BF11" s="3">
        <f>IF(ISBLANK(Actuals!BF10),0,Actuals!BF10)</f>
        <v>0</v>
      </c>
      <c r="BG11" s="3">
        <f>IF(ISBLANK(Actuals!BG10),0,Actuals!BG10)</f>
        <v>0</v>
      </c>
      <c r="BH11" s="3">
        <f>IF(ISBLANK(Actuals!BH10),0,Actuals!BH10)</f>
        <v>0</v>
      </c>
      <c r="BI11" s="3">
        <f>IF(ISBLANK(Actuals!BI10),0,Actuals!BI10)</f>
        <v>0</v>
      </c>
      <c r="BJ11" s="3">
        <f>IF(ISBLANK(Actuals!BJ10),0,Actuals!BJ10)</f>
        <v>0</v>
      </c>
      <c r="BK11" s="3">
        <f>IF(ISBLANK(Actuals!BK10),0,Actuals!BK10)</f>
        <v>0</v>
      </c>
      <c r="BL11" s="3">
        <f>IF(ISBLANK(Actuals!BL10),0,Actuals!BL10)</f>
        <v>0</v>
      </c>
      <c r="BM11" s="3">
        <f>IF(ISBLANK(Actuals!BM10),0,Actuals!BM10)</f>
        <v>0</v>
      </c>
      <c r="BN11" s="3">
        <f>IF(ISBLANK(Actuals!BN10),0,Actuals!BN10)</f>
        <v>0</v>
      </c>
      <c r="BO11" s="3">
        <f>IF(ISBLANK(Actuals!BO10),0,Actuals!BO10)</f>
        <v>0</v>
      </c>
      <c r="BP11" s="3">
        <f>IF(ISBLANK(Actuals!BP10),0,Actuals!BP10)</f>
        <v>0</v>
      </c>
      <c r="BQ11" s="3">
        <f>IF(ISBLANK(Actuals!BQ10),0,Actuals!BQ10)</f>
        <v>0</v>
      </c>
      <c r="BR11" s="3">
        <f>IF(ISBLANK(Actuals!BR10),0,Actuals!BR10)</f>
        <v>0</v>
      </c>
      <c r="BS11" s="3">
        <f>IF(ISBLANK(Actuals!BS10),0,Actuals!BS10)</f>
        <v>0</v>
      </c>
      <c r="BT11" s="3">
        <f>IF(ISBLANK(Actuals!BT10),0,Actuals!BT10)</f>
        <v>0</v>
      </c>
      <c r="BU11" s="3">
        <f>IF(ISBLANK(Actuals!BU10),0,Actuals!BU10)</f>
        <v>0</v>
      </c>
      <c r="BV11" s="3">
        <f>IF(ISBLANK(Actuals!BV10),0,Actuals!BV10)</f>
        <v>0</v>
      </c>
      <c r="BW11" s="3">
        <f>IF(ISBLANK(Actuals!BW10),0,Actuals!BW10)</f>
        <v>0</v>
      </c>
      <c r="BX11" s="3">
        <f>IF(ISBLANK(Actuals!BX10),0,Actuals!BX10)</f>
        <v>0</v>
      </c>
      <c r="BY11" s="3">
        <f>IF(ISBLANK(Actuals!BY10),0,Actuals!BY10)</f>
        <v>0</v>
      </c>
      <c r="BZ11" s="3">
        <f>IF(ISBLANK(Actuals!BZ10),0,Actuals!BZ10)</f>
        <v>0</v>
      </c>
      <c r="CA11" s="3">
        <f>IF(ISBLANK(Actuals!CA10),0,Actuals!CA10)</f>
        <v>0</v>
      </c>
      <c r="CB11" s="3">
        <f>IF(ISBLANK(Actuals!CB10),0,Actuals!CB10)</f>
        <v>0</v>
      </c>
      <c r="CC11" s="3">
        <f>IF(ISBLANK(Actuals!CC10),0,Actuals!CC10)</f>
        <v>0</v>
      </c>
      <c r="CD11" s="3">
        <f>IF(ISBLANK(Actuals!CD10),0,Actuals!CD10)</f>
        <v>0</v>
      </c>
      <c r="CE11" s="3">
        <f>IF(ISBLANK(Actuals!CE10),0,Actuals!CE10)</f>
        <v>0</v>
      </c>
      <c r="CF11" s="3">
        <f>IF(ISBLANK(Actuals!CF10),0,Actuals!CF10)</f>
        <v>0</v>
      </c>
      <c r="CG11" s="3">
        <f>IF(ISBLANK(Actuals!CG10),0,Actuals!CG10)</f>
        <v>0</v>
      </c>
      <c r="CH11" s="3">
        <f>IF(ISBLANK(Actuals!CH10),0,Actuals!CH10)</f>
        <v>0</v>
      </c>
      <c r="CI11" s="3">
        <f>IF(ISBLANK(Actuals!CI10),0,Actuals!CI10)</f>
        <v>0</v>
      </c>
      <c r="CJ11" s="3">
        <f>IF(ISBLANK(Actuals!CJ10),0,Actuals!CJ10)</f>
        <v>0</v>
      </c>
      <c r="CK11" s="3">
        <f>IF(ISBLANK(Actuals!CK10),0,Actuals!CK10)</f>
        <v>0</v>
      </c>
      <c r="CL11" s="3">
        <f>IF(ISBLANK(Actuals!CL10),0,Actuals!CL10)</f>
        <v>0</v>
      </c>
      <c r="CM11" s="3">
        <f>IF(ISBLANK(Actuals!CM10),0,Actuals!CM10)</f>
        <v>0</v>
      </c>
      <c r="CN11" s="3">
        <f>IF(ISBLANK(Actuals!CN10),0,Actuals!CN10)</f>
        <v>0</v>
      </c>
      <c r="CO11" s="3">
        <f>IF(ISBLANK(Actuals!CO10),0,Actuals!CO10)</f>
        <v>0</v>
      </c>
      <c r="CP11" s="3">
        <f>IF(ISBLANK(Actuals!CP10),0,Actuals!CP10)</f>
        <v>0</v>
      </c>
      <c r="CQ11" s="3">
        <f>IF(ISBLANK(Actuals!CQ10),0,Actuals!CQ10)</f>
        <v>0</v>
      </c>
      <c r="CR11" s="3">
        <f>IF(ISBLANK(Actuals!CR10),0,Actuals!CR10)</f>
        <v>0</v>
      </c>
      <c r="CS11" s="3">
        <f>IF(ISBLANK(Actuals!CS10),0,Actuals!CS10)</f>
        <v>0</v>
      </c>
      <c r="CT11" s="3">
        <f>IF(ISBLANK(Actuals!CT10),0,Actuals!CT10)</f>
        <v>0</v>
      </c>
      <c r="CU11" s="3">
        <f>IF(ISBLANK(Actuals!CU10),0,Actuals!CU10)</f>
        <v>0</v>
      </c>
      <c r="CV11" s="3">
        <f>IF(ISBLANK(Actuals!CV10),0,Actuals!CV10)</f>
        <v>0</v>
      </c>
      <c r="CW11" s="3">
        <f>IF(ISBLANK(Actuals!CW10),0,Actuals!CW10)</f>
        <v>0</v>
      </c>
      <c r="CX11" s="3">
        <f>IF(ISBLANK(Actuals!CX10),0,Actuals!CX10)</f>
        <v>0</v>
      </c>
      <c r="CY11" s="3">
        <f>IF(ISBLANK(Actuals!CY10),0,Actuals!CY10)</f>
        <v>0</v>
      </c>
      <c r="CZ11" s="3">
        <f>IF(ISBLANK(Actuals!CZ10),0,Actuals!CZ10)</f>
        <v>0</v>
      </c>
      <c r="DA11" s="3">
        <f>IF(ISBLANK(Actuals!DA10),0,Actuals!DA10)</f>
        <v>0</v>
      </c>
      <c r="DB11" s="3">
        <f>IF(ISBLANK(Actuals!DB10),0,Actuals!DB10)</f>
        <v>0</v>
      </c>
      <c r="DC11" s="3">
        <f>IF(ISBLANK(Actuals!DC10),0,Actuals!DC10)</f>
        <v>0</v>
      </c>
      <c r="DD11" s="3">
        <f>IF(ISBLANK(Actuals!DD10),0,Actuals!DD10)</f>
        <v>0</v>
      </c>
      <c r="DE11" s="3">
        <f>IF(ISBLANK(Actuals!DE10),0,Actuals!DE10)</f>
        <v>0</v>
      </c>
      <c r="DF11" s="3">
        <f>IF(ISBLANK(Actuals!DF10),0,Actuals!DF10)</f>
        <v>0</v>
      </c>
    </row>
    <row r="12" spans="1:110" ht="15" customHeight="1" x14ac:dyDescent="0.25">
      <c r="A12" s="13" t="s">
        <v>58</v>
      </c>
      <c r="B12" s="302"/>
      <c r="C12" s="3">
        <f>IF(ISBLANK(Actuals!C11),0,Actuals!C11)</f>
        <v>95370.25</v>
      </c>
      <c r="D12" s="3">
        <f>IF(ISBLANK(Actuals!D11),0,Actuals!D11)</f>
        <v>173282.89</v>
      </c>
      <c r="E12" s="3">
        <f>IF(ISBLANK(Actuals!E11),0,Actuals!E11)</f>
        <v>50438.85</v>
      </c>
      <c r="F12" s="3">
        <f>IF(ISBLANK(Actuals!F11),SUMPRODUCT((Projects!$G$2:$G$14="Yes")*(1&gt;=Projects!$C$2:$C$14)*(1&lt;Projects!$C$2:$C$14+Projects!$D$2:$D$14)*Projects!$B$2:$B$14*Assumptions!$B$11/Projects!$D$2:$D$14*0.95)+SUMPRODUCT((Projects!$G$2:$G$14="Yes")*(1=Projects!$C$2:$C$14+Projects!$D$2:$D$14-1)*Projects!$B$2:$B$14*Assumptions!$B$11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,Actuals!F11)</f>
        <v>167518.85</v>
      </c>
      <c r="G12" s="3">
        <f>IF(ISBLANK(Actuals!G11),SUMPRODUCT((Projects!$G$2:$G$14="Yes")*(2&gt;=Projects!$C$2:$C$14)*(2&lt;Projects!$C$2:$C$14+Projects!$D$2:$D$14)*Projects!$B$2:$B$14*Assumptions!$B$11/Projects!$D$2:$D$14*0.95)+SUMPRODUCT((Projects!$G$2:$G$14="Yes")*(2=Projects!$C$2:$C$14+Projects!$D$2:$D$14-1)*Projects!$B$2:$B$14*Assumptions!$B$11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,Actuals!G11)</f>
        <v>200950.18629677419</v>
      </c>
      <c r="H12" s="3">
        <f>IF(ISBLANK(Actuals!H11),SUMPRODUCT((Projects!$G$2:$G$14="Yes")*(3&gt;=Projects!$C$2:$C$14)*(3&lt;Projects!$C$2:$C$14+Projects!$D$2:$D$14)*Projects!$B$2:$B$14*Assumptions!$B$11/Projects!$D$2:$D$14*0.95)+SUMPRODUCT((Projects!$G$2:$G$14="Yes")*(3=Projects!$C$2:$C$14+Projects!$D$2:$D$14-1)*Projects!$B$2:$B$14*Assumptions!$B$11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,Actuals!H11)</f>
        <v>200950.18629677419</v>
      </c>
      <c r="I12" s="3">
        <f>IF(ISBLANK(Actuals!I11),SUMPRODUCT((Projects!$G$2:$G$14="Yes")*(4&gt;=Projects!$C$2:$C$14)*(4&lt;Projects!$C$2:$C$14+Projects!$D$2:$D$14)*Projects!$B$2:$B$14*Assumptions!$B$11/Projects!$D$2:$D$14*0.95)+SUMPRODUCT((Projects!$G$2:$G$14="Yes")*(4=Projects!$C$2:$C$14+Projects!$D$2:$D$14-1)*Projects!$B$2:$B$14*Assumptions!$B$11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,Actuals!I11)</f>
        <v>271155.18765869422</v>
      </c>
      <c r="J12" s="3">
        <f>IF(ISBLANK(Actuals!J11),SUMPRODUCT((Projects!$G$2:$G$14="Yes")*(5&gt;=Projects!$C$2:$C$14)*(5&lt;Projects!$C$2:$C$14+Projects!$D$2:$D$14)*Projects!$B$2:$B$14*Assumptions!$B$11/Projects!$D$2:$D$14*0.95)+SUMPRODUCT((Projects!$G$2:$G$14="Yes")*(5=Projects!$C$2:$C$14+Projects!$D$2:$D$14-1)*Projects!$B$2:$B$14*Assumptions!$B$11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,Actuals!J11)</f>
        <v>271155.18765869422</v>
      </c>
      <c r="K12" s="3">
        <f>IF(ISBLANK(Actuals!K11),SUMPRODUCT((Projects!$G$2:$G$14="Yes")*(6&gt;=Projects!$C$2:$C$14)*(6&lt;Projects!$C$2:$C$14+Projects!$D$2:$D$14)*Projects!$B$2:$B$14*Assumptions!$B$11/Projects!$D$2:$D$14*0.95)+SUMPRODUCT((Projects!$G$2:$G$14="Yes")*(6=Projects!$C$2:$C$14+Projects!$D$2:$D$14-1)*Projects!$B$2:$B$14*Assumptions!$B$11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,Actuals!K11)</f>
        <v>271155.18765869422</v>
      </c>
      <c r="L12" s="3">
        <f>IF(ISBLANK(Actuals!L11),SUMPRODUCT((Projects!$G$2:$G$14="Yes")*(7&gt;=Projects!$C$2:$C$14)*(7&lt;Projects!$C$2:$C$14+Projects!$D$2:$D$14)*Projects!$B$2:$B$14*Assumptions!$B$11/Projects!$D$2:$D$14*0.95)+SUMPRODUCT((Projects!$G$2:$G$14="Yes")*(7=Projects!$C$2:$C$14+Projects!$D$2:$D$14-1)*Projects!$B$2:$B$14*Assumptions!$B$11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,Actuals!L11)</f>
        <v>332195.48606778088</v>
      </c>
      <c r="M12" s="3">
        <f>IF(ISBLANK(Actuals!M11),SUMPRODUCT((Projects!$G$2:$G$14="Yes")*(8&gt;=Projects!$C$2:$C$14)*(8&lt;Projects!$C$2:$C$14+Projects!$D$2:$D$14)*Projects!$B$2:$B$14*Assumptions!$B$11/Projects!$D$2:$D$14*0.95)+SUMPRODUCT((Projects!$G$2:$G$14="Yes")*(8=Projects!$C$2:$C$14+Projects!$D$2:$D$14-1)*Projects!$B$2:$B$14*Assumptions!$B$11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,Actuals!M11)</f>
        <v>394006.47235948924</v>
      </c>
      <c r="N12" s="3">
        <f>IF(ISBLANK(Actuals!N11),SUMPRODUCT((Projects!$G$2:$G$14="Yes")*(9&gt;=Projects!$C$2:$C$14)*(9&lt;Projects!$C$2:$C$14+Projects!$D$2:$D$14)*Projects!$B$2:$B$14*Assumptions!$B$11/Projects!$D$2:$D$14*0.95)+SUMPRODUCT((Projects!$G$2:$G$14="Yes")*(9=Projects!$C$2:$C$14+Projects!$D$2:$D$14-1)*Projects!$B$2:$B$14*Assumptions!$B$11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,Actuals!N11)</f>
        <v>331960.98439761426</v>
      </c>
      <c r="O12" s="3">
        <f>IF(ISBLANK(Actuals!O11),SUMPRODUCT((Projects!$G$2:$G$14="Yes")*(10&gt;=Projects!$C$2:$C$14)*(10&lt;Projects!$C$2:$C$14+Projects!$D$2:$D$14)*Projects!$B$2:$B$14*Assumptions!$B$11/Projects!$D$2:$D$14*0.95)+SUMPRODUCT((Projects!$G$2:$G$14="Yes")*(10=Projects!$C$2:$C$14+Projects!$D$2:$D$14-1)*Projects!$B$2:$B$14*Assumptions!$B$11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,Actuals!O11)</f>
        <v>331960.98439761426</v>
      </c>
      <c r="P12" s="3">
        <f>IF(ISBLANK(Actuals!P11),SUMPRODUCT((Projects!$G$2:$G$14="Yes")*(11&gt;=Projects!$C$2:$C$14)*(11&lt;Projects!$C$2:$C$14+Projects!$D$2:$D$14)*Projects!$B$2:$B$14*Assumptions!$B$11/Projects!$D$2:$D$14*0.95)+SUMPRODUCT((Projects!$G$2:$G$14="Yes")*(11=Projects!$C$2:$C$14+Projects!$D$2:$D$14-1)*Projects!$B$2:$B$14*Assumptions!$B$11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,Actuals!P11)</f>
        <v>331960.98439761426</v>
      </c>
      <c r="Q12" s="3">
        <f>IF(ISBLANK(Actuals!Q11),SUMPRODUCT((Projects!$G$2:$G$14="Yes")*(12&gt;=Projects!$C$2:$C$14)*(12&lt;Projects!$C$2:$C$14+Projects!$D$2:$D$14)*Projects!$B$2:$B$14*Assumptions!$B$11/Projects!$D$2:$D$14*0.95)+SUMPRODUCT((Projects!$G$2:$G$14="Yes")*(12=Projects!$C$2:$C$14+Projects!$D$2:$D$14-1)*Projects!$B$2:$B$14*Assumptions!$B$11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,Actuals!Q11)</f>
        <v>331960.98439761426</v>
      </c>
      <c r="R12" s="3">
        <f>IF(ISBLANK(Actuals!R11),SUMPRODUCT((Projects!$G$2:$G$14="Yes")*(13&gt;=Projects!$C$2:$C$14)*(13&lt;Projects!$C$2:$C$14+Projects!$D$2:$D$14)*Projects!$B$2:$B$14*Assumptions!$B$11/Projects!$D$2:$D$14*0.95)+SUMPRODUCT((Projects!$G$2:$G$14="Yes")*(13=Projects!$C$2:$C$14+Projects!$D$2:$D$14-1)*Projects!$B$2:$B$14*Assumptions!$B$11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,Actuals!R11)</f>
        <v>405921.15278674755</v>
      </c>
      <c r="S12" s="3">
        <f>IF(ISBLANK(Actuals!S11),SUMPRODUCT((Projects!$G$2:$G$14="Yes")*(14&gt;=Projects!$C$2:$C$14)*(14&lt;Projects!$C$2:$C$14+Projects!$D$2:$D$14)*Projects!$B$2:$B$14*Assumptions!$B$11/Projects!$D$2:$D$14*0.95)+SUMPRODUCT((Projects!$G$2:$G$14="Yes")*(14=Projects!$C$2:$C$14+Projects!$D$2:$D$14-1)*Projects!$B$2:$B$14*Assumptions!$B$11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,Actuals!S11)</f>
        <v>405921.15278674755</v>
      </c>
      <c r="T12" s="3">
        <f>IF(ISBLANK(Actuals!T11),SUMPRODUCT((Projects!$G$2:$G$14="Yes")*(15&gt;=Projects!$C$2:$C$14)*(15&lt;Projects!$C$2:$C$14+Projects!$D$2:$D$14)*Projects!$B$2:$B$14*Assumptions!$B$11/Projects!$D$2:$D$14*0.95)+SUMPRODUCT((Projects!$G$2:$G$14="Yes")*(15=Projects!$C$2:$C$14+Projects!$D$2:$D$14-1)*Projects!$B$2:$B$14*Assumptions!$B$11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,Actuals!T11)</f>
        <v>473918.91235394753</v>
      </c>
      <c r="U12" s="3">
        <f>IF(ISBLANK(Actuals!U11),SUMPRODUCT((Projects!$G$2:$G$14="Yes")*(16&gt;=Projects!$C$2:$C$14)*(16&lt;Projects!$C$2:$C$14+Projects!$D$2:$D$14)*Projects!$B$2:$B$14*Assumptions!$B$11/Projects!$D$2:$D$14*0.95)+SUMPRODUCT((Projects!$G$2:$G$14="Yes")*(16=Projects!$C$2:$C$14+Projects!$D$2:$D$14-1)*Projects!$B$2:$B$14*Assumptions!$B$11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,Actuals!U11)</f>
        <v>371841.86046516092</v>
      </c>
      <c r="V12" s="3">
        <f>IF(ISBLANK(Actuals!V11),SUMPRODUCT((Projects!$G$2:$G$14="Yes")*(17&gt;=Projects!$C$2:$C$14)*(17&lt;Projects!$C$2:$C$14+Projects!$D$2:$D$14)*Projects!$B$2:$B$14*Assumptions!$B$11/Projects!$D$2:$D$14*0.95)+SUMPRODUCT((Projects!$G$2:$G$14="Yes")*(17=Projects!$C$2:$C$14+Projects!$D$2:$D$14-1)*Projects!$B$2:$B$14*Assumptions!$B$11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,Actuals!V11)</f>
        <v>257979.8536178483</v>
      </c>
      <c r="W12" s="3">
        <f>IF(ISBLANK(Actuals!W11),SUMPRODUCT((Projects!$G$2:$G$14="Yes")*(18&gt;=Projects!$C$2:$C$14)*(18&lt;Projects!$C$2:$C$14+Projects!$D$2:$D$14)*Projects!$B$2:$B$14*Assumptions!$B$11/Projects!$D$2:$D$14*0.95)+SUMPRODUCT((Projects!$G$2:$G$14="Yes")*(18=Projects!$C$2:$C$14+Projects!$D$2:$D$14-1)*Projects!$B$2:$B$14*Assumptions!$B$11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,Actuals!W11)</f>
        <v>257979.8536178483</v>
      </c>
      <c r="X12" s="3">
        <f>IF(ISBLANK(Actuals!X11),SUMPRODUCT((Projects!$G$2:$G$14="Yes")*(19&gt;=Projects!$C$2:$C$14)*(19&lt;Projects!$C$2:$C$14+Projects!$D$2:$D$14)*Projects!$B$2:$B$14*Assumptions!$B$11/Projects!$D$2:$D$14*0.95)+SUMPRODUCT((Projects!$G$2:$G$14="Yes")*(19=Projects!$C$2:$C$14+Projects!$D$2:$D$14-1)*Projects!$B$2:$B$14*Assumptions!$B$11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,Actuals!X11)</f>
        <v>267327.10106884828</v>
      </c>
      <c r="Y12" s="3">
        <f>IF(ISBLANK(Actuals!Y11),SUMPRODUCT((Projects!$G$2:$G$14="Yes")*(20&gt;=Projects!$C$2:$C$14)*(20&lt;Projects!$C$2:$C$14+Projects!$D$2:$D$14)*Projects!$B$2:$B$14*Assumptions!$B$11/Projects!$D$2:$D$14*0.95)+SUMPRODUCT((Projects!$G$2:$G$14="Yes")*(20=Projects!$C$2:$C$14+Projects!$D$2:$D$14-1)*Projects!$B$2:$B$14*Assumptions!$B$11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,Actuals!Y11)</f>
        <v>248632.60616684833</v>
      </c>
      <c r="Z12" s="3">
        <f>IF(ISBLANK(Actuals!Z11),SUMPRODUCT((Projects!$G$2:$G$14="Yes")*(21&gt;=Projects!$C$2:$C$14)*(21&lt;Projects!$C$2:$C$14+Projects!$D$2:$D$14)*Projects!$B$2:$B$14*Assumptions!$B$11/Projects!$D$2:$D$14*0.95)+SUMPRODUCT((Projects!$G$2:$G$14="Yes")*(21=Projects!$C$2:$C$14+Projects!$D$2:$D$14-1)*Projects!$B$2:$B$14*Assumptions!$B$11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,Actuals!Z11)</f>
        <v>248632.60616684833</v>
      </c>
      <c r="AA12" s="3">
        <f>IF(ISBLANK(Actuals!AA11),SUMPRODUCT((Projects!$G$2:$G$14="Yes")*(22&gt;=Projects!$C$2:$C$14)*(22&lt;Projects!$C$2:$C$14+Projects!$D$2:$D$14)*Projects!$B$2:$B$14*Assumptions!$B$11/Projects!$D$2:$D$14*0.95)+SUMPRODUCT((Projects!$G$2:$G$14="Yes")*(22=Projects!$C$2:$C$14+Projects!$D$2:$D$14-1)*Projects!$B$2:$B$14*Assumptions!$B$11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,Actuals!AA11)</f>
        <v>248632.60616684833</v>
      </c>
      <c r="AB12" s="3">
        <f>IF(ISBLANK(Actuals!AB11),SUMPRODUCT((Projects!$G$2:$G$14="Yes")*(23&gt;=Projects!$C$2:$C$14)*(23&lt;Projects!$C$2:$C$14+Projects!$D$2:$D$14)*Projects!$B$2:$B$14*Assumptions!$B$11/Projects!$D$2:$D$14*0.95)+SUMPRODUCT((Projects!$G$2:$G$14="Yes")*(23=Projects!$C$2:$C$14+Projects!$D$2:$D$14-1)*Projects!$B$2:$B$14*Assumptions!$B$11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,Actuals!AB11)</f>
        <v>248632.60616684833</v>
      </c>
      <c r="AC12" s="3">
        <f>IF(ISBLANK(Actuals!AC11),SUMPRODUCT((Projects!$G$2:$G$14="Yes")*(24&gt;=Projects!$C$2:$C$14)*(24&lt;Projects!$C$2:$C$14+Projects!$D$2:$D$14)*Projects!$B$2:$B$14*Assumptions!$B$11/Projects!$D$2:$D$14*0.95)+SUMPRODUCT((Projects!$G$2:$G$14="Yes")*(24=Projects!$C$2:$C$14+Projects!$D$2:$D$14-1)*Projects!$B$2:$B$14*Assumptions!$B$11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,Actuals!AC11)</f>
        <v>248632.60616684833</v>
      </c>
      <c r="AD12" s="3">
        <f>IF(ISBLANK(Actuals!AD11),SUMPRODUCT((Projects!$G$2:$G$14="Yes")*(25&gt;=Projects!$C$2:$C$14)*(25&lt;Projects!$C$2:$C$14+Projects!$D$2:$D$14)*Projects!$B$2:$B$14*Assumptions!$B$11/Projects!$D$2:$D$14*0.95)+SUMPRODUCT((Projects!$G$2:$G$14="Yes")*(25=Projects!$C$2:$C$14+Projects!$D$2:$D$14-1)*Projects!$B$2:$B$14*Assumptions!$B$11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,Actuals!AD11)</f>
        <v>283784.37277244835</v>
      </c>
      <c r="AE12" s="3">
        <f>IF(ISBLANK(Actuals!AE11),SUMPRODUCT((Projects!$G$2:$G$14="Yes")*(26&gt;=Projects!$C$2:$C$14)*(26&lt;Projects!$C$2:$C$14+Projects!$D$2:$D$14)*Projects!$B$2:$B$14*Assumptions!$B$11/Projects!$D$2:$D$14*0.95)+SUMPRODUCT((Projects!$G$2:$G$14="Yes")*(26=Projects!$C$2:$C$14+Projects!$D$2:$D$14-1)*Projects!$B$2:$B$14*Assumptions!$B$11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,Actuals!AE11)</f>
        <v>213480.83956124831</v>
      </c>
      <c r="AF12" s="3">
        <f>IF(ISBLANK(Actuals!AF11),SUMPRODUCT((Projects!$G$2:$G$14="Yes")*(27&gt;=Projects!$C$2:$C$14)*(27&lt;Projects!$C$2:$C$14+Projects!$D$2:$D$14)*Projects!$B$2:$B$14*Assumptions!$B$11/Projects!$D$2:$D$14*0.95)+SUMPRODUCT((Projects!$G$2:$G$14="Yes")*(27=Projects!$C$2:$C$14+Projects!$D$2:$D$14-1)*Projects!$B$2:$B$14*Assumptions!$B$11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,Actuals!AF11)</f>
        <v>281049.06999586168</v>
      </c>
      <c r="AG12" s="3">
        <f>IF(ISBLANK(Actuals!AG11),SUMPRODUCT((Projects!$G$2:$G$14="Yes")*(28&gt;=Projects!$C$2:$C$14)*(28&lt;Projects!$C$2:$C$14+Projects!$D$2:$D$14)*Projects!$B$2:$B$14*Assumptions!$B$11/Projects!$D$2:$D$14*0.95)+SUMPRODUCT((Projects!$G$2:$G$14="Yes")*(28=Projects!$C$2:$C$14+Projects!$D$2:$D$14-1)*Projects!$B$2:$B$14*Assumptions!$B$11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,Actuals!AG11)</f>
        <v>281049.06999586168</v>
      </c>
      <c r="AH12" s="3">
        <f>IF(ISBLANK(Actuals!AH11),SUMPRODUCT((Projects!$G$2:$G$14="Yes")*(29&gt;=Projects!$C$2:$C$14)*(29&lt;Projects!$C$2:$C$14+Projects!$D$2:$D$14)*Projects!$B$2:$B$14*Assumptions!$B$11/Projects!$D$2:$D$14*0.95)+SUMPRODUCT((Projects!$G$2:$G$14="Yes")*(29=Projects!$C$2:$C$14+Projects!$D$2:$D$14-1)*Projects!$B$2:$B$14*Assumptions!$B$11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,Actuals!AH11)</f>
        <v>281049.06999586168</v>
      </c>
      <c r="AI12" s="3">
        <f>IF(ISBLANK(Actuals!AI11),SUMPRODUCT((Projects!$G$2:$G$14="Yes")*(30&gt;=Projects!$C$2:$C$14)*(30&lt;Projects!$C$2:$C$14+Projects!$D$2:$D$14)*Projects!$B$2:$B$14*Assumptions!$B$11/Projects!$D$2:$D$14*0.95)+SUMPRODUCT((Projects!$G$2:$G$14="Yes")*(30=Projects!$C$2:$C$14+Projects!$D$2:$D$14-1)*Projects!$B$2:$B$14*Assumptions!$B$11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,Actuals!AI11)</f>
        <v>281049.06999586168</v>
      </c>
      <c r="AJ12" s="3">
        <f>IF(ISBLANK(Actuals!AJ11),SUMPRODUCT((Projects!$G$2:$G$14="Yes")*(31&gt;=Projects!$C$2:$C$14)*(31&lt;Projects!$C$2:$C$14+Projects!$D$2:$D$14)*Projects!$B$2:$B$14*Assumptions!$B$11/Projects!$D$2:$D$14*0.95)+SUMPRODUCT((Projects!$G$2:$G$14="Yes")*(31=Projects!$C$2:$C$14+Projects!$D$2:$D$14-1)*Projects!$B$2:$B$14*Assumptions!$B$11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,Actuals!AJ11)</f>
        <v>374601.40221486171</v>
      </c>
      <c r="AK12" s="3">
        <f>IF(ISBLANK(Actuals!AK11),SUMPRODUCT((Projects!$G$2:$G$14="Yes")*(32&gt;=Projects!$C$2:$C$14)*(32&lt;Projects!$C$2:$C$14+Projects!$D$2:$D$14)*Projects!$B$2:$B$14*Assumptions!$B$11/Projects!$D$2:$D$14*0.95)+SUMPRODUCT((Projects!$G$2:$G$14="Yes")*(32=Projects!$C$2:$C$14+Projects!$D$2:$D$14-1)*Projects!$B$2:$B$14*Assumptions!$B$11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,Actuals!AK11)</f>
        <v>276318.93198915332</v>
      </c>
      <c r="AL12" s="3">
        <f>IF(ISBLANK(Actuals!AL11),SUMPRODUCT((Projects!$G$2:$G$14="Yes")*(33&gt;=Projects!$C$2:$C$14)*(33&lt;Projects!$C$2:$C$14+Projects!$D$2:$D$14)*Projects!$B$2:$B$14*Assumptions!$B$11/Projects!$D$2:$D$14*0.95)+SUMPRODUCT((Projects!$G$2:$G$14="Yes")*(33=Projects!$C$2:$C$14+Projects!$D$2:$D$14-1)*Projects!$B$2:$B$14*Assumptions!$B$11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,Actuals!AL11)</f>
        <v>387168.93413955334</v>
      </c>
      <c r="AM12" s="3">
        <f>IF(ISBLANK(Actuals!AM11),SUMPRODUCT((Projects!$G$2:$G$14="Yes")*(34&gt;=Projects!$C$2:$C$14)*(34&lt;Projects!$C$2:$C$14+Projects!$D$2:$D$14)*Projects!$B$2:$B$14*Assumptions!$B$11/Projects!$D$2:$D$14*0.95)+SUMPRODUCT((Projects!$G$2:$G$14="Yes")*(34=Projects!$C$2:$C$14+Projects!$D$2:$D$14-1)*Projects!$B$2:$B$14*Assumptions!$B$11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,Actuals!AM11)</f>
        <v>244810.93062723335</v>
      </c>
      <c r="AN12" s="3">
        <f>IF(ISBLANK(Actuals!AN11),SUMPRODUCT((Projects!$G$2:$G$14="Yes")*(35&gt;=Projects!$C$2:$C$14)*(35&lt;Projects!$C$2:$C$14+Projects!$D$2:$D$14)*Projects!$B$2:$B$14*Assumptions!$B$11/Projects!$D$2:$D$14*0.95)+SUMPRODUCT((Projects!$G$2:$G$14="Yes")*(35=Projects!$C$2:$C$14+Projects!$D$2:$D$14-1)*Projects!$B$2:$B$14*Assumptions!$B$11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,Actuals!AN11)</f>
        <v>244810.93062723335</v>
      </c>
      <c r="AO12" s="3">
        <f>IF(ISBLANK(Actuals!AO11),SUMPRODUCT((Projects!$G$2:$G$14="Yes")*(36&gt;=Projects!$C$2:$C$14)*(36&lt;Projects!$C$2:$C$14+Projects!$D$2:$D$14)*Projects!$B$2:$B$14*Assumptions!$B$11/Projects!$D$2:$D$14*0.95)+SUMPRODUCT((Projects!$G$2:$G$14="Yes")*(36=Projects!$C$2:$C$14+Projects!$D$2:$D$14-1)*Projects!$B$2:$B$14*Assumptions!$B$11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,Actuals!AO11)</f>
        <v>285687.55979063333</v>
      </c>
      <c r="AP12" s="3">
        <f>IF(ISBLANK(Actuals!AP11),SUMPRODUCT((Projects!$G$2:$G$14="Yes")*(37&gt;=Projects!$C$2:$C$14)*(37&lt;Projects!$C$2:$C$14+Projects!$D$2:$D$14)*Projects!$B$2:$B$14*Assumptions!$B$11/Projects!$D$2:$D$14*0.95)+SUMPRODUCT((Projects!$G$2:$G$14="Yes")*(37=Projects!$C$2:$C$14+Projects!$D$2:$D$14-1)*Projects!$B$2:$B$14*Assumptions!$B$11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,Actuals!AP11)</f>
        <v>265358.79882374662</v>
      </c>
      <c r="AQ12" s="3">
        <f>IF(ISBLANK(Actuals!AQ11),SUMPRODUCT((Projects!$G$2:$G$14="Yes")*(38&gt;=Projects!$C$2:$C$14)*(38&lt;Projects!$C$2:$C$14+Projects!$D$2:$D$14)*Projects!$B$2:$B$14*Assumptions!$B$11/Projects!$D$2:$D$14*0.95)+SUMPRODUCT((Projects!$G$2:$G$14="Yes")*(38=Projects!$C$2:$C$14+Projects!$D$2:$D$14-1)*Projects!$B$2:$B$14*Assumptions!$B$11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,Actuals!AQ11)</f>
        <v>265358.79882374662</v>
      </c>
      <c r="AR12" s="3">
        <f>IF(ISBLANK(Actuals!AR11),SUMPRODUCT((Projects!$G$2:$G$14="Yes")*(39&gt;=Projects!$C$2:$C$14)*(39&lt;Projects!$C$2:$C$14+Projects!$D$2:$D$14)*Projects!$B$2:$B$14*Assumptions!$B$11/Projects!$D$2:$D$14*0.95)+SUMPRODUCT((Projects!$G$2:$G$14="Yes")*(39=Projects!$C$2:$C$14+Projects!$D$2:$D$14-1)*Projects!$B$2:$B$14*Assumptions!$B$11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,Actuals!AR11)</f>
        <v>265358.79882374662</v>
      </c>
      <c r="AS12" s="3">
        <f>IF(ISBLANK(Actuals!AS11),SUMPRODUCT((Projects!$G$2:$G$14="Yes")*(40&gt;=Projects!$C$2:$C$14)*(40&lt;Projects!$C$2:$C$14+Projects!$D$2:$D$14)*Projects!$B$2:$B$14*Assumptions!$B$11/Projects!$D$2:$D$14*0.95)+SUMPRODUCT((Projects!$G$2:$G$14="Yes")*(40=Projects!$C$2:$C$14+Projects!$D$2:$D$14-1)*Projects!$B$2:$B$14*Assumptions!$B$11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,Actuals!AS11)</f>
        <v>311795.19882374664</v>
      </c>
      <c r="AT12" s="3">
        <f>IF(ISBLANK(Actuals!AT11),SUMPRODUCT((Projects!$G$2:$G$14="Yes")*(41&gt;=Projects!$C$2:$C$14)*(41&lt;Projects!$C$2:$C$14+Projects!$D$2:$D$14)*Projects!$B$2:$B$14*Assumptions!$B$11/Projects!$D$2:$D$14*0.95)+SUMPRODUCT((Projects!$G$2:$G$14="Yes")*(41=Projects!$C$2:$C$14+Projects!$D$2:$D$14-1)*Projects!$B$2:$B$14*Assumptions!$B$11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,Actuals!AT11)</f>
        <v>311795.19882374664</v>
      </c>
      <c r="AU12" s="3">
        <f>IF(ISBLANK(Actuals!AU11),SUMPRODUCT((Projects!$G$2:$G$14="Yes")*(42&gt;=Projects!$C$2:$C$14)*(42&lt;Projects!$C$2:$C$14+Projects!$D$2:$D$14)*Projects!$B$2:$B$14*Assumptions!$B$11/Projects!$D$2:$D$14*0.95)+SUMPRODUCT((Projects!$G$2:$G$14="Yes")*(42=Projects!$C$2:$C$14+Projects!$D$2:$D$14-1)*Projects!$B$2:$B$14*Assumptions!$B$11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,Actuals!AU11)</f>
        <v>428574.41206974664</v>
      </c>
      <c r="AV12" s="3">
        <f>IF(ISBLANK(Actuals!AV11),SUMPRODUCT((Projects!$G$2:$G$14="Yes")*(43&gt;=Projects!$C$2:$C$14)*(43&lt;Projects!$C$2:$C$14+Projects!$D$2:$D$14)*Projects!$B$2:$B$14*Assumptions!$B$11/Projects!$D$2:$D$14*0.95)+SUMPRODUCT((Projects!$G$2:$G$14="Yes")*(43=Projects!$C$2:$C$14+Projects!$D$2:$D$14-1)*Projects!$B$2:$B$14*Assumptions!$B$11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,Actuals!AV11)</f>
        <v>237835.03043461335</v>
      </c>
      <c r="AW12" s="3">
        <f>IF(ISBLANK(Actuals!AW11),SUMPRODUCT((Projects!$G$2:$G$14="Yes")*(44&gt;=Projects!$C$2:$C$14)*(44&lt;Projects!$C$2:$C$14+Projects!$D$2:$D$14)*Projects!$B$2:$B$14*Assumptions!$B$11/Projects!$D$2:$D$14*0.95)+SUMPRODUCT((Projects!$G$2:$G$14="Yes")*(44=Projects!$C$2:$C$14+Projects!$D$2:$D$14-1)*Projects!$B$2:$B$14*Assumptions!$B$11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,Actuals!AW11)</f>
        <v>237835.03043461335</v>
      </c>
      <c r="AX12" s="3">
        <f>IF(ISBLANK(Actuals!AX11),SUMPRODUCT((Projects!$G$2:$G$14="Yes")*(45&gt;=Projects!$C$2:$C$14)*(45&lt;Projects!$C$2:$C$14+Projects!$D$2:$D$14)*Projects!$B$2:$B$14*Assumptions!$B$11/Projects!$D$2:$D$14*0.95)+SUMPRODUCT((Projects!$G$2:$G$14="Yes")*(45=Projects!$C$2:$C$14+Projects!$D$2:$D$14-1)*Projects!$B$2:$B$14*Assumptions!$B$11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,Actuals!AX11)</f>
        <v>237835.03043461335</v>
      </c>
      <c r="AY12" s="3">
        <f>IF(ISBLANK(Actuals!AY11),SUMPRODUCT((Projects!$G$2:$G$14="Yes")*(46&gt;=Projects!$C$2:$C$14)*(46&lt;Projects!$C$2:$C$14+Projects!$D$2:$D$14)*Projects!$B$2:$B$14*Assumptions!$B$11/Projects!$D$2:$D$14*0.95)+SUMPRODUCT((Projects!$G$2:$G$14="Yes")*(46=Projects!$C$2:$C$14+Projects!$D$2:$D$14-1)*Projects!$B$2:$B$14*Assumptions!$B$11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,Actuals!AY11)</f>
        <v>237835.03043461335</v>
      </c>
      <c r="AZ12" s="3">
        <f>IF(ISBLANK(Actuals!AZ11),SUMPRODUCT((Projects!$G$2:$G$14="Yes")*(47&gt;=Projects!$C$2:$C$14)*(47&lt;Projects!$C$2:$C$14+Projects!$D$2:$D$14)*Projects!$B$2:$B$14*Assumptions!$B$11/Projects!$D$2:$D$14*0.95)+SUMPRODUCT((Projects!$G$2:$G$14="Yes")*(47=Projects!$C$2:$C$14+Projects!$D$2:$D$14-1)*Projects!$B$2:$B$14*Assumptions!$B$11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,Actuals!AZ11)</f>
        <v>237835.03043461335</v>
      </c>
      <c r="BA12" s="3">
        <f>IF(ISBLANK(Actuals!BA11),SUMPRODUCT((Projects!$G$2:$G$14="Yes")*(48&gt;=Projects!$C$2:$C$14)*(48&lt;Projects!$C$2:$C$14+Projects!$D$2:$D$14)*Projects!$B$2:$B$14*Assumptions!$B$11/Projects!$D$2:$D$14*0.95)+SUMPRODUCT((Projects!$G$2:$G$14="Yes")*(48=Projects!$C$2:$C$14+Projects!$D$2:$D$14-1)*Projects!$B$2:$B$14*Assumptions!$B$11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,Actuals!BA11)</f>
        <v>276532.03043461335</v>
      </c>
      <c r="BB12" s="3">
        <f>IF(ISBLANK(Actuals!BB11),SUMPRODUCT((Projects!$G$2:$G$14="Yes")*(49&gt;=Projects!$C$2:$C$14)*(49&lt;Projects!$C$2:$C$14+Projects!$D$2:$D$14)*Projects!$B$2:$B$14*Assumptions!$B$11/Projects!$D$2:$D$14*0.95)+SUMPRODUCT((Projects!$G$2:$G$14="Yes")*(49=Projects!$C$2:$C$14+Projects!$D$2:$D$14-1)*Projects!$B$2:$B$14*Assumptions!$B$11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,Actuals!BB11)</f>
        <v>315229.03043461335</v>
      </c>
      <c r="BC12" s="3">
        <f>IF(ISBLANK(Actuals!BC11),SUMPRODUCT((Projects!$G$2:$G$14="Yes")*(50&gt;=Projects!$C$2:$C$14)*(50&lt;Projects!$C$2:$C$14+Projects!$D$2:$D$14)*Projects!$B$2:$B$14*Assumptions!$B$11/Projects!$D$2:$D$14*0.95)+SUMPRODUCT((Projects!$G$2:$G$14="Yes")*(50=Projects!$C$2:$C$14+Projects!$D$2:$D$14-1)*Projects!$B$2:$B$14*Assumptions!$B$11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,Actuals!BC11)</f>
        <v>237835.03043461335</v>
      </c>
      <c r="BD12" s="3">
        <f>IF(ISBLANK(Actuals!BD11),SUMPRODUCT((Projects!$G$2:$G$14="Yes")*(51&gt;=Projects!$C$2:$C$14)*(51&lt;Projects!$C$2:$C$14+Projects!$D$2:$D$14)*Projects!$B$2:$B$14*Assumptions!$B$11/Projects!$D$2:$D$14*0.95)+SUMPRODUCT((Projects!$G$2:$G$14="Yes")*(51=Projects!$C$2:$C$14+Projects!$D$2:$D$14-1)*Projects!$B$2:$B$14*Assumptions!$B$11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,Actuals!BD11)</f>
        <v>237835.03043461335</v>
      </c>
      <c r="BE12" s="3">
        <f>IF(ISBLANK(Actuals!BE11),SUMPRODUCT((Projects!$G$2:$G$14="Yes")*(52&gt;=Projects!$C$2:$C$14)*(52&lt;Projects!$C$2:$C$14+Projects!$D$2:$D$14)*Projects!$B$2:$B$14*Assumptions!$B$11/Projects!$D$2:$D$14*0.95)+SUMPRODUCT((Projects!$G$2:$G$14="Yes")*(52=Projects!$C$2:$C$14+Projects!$D$2:$D$14-1)*Projects!$B$2:$B$14*Assumptions!$B$11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,Actuals!BE11)</f>
        <v>322968.43043461331</v>
      </c>
      <c r="BF12" s="3">
        <f>IF(ISBLANK(Actuals!BF11),SUMPRODUCT((Projects!$G$2:$G$14="Yes")*(53&gt;=Projects!$C$2:$C$14)*(53&lt;Projects!$C$2:$C$14+Projects!$D$2:$D$14)*Projects!$B$2:$B$14*Assumptions!$B$11/Projects!$D$2:$D$14*0.95)+SUMPRODUCT((Projects!$G$2:$G$14="Yes")*(53=Projects!$C$2:$C$14+Projects!$D$2:$D$14-1)*Projects!$B$2:$B$14*Assumptions!$B$11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,Actuals!BF11)</f>
        <v>245574.43043461331</v>
      </c>
      <c r="BG12" s="3">
        <f>IF(ISBLANK(Actuals!BG11),SUMPRODUCT((Projects!$G$2:$G$14="Yes")*(54&gt;=Projects!$C$2:$C$14)*(54&lt;Projects!$C$2:$C$14+Projects!$D$2:$D$14)*Projects!$B$2:$B$14*Assumptions!$B$11/Projects!$D$2:$D$14*0.95)+SUMPRODUCT((Projects!$G$2:$G$14="Yes")*(54=Projects!$C$2:$C$14+Projects!$D$2:$D$14-1)*Projects!$B$2:$B$14*Assumptions!$B$11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,Actuals!BG11)</f>
        <v>284271.43043461331</v>
      </c>
      <c r="BH12" s="3">
        <f>IF(ISBLANK(Actuals!BH11),SUMPRODUCT((Projects!$G$2:$G$14="Yes")*(55&gt;=Projects!$C$2:$C$14)*(55&lt;Projects!$C$2:$C$14+Projects!$D$2:$D$14)*Projects!$B$2:$B$14*Assumptions!$B$11/Projects!$D$2:$D$14*0.95)+SUMPRODUCT((Projects!$G$2:$G$14="Yes")*(55=Projects!$C$2:$C$14+Projects!$D$2:$D$14-1)*Projects!$B$2:$B$14*Assumptions!$B$11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,Actuals!BH11)</f>
        <v>330707.83043461334</v>
      </c>
      <c r="BI12" s="3">
        <f>IF(ISBLANK(Actuals!BI11),SUMPRODUCT((Projects!$G$2:$G$14="Yes")*(56&gt;=Projects!$C$2:$C$14)*(56&lt;Projects!$C$2:$C$14+Projects!$D$2:$D$14)*Projects!$B$2:$B$14*Assumptions!$B$11/Projects!$D$2:$D$14*0.95)+SUMPRODUCT((Projects!$G$2:$G$14="Yes")*(56=Projects!$C$2:$C$14+Projects!$D$2:$D$14-1)*Projects!$B$2:$B$14*Assumptions!$B$11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,Actuals!BI11)</f>
        <v>383218.71006821335</v>
      </c>
      <c r="BJ12" s="3">
        <f>IF(ISBLANK(Actuals!BJ11),SUMPRODUCT((Projects!$G$2:$G$14="Yes")*(57&gt;=Projects!$C$2:$C$14)*(57&lt;Projects!$C$2:$C$14+Projects!$D$2:$D$14)*Projects!$B$2:$B$14*Assumptions!$B$11/Projects!$D$2:$D$14*0.95)+SUMPRODUCT((Projects!$G$2:$G$14="Yes")*(57=Projects!$C$2:$C$14+Projects!$D$2:$D$14-1)*Projects!$B$2:$B$14*Assumptions!$B$11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,Actuals!BJ11)</f>
        <v>208963.8</v>
      </c>
      <c r="BK12" s="3">
        <f>IF(ISBLANK(Actuals!BK11),SUMPRODUCT((Projects!$G$2:$G$14="Yes")*(58&gt;=Projects!$C$2:$C$14)*(58&lt;Projects!$C$2:$C$14+Projects!$D$2:$D$14)*Projects!$B$2:$B$14*Assumptions!$B$11/Projects!$D$2:$D$14*0.95)+SUMPRODUCT((Projects!$G$2:$G$14="Yes")*(58=Projects!$C$2:$C$14+Projects!$D$2:$D$14-1)*Projects!$B$2:$B$14*Assumptions!$B$11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,Actuals!BK11)</f>
        <v>301836.59999999998</v>
      </c>
      <c r="BL12" s="3">
        <f>IF(ISBLANK(Actuals!BL11),SUMPRODUCT((Projects!$G$2:$G$14="Yes")*(59&gt;=Projects!$C$2:$C$14)*(59&lt;Projects!$C$2:$C$14+Projects!$D$2:$D$14)*Projects!$B$2:$B$14*Assumptions!$B$11/Projects!$D$2:$D$14*0.95)+SUMPRODUCT((Projects!$G$2:$G$14="Yes")*(59=Projects!$C$2:$C$14+Projects!$D$2:$D$14-1)*Projects!$B$2:$B$14*Assumptions!$B$11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,Actuals!BL11)</f>
        <v>208963.8</v>
      </c>
      <c r="BM12" s="3">
        <f>IF(ISBLANK(Actuals!BM11),SUMPRODUCT((Projects!$G$2:$G$14="Yes")*(60&gt;=Projects!$C$2:$C$14)*(60&lt;Projects!$C$2:$C$14+Projects!$D$2:$D$14)*Projects!$B$2:$B$14*Assumptions!$B$11/Projects!$D$2:$D$14*0.95)+SUMPRODUCT((Projects!$G$2:$G$14="Yes")*(60=Projects!$C$2:$C$14+Projects!$D$2:$D$14-1)*Projects!$B$2:$B$14*Assumptions!$B$11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,Actuals!BM11)</f>
        <v>247660.79999999999</v>
      </c>
      <c r="BN12" s="3">
        <f>IF(ISBLANK(Actuals!BN11),SUMPRODUCT((Projects!$G$2:$G$14="Yes")*(61&gt;=Projects!$C$2:$C$14)*(61&lt;Projects!$C$2:$C$14+Projects!$D$2:$D$14)*Projects!$B$2:$B$14*Assumptions!$B$11/Projects!$D$2:$D$14*0.95)+SUMPRODUCT((Projects!$G$2:$G$14="Yes")*(61=Projects!$C$2:$C$14+Projects!$D$2:$D$14-1)*Projects!$B$2:$B$14*Assumptions!$B$11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,Actuals!BN11)</f>
        <v>247660.79999999999</v>
      </c>
      <c r="BO12" s="3">
        <f>IF(ISBLANK(Actuals!BO11),SUMPRODUCT((Projects!$G$2:$G$14="Yes")*(62&gt;=Projects!$C$2:$C$14)*(62&lt;Projects!$C$2:$C$14+Projects!$D$2:$D$14)*Projects!$B$2:$B$14*Assumptions!$B$11/Projects!$D$2:$D$14*0.95)+SUMPRODUCT((Projects!$G$2:$G$14="Yes")*(62=Projects!$C$2:$C$14+Projects!$D$2:$D$14-1)*Projects!$B$2:$B$14*Assumptions!$B$11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,Actuals!BO11)</f>
        <v>294097.2</v>
      </c>
      <c r="BP12" s="3">
        <f>IF(ISBLANK(Actuals!BP11),SUMPRODUCT((Projects!$G$2:$G$14="Yes")*(63&gt;=Projects!$C$2:$C$14)*(63&lt;Projects!$C$2:$C$14+Projects!$D$2:$D$14)*Projects!$B$2:$B$14*Assumptions!$B$11/Projects!$D$2:$D$14*0.95)+SUMPRODUCT((Projects!$G$2:$G$14="Yes")*(63=Projects!$C$2:$C$14+Projects!$D$2:$D$14-1)*Projects!$B$2:$B$14*Assumptions!$B$11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,Actuals!BP11)</f>
        <v>294097.2</v>
      </c>
      <c r="BQ12" s="3">
        <f>IF(ISBLANK(Actuals!BQ11),SUMPRODUCT((Projects!$G$2:$G$14="Yes")*(64&gt;=Projects!$C$2:$C$14)*(64&lt;Projects!$C$2:$C$14+Projects!$D$2:$D$14)*Projects!$B$2:$B$14*Assumptions!$B$11/Projects!$D$2:$D$14*0.95)+SUMPRODUCT((Projects!$G$2:$G$14="Yes")*(64=Projects!$C$2:$C$14+Projects!$D$2:$D$14-1)*Projects!$B$2:$B$14*Assumptions!$B$11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,Actuals!BQ11)</f>
        <v>294097.2</v>
      </c>
      <c r="BR12" s="3">
        <f>IF(ISBLANK(Actuals!BR11),SUMPRODUCT((Projects!$G$2:$G$14="Yes")*(65&gt;=Projects!$C$2:$C$14)*(65&lt;Projects!$C$2:$C$14+Projects!$D$2:$D$14)*Projects!$B$2:$B$14*Assumptions!$B$11/Projects!$D$2:$D$14*0.95)+SUMPRODUCT((Projects!$G$2:$G$14="Yes")*(65=Projects!$C$2:$C$14+Projects!$D$2:$D$14-1)*Projects!$B$2:$B$14*Assumptions!$B$11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,Actuals!BR11)</f>
        <v>294097.2</v>
      </c>
      <c r="BS12" s="3">
        <f>IF(ISBLANK(Actuals!BS11),SUMPRODUCT((Projects!$G$2:$G$14="Yes")*(66&gt;=Projects!$C$2:$C$14)*(66&lt;Projects!$C$2:$C$14+Projects!$D$2:$D$14)*Projects!$B$2:$B$14*Assumptions!$B$11/Projects!$D$2:$D$14*0.95)+SUMPRODUCT((Projects!$G$2:$G$14="Yes")*(66=Projects!$C$2:$C$14+Projects!$D$2:$D$14-1)*Projects!$B$2:$B$14*Assumptions!$B$11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,Actuals!BS11)</f>
        <v>332794.2</v>
      </c>
      <c r="BT12" s="3">
        <f>IF(ISBLANK(Actuals!BT11),SUMPRODUCT((Projects!$G$2:$G$14="Yes")*(67&gt;=Projects!$C$2:$C$14)*(67&lt;Projects!$C$2:$C$14+Projects!$D$2:$D$14)*Projects!$B$2:$B$14*Assumptions!$B$11/Projects!$D$2:$D$14*0.95)+SUMPRODUCT((Projects!$G$2:$G$14="Yes")*(67=Projects!$C$2:$C$14+Projects!$D$2:$D$14-1)*Projects!$B$2:$B$14*Assumptions!$B$11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,Actuals!BT11)</f>
        <v>255400.19999999998</v>
      </c>
      <c r="BU12" s="3">
        <f>IF(ISBLANK(Actuals!BU11),SUMPRODUCT((Projects!$G$2:$G$14="Yes")*(68&gt;=Projects!$C$2:$C$14)*(68&lt;Projects!$C$2:$C$14+Projects!$D$2:$D$14)*Projects!$B$2:$B$14*Assumptions!$B$11/Projects!$D$2:$D$14*0.95)+SUMPRODUCT((Projects!$G$2:$G$14="Yes")*(68=Projects!$C$2:$C$14+Projects!$D$2:$D$14-1)*Projects!$B$2:$B$14*Assumptions!$B$11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,Actuals!BU11)</f>
        <v>301836.59999999998</v>
      </c>
      <c r="BV12" s="3">
        <f>IF(ISBLANK(Actuals!BV11),SUMPRODUCT((Projects!$G$2:$G$14="Yes")*(69&gt;=Projects!$C$2:$C$14)*(69&lt;Projects!$C$2:$C$14+Projects!$D$2:$D$14)*Projects!$B$2:$B$14*Assumptions!$B$11/Projects!$D$2:$D$14*0.95)+SUMPRODUCT((Projects!$G$2:$G$14="Yes")*(69=Projects!$C$2:$C$14+Projects!$D$2:$D$14-1)*Projects!$B$2:$B$14*Assumptions!$B$11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,Actuals!BV11)</f>
        <v>301836.59999999998</v>
      </c>
      <c r="BW12" s="3">
        <f>IF(ISBLANK(Actuals!BW11),SUMPRODUCT((Projects!$G$2:$G$14="Yes")*(70&gt;=Projects!$C$2:$C$14)*(70&lt;Projects!$C$2:$C$14+Projects!$D$2:$D$14)*Projects!$B$2:$B$14*Assumptions!$B$11/Projects!$D$2:$D$14*0.95)+SUMPRODUCT((Projects!$G$2:$G$14="Yes")*(70=Projects!$C$2:$C$14+Projects!$D$2:$D$14-1)*Projects!$B$2:$B$14*Assumptions!$B$11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,Actuals!BW11)</f>
        <v>348273</v>
      </c>
      <c r="BX12" s="3">
        <f>IF(ISBLANK(Actuals!BX11),SUMPRODUCT((Projects!$G$2:$G$14="Yes")*(71&gt;=Projects!$C$2:$C$14)*(71&lt;Projects!$C$2:$C$14+Projects!$D$2:$D$14)*Projects!$B$2:$B$14*Assumptions!$B$11/Projects!$D$2:$D$14*0.95)+SUMPRODUCT((Projects!$G$2:$G$14="Yes")*(71=Projects!$C$2:$C$14+Projects!$D$2:$D$14-1)*Projects!$B$2:$B$14*Assumptions!$B$11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,Actuals!BX11)</f>
        <v>255400.19999999998</v>
      </c>
      <c r="BY12" s="3">
        <f>IF(ISBLANK(Actuals!BY11),SUMPRODUCT((Projects!$G$2:$G$14="Yes")*(72&gt;=Projects!$C$2:$C$14)*(72&lt;Projects!$C$2:$C$14+Projects!$D$2:$D$14)*Projects!$B$2:$B$14*Assumptions!$B$11/Projects!$D$2:$D$14*0.95)+SUMPRODUCT((Projects!$G$2:$G$14="Yes")*(72=Projects!$C$2:$C$14+Projects!$D$2:$D$14-1)*Projects!$B$2:$B$14*Assumptions!$B$11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,Actuals!BY11)</f>
        <v>294097.19999999995</v>
      </c>
      <c r="BZ12" s="3">
        <f>IF(ISBLANK(Actuals!BZ11),SUMPRODUCT((Projects!$G$2:$G$14="Yes")*(73&gt;=Projects!$C$2:$C$14)*(73&lt;Projects!$C$2:$C$14+Projects!$D$2:$D$14)*Projects!$B$2:$B$14*Assumptions!$B$11/Projects!$D$2:$D$14*0.95)+SUMPRODUCT((Projects!$G$2:$G$14="Yes")*(73=Projects!$C$2:$C$14+Projects!$D$2:$D$14-1)*Projects!$B$2:$B$14*Assumptions!$B$11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,Actuals!BZ11)</f>
        <v>216703.19999999998</v>
      </c>
      <c r="CA12" s="3">
        <f>IF(ISBLANK(Actuals!CA11),SUMPRODUCT((Projects!$G$2:$G$14="Yes")*(74&gt;=Projects!$C$2:$C$14)*(74&lt;Projects!$C$2:$C$14+Projects!$D$2:$D$14)*Projects!$B$2:$B$14*Assumptions!$B$11/Projects!$D$2:$D$14*0.95)+SUMPRODUCT((Projects!$G$2:$G$14="Yes")*(74=Projects!$C$2:$C$14+Projects!$D$2:$D$14-1)*Projects!$B$2:$B$14*Assumptions!$B$11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,Actuals!CA11)</f>
        <v>301836.59999999998</v>
      </c>
      <c r="CB12" s="3">
        <f>IF(ISBLANK(Actuals!CB11),SUMPRODUCT((Projects!$G$2:$G$14="Yes")*(75&gt;=Projects!$C$2:$C$14)*(75&lt;Projects!$C$2:$C$14+Projects!$D$2:$D$14)*Projects!$B$2:$B$14*Assumptions!$B$11/Projects!$D$2:$D$14*0.95)+SUMPRODUCT((Projects!$G$2:$G$14="Yes")*(75=Projects!$C$2:$C$14+Projects!$D$2:$D$14-1)*Projects!$B$2:$B$14*Assumptions!$B$11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,Actuals!CB11)</f>
        <v>224442.59999999998</v>
      </c>
      <c r="CC12" s="3">
        <f>IF(ISBLANK(Actuals!CC11),SUMPRODUCT((Projects!$G$2:$G$14="Yes")*(76&gt;=Projects!$C$2:$C$14)*(76&lt;Projects!$C$2:$C$14+Projects!$D$2:$D$14)*Projects!$B$2:$B$14*Assumptions!$B$11/Projects!$D$2:$D$14*0.95)+SUMPRODUCT((Projects!$G$2:$G$14="Yes")*(76=Projects!$C$2:$C$14+Projects!$D$2:$D$14-1)*Projects!$B$2:$B$14*Assumptions!$B$11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,Actuals!CC11)</f>
        <v>309576</v>
      </c>
      <c r="CD12" s="3">
        <f>IF(ISBLANK(Actuals!CD11),SUMPRODUCT((Projects!$G$2:$G$14="Yes")*(77&gt;=Projects!$C$2:$C$14)*(77&lt;Projects!$C$2:$C$14+Projects!$D$2:$D$14)*Projects!$B$2:$B$14*Assumptions!$B$11/Projects!$D$2:$D$14*0.95)+SUMPRODUCT((Projects!$G$2:$G$14="Yes")*(77=Projects!$C$2:$C$14+Projects!$D$2:$D$14-1)*Projects!$B$2:$B$14*Assumptions!$B$11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,Actuals!CD11)</f>
        <v>216703.19999999998</v>
      </c>
      <c r="CE12" s="3">
        <f>IF(ISBLANK(Actuals!CE11),SUMPRODUCT((Projects!$G$2:$G$14="Yes")*(78&gt;=Projects!$C$2:$C$14)*(78&lt;Projects!$C$2:$C$14+Projects!$D$2:$D$14)*Projects!$B$2:$B$14*Assumptions!$B$11/Projects!$D$2:$D$14*0.95)+SUMPRODUCT((Projects!$G$2:$G$14="Yes")*(78=Projects!$C$2:$C$14+Projects!$D$2:$D$14-1)*Projects!$B$2:$B$14*Assumptions!$B$11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,Actuals!CE11)</f>
        <v>294097.19999999995</v>
      </c>
      <c r="CF12" s="3">
        <f>IF(ISBLANK(Actuals!CF11),SUMPRODUCT((Projects!$G$2:$G$14="Yes")*(79&gt;=Projects!$C$2:$C$14)*(79&lt;Projects!$C$2:$C$14+Projects!$D$2:$D$14)*Projects!$B$2:$B$14*Assumptions!$B$11/Projects!$D$2:$D$14*0.95)+SUMPRODUCT((Projects!$G$2:$G$14="Yes")*(79=Projects!$C$2:$C$14+Projects!$D$2:$D$14-1)*Projects!$B$2:$B$14*Assumptions!$B$11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,Actuals!CF11)</f>
        <v>216703.2</v>
      </c>
      <c r="CG12" s="3">
        <f>IF(ISBLANK(Actuals!CG11),SUMPRODUCT((Projects!$G$2:$G$14="Yes")*(80&gt;=Projects!$C$2:$C$14)*(80&lt;Projects!$C$2:$C$14+Projects!$D$2:$D$14)*Projects!$B$2:$B$14*Assumptions!$B$11/Projects!$D$2:$D$14*0.95)+SUMPRODUCT((Projects!$G$2:$G$14="Yes")*(80=Projects!$C$2:$C$14+Projects!$D$2:$D$14-1)*Projects!$B$2:$B$14*Assumptions!$B$11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,Actuals!CG11)</f>
        <v>309576.00000000006</v>
      </c>
      <c r="CH12" s="3">
        <f>IF(ISBLANK(Actuals!CH11),SUMPRODUCT((Projects!$G$2:$G$14="Yes")*(81&gt;=Projects!$C$2:$C$14)*(81&lt;Projects!$C$2:$C$14+Projects!$D$2:$D$14)*Projects!$B$2:$B$14*Assumptions!$B$11/Projects!$D$2:$D$14*0.95)+SUMPRODUCT((Projects!$G$2:$G$14="Yes")*(81=Projects!$C$2:$C$14+Projects!$D$2:$D$14-1)*Projects!$B$2:$B$14*Assumptions!$B$11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,Actuals!CH11)</f>
        <v>216703.19999999998</v>
      </c>
      <c r="CI12" s="3">
        <f>IF(ISBLANK(Actuals!CI11),SUMPRODUCT((Projects!$G$2:$G$14="Yes")*(82&gt;=Projects!$C$2:$C$14)*(82&lt;Projects!$C$2:$C$14+Projects!$D$2:$D$14)*Projects!$B$2:$B$14*Assumptions!$B$11/Projects!$D$2:$D$14*0.95)+SUMPRODUCT((Projects!$G$2:$G$14="Yes")*(82=Projects!$C$2:$C$14+Projects!$D$2:$D$14-1)*Projects!$B$2:$B$14*Assumptions!$B$11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,Actuals!CI11)</f>
        <v>255400.19999999998</v>
      </c>
      <c r="CJ12" s="3">
        <f>IF(ISBLANK(Actuals!CJ11),SUMPRODUCT((Projects!$G$2:$G$14="Yes")*(83&gt;=Projects!$C$2:$C$14)*(83&lt;Projects!$C$2:$C$14+Projects!$D$2:$D$14)*Projects!$B$2:$B$14*Assumptions!$B$11/Projects!$D$2:$D$14*0.95)+SUMPRODUCT((Projects!$G$2:$G$14="Yes")*(83=Projects!$C$2:$C$14+Projects!$D$2:$D$14-1)*Projects!$B$2:$B$14*Assumptions!$B$11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,Actuals!CJ11)</f>
        <v>255400.19999999998</v>
      </c>
      <c r="CK12" s="3">
        <f>IF(ISBLANK(Actuals!CK11),SUMPRODUCT((Projects!$G$2:$G$14="Yes")*(84&gt;=Projects!$C$2:$C$14)*(84&lt;Projects!$C$2:$C$14+Projects!$D$2:$D$14)*Projects!$B$2:$B$14*Assumptions!$B$11/Projects!$D$2:$D$14*0.95)+SUMPRODUCT((Projects!$G$2:$G$14="Yes")*(84=Projects!$C$2:$C$14+Projects!$D$2:$D$14-1)*Projects!$B$2:$B$14*Assumptions!$B$11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,Actuals!CK11)</f>
        <v>255400.19999999998</v>
      </c>
      <c r="CL12" s="3">
        <f>IF(ISBLANK(Actuals!CL11),SUMPRODUCT((Projects!$G$2:$G$14="Yes")*(85&gt;=Projects!$C$2:$C$14)*(85&lt;Projects!$C$2:$C$14+Projects!$D$2:$D$14)*Projects!$B$2:$B$14*Assumptions!$B$11/Projects!$D$2:$D$14*0.95)+SUMPRODUCT((Projects!$G$2:$G$14="Yes")*(85=Projects!$C$2:$C$14+Projects!$D$2:$D$14-1)*Projects!$B$2:$B$14*Assumptions!$B$11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,Actuals!CL11)</f>
        <v>255400.19999999998</v>
      </c>
      <c r="CM12" s="3">
        <f>IF(ISBLANK(Actuals!CM11),SUMPRODUCT((Projects!$G$2:$G$14="Yes")*(86&gt;=Projects!$C$2:$C$14)*(86&lt;Projects!$C$2:$C$14+Projects!$D$2:$D$14)*Projects!$B$2:$B$14*Assumptions!$B$11/Projects!$D$2:$D$14*0.95)+SUMPRODUCT((Projects!$G$2:$G$14="Yes")*(86=Projects!$C$2:$C$14+Projects!$D$2:$D$14-1)*Projects!$B$2:$B$14*Assumptions!$B$11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,Actuals!CM11)</f>
        <v>301836.59999999998</v>
      </c>
      <c r="CN12" s="3">
        <f>IF(ISBLANK(Actuals!CN11),SUMPRODUCT((Projects!$G$2:$G$14="Yes")*(87&gt;=Projects!$C$2:$C$14)*(87&lt;Projects!$C$2:$C$14+Projects!$D$2:$D$14)*Projects!$B$2:$B$14*Assumptions!$B$11/Projects!$D$2:$D$14*0.95)+SUMPRODUCT((Projects!$G$2:$G$14="Yes")*(87=Projects!$C$2:$C$14+Projects!$D$2:$D$14-1)*Projects!$B$2:$B$14*Assumptions!$B$11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,Actuals!CN11)</f>
        <v>208963.8</v>
      </c>
      <c r="CO12" s="3">
        <f>IF(ISBLANK(Actuals!CO11),SUMPRODUCT((Projects!$G$2:$G$14="Yes")*(88&gt;=Projects!$C$2:$C$14)*(88&lt;Projects!$C$2:$C$14+Projects!$D$2:$D$14)*Projects!$B$2:$B$14*Assumptions!$B$11/Projects!$D$2:$D$14*0.95)+SUMPRODUCT((Projects!$G$2:$G$14="Yes")*(88=Projects!$C$2:$C$14+Projects!$D$2:$D$14-1)*Projects!$B$2:$B$14*Assumptions!$B$11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,Actuals!CO11)</f>
        <v>208963.8</v>
      </c>
      <c r="CP12" s="3">
        <f>IF(ISBLANK(Actuals!CP11),SUMPRODUCT((Projects!$G$2:$G$14="Yes")*(89&gt;=Projects!$C$2:$C$14)*(89&lt;Projects!$C$2:$C$14+Projects!$D$2:$D$14)*Projects!$B$2:$B$14*Assumptions!$B$11/Projects!$D$2:$D$14*0.95)+SUMPRODUCT((Projects!$G$2:$G$14="Yes")*(89=Projects!$C$2:$C$14+Projects!$D$2:$D$14-1)*Projects!$B$2:$B$14*Assumptions!$B$11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,Actuals!CP11)</f>
        <v>208963.8</v>
      </c>
      <c r="CQ12" s="3">
        <f>IF(ISBLANK(Actuals!CQ11),SUMPRODUCT((Projects!$G$2:$G$14="Yes")*(90&gt;=Projects!$C$2:$C$14)*(90&lt;Projects!$C$2:$C$14+Projects!$D$2:$D$14)*Projects!$B$2:$B$14*Assumptions!$B$11/Projects!$D$2:$D$14*0.95)+SUMPRODUCT((Projects!$G$2:$G$14="Yes")*(90=Projects!$C$2:$C$14+Projects!$D$2:$D$14-1)*Projects!$B$2:$B$14*Assumptions!$B$11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,Actuals!CQ11)</f>
        <v>208963.8</v>
      </c>
      <c r="CR12" s="3">
        <f>IF(ISBLANK(Actuals!CR11),SUMPRODUCT((Projects!$G$2:$G$14="Yes")*(91&gt;=Projects!$C$2:$C$14)*(91&lt;Projects!$C$2:$C$14+Projects!$D$2:$D$14)*Projects!$B$2:$B$14*Assumptions!$B$11/Projects!$D$2:$D$14*0.95)+SUMPRODUCT((Projects!$G$2:$G$14="Yes")*(91=Projects!$C$2:$C$14+Projects!$D$2:$D$14-1)*Projects!$B$2:$B$14*Assumptions!$B$11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,Actuals!CR11)</f>
        <v>208963.8</v>
      </c>
      <c r="CS12" s="3">
        <f>IF(ISBLANK(Actuals!CS11),SUMPRODUCT((Projects!$G$2:$G$14="Yes")*(92&gt;=Projects!$C$2:$C$14)*(92&lt;Projects!$C$2:$C$14+Projects!$D$2:$D$14)*Projects!$B$2:$B$14*Assumptions!$B$11/Projects!$D$2:$D$14*0.95)+SUMPRODUCT((Projects!$G$2:$G$14="Yes")*(92=Projects!$C$2:$C$14+Projects!$D$2:$D$14-1)*Projects!$B$2:$B$14*Assumptions!$B$11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,Actuals!CS11)</f>
        <v>255400.19999999998</v>
      </c>
      <c r="CT12" s="3">
        <f>IF(ISBLANK(Actuals!CT11),SUMPRODUCT((Projects!$G$2:$G$14="Yes")*(93&gt;=Projects!$C$2:$C$14)*(93&lt;Projects!$C$2:$C$14+Projects!$D$2:$D$14)*Projects!$B$2:$B$14*Assumptions!$B$11/Projects!$D$2:$D$14*0.95)+SUMPRODUCT((Projects!$G$2:$G$14="Yes")*(93=Projects!$C$2:$C$14+Projects!$D$2:$D$14-1)*Projects!$B$2:$B$14*Assumptions!$B$11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,Actuals!CT11)</f>
        <v>162527.4</v>
      </c>
      <c r="CU12" s="3">
        <f>IF(ISBLANK(Actuals!CU11),SUMPRODUCT((Projects!$G$2:$G$14="Yes")*(94&gt;=Projects!$C$2:$C$14)*(94&lt;Projects!$C$2:$C$14+Projects!$D$2:$D$14)*Projects!$B$2:$B$14*Assumptions!$B$11/Projects!$D$2:$D$14*0.95)+SUMPRODUCT((Projects!$G$2:$G$14="Yes")*(94=Projects!$C$2:$C$14+Projects!$D$2:$D$14-1)*Projects!$B$2:$B$14*Assumptions!$B$11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,Actuals!CU11)</f>
        <v>201224.4</v>
      </c>
      <c r="CV12" s="3">
        <f>IF(ISBLANK(Actuals!CV11),SUMPRODUCT((Projects!$G$2:$G$14="Yes")*(95&gt;=Projects!$C$2:$C$14)*(95&lt;Projects!$C$2:$C$14+Projects!$D$2:$D$14)*Projects!$B$2:$B$14*Assumptions!$B$11/Projects!$D$2:$D$14*0.95)+SUMPRODUCT((Projects!$G$2:$G$14="Yes")*(95=Projects!$C$2:$C$14+Projects!$D$2:$D$14-1)*Projects!$B$2:$B$14*Assumptions!$B$11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,Actuals!CV11)</f>
        <v>123830.39999999999</v>
      </c>
      <c r="CW12" s="3">
        <f>IF(ISBLANK(Actuals!CW11),SUMPRODUCT((Projects!$G$2:$G$14="Yes")*(96&gt;=Projects!$C$2:$C$14)*(96&lt;Projects!$C$2:$C$14+Projects!$D$2:$D$14)*Projects!$B$2:$B$14*Assumptions!$B$11/Projects!$D$2:$D$14*0.95)+SUMPRODUCT((Projects!$G$2:$G$14="Yes")*(96=Projects!$C$2:$C$14+Projects!$D$2:$D$14-1)*Projects!$B$2:$B$14*Assumptions!$B$11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,Actuals!CW11)</f>
        <v>162527.4</v>
      </c>
      <c r="CX12" s="3">
        <f>IF(ISBLANK(Actuals!CX11),SUMPRODUCT((Projects!$G$2:$G$14="Yes")*(97&gt;=Projects!$C$2:$C$14)*(97&lt;Projects!$C$2:$C$14+Projects!$D$2:$D$14)*Projects!$B$2:$B$14*Assumptions!$B$11/Projects!$D$2:$D$14*0.95)+SUMPRODUCT((Projects!$G$2:$G$14="Yes")*(97=Projects!$C$2:$C$14+Projects!$D$2:$D$14-1)*Projects!$B$2:$B$14*Assumptions!$B$11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,Actuals!CX11)</f>
        <v>85133.4</v>
      </c>
      <c r="CY12" s="3">
        <f>IF(ISBLANK(Actuals!CY11),SUMPRODUCT((Projects!$G$2:$G$14="Yes")*(98&gt;=Projects!$C$2:$C$14)*(98&lt;Projects!$C$2:$C$14+Projects!$D$2:$D$14)*Projects!$B$2:$B$14*Assumptions!$B$11/Projects!$D$2:$D$14*0.95)+SUMPRODUCT((Projects!$G$2:$G$14="Yes")*(98=Projects!$C$2:$C$14+Projects!$D$2:$D$14-1)*Projects!$B$2:$B$14*Assumptions!$B$11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,Actuals!CY11)</f>
        <v>131569.79999999999</v>
      </c>
      <c r="CZ12" s="3">
        <f>IF(ISBLANK(Actuals!CZ11),SUMPRODUCT((Projects!$G$2:$G$14="Yes")*(99&gt;=Projects!$C$2:$C$14)*(99&lt;Projects!$C$2:$C$14+Projects!$D$2:$D$14)*Projects!$B$2:$B$14*Assumptions!$B$11/Projects!$D$2:$D$14*0.95)+SUMPRODUCT((Projects!$G$2:$G$14="Yes")*(99=Projects!$C$2:$C$14+Projects!$D$2:$D$14-1)*Projects!$B$2:$B$14*Assumptions!$B$11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,Actuals!CZ11)</f>
        <v>38696.999999999993</v>
      </c>
      <c r="DA12" s="3">
        <f>IF(ISBLANK(Actuals!DA11),SUMPRODUCT((Projects!$G$2:$G$14="Yes")*(100&gt;=Projects!$C$2:$C$14)*(100&lt;Projects!$C$2:$C$14+Projects!$D$2:$D$14)*Projects!$B$2:$B$14*Assumptions!$B$11/Projects!$D$2:$D$14*0.95)+SUMPRODUCT((Projects!$G$2:$G$14="Yes")*(100=Projects!$C$2:$C$14+Projects!$D$2:$D$14-1)*Projects!$B$2:$B$14*Assumptions!$B$11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,Actuals!DA11)</f>
        <v>77394</v>
      </c>
      <c r="DB12" s="3">
        <f>IF(ISBLANK(Actuals!DB11),SUMPRODUCT((Projects!$G$2:$G$14="Yes")*(101&gt;=Projects!$C$2:$C$14)*(101&lt;Projects!$C$2:$C$14+Projects!$D$2:$D$14)*Projects!$B$2:$B$14*Assumptions!$B$11/Projects!$D$2:$D$14*0.95)+SUMPRODUCT((Projects!$G$2:$G$14="Yes")*(101=Projects!$C$2:$C$14+Projects!$D$2:$D$14-1)*Projects!$B$2:$B$14*Assumptions!$B$11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,Actuals!DB11)</f>
        <v>0</v>
      </c>
      <c r="DC12" s="3">
        <f>IF(ISBLANK(Actuals!DC11),SUMPRODUCT((Projects!$G$2:$G$14="Yes")*(102&gt;=Projects!$C$2:$C$14)*(102&lt;Projects!$C$2:$C$14+Projects!$D$2:$D$14)*Projects!$B$2:$B$14*Assumptions!$B$11/Projects!$D$2:$D$14*0.95)+SUMPRODUCT((Projects!$G$2:$G$14="Yes")*(102=Projects!$C$2:$C$14+Projects!$D$2:$D$14-1)*Projects!$B$2:$B$14*Assumptions!$B$11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,Actuals!DC11)</f>
        <v>0</v>
      </c>
      <c r="DD12" s="3">
        <f>IF(ISBLANK(Actuals!DD11),SUMPRODUCT((Projects!$G$2:$G$14="Yes")*(103&gt;=Projects!$C$2:$C$14)*(103&lt;Projects!$C$2:$C$14+Projects!$D$2:$D$14)*Projects!$B$2:$B$14*Assumptions!$B$11/Projects!$D$2:$D$14*0.95)+SUMPRODUCT((Projects!$G$2:$G$14="Yes")*(103=Projects!$C$2:$C$14+Projects!$D$2:$D$14-1)*Projects!$B$2:$B$14*Assumptions!$B$11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,Actuals!DD11)</f>
        <v>0</v>
      </c>
      <c r="DE12" s="3">
        <f>IF(ISBLANK(Actuals!DE11),SUMPRODUCT((Projects!$G$2:$G$14="Yes")*(104&gt;=Projects!$C$2:$C$14)*(104&lt;Projects!$C$2:$C$14+Projects!$D$2:$D$14)*Projects!$B$2:$B$14*Assumptions!$B$11/Projects!$D$2:$D$14*0.95)+SUMPRODUCT((Projects!$G$2:$G$14="Yes")*(104=Projects!$C$2:$C$14+Projects!$D$2:$D$14-1)*Projects!$B$2:$B$14*Assumptions!$B$11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,Actuals!DE11)</f>
        <v>0</v>
      </c>
      <c r="DF12" s="3">
        <f>IF(ISBLANK(Actuals!DF11),SUMPRODUCT((Projects!$G$2:$G$14="Yes")*(105&gt;=Projects!$C$2:$C$14)*(105&lt;Projects!$C$2:$C$14+Projects!$D$2:$D$14)*Projects!$B$2:$B$14*Assumptions!$B$11/Projects!$D$2:$D$14*0.95)+SUMPRODUCT((Projects!$G$2:$G$14="Yes")*(105=Projects!$C$2:$C$14+Projects!$D$2:$D$14-1)*Projects!$B$2:$B$14*Assumptions!$B$11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,Actuals!DF11)</f>
        <v>0</v>
      </c>
    </row>
    <row r="13" spans="1:110" ht="15" hidden="1" customHeight="1" x14ac:dyDescent="0.25">
      <c r="A13" s="13" t="s">
        <v>59</v>
      </c>
      <c r="B13" s="302"/>
      <c r="C13" s="3">
        <f>IF(ISBLANK(Actuals!C12),0,Actuals!C12)</f>
        <v>0</v>
      </c>
      <c r="D13" s="3">
        <f>IF(ISBLANK(Actuals!D12),0,Actuals!D12)</f>
        <v>0</v>
      </c>
      <c r="E13" s="3">
        <f>IF(ISBLANK(Actuals!E12),0,Actuals!E12)</f>
        <v>0</v>
      </c>
      <c r="F13" s="3">
        <f>IF(ISBLANK(Actuals!F12),0,Actuals!F12)</f>
        <v>0</v>
      </c>
      <c r="G13" s="3">
        <f>IF(ISBLANK(Actuals!G12),0,Actuals!G12)</f>
        <v>0</v>
      </c>
      <c r="H13" s="3">
        <f>IF(ISBLANK(Actuals!H12),0,Actuals!H12)</f>
        <v>0</v>
      </c>
      <c r="I13" s="3">
        <f>IF(ISBLANK(Actuals!I12),0,Actuals!I12)</f>
        <v>0</v>
      </c>
      <c r="J13" s="3">
        <f>IF(ISBLANK(Actuals!J12),0,Actuals!J12)</f>
        <v>0</v>
      </c>
      <c r="K13" s="3">
        <f>IF(ISBLANK(Actuals!K12),0,Actuals!K12)</f>
        <v>0</v>
      </c>
      <c r="L13" s="3">
        <f>IF(ISBLANK(Actuals!L12),0,Actuals!L12)</f>
        <v>0</v>
      </c>
      <c r="M13" s="3">
        <f>IF(ISBLANK(Actuals!M12),0,Actuals!M12)</f>
        <v>0</v>
      </c>
      <c r="N13" s="3">
        <f>IF(ISBLANK(Actuals!N12),0,Actuals!N12)</f>
        <v>0</v>
      </c>
      <c r="O13" s="3">
        <f>IF(ISBLANK(Actuals!O12),0,Actuals!O12)</f>
        <v>0</v>
      </c>
      <c r="P13" s="3">
        <f>IF(ISBLANK(Actuals!P12),0,Actuals!P12)</f>
        <v>0</v>
      </c>
      <c r="Q13" s="3">
        <f>IF(ISBLANK(Actuals!Q12),0,Actuals!Q12)</f>
        <v>0</v>
      </c>
      <c r="R13" s="3">
        <f>IF(ISBLANK(Actuals!R12),0,Actuals!R12)</f>
        <v>0</v>
      </c>
      <c r="S13" s="3">
        <f>IF(ISBLANK(Actuals!S12),0,Actuals!S12)</f>
        <v>0</v>
      </c>
      <c r="T13" s="3">
        <f>IF(ISBLANK(Actuals!T12),0,Actuals!T12)</f>
        <v>0</v>
      </c>
      <c r="U13" s="3">
        <f>IF(ISBLANK(Actuals!U12),0,Actuals!U12)</f>
        <v>0</v>
      </c>
      <c r="V13" s="3">
        <f>IF(ISBLANK(Actuals!V12),0,Actuals!V12)</f>
        <v>0</v>
      </c>
      <c r="W13" s="3">
        <f>IF(ISBLANK(Actuals!W12),0,Actuals!W12)</f>
        <v>0</v>
      </c>
      <c r="X13" s="3">
        <f>IF(ISBLANK(Actuals!X12),0,Actuals!X12)</f>
        <v>0</v>
      </c>
      <c r="Y13" s="3">
        <f>IF(ISBLANK(Actuals!Y12),0,Actuals!Y12)</f>
        <v>0</v>
      </c>
      <c r="Z13" s="3">
        <f>IF(ISBLANK(Actuals!Z12),0,Actuals!Z12)</f>
        <v>0</v>
      </c>
      <c r="AA13" s="3">
        <f>IF(ISBLANK(Actuals!AA12),0,Actuals!AA12)</f>
        <v>0</v>
      </c>
      <c r="AB13" s="3">
        <f>IF(ISBLANK(Actuals!AB12),0,Actuals!AB12)</f>
        <v>0</v>
      </c>
      <c r="AC13" s="3">
        <f>IF(ISBLANK(Actuals!AC12),0,Actuals!AC12)</f>
        <v>0</v>
      </c>
      <c r="AD13" s="3">
        <f>IF(ISBLANK(Actuals!AD12),0,Actuals!AD12)</f>
        <v>0</v>
      </c>
      <c r="AE13" s="3">
        <f>IF(ISBLANK(Actuals!AE12),0,Actuals!AE12)</f>
        <v>0</v>
      </c>
      <c r="AF13" s="3">
        <f>IF(ISBLANK(Actuals!AF12),0,Actuals!AF12)</f>
        <v>0</v>
      </c>
      <c r="AG13" s="3">
        <f>IF(ISBLANK(Actuals!AG12),0,Actuals!AG12)</f>
        <v>0</v>
      </c>
      <c r="AH13" s="3">
        <f>IF(ISBLANK(Actuals!AH12),0,Actuals!AH12)</f>
        <v>0</v>
      </c>
      <c r="AI13" s="3">
        <f>IF(ISBLANK(Actuals!AI12),0,Actuals!AI12)</f>
        <v>0</v>
      </c>
      <c r="AJ13" s="3">
        <f>IF(ISBLANK(Actuals!AJ12),0,Actuals!AJ12)</f>
        <v>0</v>
      </c>
      <c r="AK13" s="3">
        <f>IF(ISBLANK(Actuals!AK12),0,Actuals!AK12)</f>
        <v>0</v>
      </c>
      <c r="AL13" s="3">
        <f>IF(ISBLANK(Actuals!AL12),0,Actuals!AL12)</f>
        <v>0</v>
      </c>
      <c r="AM13" s="3">
        <f>IF(ISBLANK(Actuals!AM12),0,Actuals!AM12)</f>
        <v>0</v>
      </c>
      <c r="AN13" s="3">
        <f>IF(ISBLANK(Actuals!AN12),0,Actuals!AN12)</f>
        <v>0</v>
      </c>
      <c r="AO13" s="3">
        <f>IF(ISBLANK(Actuals!AO12),0,Actuals!AO12)</f>
        <v>0</v>
      </c>
      <c r="AP13" s="3">
        <f>IF(ISBLANK(Actuals!AP12),0,Actuals!AP12)</f>
        <v>0</v>
      </c>
      <c r="AQ13" s="3">
        <f>IF(ISBLANK(Actuals!AQ12),0,Actuals!AQ12)</f>
        <v>0</v>
      </c>
      <c r="AR13" s="3">
        <f>IF(ISBLANK(Actuals!AR12),0,Actuals!AR12)</f>
        <v>0</v>
      </c>
      <c r="AS13" s="3">
        <f>IF(ISBLANK(Actuals!AS12),0,Actuals!AS12)</f>
        <v>0</v>
      </c>
      <c r="AT13" s="3">
        <f>IF(ISBLANK(Actuals!AT12),0,Actuals!AT12)</f>
        <v>0</v>
      </c>
      <c r="AU13" s="3">
        <f>IF(ISBLANK(Actuals!AU12),0,Actuals!AU12)</f>
        <v>0</v>
      </c>
      <c r="AV13" s="3">
        <f>IF(ISBLANK(Actuals!AV12),0,Actuals!AV12)</f>
        <v>0</v>
      </c>
      <c r="AW13" s="3">
        <f>IF(ISBLANK(Actuals!AW12),0,Actuals!AW12)</f>
        <v>0</v>
      </c>
      <c r="AX13" s="3">
        <f>IF(ISBLANK(Actuals!AX12),0,Actuals!AX12)</f>
        <v>0</v>
      </c>
      <c r="AY13" s="3">
        <f>IF(ISBLANK(Actuals!AY12),0,Actuals!AY12)</f>
        <v>0</v>
      </c>
      <c r="AZ13" s="3">
        <f>IF(ISBLANK(Actuals!AZ12),0,Actuals!AZ12)</f>
        <v>0</v>
      </c>
      <c r="BA13" s="3">
        <f>IF(ISBLANK(Actuals!BA12),0,Actuals!BA12)</f>
        <v>0</v>
      </c>
      <c r="BB13" s="3">
        <f>IF(ISBLANK(Actuals!BB12),0,Actuals!BB12)</f>
        <v>0</v>
      </c>
      <c r="BC13" s="3">
        <f>IF(ISBLANK(Actuals!BC12),0,Actuals!BC12)</f>
        <v>0</v>
      </c>
      <c r="BD13" s="3">
        <f>IF(ISBLANK(Actuals!BD12),0,Actuals!BD12)</f>
        <v>0</v>
      </c>
      <c r="BE13" s="3">
        <f>IF(ISBLANK(Actuals!BE12),0,Actuals!BE12)</f>
        <v>0</v>
      </c>
      <c r="BF13" s="3">
        <f>IF(ISBLANK(Actuals!BF12),0,Actuals!BF12)</f>
        <v>0</v>
      </c>
      <c r="BG13" s="3">
        <f>IF(ISBLANK(Actuals!BG12),0,Actuals!BG12)</f>
        <v>0</v>
      </c>
      <c r="BH13" s="3">
        <f>IF(ISBLANK(Actuals!BH12),0,Actuals!BH12)</f>
        <v>0</v>
      </c>
      <c r="BI13" s="3">
        <f>IF(ISBLANK(Actuals!BI12),0,Actuals!BI12)</f>
        <v>0</v>
      </c>
      <c r="BJ13" s="3">
        <f>IF(ISBLANK(Actuals!BJ12),0,Actuals!BJ12)</f>
        <v>0</v>
      </c>
      <c r="BK13" s="3">
        <f>IF(ISBLANK(Actuals!BK12),0,Actuals!BK12)</f>
        <v>0</v>
      </c>
      <c r="BL13" s="3">
        <f>IF(ISBLANK(Actuals!BL12),0,Actuals!BL12)</f>
        <v>0</v>
      </c>
      <c r="BM13" s="3">
        <f>IF(ISBLANK(Actuals!BM12),0,Actuals!BM12)</f>
        <v>0</v>
      </c>
      <c r="BN13" s="3">
        <f>IF(ISBLANK(Actuals!BN12),0,Actuals!BN12)</f>
        <v>0</v>
      </c>
      <c r="BO13" s="3">
        <f>IF(ISBLANK(Actuals!BO12),0,Actuals!BO12)</f>
        <v>0</v>
      </c>
      <c r="BP13" s="3">
        <f>IF(ISBLANK(Actuals!BP12),0,Actuals!BP12)</f>
        <v>0</v>
      </c>
      <c r="BQ13" s="3">
        <f>IF(ISBLANK(Actuals!BQ12),0,Actuals!BQ12)</f>
        <v>0</v>
      </c>
      <c r="BR13" s="3">
        <f>IF(ISBLANK(Actuals!BR12),0,Actuals!BR12)</f>
        <v>0</v>
      </c>
      <c r="BS13" s="3">
        <f>IF(ISBLANK(Actuals!BS12),0,Actuals!BS12)</f>
        <v>0</v>
      </c>
      <c r="BT13" s="3">
        <f>IF(ISBLANK(Actuals!BT12),0,Actuals!BT12)</f>
        <v>0</v>
      </c>
      <c r="BU13" s="3">
        <f>IF(ISBLANK(Actuals!BU12),0,Actuals!BU12)</f>
        <v>0</v>
      </c>
      <c r="BV13" s="3">
        <f>IF(ISBLANK(Actuals!BV12),0,Actuals!BV12)</f>
        <v>0</v>
      </c>
      <c r="BW13" s="3">
        <f>IF(ISBLANK(Actuals!BW12),0,Actuals!BW12)</f>
        <v>0</v>
      </c>
      <c r="BX13" s="3">
        <f>IF(ISBLANK(Actuals!BX12),0,Actuals!BX12)</f>
        <v>0</v>
      </c>
      <c r="BY13" s="3">
        <f>IF(ISBLANK(Actuals!BY12),0,Actuals!BY12)</f>
        <v>0</v>
      </c>
      <c r="BZ13" s="3">
        <f>IF(ISBLANK(Actuals!BZ12),0,Actuals!BZ12)</f>
        <v>0</v>
      </c>
      <c r="CA13" s="3">
        <f>IF(ISBLANK(Actuals!CA12),0,Actuals!CA12)</f>
        <v>0</v>
      </c>
      <c r="CB13" s="3">
        <f>IF(ISBLANK(Actuals!CB12),0,Actuals!CB12)</f>
        <v>0</v>
      </c>
      <c r="CC13" s="3">
        <f>IF(ISBLANK(Actuals!CC12),0,Actuals!CC12)</f>
        <v>0</v>
      </c>
      <c r="CD13" s="3">
        <f>IF(ISBLANK(Actuals!CD12),0,Actuals!CD12)</f>
        <v>0</v>
      </c>
      <c r="CE13" s="3">
        <f>IF(ISBLANK(Actuals!CE12),0,Actuals!CE12)</f>
        <v>0</v>
      </c>
      <c r="CF13" s="3">
        <f>IF(ISBLANK(Actuals!CF12),0,Actuals!CF12)</f>
        <v>0</v>
      </c>
      <c r="CG13" s="3">
        <f>IF(ISBLANK(Actuals!CG12),0,Actuals!CG12)</f>
        <v>0</v>
      </c>
      <c r="CH13" s="3">
        <f>IF(ISBLANK(Actuals!CH12),0,Actuals!CH12)</f>
        <v>0</v>
      </c>
      <c r="CI13" s="3">
        <f>IF(ISBLANK(Actuals!CI12),0,Actuals!CI12)</f>
        <v>0</v>
      </c>
      <c r="CJ13" s="3">
        <f>IF(ISBLANK(Actuals!CJ12),0,Actuals!CJ12)</f>
        <v>0</v>
      </c>
      <c r="CK13" s="3">
        <f>IF(ISBLANK(Actuals!CK12),0,Actuals!CK12)</f>
        <v>0</v>
      </c>
      <c r="CL13" s="3">
        <f>IF(ISBLANK(Actuals!CL12),0,Actuals!CL12)</f>
        <v>0</v>
      </c>
      <c r="CM13" s="3">
        <f>IF(ISBLANK(Actuals!CM12),0,Actuals!CM12)</f>
        <v>0</v>
      </c>
      <c r="CN13" s="3">
        <f>IF(ISBLANK(Actuals!CN12),0,Actuals!CN12)</f>
        <v>0</v>
      </c>
      <c r="CO13" s="3">
        <f>IF(ISBLANK(Actuals!CO12),0,Actuals!CO12)</f>
        <v>0</v>
      </c>
      <c r="CP13" s="3">
        <f>IF(ISBLANK(Actuals!CP12),0,Actuals!CP12)</f>
        <v>0</v>
      </c>
      <c r="CQ13" s="3">
        <f>IF(ISBLANK(Actuals!CQ12),0,Actuals!CQ12)</f>
        <v>0</v>
      </c>
      <c r="CR13" s="3">
        <f>IF(ISBLANK(Actuals!CR12),0,Actuals!CR12)</f>
        <v>0</v>
      </c>
      <c r="CS13" s="3">
        <f>IF(ISBLANK(Actuals!CS12),0,Actuals!CS12)</f>
        <v>0</v>
      </c>
      <c r="CT13" s="3">
        <f>IF(ISBLANK(Actuals!CT12),0,Actuals!CT12)</f>
        <v>0</v>
      </c>
      <c r="CU13" s="3">
        <f>IF(ISBLANK(Actuals!CU12),0,Actuals!CU12)</f>
        <v>0</v>
      </c>
      <c r="CV13" s="3">
        <f>IF(ISBLANK(Actuals!CV12),0,Actuals!CV12)</f>
        <v>0</v>
      </c>
      <c r="CW13" s="3">
        <f>IF(ISBLANK(Actuals!CW12),0,Actuals!CW12)</f>
        <v>0</v>
      </c>
      <c r="CX13" s="3">
        <f>IF(ISBLANK(Actuals!CX12),0,Actuals!CX12)</f>
        <v>0</v>
      </c>
      <c r="CY13" s="3">
        <f>IF(ISBLANK(Actuals!CY12),0,Actuals!CY12)</f>
        <v>0</v>
      </c>
      <c r="CZ13" s="3">
        <f>IF(ISBLANK(Actuals!CZ12),0,Actuals!CZ12)</f>
        <v>0</v>
      </c>
      <c r="DA13" s="3">
        <f>IF(ISBLANK(Actuals!DA12),0,Actuals!DA12)</f>
        <v>0</v>
      </c>
      <c r="DB13" s="3">
        <f>IF(ISBLANK(Actuals!DB12),0,Actuals!DB12)</f>
        <v>0</v>
      </c>
      <c r="DC13" s="3">
        <f>IF(ISBLANK(Actuals!DC12),0,Actuals!DC12)</f>
        <v>0</v>
      </c>
      <c r="DD13" s="3">
        <f>IF(ISBLANK(Actuals!DD12),0,Actuals!DD12)</f>
        <v>0</v>
      </c>
      <c r="DE13" s="3">
        <f>IF(ISBLANK(Actuals!DE12),0,Actuals!DE12)</f>
        <v>0</v>
      </c>
      <c r="DF13" s="3">
        <f>IF(ISBLANK(Actuals!DF12),0,Actuals!DF12)</f>
        <v>0</v>
      </c>
    </row>
    <row r="14" spans="1:110" ht="15" customHeight="1" x14ac:dyDescent="0.25">
      <c r="A14" s="13" t="s">
        <v>60</v>
      </c>
      <c r="B14" s="302"/>
      <c r="C14" s="3">
        <f t="shared" ref="C14:AH14" si="0">C8-C10-C12</f>
        <v>1242053.19</v>
      </c>
      <c r="D14" s="3">
        <f t="shared" si="0"/>
        <v>2710434.48</v>
      </c>
      <c r="E14" s="3">
        <f t="shared" si="0"/>
        <v>2402410.4300000002</v>
      </c>
      <c r="F14" s="3">
        <f t="shared" si="0"/>
        <v>3312759.9099999997</v>
      </c>
      <c r="G14" s="3">
        <f t="shared" si="0"/>
        <v>4178441.934676405</v>
      </c>
      <c r="H14" s="3">
        <f t="shared" si="0"/>
        <v>4314673.98179329</v>
      </c>
      <c r="I14" s="3">
        <f t="shared" si="0"/>
        <v>5100719.4041852877</v>
      </c>
      <c r="J14" s="3">
        <f t="shared" si="0"/>
        <v>5260214.2562397104</v>
      </c>
      <c r="K14" s="3">
        <f t="shared" si="0"/>
        <v>5352854.3183394447</v>
      </c>
      <c r="L14" s="3">
        <f t="shared" si="0"/>
        <v>5849570.1461303821</v>
      </c>
      <c r="M14" s="3">
        <f t="shared" si="0"/>
        <v>6345476.132391925</v>
      </c>
      <c r="N14" s="3">
        <f t="shared" si="0"/>
        <v>6208239.2625532094</v>
      </c>
      <c r="O14" s="3">
        <f t="shared" si="0"/>
        <v>6395725.6643401729</v>
      </c>
      <c r="P14" s="3">
        <f t="shared" si="0"/>
        <v>6526715.608853383</v>
      </c>
      <c r="Q14" s="3">
        <f t="shared" si="0"/>
        <v>6598279.7651737202</v>
      </c>
      <c r="R14" s="3">
        <f t="shared" si="0"/>
        <v>7163160.2519847238</v>
      </c>
      <c r="S14" s="3">
        <f t="shared" si="0"/>
        <v>7214523.8954113452</v>
      </c>
      <c r="T14" s="3">
        <f t="shared" si="0"/>
        <v>7044289.8282981515</v>
      </c>
      <c r="U14" s="3">
        <f t="shared" si="0"/>
        <v>6558946.8663878171</v>
      </c>
      <c r="V14" s="3">
        <f t="shared" si="0"/>
        <v>6351724.9937303001</v>
      </c>
      <c r="W14" s="3">
        <f t="shared" si="0"/>
        <v>6350910.5797312995</v>
      </c>
      <c r="X14" s="3">
        <f t="shared" si="0"/>
        <v>6231956.5252315495</v>
      </c>
      <c r="Y14" s="3">
        <f t="shared" si="0"/>
        <v>6016281.8835590491</v>
      </c>
      <c r="Z14" s="3">
        <f t="shared" si="0"/>
        <v>5778039.5510890493</v>
      </c>
      <c r="AA14" s="3">
        <f t="shared" si="0"/>
        <v>5481055.5141670499</v>
      </c>
      <c r="AB14" s="3">
        <f t="shared" si="0"/>
        <v>5142476.8851480493</v>
      </c>
      <c r="AC14" s="3">
        <f t="shared" si="0"/>
        <v>4779056.0364100495</v>
      </c>
      <c r="AD14" s="3">
        <f t="shared" si="0"/>
        <v>4323487.7603404485</v>
      </c>
      <c r="AE14" s="3">
        <f t="shared" si="0"/>
        <v>3830756.313681649</v>
      </c>
      <c r="AF14" s="3">
        <f t="shared" si="0"/>
        <v>3598719.3564371029</v>
      </c>
      <c r="AG14" s="3">
        <f t="shared" si="0"/>
        <v>2781458.4577761032</v>
      </c>
      <c r="AH14" s="3">
        <f t="shared" si="0"/>
        <v>2827130.0229831031</v>
      </c>
      <c r="AI14" s="3">
        <f t="shared" ref="AI14:BN14" si="1">AI8-AI10-AI12</f>
        <v>2855162.6339251031</v>
      </c>
      <c r="AJ14" s="3">
        <f t="shared" si="1"/>
        <v>3045472.1128843529</v>
      </c>
      <c r="AK14" s="3">
        <f t="shared" si="1"/>
        <v>3362807.2499852381</v>
      </c>
      <c r="AL14" s="3">
        <f t="shared" si="1"/>
        <v>3183549.6488788384</v>
      </c>
      <c r="AM14" s="3">
        <f t="shared" si="1"/>
        <v>3981032.3838295583</v>
      </c>
      <c r="AN14" s="3">
        <f t="shared" si="1"/>
        <v>4126230.0280565582</v>
      </c>
      <c r="AO14" s="3">
        <f t="shared" si="1"/>
        <v>4162306.3219789094</v>
      </c>
      <c r="AP14" s="3">
        <f t="shared" si="1"/>
        <v>4576037.588352236</v>
      </c>
      <c r="AQ14" s="3">
        <f t="shared" si="1"/>
        <v>4796958.2894642362</v>
      </c>
      <c r="AR14" s="3">
        <f t="shared" si="1"/>
        <v>4981394.8757002363</v>
      </c>
      <c r="AS14" s="3">
        <f t="shared" si="1"/>
        <v>5485416.6002802374</v>
      </c>
      <c r="AT14" s="3">
        <f t="shared" si="1"/>
        <v>5671960.3349742368</v>
      </c>
      <c r="AU14" s="3">
        <f t="shared" si="1"/>
        <v>5524514.9665307365</v>
      </c>
      <c r="AV14" s="3">
        <f t="shared" si="1"/>
        <v>5395010.4253474539</v>
      </c>
      <c r="AW14" s="3">
        <f t="shared" si="1"/>
        <v>5460610.2565474538</v>
      </c>
      <c r="AX14" s="3">
        <f t="shared" si="1"/>
        <v>5432900.8515714537</v>
      </c>
      <c r="AY14" s="3">
        <f t="shared" si="1"/>
        <v>5311802.3956994535</v>
      </c>
      <c r="AZ14" s="3">
        <f t="shared" si="1"/>
        <v>5101643.5566354534</v>
      </c>
      <c r="BA14" s="3">
        <f t="shared" si="1"/>
        <v>5118490.5891394531</v>
      </c>
      <c r="BB14" s="3">
        <f t="shared" si="1"/>
        <v>4763175.730395454</v>
      </c>
      <c r="BC14" s="3">
        <f t="shared" si="1"/>
        <v>4318821.3629554538</v>
      </c>
      <c r="BD14" s="3">
        <f t="shared" si="1"/>
        <v>4047082.9332674537</v>
      </c>
      <c r="BE14" s="3">
        <f t="shared" si="1"/>
        <v>4021363.0692514535</v>
      </c>
      <c r="BF14" s="3">
        <f t="shared" si="1"/>
        <v>3674715.075667453</v>
      </c>
      <c r="BG14" s="3">
        <f t="shared" si="1"/>
        <v>3838851.2841154533</v>
      </c>
      <c r="BH14" s="3">
        <f t="shared" si="1"/>
        <v>3670264.3345074537</v>
      </c>
      <c r="BI14" s="3">
        <f t="shared" si="1"/>
        <v>3506236.4639078537</v>
      </c>
      <c r="BJ14" s="3">
        <f t="shared" si="1"/>
        <v>3450555.45</v>
      </c>
      <c r="BK14" s="3">
        <f t="shared" si="1"/>
        <v>3885670.65</v>
      </c>
      <c r="BL14" s="3">
        <f t="shared" si="1"/>
        <v>3971556.45</v>
      </c>
      <c r="BM14" s="3">
        <f t="shared" si="1"/>
        <v>4568110.2</v>
      </c>
      <c r="BN14" s="3">
        <f t="shared" si="1"/>
        <v>4878514.2</v>
      </c>
      <c r="BO14" s="3">
        <f t="shared" ref="BO14:CT14" si="2">BO8-BO10-BO12</f>
        <v>5480712.2999999998</v>
      </c>
      <c r="BP14" s="3">
        <f t="shared" si="2"/>
        <v>5737107.2999999998</v>
      </c>
      <c r="BQ14" s="3">
        <f t="shared" si="2"/>
        <v>5904639.2999999998</v>
      </c>
      <c r="BR14" s="3">
        <f t="shared" si="2"/>
        <v>5974710.2999999998</v>
      </c>
      <c r="BS14" s="3">
        <f t="shared" si="2"/>
        <v>5852347.0499999998</v>
      </c>
      <c r="BT14" s="3">
        <f t="shared" si="2"/>
        <v>5584166.5499999998</v>
      </c>
      <c r="BU14" s="3">
        <f t="shared" si="2"/>
        <v>5792041.6500000004</v>
      </c>
      <c r="BV14" s="3">
        <f t="shared" si="2"/>
        <v>5641312.6500000004</v>
      </c>
      <c r="BW14" s="3">
        <f t="shared" si="2"/>
        <v>5301864.75</v>
      </c>
      <c r="BX14" s="3">
        <f t="shared" si="2"/>
        <v>4842371.55</v>
      </c>
      <c r="BY14" s="3">
        <f t="shared" si="2"/>
        <v>4484835.3</v>
      </c>
      <c r="BZ14" s="3">
        <f t="shared" si="2"/>
        <v>4029286.8</v>
      </c>
      <c r="CA14" s="3">
        <f t="shared" si="2"/>
        <v>4017451.65</v>
      </c>
      <c r="CB14" s="3">
        <f t="shared" si="2"/>
        <v>3667143.15</v>
      </c>
      <c r="CC14" s="3">
        <f t="shared" si="2"/>
        <v>3704721</v>
      </c>
      <c r="CD14" s="3">
        <f t="shared" si="2"/>
        <v>3455359.8</v>
      </c>
      <c r="CE14" s="3">
        <f t="shared" si="2"/>
        <v>3661287.3</v>
      </c>
      <c r="CF14" s="3">
        <f t="shared" si="2"/>
        <v>3586918.8</v>
      </c>
      <c r="CG14" s="3">
        <f t="shared" si="2"/>
        <v>3960498</v>
      </c>
      <c r="CH14" s="3">
        <f t="shared" si="2"/>
        <v>3988333.8</v>
      </c>
      <c r="CI14" s="3">
        <f t="shared" si="2"/>
        <v>4533920.55</v>
      </c>
      <c r="CJ14" s="3">
        <f t="shared" si="2"/>
        <v>4803041.55</v>
      </c>
      <c r="CK14" s="3">
        <f t="shared" si="2"/>
        <v>5006105.55</v>
      </c>
      <c r="CL14" s="3">
        <f t="shared" si="2"/>
        <v>5131220.55</v>
      </c>
      <c r="CM14" s="3">
        <f t="shared" si="2"/>
        <v>5060980.6500000004</v>
      </c>
      <c r="CN14" s="3">
        <f t="shared" si="2"/>
        <v>4846524.45</v>
      </c>
      <c r="CO14" s="3">
        <f t="shared" si="2"/>
        <v>4785606.45</v>
      </c>
      <c r="CP14" s="3">
        <f t="shared" si="2"/>
        <v>4621122.45</v>
      </c>
      <c r="CQ14" s="3">
        <f t="shared" si="2"/>
        <v>4362573.45</v>
      </c>
      <c r="CR14" s="3">
        <f t="shared" si="2"/>
        <v>4024446.45</v>
      </c>
      <c r="CS14" s="3">
        <f t="shared" si="2"/>
        <v>3516716.55</v>
      </c>
      <c r="CT14" s="3">
        <f t="shared" si="2"/>
        <v>2916319.35</v>
      </c>
      <c r="CU14" s="3">
        <f t="shared" ref="CU14:DF14" si="3">CU8-CU10-CU12</f>
        <v>2452439.1</v>
      </c>
      <c r="CV14" s="3">
        <f t="shared" si="3"/>
        <v>1930722.6</v>
      </c>
      <c r="CW14" s="3">
        <f t="shared" si="3"/>
        <v>1527469.35</v>
      </c>
      <c r="CX14" s="3">
        <f t="shared" si="3"/>
        <v>1087232.8500000001</v>
      </c>
      <c r="CY14" s="3">
        <f t="shared" si="3"/>
        <v>762538.95</v>
      </c>
      <c r="CZ14" s="3">
        <f t="shared" si="3"/>
        <v>401121.75</v>
      </c>
      <c r="DA14" s="3">
        <f t="shared" si="3"/>
        <v>217168.5</v>
      </c>
      <c r="DB14" s="3">
        <f t="shared" si="3"/>
        <v>0</v>
      </c>
      <c r="DC14" s="3">
        <f t="shared" si="3"/>
        <v>0</v>
      </c>
      <c r="DD14" s="3">
        <f t="shared" si="3"/>
        <v>0</v>
      </c>
      <c r="DE14" s="3">
        <f t="shared" si="3"/>
        <v>0</v>
      </c>
      <c r="DF14" s="3">
        <f t="shared" si="3"/>
        <v>0</v>
      </c>
    </row>
    <row r="15" spans="1:110" ht="15" customHeight="1" x14ac:dyDescent="0.25">
      <c r="A15" s="4" t="s">
        <v>17</v>
      </c>
      <c r="B15" s="302"/>
      <c r="C15" s="3">
        <f>IF(ISBLANK(Actuals!C13),-C14,Actuals!C13)</f>
        <v>-1233067.43</v>
      </c>
      <c r="D15" s="3">
        <f>IF(ISBLANK(Actuals!D13),-D14,Actuals!D13)</f>
        <v>-3073522.36</v>
      </c>
      <c r="E15" s="3">
        <f>IF(ISBLANK(Actuals!E13),-E14,Actuals!E13)</f>
        <v>-2078031.64</v>
      </c>
      <c r="F15" s="3">
        <f>IF(ISBLANK(Actuals!F13),-F14,Actuals!F13)</f>
        <v>-3244999.65</v>
      </c>
      <c r="G15" s="3">
        <f>IF(ISBLANK(Actuals!G13),-G14,Actuals!G13)</f>
        <v>-4178441.934676405</v>
      </c>
      <c r="H15" s="3">
        <f>IF(ISBLANK(Actuals!H13),-H14,Actuals!H13)</f>
        <v>-4314673.98179329</v>
      </c>
      <c r="I15" s="3">
        <f>IF(ISBLANK(Actuals!I13),-I14,Actuals!I13)</f>
        <v>-5100719.4041852877</v>
      </c>
      <c r="J15" s="3">
        <f>IF(ISBLANK(Actuals!J13),-J14,Actuals!J13)</f>
        <v>-5260214.2562397104</v>
      </c>
      <c r="K15" s="3">
        <f>IF(ISBLANK(Actuals!K13),-K14,Actuals!K13)</f>
        <v>-5352854.3183394447</v>
      </c>
      <c r="L15" s="3">
        <f>IF(ISBLANK(Actuals!L13),-L14,Actuals!L13)</f>
        <v>-5849570.1461303821</v>
      </c>
      <c r="M15" s="3">
        <f>IF(ISBLANK(Actuals!M13),-M14,Actuals!M13)</f>
        <v>-6345476.132391925</v>
      </c>
      <c r="N15" s="3">
        <f>IF(ISBLANK(Actuals!N13),-N14,Actuals!N13)</f>
        <v>-6208239.2625532094</v>
      </c>
      <c r="O15" s="3">
        <f>IF(ISBLANK(Actuals!O13),-O14,Actuals!O13)</f>
        <v>-6395725.6643401729</v>
      </c>
      <c r="P15" s="3">
        <f>IF(ISBLANK(Actuals!P13),-P14,Actuals!P13)</f>
        <v>-6526715.608853383</v>
      </c>
      <c r="Q15" s="3">
        <f>IF(ISBLANK(Actuals!Q13),-Q14,Actuals!Q13)</f>
        <v>-6598279.7651737202</v>
      </c>
      <c r="R15" s="3">
        <f>IF(ISBLANK(Actuals!R13),-R14,Actuals!R13)</f>
        <v>-7163160.2519847238</v>
      </c>
      <c r="S15" s="3">
        <f>IF(ISBLANK(Actuals!S13),-S14,Actuals!S13)</f>
        <v>-7214523.8954113452</v>
      </c>
      <c r="T15" s="3">
        <f>IF(ISBLANK(Actuals!T13),-T14,Actuals!T13)</f>
        <v>-7044289.8282981515</v>
      </c>
      <c r="U15" s="3">
        <f>IF(ISBLANK(Actuals!U13),-U14,Actuals!U13)</f>
        <v>-6558946.8663878171</v>
      </c>
      <c r="V15" s="3">
        <f>IF(ISBLANK(Actuals!V13),-V14,Actuals!V13)</f>
        <v>-6351724.9937303001</v>
      </c>
      <c r="W15" s="3">
        <f>IF(ISBLANK(Actuals!W13),-W14,Actuals!W13)</f>
        <v>-6350910.5797312995</v>
      </c>
      <c r="X15" s="3">
        <f>IF(ISBLANK(Actuals!X13),-X14,Actuals!X13)</f>
        <v>-6231956.5252315495</v>
      </c>
      <c r="Y15" s="3">
        <f>IF(ISBLANK(Actuals!Y13),-Y14,Actuals!Y13)</f>
        <v>-6016281.8835590491</v>
      </c>
      <c r="Z15" s="3">
        <f>IF(ISBLANK(Actuals!Z13),-Z14,Actuals!Z13)</f>
        <v>-5778039.5510890493</v>
      </c>
      <c r="AA15" s="3">
        <f>IF(ISBLANK(Actuals!AA13),-AA14,Actuals!AA13)</f>
        <v>-5481055.5141670499</v>
      </c>
      <c r="AB15" s="3">
        <f>IF(ISBLANK(Actuals!AB13),-AB14,Actuals!AB13)</f>
        <v>-5142476.8851480493</v>
      </c>
      <c r="AC15" s="3">
        <f>IF(ISBLANK(Actuals!AC13),-AC14,Actuals!AC13)</f>
        <v>-4779056.0364100495</v>
      </c>
      <c r="AD15" s="3">
        <f>IF(ISBLANK(Actuals!AD13),-AD14,Actuals!AD13)</f>
        <v>-4323487.7603404485</v>
      </c>
      <c r="AE15" s="3">
        <f>IF(ISBLANK(Actuals!AE13),-AE14,Actuals!AE13)</f>
        <v>-3830756.313681649</v>
      </c>
      <c r="AF15" s="3">
        <f>IF(ISBLANK(Actuals!AF13),-AF14,Actuals!AF13)</f>
        <v>-3598719.3564371029</v>
      </c>
      <c r="AG15" s="3">
        <f>IF(ISBLANK(Actuals!AG13),-AG14,Actuals!AG13)</f>
        <v>-2781458.4577761032</v>
      </c>
      <c r="AH15" s="3">
        <f>IF(ISBLANK(Actuals!AH13),-AH14,Actuals!AH13)</f>
        <v>-2827130.0229831031</v>
      </c>
      <c r="AI15" s="3">
        <f>IF(ISBLANK(Actuals!AI13),-AI14,Actuals!AI13)</f>
        <v>-2855162.6339251031</v>
      </c>
      <c r="AJ15" s="3">
        <f>IF(ISBLANK(Actuals!AJ13),-AJ14,Actuals!AJ13)</f>
        <v>-3045472.1128843529</v>
      </c>
      <c r="AK15" s="3">
        <f>IF(ISBLANK(Actuals!AK13),-AK14,Actuals!AK13)</f>
        <v>-3362807.2499852381</v>
      </c>
      <c r="AL15" s="3">
        <f>IF(ISBLANK(Actuals!AL13),-AL14,Actuals!AL13)</f>
        <v>-3183549.6488788384</v>
      </c>
      <c r="AM15" s="3">
        <f>IF(ISBLANK(Actuals!AM13),-AM14,Actuals!AM13)</f>
        <v>-3981032.3838295583</v>
      </c>
      <c r="AN15" s="3">
        <f>IF(ISBLANK(Actuals!AN13),-AN14,Actuals!AN13)</f>
        <v>-4126230.0280565582</v>
      </c>
      <c r="AO15" s="3">
        <f>IF(ISBLANK(Actuals!AO13),-AO14,Actuals!AO13)</f>
        <v>-4162306.3219789094</v>
      </c>
      <c r="AP15" s="3">
        <f>IF(ISBLANK(Actuals!AP13),-AP14,Actuals!AP13)</f>
        <v>-4576037.588352236</v>
      </c>
      <c r="AQ15" s="3">
        <f>IF(ISBLANK(Actuals!AQ13),-AQ14,Actuals!AQ13)</f>
        <v>-4796958.2894642362</v>
      </c>
      <c r="AR15" s="3">
        <f>IF(ISBLANK(Actuals!AR13),-AR14,Actuals!AR13)</f>
        <v>-4981394.8757002363</v>
      </c>
      <c r="AS15" s="3">
        <f>IF(ISBLANK(Actuals!AS13),-AS14,Actuals!AS13)</f>
        <v>-5485416.6002802374</v>
      </c>
      <c r="AT15" s="3">
        <f>IF(ISBLANK(Actuals!AT13),-AT14,Actuals!AT13)</f>
        <v>-5671960.3349742368</v>
      </c>
      <c r="AU15" s="3">
        <f>IF(ISBLANK(Actuals!AU13),-AU14,Actuals!AU13)</f>
        <v>-5524514.9665307365</v>
      </c>
      <c r="AV15" s="3">
        <f>IF(ISBLANK(Actuals!AV13),-AV14,Actuals!AV13)</f>
        <v>-5395010.4253474539</v>
      </c>
      <c r="AW15" s="3">
        <f>IF(ISBLANK(Actuals!AW13),-AW14,Actuals!AW13)</f>
        <v>-5460610.2565474538</v>
      </c>
      <c r="AX15" s="3">
        <f>IF(ISBLANK(Actuals!AX13),-AX14,Actuals!AX13)</f>
        <v>-5432900.8515714537</v>
      </c>
      <c r="AY15" s="3">
        <f>IF(ISBLANK(Actuals!AY13),-AY14,Actuals!AY13)</f>
        <v>-5311802.3956994535</v>
      </c>
      <c r="AZ15" s="3">
        <f>IF(ISBLANK(Actuals!AZ13),-AZ14,Actuals!AZ13)</f>
        <v>-5101643.5566354534</v>
      </c>
      <c r="BA15" s="3">
        <f>IF(ISBLANK(Actuals!BA13),-BA14,Actuals!BA13)</f>
        <v>-5118490.5891394531</v>
      </c>
      <c r="BB15" s="3">
        <f>IF(ISBLANK(Actuals!BB13),-BB14,Actuals!BB13)</f>
        <v>-4763175.730395454</v>
      </c>
      <c r="BC15" s="3">
        <f>IF(ISBLANK(Actuals!BC13),-BC14,Actuals!BC13)</f>
        <v>-4318821.3629554538</v>
      </c>
      <c r="BD15" s="3">
        <f>IF(ISBLANK(Actuals!BD13),-BD14,Actuals!BD13)</f>
        <v>-4047082.9332674537</v>
      </c>
      <c r="BE15" s="3">
        <f>IF(ISBLANK(Actuals!BE13),-BE14,Actuals!BE13)</f>
        <v>-4021363.0692514535</v>
      </c>
      <c r="BF15" s="3">
        <f>IF(ISBLANK(Actuals!BF13),-BF14,Actuals!BF13)</f>
        <v>-3674715.075667453</v>
      </c>
      <c r="BG15" s="3">
        <f>IF(ISBLANK(Actuals!BG13),-BG14,Actuals!BG13)</f>
        <v>-3838851.2841154533</v>
      </c>
      <c r="BH15" s="3">
        <f>IF(ISBLANK(Actuals!BH13),-BH14,Actuals!BH13)</f>
        <v>-3670264.3345074537</v>
      </c>
      <c r="BI15" s="3">
        <f>IF(ISBLANK(Actuals!BI13),-BI14,Actuals!BI13)</f>
        <v>-3506236.4639078537</v>
      </c>
      <c r="BJ15" s="3">
        <f>IF(ISBLANK(Actuals!BJ13),-BJ14,Actuals!BJ13)</f>
        <v>-3450555.45</v>
      </c>
      <c r="BK15" s="3">
        <f>IF(ISBLANK(Actuals!BK13),-BK14,Actuals!BK13)</f>
        <v>-3885670.65</v>
      </c>
      <c r="BL15" s="3">
        <f>IF(ISBLANK(Actuals!BL13),-BL14,Actuals!BL13)</f>
        <v>-3971556.45</v>
      </c>
      <c r="BM15" s="3">
        <f>IF(ISBLANK(Actuals!BM13),-BM14,Actuals!BM13)</f>
        <v>-4568110.2</v>
      </c>
      <c r="BN15" s="3">
        <f>IF(ISBLANK(Actuals!BN13),-BN14,Actuals!BN13)</f>
        <v>-4878514.2</v>
      </c>
      <c r="BO15" s="3">
        <f>IF(ISBLANK(Actuals!BO13),-BO14,Actuals!BO13)</f>
        <v>-5480712.2999999998</v>
      </c>
      <c r="BP15" s="3">
        <f>IF(ISBLANK(Actuals!BP13),-BP14,Actuals!BP13)</f>
        <v>-5737107.2999999998</v>
      </c>
      <c r="BQ15" s="3">
        <f>IF(ISBLANK(Actuals!BQ13),-BQ14,Actuals!BQ13)</f>
        <v>-5904639.2999999998</v>
      </c>
      <c r="BR15" s="3">
        <f>IF(ISBLANK(Actuals!BR13),-BR14,Actuals!BR13)</f>
        <v>-5974710.2999999998</v>
      </c>
      <c r="BS15" s="3">
        <f>IF(ISBLANK(Actuals!BS13),-BS14,Actuals!BS13)</f>
        <v>-5852347.0499999998</v>
      </c>
      <c r="BT15" s="3">
        <f>IF(ISBLANK(Actuals!BT13),-BT14,Actuals!BT13)</f>
        <v>-5584166.5499999998</v>
      </c>
      <c r="BU15" s="3">
        <f>IF(ISBLANK(Actuals!BU13),-BU14,Actuals!BU13)</f>
        <v>-5792041.6500000004</v>
      </c>
      <c r="BV15" s="3">
        <f>IF(ISBLANK(Actuals!BV13),-BV14,Actuals!BV13)</f>
        <v>-5641312.6500000004</v>
      </c>
      <c r="BW15" s="3">
        <f>IF(ISBLANK(Actuals!BW13),-BW14,Actuals!BW13)</f>
        <v>-5301864.75</v>
      </c>
      <c r="BX15" s="3">
        <f>IF(ISBLANK(Actuals!BX13),-BX14,Actuals!BX13)</f>
        <v>-4842371.55</v>
      </c>
      <c r="BY15" s="3">
        <f>IF(ISBLANK(Actuals!BY13),-BY14,Actuals!BY13)</f>
        <v>-4484835.3</v>
      </c>
      <c r="BZ15" s="3">
        <f>IF(ISBLANK(Actuals!BZ13),-BZ14,Actuals!BZ13)</f>
        <v>-4029286.8</v>
      </c>
      <c r="CA15" s="3">
        <f>IF(ISBLANK(Actuals!CA13),-CA14,Actuals!CA13)</f>
        <v>-4017451.65</v>
      </c>
      <c r="CB15" s="3">
        <f>IF(ISBLANK(Actuals!CB13),-CB14,Actuals!CB13)</f>
        <v>-3667143.15</v>
      </c>
      <c r="CC15" s="3">
        <f>IF(ISBLANK(Actuals!CC13),-CC14,Actuals!CC13)</f>
        <v>-3704721</v>
      </c>
      <c r="CD15" s="3">
        <f>IF(ISBLANK(Actuals!CD13),-CD14,Actuals!CD13)</f>
        <v>-3455359.8</v>
      </c>
      <c r="CE15" s="3">
        <f>IF(ISBLANK(Actuals!CE13),-CE14,Actuals!CE13)</f>
        <v>-3661287.3</v>
      </c>
      <c r="CF15" s="3">
        <f>IF(ISBLANK(Actuals!CF13),-CF14,Actuals!CF13)</f>
        <v>-3586918.8</v>
      </c>
      <c r="CG15" s="3">
        <f>IF(ISBLANK(Actuals!CG13),-CG14,Actuals!CG13)</f>
        <v>-3960498</v>
      </c>
      <c r="CH15" s="3">
        <f>IF(ISBLANK(Actuals!CH13),-CH14,Actuals!CH13)</f>
        <v>-3988333.8</v>
      </c>
      <c r="CI15" s="3">
        <f>IF(ISBLANK(Actuals!CI13),-CI14,Actuals!CI13)</f>
        <v>-4533920.55</v>
      </c>
      <c r="CJ15" s="3">
        <f>IF(ISBLANK(Actuals!CJ13),-CJ14,Actuals!CJ13)</f>
        <v>-4803041.55</v>
      </c>
      <c r="CK15" s="3">
        <f>IF(ISBLANK(Actuals!CK13),-CK14,Actuals!CK13)</f>
        <v>-5006105.55</v>
      </c>
      <c r="CL15" s="3">
        <f>IF(ISBLANK(Actuals!CL13),-CL14,Actuals!CL13)</f>
        <v>-5131220.55</v>
      </c>
      <c r="CM15" s="3">
        <f>IF(ISBLANK(Actuals!CM13),-CM14,Actuals!CM13)</f>
        <v>-5060980.6500000004</v>
      </c>
      <c r="CN15" s="3">
        <f>IF(ISBLANK(Actuals!CN13),-CN14,Actuals!CN13)</f>
        <v>-4846524.45</v>
      </c>
      <c r="CO15" s="3">
        <f>IF(ISBLANK(Actuals!CO13),-CO14,Actuals!CO13)</f>
        <v>-4785606.45</v>
      </c>
      <c r="CP15" s="3">
        <f>IF(ISBLANK(Actuals!CP13),-CP14,Actuals!CP13)</f>
        <v>-4621122.45</v>
      </c>
      <c r="CQ15" s="3">
        <f>IF(ISBLANK(Actuals!CQ13),-CQ14,Actuals!CQ13)</f>
        <v>-4362573.45</v>
      </c>
      <c r="CR15" s="3">
        <f>IF(ISBLANK(Actuals!CR13),-CR14,Actuals!CR13)</f>
        <v>-4024446.45</v>
      </c>
      <c r="CS15" s="3">
        <f>IF(ISBLANK(Actuals!CS13),-CS14,Actuals!CS13)</f>
        <v>-3516716.55</v>
      </c>
      <c r="CT15" s="3">
        <f>IF(ISBLANK(Actuals!CT13),-CT14,Actuals!CT13)</f>
        <v>-2916319.35</v>
      </c>
      <c r="CU15" s="3">
        <f>IF(ISBLANK(Actuals!CU13),-CU14,Actuals!CU13)</f>
        <v>-2452439.1</v>
      </c>
      <c r="CV15" s="3">
        <f>IF(ISBLANK(Actuals!CV13),-CV14,Actuals!CV13)</f>
        <v>-1930722.6</v>
      </c>
      <c r="CW15" s="3">
        <f>IF(ISBLANK(Actuals!CW13),-CW14,Actuals!CW13)</f>
        <v>-1527469.35</v>
      </c>
      <c r="CX15" s="3">
        <f>IF(ISBLANK(Actuals!CX13),-CX14,Actuals!CX13)</f>
        <v>-1087232.8500000001</v>
      </c>
      <c r="CY15" s="3">
        <f>IF(ISBLANK(Actuals!CY13),-CY14,Actuals!CY13)</f>
        <v>-762538.95</v>
      </c>
      <c r="CZ15" s="3">
        <f>IF(ISBLANK(Actuals!CZ13),-CZ14,Actuals!CZ13)</f>
        <v>-401121.75</v>
      </c>
      <c r="DA15" s="3">
        <f>IF(ISBLANK(Actuals!DA13),-DA14,Actuals!DA13)</f>
        <v>-217168.5</v>
      </c>
      <c r="DB15" s="3">
        <f>IF(ISBLANK(Actuals!DB13),-DB14,Actuals!DB13)</f>
        <v>0</v>
      </c>
      <c r="DC15" s="3">
        <f>IF(ISBLANK(Actuals!DC13),-DC14,Actuals!DC13)</f>
        <v>0</v>
      </c>
      <c r="DD15" s="3">
        <f>IF(ISBLANK(Actuals!DD13),-DD14,Actuals!DD13)</f>
        <v>0</v>
      </c>
      <c r="DE15" s="3">
        <f>IF(ISBLANK(Actuals!DE13),-DE14,Actuals!DE13)</f>
        <v>0</v>
      </c>
      <c r="DF15" s="3">
        <f>IF(ISBLANK(Actuals!DF13),-DF14,Actuals!DF13)</f>
        <v>0</v>
      </c>
    </row>
    <row r="16" spans="1:110" ht="15" customHeight="1" x14ac:dyDescent="0.25">
      <c r="A16" s="4"/>
      <c r="B16" s="30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</row>
    <row r="17" spans="1:110" ht="15" customHeight="1" x14ac:dyDescent="0.25">
      <c r="A17" s="15" t="s">
        <v>18</v>
      </c>
      <c r="B17" s="16"/>
      <c r="C17" s="17">
        <f t="shared" ref="C17:AH17" si="4">C10+C11+C12+C13+C14+C15</f>
        <v>220719.31000000006</v>
      </c>
      <c r="D17" s="17">
        <f t="shared" si="4"/>
        <v>-51003.469999999739</v>
      </c>
      <c r="E17" s="17">
        <f t="shared" si="4"/>
        <v>594184.52000000025</v>
      </c>
      <c r="F17" s="17">
        <f t="shared" si="4"/>
        <v>447358.24999999953</v>
      </c>
      <c r="G17" s="17">
        <f t="shared" si="4"/>
        <v>468885.06625426281</v>
      </c>
      <c r="H17" s="17">
        <f t="shared" si="4"/>
        <v>468885.06625426281</v>
      </c>
      <c r="I17" s="17">
        <f t="shared" si="4"/>
        <v>632697.18965458311</v>
      </c>
      <c r="J17" s="17">
        <f t="shared" si="4"/>
        <v>632697.18965458311</v>
      </c>
      <c r="K17" s="17">
        <f t="shared" si="4"/>
        <v>632697.18965458311</v>
      </c>
      <c r="L17" s="17">
        <f t="shared" si="4"/>
        <v>775124.94695686083</v>
      </c>
      <c r="M17" s="17">
        <f t="shared" si="4"/>
        <v>919350.98096424621</v>
      </c>
      <c r="N17" s="17">
        <f t="shared" si="4"/>
        <v>774577.77487815265</v>
      </c>
      <c r="O17" s="17">
        <f t="shared" si="4"/>
        <v>774577.77487815265</v>
      </c>
      <c r="P17" s="17">
        <f t="shared" si="4"/>
        <v>774577.77487815265</v>
      </c>
      <c r="Q17" s="17">
        <f t="shared" si="4"/>
        <v>774577.77487815265</v>
      </c>
      <c r="R17" s="17">
        <f t="shared" si="4"/>
        <v>947151.97893536929</v>
      </c>
      <c r="S17" s="17">
        <f t="shared" si="4"/>
        <v>947151.97893536929</v>
      </c>
      <c r="T17" s="17">
        <f t="shared" si="4"/>
        <v>1105813.8572215699</v>
      </c>
      <c r="U17" s="17">
        <f t="shared" si="4"/>
        <v>867633.41001746617</v>
      </c>
      <c r="V17" s="17">
        <f t="shared" si="4"/>
        <v>601954.65844070073</v>
      </c>
      <c r="W17" s="17">
        <f t="shared" si="4"/>
        <v>601954.65844070073</v>
      </c>
      <c r="X17" s="17">
        <f t="shared" si="4"/>
        <v>623764.9628804503</v>
      </c>
      <c r="Y17" s="17">
        <f t="shared" si="4"/>
        <v>580144.35400095023</v>
      </c>
      <c r="Z17" s="17">
        <f t="shared" si="4"/>
        <v>580144.35400095023</v>
      </c>
      <c r="AA17" s="17">
        <f t="shared" si="4"/>
        <v>580144.35400095023</v>
      </c>
      <c r="AB17" s="17">
        <f t="shared" si="4"/>
        <v>580144.35400095023</v>
      </c>
      <c r="AC17" s="17">
        <f t="shared" si="4"/>
        <v>580144.35400095023</v>
      </c>
      <c r="AD17" s="17">
        <f t="shared" si="4"/>
        <v>662165.36984355003</v>
      </c>
      <c r="AE17" s="17">
        <f t="shared" si="4"/>
        <v>498123.33815835044</v>
      </c>
      <c r="AF17" s="17">
        <f t="shared" si="4"/>
        <v>655782.97902689688</v>
      </c>
      <c r="AG17" s="17">
        <f t="shared" si="4"/>
        <v>655782.97902689688</v>
      </c>
      <c r="AH17" s="17">
        <f t="shared" si="4"/>
        <v>655782.97902689688</v>
      </c>
      <c r="AI17" s="17">
        <f t="shared" ref="AI17:BN17" si="5">AI10+AI11+AI12+AI13+AI14+AI15</f>
        <v>655782.97902689734</v>
      </c>
      <c r="AJ17" s="17">
        <f t="shared" si="5"/>
        <v>874072.35859464714</v>
      </c>
      <c r="AK17" s="17">
        <f t="shared" si="5"/>
        <v>644745.95978576178</v>
      </c>
      <c r="AL17" s="17">
        <f t="shared" si="5"/>
        <v>903396.68094416196</v>
      </c>
      <c r="AM17" s="17">
        <f t="shared" si="5"/>
        <v>571227.08638544194</v>
      </c>
      <c r="AN17" s="17">
        <f t="shared" si="5"/>
        <v>571227.08638544194</v>
      </c>
      <c r="AO17" s="17">
        <f t="shared" si="5"/>
        <v>666606.15184809128</v>
      </c>
      <c r="AP17" s="17">
        <f t="shared" si="5"/>
        <v>619172.24492576346</v>
      </c>
      <c r="AQ17" s="17">
        <f t="shared" si="5"/>
        <v>619172.24492576346</v>
      </c>
      <c r="AR17" s="17">
        <f t="shared" si="5"/>
        <v>619172.24492576346</v>
      </c>
      <c r="AS17" s="17">
        <f t="shared" si="5"/>
        <v>727524.1449257629</v>
      </c>
      <c r="AT17" s="17">
        <f t="shared" si="5"/>
        <v>727524.1449257629</v>
      </c>
      <c r="AU17" s="17">
        <f t="shared" si="5"/>
        <v>1000009.7302792631</v>
      </c>
      <c r="AV17" s="17">
        <f t="shared" si="5"/>
        <v>554949.94086854625</v>
      </c>
      <c r="AW17" s="17">
        <f t="shared" si="5"/>
        <v>554949.94086854625</v>
      </c>
      <c r="AX17" s="17">
        <f t="shared" si="5"/>
        <v>554949.94086854719</v>
      </c>
      <c r="AY17" s="17">
        <f t="shared" si="5"/>
        <v>554949.94086854625</v>
      </c>
      <c r="AZ17" s="17">
        <f t="shared" si="5"/>
        <v>554949.94086854625</v>
      </c>
      <c r="BA17" s="17">
        <f t="shared" si="5"/>
        <v>645243.19086854625</v>
      </c>
      <c r="BB17" s="17">
        <f t="shared" si="5"/>
        <v>735536.44086854625</v>
      </c>
      <c r="BC17" s="17">
        <f t="shared" si="5"/>
        <v>554949.94086854625</v>
      </c>
      <c r="BD17" s="17">
        <f t="shared" si="5"/>
        <v>554949.94086854719</v>
      </c>
      <c r="BE17" s="17">
        <f t="shared" si="5"/>
        <v>753595.09086854663</v>
      </c>
      <c r="BF17" s="17">
        <f t="shared" si="5"/>
        <v>573008.59086854663</v>
      </c>
      <c r="BG17" s="17">
        <f t="shared" si="5"/>
        <v>663301.84086854663</v>
      </c>
      <c r="BH17" s="17">
        <f t="shared" si="5"/>
        <v>771653.74086854653</v>
      </c>
      <c r="BI17" s="17">
        <f t="shared" si="5"/>
        <v>894179.46592414659</v>
      </c>
      <c r="BJ17" s="17">
        <f t="shared" si="5"/>
        <v>487583.54999999981</v>
      </c>
      <c r="BK17" s="17">
        <f t="shared" si="5"/>
        <v>704287.35000000009</v>
      </c>
      <c r="BL17" s="17">
        <f t="shared" si="5"/>
        <v>487583.54999999981</v>
      </c>
      <c r="BM17" s="17">
        <f t="shared" si="5"/>
        <v>577876.79999999981</v>
      </c>
      <c r="BN17" s="17">
        <f t="shared" si="5"/>
        <v>577876.79999999981</v>
      </c>
      <c r="BO17" s="17">
        <f t="shared" ref="BO17:CT17" si="6">BO10+BO11+BO12+BO13+BO14+BO15</f>
        <v>686228.70000000019</v>
      </c>
      <c r="BP17" s="17">
        <f t="shared" si="6"/>
        <v>686228.70000000019</v>
      </c>
      <c r="BQ17" s="17">
        <f t="shared" si="6"/>
        <v>686228.70000000019</v>
      </c>
      <c r="BR17" s="17">
        <f t="shared" si="6"/>
        <v>686228.70000000019</v>
      </c>
      <c r="BS17" s="17">
        <f t="shared" si="6"/>
        <v>776521.95000000019</v>
      </c>
      <c r="BT17" s="17">
        <f t="shared" si="6"/>
        <v>595935.45000000019</v>
      </c>
      <c r="BU17" s="17">
        <f t="shared" si="6"/>
        <v>704287.34999999963</v>
      </c>
      <c r="BV17" s="17">
        <f t="shared" si="6"/>
        <v>704287.34999999963</v>
      </c>
      <c r="BW17" s="17">
        <f t="shared" si="6"/>
        <v>812639.25</v>
      </c>
      <c r="BX17" s="17">
        <f t="shared" si="6"/>
        <v>595935.45000000019</v>
      </c>
      <c r="BY17" s="17">
        <f t="shared" si="6"/>
        <v>686228.70000000019</v>
      </c>
      <c r="BZ17" s="17">
        <f t="shared" si="6"/>
        <v>505642.20000000019</v>
      </c>
      <c r="CA17" s="17">
        <f t="shared" si="6"/>
        <v>704287.35000000009</v>
      </c>
      <c r="CB17" s="17">
        <f t="shared" si="6"/>
        <v>523700.85000000009</v>
      </c>
      <c r="CC17" s="17">
        <f t="shared" si="6"/>
        <v>722346</v>
      </c>
      <c r="CD17" s="17">
        <f t="shared" si="6"/>
        <v>505642.20000000019</v>
      </c>
      <c r="CE17" s="17">
        <f t="shared" si="6"/>
        <v>686228.70000000019</v>
      </c>
      <c r="CF17" s="17">
        <f t="shared" si="6"/>
        <v>505642.20000000019</v>
      </c>
      <c r="CG17" s="17">
        <f t="shared" si="6"/>
        <v>722346</v>
      </c>
      <c r="CH17" s="17">
        <f t="shared" si="6"/>
        <v>505642.20000000019</v>
      </c>
      <c r="CI17" s="17">
        <f t="shared" si="6"/>
        <v>595935.45000000019</v>
      </c>
      <c r="CJ17" s="17">
        <f t="shared" si="6"/>
        <v>595935.45000000019</v>
      </c>
      <c r="CK17" s="17">
        <f t="shared" si="6"/>
        <v>595935.45000000019</v>
      </c>
      <c r="CL17" s="17">
        <f t="shared" si="6"/>
        <v>595935.45000000019</v>
      </c>
      <c r="CM17" s="17">
        <f t="shared" si="6"/>
        <v>704287.34999999963</v>
      </c>
      <c r="CN17" s="17">
        <f t="shared" si="6"/>
        <v>487583.54999999981</v>
      </c>
      <c r="CO17" s="17">
        <f t="shared" si="6"/>
        <v>487583.54999999981</v>
      </c>
      <c r="CP17" s="17">
        <f t="shared" si="6"/>
        <v>487583.54999999981</v>
      </c>
      <c r="CQ17" s="17">
        <f t="shared" si="6"/>
        <v>487583.54999999981</v>
      </c>
      <c r="CR17" s="17">
        <f t="shared" si="6"/>
        <v>487583.54999999981</v>
      </c>
      <c r="CS17" s="17">
        <f t="shared" si="6"/>
        <v>595935.45000000019</v>
      </c>
      <c r="CT17" s="17">
        <f t="shared" si="6"/>
        <v>379231.64999999991</v>
      </c>
      <c r="CU17" s="17">
        <f t="shared" ref="CU17:DF17" si="7">CU10+CU11+CU12+CU13+CU14+CU15</f>
        <v>469524.89999999991</v>
      </c>
      <c r="CV17" s="17">
        <f t="shared" si="7"/>
        <v>288938.39999999991</v>
      </c>
      <c r="CW17" s="17">
        <f t="shared" si="7"/>
        <v>379231.64999999991</v>
      </c>
      <c r="CX17" s="17">
        <f t="shared" si="7"/>
        <v>198645.14999999991</v>
      </c>
      <c r="CY17" s="17">
        <f t="shared" si="7"/>
        <v>306997.05000000005</v>
      </c>
      <c r="CZ17" s="17">
        <f t="shared" si="7"/>
        <v>90293.25</v>
      </c>
      <c r="DA17" s="17">
        <f t="shared" si="7"/>
        <v>180586.5</v>
      </c>
      <c r="DB17" s="17">
        <f t="shared" si="7"/>
        <v>0</v>
      </c>
      <c r="DC17" s="17">
        <f t="shared" si="7"/>
        <v>0</v>
      </c>
      <c r="DD17" s="17">
        <f t="shared" si="7"/>
        <v>0</v>
      </c>
      <c r="DE17" s="17">
        <f t="shared" si="7"/>
        <v>0</v>
      </c>
      <c r="DF17" s="17">
        <f t="shared" si="7"/>
        <v>0</v>
      </c>
    </row>
    <row r="18" spans="1:110" ht="15" customHeight="1" x14ac:dyDescent="0.25">
      <c r="A18" s="13" t="s">
        <v>61</v>
      </c>
      <c r="B18" s="302"/>
      <c r="C18" s="3">
        <f>IF(ISBLANK(Actuals!C15),0,Actuals!C15)</f>
        <v>0</v>
      </c>
      <c r="D18" s="3">
        <f>IF(ISBLANK(Actuals!D15),0,Actuals!D15)</f>
        <v>0</v>
      </c>
      <c r="E18" s="3">
        <f>IF(ISBLANK(Actuals!E15),0,Actuals!E15)</f>
        <v>0</v>
      </c>
      <c r="F18" s="3">
        <f>IF(ISBLANK(Actuals!F15),IF(AND(Projects!$G$6="Yes",Projects!$F$6="Yes",1=Projects!$C$6),Projects!$B$6*Assumptions!$B$15,0)+IF(AND(Projects!$G$7="Yes",Projects!$F$7="Yes",1=Projects!$C$7),Projects!$B$7*Assumptions!$B$15,0)+IF(AND(Projects!$G$8="Yes",Projects!$F$8="Yes",1=Projects!$C$8),Projects!$B$8*Assumptions!$B$15,0)+IF(AND(Projects!$G$9="Yes",Projects!$F$9="Yes",1=Projects!$C$9),Projects!$B$9*Assumptions!$B$15,0)+IF(AND(Projects!$G$10="Yes",Projects!$F$10="Yes",1=Projects!$C$10),Projects!$B$10*Assumptions!$B$15,0)+IF(AND(Projects!$G$11="Yes",Projects!$F$11="Yes",1=Projects!$C$11),Projects!$B$11*Assumptions!$B$15,0)+IF(AND(Projects!$G$12="Yes",Projects!$F$12="Yes",1=Projects!$C$12),Projects!$B$12*Assumptions!$B$15,0)+IF(AND(Projects!$G$13="Yes",Projects!$F$13="Yes",1=Projects!$C$13),Projects!$B$13*Assumptions!$B$15,0)+IF(AND(Projects!$G$14="Yes",Projects!$F$14="Yes",1=Projects!$C$14),Projects!$B$14*Assumptions!$B$15,0)+IF(AND(Projects!$G$15="Yes",Projects!$F$15="Yes",1=Projects!$C$15),Projects!$B$15*Assumptions!$B$15,0)+IF(AND(Projects!$G$16="Yes",Projects!$F$16="Yes",1=Projects!$C$16),Projects!$B$16*Assumptions!$B$15,0),Actuals!F15)</f>
        <v>0</v>
      </c>
      <c r="G18" s="3">
        <f>IF(ISBLANK(Actuals!G15),IF(AND(Projects!$G$6="Yes",Projects!$F$6="Yes",2=Projects!$C$6),Projects!$B$6*Assumptions!$B$15,0)+IF(AND(Projects!$G$7="Yes",Projects!$F$7="Yes",2=Projects!$C$7),Projects!$B$7*Assumptions!$B$15,0)+IF(AND(Projects!$G$8="Yes",Projects!$F$8="Yes",2=Projects!$C$8),Projects!$B$8*Assumptions!$B$15,0)+IF(AND(Projects!$G$9="Yes",Projects!$F$9="Yes",2=Projects!$C$9),Projects!$B$9*Assumptions!$B$15,0)+IF(AND(Projects!$G$10="Yes",Projects!$F$10="Yes",2=Projects!$C$10),Projects!$B$10*Assumptions!$B$15,0)+IF(AND(Projects!$G$11="Yes",Projects!$F$11="Yes",2=Projects!$C$11),Projects!$B$11*Assumptions!$B$15,0)+IF(AND(Projects!$G$12="Yes",Projects!$F$12="Yes",2=Projects!$C$12),Projects!$B$12*Assumptions!$B$15,0)+IF(AND(Projects!$G$13="Yes",Projects!$F$13="Yes",2=Projects!$C$13),Projects!$B$13*Assumptions!$B$15,0)+IF(AND(Projects!$G$14="Yes",Projects!$F$14="Yes",2=Projects!$C$14),Projects!$B$14*Assumptions!$B$15,0)+IF(AND(Projects!$G$15="Yes",Projects!$F$15="Yes",2=Projects!$C$15),Projects!$B$15*Assumptions!$B$15,0)+IF(AND(Projects!$G$16="Yes",Projects!$F$16="Yes",2=Projects!$C$16),Projects!$B$16*Assumptions!$B$15,0),Actuals!G15)</f>
        <v>0</v>
      </c>
      <c r="H18" s="3">
        <f>IF(ISBLANK(Actuals!H15),IF(AND(Projects!$G$6="Yes",Projects!$F$6="Yes",3=Projects!$C$6),Projects!$B$6*Assumptions!$B$15,0)+IF(AND(Projects!$G$7="Yes",Projects!$F$7="Yes",3=Projects!$C$7),Projects!$B$7*Assumptions!$B$15,0)+IF(AND(Projects!$G$8="Yes",Projects!$F$8="Yes",3=Projects!$C$8),Projects!$B$8*Assumptions!$B$15,0)+IF(AND(Projects!$G$9="Yes",Projects!$F$9="Yes",3=Projects!$C$9),Projects!$B$9*Assumptions!$B$15,0)+IF(AND(Projects!$G$10="Yes",Projects!$F$10="Yes",3=Projects!$C$10),Projects!$B$10*Assumptions!$B$15,0)+IF(AND(Projects!$G$11="Yes",Projects!$F$11="Yes",3=Projects!$C$11),Projects!$B$11*Assumptions!$B$15,0)+IF(AND(Projects!$G$12="Yes",Projects!$F$12="Yes",3=Projects!$C$12),Projects!$B$12*Assumptions!$B$15,0)+IF(AND(Projects!$G$13="Yes",Projects!$F$13="Yes",3=Projects!$C$13),Projects!$B$13*Assumptions!$B$15,0)+IF(AND(Projects!$G$14="Yes",Projects!$F$14="Yes",3=Projects!$C$14),Projects!$B$14*Assumptions!$B$15,0)+IF(AND(Projects!$G$15="Yes",Projects!$F$15="Yes",3=Projects!$C$15),Projects!$B$15*Assumptions!$B$15,0)+IF(AND(Projects!$G$16="Yes",Projects!$F$16="Yes",3=Projects!$C$16),Projects!$B$16*Assumptions!$B$15,0),Actuals!H15)</f>
        <v>0</v>
      </c>
      <c r="I18" s="3">
        <f>IF(ISBLANK(Actuals!I15),IF(AND(Projects!$G$6="Yes",Projects!$F$6="Yes",4=Projects!$C$6),Projects!$B$6*Assumptions!$B$15,0)+IF(AND(Projects!$G$7="Yes",Projects!$F$7="Yes",4=Projects!$C$7),Projects!$B$7*Assumptions!$B$15,0)+IF(AND(Projects!$G$8="Yes",Projects!$F$8="Yes",4=Projects!$C$8),Projects!$B$8*Assumptions!$B$15,0)+IF(AND(Projects!$G$9="Yes",Projects!$F$9="Yes",4=Projects!$C$9),Projects!$B$9*Assumptions!$B$15,0)+IF(AND(Projects!$G$10="Yes",Projects!$F$10="Yes",4=Projects!$C$10),Projects!$B$10*Assumptions!$B$15,0)+IF(AND(Projects!$G$11="Yes",Projects!$F$11="Yes",4=Projects!$C$11),Projects!$B$11*Assumptions!$B$15,0)+IF(AND(Projects!$G$12="Yes",Projects!$F$12="Yes",4=Projects!$C$12),Projects!$B$12*Assumptions!$B$15,0)+IF(AND(Projects!$G$13="Yes",Projects!$F$13="Yes",4=Projects!$C$13),Projects!$B$13*Assumptions!$B$15,0)+IF(AND(Projects!$G$14="Yes",Projects!$F$14="Yes",4=Projects!$C$14),Projects!$B$14*Assumptions!$B$15,0)+IF(AND(Projects!$G$15="Yes",Projects!$F$15="Yes",4=Projects!$C$15),Projects!$B$15*Assumptions!$B$15,0)+IF(AND(Projects!$G$16="Yes",Projects!$F$16="Yes",4=Projects!$C$16),Projects!$B$16*Assumptions!$B$15,0),Actuals!I15)</f>
        <v>644526.72</v>
      </c>
      <c r="J18" s="3">
        <f>IF(ISBLANK(Actuals!J15),IF(AND(Projects!$G$6="Yes",Projects!$F$6="Yes",5=Projects!$C$6),Projects!$B$6*Assumptions!$B$15,0)+IF(AND(Projects!$G$7="Yes",Projects!$F$7="Yes",5=Projects!$C$7),Projects!$B$7*Assumptions!$B$15,0)+IF(AND(Projects!$G$8="Yes",Projects!$F$8="Yes",5=Projects!$C$8),Projects!$B$8*Assumptions!$B$15,0)+IF(AND(Projects!$G$9="Yes",Projects!$F$9="Yes",5=Projects!$C$9),Projects!$B$9*Assumptions!$B$15,0)+IF(AND(Projects!$G$10="Yes",Projects!$F$10="Yes",5=Projects!$C$10),Projects!$B$10*Assumptions!$B$15,0)+IF(AND(Projects!$G$11="Yes",Projects!$F$11="Yes",5=Projects!$C$11),Projects!$B$11*Assumptions!$B$15,0)+IF(AND(Projects!$G$12="Yes",Projects!$F$12="Yes",5=Projects!$C$12),Projects!$B$12*Assumptions!$B$15,0)+IF(AND(Projects!$G$13="Yes",Projects!$F$13="Yes",5=Projects!$C$13),Projects!$B$13*Assumptions!$B$15,0)+IF(AND(Projects!$G$14="Yes",Projects!$F$14="Yes",5=Projects!$C$14),Projects!$B$14*Assumptions!$B$15,0)+IF(AND(Projects!$G$15="Yes",Projects!$F$15="Yes",5=Projects!$C$15),Projects!$B$15*Assumptions!$B$15,0)+IF(AND(Projects!$G$16="Yes",Projects!$F$16="Yes",5=Projects!$C$16),Projects!$B$16*Assumptions!$B$15,0),Actuals!J15)</f>
        <v>0</v>
      </c>
      <c r="K18" s="3">
        <f>IF(ISBLANK(Actuals!K15),IF(AND(Projects!$G$6="Yes",Projects!$F$6="Yes",6=Projects!$C$6),Projects!$B$6*Assumptions!$B$15,0)+IF(AND(Projects!$G$7="Yes",Projects!$F$7="Yes",6=Projects!$C$7),Projects!$B$7*Assumptions!$B$15,0)+IF(AND(Projects!$G$8="Yes",Projects!$F$8="Yes",6=Projects!$C$8),Projects!$B$8*Assumptions!$B$15,0)+IF(AND(Projects!$G$9="Yes",Projects!$F$9="Yes",6=Projects!$C$9),Projects!$B$9*Assumptions!$B$15,0)+IF(AND(Projects!$G$10="Yes",Projects!$F$10="Yes",6=Projects!$C$10),Projects!$B$10*Assumptions!$B$15,0)+IF(AND(Projects!$G$11="Yes",Projects!$F$11="Yes",6=Projects!$C$11),Projects!$B$11*Assumptions!$B$15,0)+IF(AND(Projects!$G$12="Yes",Projects!$F$12="Yes",6=Projects!$C$12),Projects!$B$12*Assumptions!$B$15,0)+IF(AND(Projects!$G$13="Yes",Projects!$F$13="Yes",6=Projects!$C$13),Projects!$B$13*Assumptions!$B$15,0)+IF(AND(Projects!$G$14="Yes",Projects!$F$14="Yes",6=Projects!$C$14),Projects!$B$14*Assumptions!$B$15,0)+IF(AND(Projects!$G$15="Yes",Projects!$F$15="Yes",6=Projects!$C$15),Projects!$B$15*Assumptions!$B$15,0)+IF(AND(Projects!$G$16="Yes",Projects!$F$16="Yes",6=Projects!$C$16),Projects!$B$16*Assumptions!$B$15,0),Actuals!K15)</f>
        <v>0</v>
      </c>
      <c r="L18" s="3">
        <f>IF(ISBLANK(Actuals!L15),IF(AND(Projects!$G$6="Yes",Projects!$F$6="Yes",7=Projects!$C$6),Projects!$B$6*Assumptions!$B$15,0)+IF(AND(Projects!$G$7="Yes",Projects!$F$7="Yes",7=Projects!$C$7),Projects!$B$7*Assumptions!$B$15,0)+IF(AND(Projects!$G$8="Yes",Projects!$F$8="Yes",7=Projects!$C$8),Projects!$B$8*Assumptions!$B$15,0)+IF(AND(Projects!$G$9="Yes",Projects!$F$9="Yes",7=Projects!$C$9),Projects!$B$9*Assumptions!$B$15,0)+IF(AND(Projects!$G$10="Yes",Projects!$F$10="Yes",7=Projects!$C$10),Projects!$B$10*Assumptions!$B$15,0)+IF(AND(Projects!$G$11="Yes",Projects!$F$11="Yes",7=Projects!$C$11),Projects!$B$11*Assumptions!$B$15,0)+IF(AND(Projects!$G$12="Yes",Projects!$F$12="Yes",7=Projects!$C$12),Projects!$B$12*Assumptions!$B$15,0)+IF(AND(Projects!$G$13="Yes",Projects!$F$13="Yes",7=Projects!$C$13),Projects!$B$13*Assumptions!$B$15,0)+IF(AND(Projects!$G$14="Yes",Projects!$F$14="Yes",7=Projects!$C$14),Projects!$B$14*Assumptions!$B$15,0)+IF(AND(Projects!$G$15="Yes",Projects!$F$15="Yes",7=Projects!$C$15),Projects!$B$15*Assumptions!$B$15,0)+IF(AND(Projects!$G$16="Yes",Projects!$F$16="Yes",7=Projects!$C$16),Projects!$B$16*Assumptions!$B$15,0),Actuals!L15)</f>
        <v>442059.82499999995</v>
      </c>
      <c r="M18" s="3">
        <f>IF(ISBLANK(Actuals!M15),IF(AND(Projects!$G$6="Yes",Projects!$F$6="Yes",8=Projects!$C$6),Projects!$B$6*Assumptions!$B$15,0)+IF(AND(Projects!$G$7="Yes",Projects!$F$7="Yes",8=Projects!$C$7),Projects!$B$7*Assumptions!$B$15,0)+IF(AND(Projects!$G$8="Yes",Projects!$F$8="Yes",8=Projects!$C$8),Projects!$B$8*Assumptions!$B$15,0)+IF(AND(Projects!$G$9="Yes",Projects!$F$9="Yes",8=Projects!$C$9),Projects!$B$9*Assumptions!$B$15,0)+IF(AND(Projects!$G$10="Yes",Projects!$F$10="Yes",8=Projects!$C$10),Projects!$B$10*Assumptions!$B$15,0)+IF(AND(Projects!$G$11="Yes",Projects!$F$11="Yes",8=Projects!$C$11),Projects!$B$11*Assumptions!$B$15,0)+IF(AND(Projects!$G$12="Yes",Projects!$F$12="Yes",8=Projects!$C$12),Projects!$B$12*Assumptions!$B$15,0)+IF(AND(Projects!$G$13="Yes",Projects!$F$13="Yes",8=Projects!$C$13),Projects!$B$13*Assumptions!$B$15,0)+IF(AND(Projects!$G$14="Yes",Projects!$F$14="Yes",8=Projects!$C$14),Projects!$B$14*Assumptions!$B$15,0)+IF(AND(Projects!$G$15="Yes",Projects!$F$15="Yes",8=Projects!$C$15),Projects!$B$15*Assumptions!$B$15,0)+IF(AND(Projects!$G$16="Yes",Projects!$F$16="Yes",8=Projects!$C$16),Projects!$B$16*Assumptions!$B$15,0),Actuals!M15)</f>
        <v>318951.07500000001</v>
      </c>
      <c r="N18" s="3">
        <f>IF(ISBLANK(Actuals!N15),IF(AND(Projects!$G$6="Yes",Projects!$F$6="Yes",9=Projects!$C$6),Projects!$B$6*Assumptions!$B$15,0)+IF(AND(Projects!$G$7="Yes",Projects!$F$7="Yes",9=Projects!$C$7),Projects!$B$7*Assumptions!$B$15,0)+IF(AND(Projects!$G$8="Yes",Projects!$F$8="Yes",9=Projects!$C$8),Projects!$B$8*Assumptions!$B$15,0)+IF(AND(Projects!$G$9="Yes",Projects!$F$9="Yes",9=Projects!$C$9),Projects!$B$9*Assumptions!$B$15,0)+IF(AND(Projects!$G$10="Yes",Projects!$F$10="Yes",9=Projects!$C$10),Projects!$B$10*Assumptions!$B$15,0)+IF(AND(Projects!$G$11="Yes",Projects!$F$11="Yes",9=Projects!$C$11),Projects!$B$11*Assumptions!$B$15,0)+IF(AND(Projects!$G$12="Yes",Projects!$F$12="Yes",9=Projects!$C$12),Projects!$B$12*Assumptions!$B$15,0)+IF(AND(Projects!$G$13="Yes",Projects!$F$13="Yes",9=Projects!$C$13),Projects!$B$13*Assumptions!$B$15,0)+IF(AND(Projects!$G$14="Yes",Projects!$F$14="Yes",9=Projects!$C$14),Projects!$B$14*Assumptions!$B$15,0)+IF(AND(Projects!$G$15="Yes",Projects!$F$15="Yes",9=Projects!$C$15),Projects!$B$15*Assumptions!$B$15,0)+IF(AND(Projects!$G$16="Yes",Projects!$F$16="Yes",9=Projects!$C$16),Projects!$B$16*Assumptions!$B$15,0),Actuals!N15)</f>
        <v>0</v>
      </c>
      <c r="O18" s="3">
        <f>IF(ISBLANK(Actuals!O15),IF(AND(Projects!$G$6="Yes",Projects!$F$6="Yes",10=Projects!$C$6),Projects!$B$6*Assumptions!$B$15,0)+IF(AND(Projects!$G$7="Yes",Projects!$F$7="Yes",10=Projects!$C$7),Projects!$B$7*Assumptions!$B$15,0)+IF(AND(Projects!$G$8="Yes",Projects!$F$8="Yes",10=Projects!$C$8),Projects!$B$8*Assumptions!$B$15,0)+IF(AND(Projects!$G$9="Yes",Projects!$F$9="Yes",10=Projects!$C$9),Projects!$B$9*Assumptions!$B$15,0)+IF(AND(Projects!$G$10="Yes",Projects!$F$10="Yes",10=Projects!$C$10),Projects!$B$10*Assumptions!$B$15,0)+IF(AND(Projects!$G$11="Yes",Projects!$F$11="Yes",10=Projects!$C$11),Projects!$B$11*Assumptions!$B$15,0)+IF(AND(Projects!$G$12="Yes",Projects!$F$12="Yes",10=Projects!$C$12),Projects!$B$12*Assumptions!$B$15,0)+IF(AND(Projects!$G$13="Yes",Projects!$F$13="Yes",10=Projects!$C$13),Projects!$B$13*Assumptions!$B$15,0)+IF(AND(Projects!$G$14="Yes",Projects!$F$14="Yes",10=Projects!$C$14),Projects!$B$14*Assumptions!$B$15,0)+IF(AND(Projects!$G$15="Yes",Projects!$F$15="Yes",10=Projects!$C$15),Projects!$B$15*Assumptions!$B$15,0)+IF(AND(Projects!$G$16="Yes",Projects!$F$16="Yes",10=Projects!$C$16),Projects!$B$16*Assumptions!$B$15,0),Actuals!O15)</f>
        <v>0</v>
      </c>
      <c r="P18" s="3">
        <f>IF(ISBLANK(Actuals!P15),IF(AND(Projects!$G$6="Yes",Projects!$F$6="Yes",11=Projects!$C$6),Projects!$B$6*Assumptions!$B$15,0)+IF(AND(Projects!$G$7="Yes",Projects!$F$7="Yes",11=Projects!$C$7),Projects!$B$7*Assumptions!$B$15,0)+IF(AND(Projects!$G$8="Yes",Projects!$F$8="Yes",11=Projects!$C$8),Projects!$B$8*Assumptions!$B$15,0)+IF(AND(Projects!$G$9="Yes",Projects!$F$9="Yes",11=Projects!$C$9),Projects!$B$9*Assumptions!$B$15,0)+IF(AND(Projects!$G$10="Yes",Projects!$F$10="Yes",11=Projects!$C$10),Projects!$B$10*Assumptions!$B$15,0)+IF(AND(Projects!$G$11="Yes",Projects!$F$11="Yes",11=Projects!$C$11),Projects!$B$11*Assumptions!$B$15,0)+IF(AND(Projects!$G$12="Yes",Projects!$F$12="Yes",11=Projects!$C$12),Projects!$B$12*Assumptions!$B$15,0)+IF(AND(Projects!$G$13="Yes",Projects!$F$13="Yes",11=Projects!$C$13),Projects!$B$13*Assumptions!$B$15,0)+IF(AND(Projects!$G$14="Yes",Projects!$F$14="Yes",11=Projects!$C$14),Projects!$B$14*Assumptions!$B$15,0)+IF(AND(Projects!$G$15="Yes",Projects!$F$15="Yes",11=Projects!$C$15),Projects!$B$15*Assumptions!$B$15,0)+IF(AND(Projects!$G$16="Yes",Projects!$F$16="Yes",11=Projects!$C$16),Projects!$B$16*Assumptions!$B$15,0),Actuals!P15)</f>
        <v>0</v>
      </c>
      <c r="Q18" s="3">
        <f>IF(ISBLANK(Actuals!Q15),IF(AND(Projects!$G$6="Yes",Projects!$F$6="Yes",12=Projects!$C$6),Projects!$B$6*Assumptions!$B$15,0)+IF(AND(Projects!$G$7="Yes",Projects!$F$7="Yes",12=Projects!$C$7),Projects!$B$7*Assumptions!$B$15,0)+IF(AND(Projects!$G$8="Yes",Projects!$F$8="Yes",12=Projects!$C$8),Projects!$B$8*Assumptions!$B$15,0)+IF(AND(Projects!$G$9="Yes",Projects!$F$9="Yes",12=Projects!$C$9),Projects!$B$9*Assumptions!$B$15,0)+IF(AND(Projects!$G$10="Yes",Projects!$F$10="Yes",12=Projects!$C$10),Projects!$B$10*Assumptions!$B$15,0)+IF(AND(Projects!$G$11="Yes",Projects!$F$11="Yes",12=Projects!$C$11),Projects!$B$11*Assumptions!$B$15,0)+IF(AND(Projects!$G$12="Yes",Projects!$F$12="Yes",12=Projects!$C$12),Projects!$B$12*Assumptions!$B$15,0)+IF(AND(Projects!$G$13="Yes",Projects!$F$13="Yes",12=Projects!$C$13),Projects!$B$13*Assumptions!$B$15,0)+IF(AND(Projects!$G$14="Yes",Projects!$F$14="Yes",12=Projects!$C$14),Projects!$B$14*Assumptions!$B$15,0)+IF(AND(Projects!$G$15="Yes",Projects!$F$15="Yes",12=Projects!$C$15),Projects!$B$15*Assumptions!$B$15,0)+IF(AND(Projects!$G$16="Yes",Projects!$F$16="Yes",12=Projects!$C$16),Projects!$B$16*Assumptions!$B$15,0),Actuals!Q15)</f>
        <v>0</v>
      </c>
      <c r="R18" s="3">
        <f>IF(ISBLANK(Actuals!R15),IF(AND(Projects!$G$6="Yes",Projects!$F$6="Yes",13=Projects!$C$6),Projects!$B$6*Assumptions!$B$15,0)+IF(AND(Projects!$G$7="Yes",Projects!$F$7="Yes",13=Projects!$C$7),Projects!$B$7*Assumptions!$B$15,0)+IF(AND(Projects!$G$8="Yes",Projects!$F$8="Yes",13=Projects!$C$8),Projects!$B$8*Assumptions!$B$15,0)+IF(AND(Projects!$G$9="Yes",Projects!$F$9="Yes",13=Projects!$C$9),Projects!$B$9*Assumptions!$B$15,0)+IF(AND(Projects!$G$10="Yes",Projects!$F$10="Yes",13=Projects!$C$10),Projects!$B$10*Assumptions!$B$15,0)+IF(AND(Projects!$G$11="Yes",Projects!$F$11="Yes",13=Projects!$C$11),Projects!$B$11*Assumptions!$B$15,0)+IF(AND(Projects!$G$12="Yes",Projects!$F$12="Yes",13=Projects!$C$12),Projects!$B$12*Assumptions!$B$15,0)+IF(AND(Projects!$G$13="Yes",Projects!$F$13="Yes",13=Projects!$C$13),Projects!$B$13*Assumptions!$B$15,0)+IF(AND(Projects!$G$14="Yes",Projects!$F$14="Yes",13=Projects!$C$14),Projects!$B$14*Assumptions!$B$15,0)+IF(AND(Projects!$G$15="Yes",Projects!$F$15="Yes",13=Projects!$C$15),Projects!$B$15*Assumptions!$B$15,0)+IF(AND(Projects!$G$16="Yes",Projects!$F$16="Yes",13=Projects!$C$16),Projects!$B$16*Assumptions!$B$15,0),Actuals!R15)</f>
        <v>679001.54999999993</v>
      </c>
      <c r="S18" s="3">
        <f>IF(ISBLANK(Actuals!S15),IF(AND(Projects!$G$6="Yes",Projects!$F$6="Yes",14=Projects!$C$6),Projects!$B$6*Assumptions!$B$15,0)+IF(AND(Projects!$G$7="Yes",Projects!$F$7="Yes",14=Projects!$C$7),Projects!$B$7*Assumptions!$B$15,0)+IF(AND(Projects!$G$8="Yes",Projects!$F$8="Yes",14=Projects!$C$8),Projects!$B$8*Assumptions!$B$15,0)+IF(AND(Projects!$G$9="Yes",Projects!$F$9="Yes",14=Projects!$C$9),Projects!$B$9*Assumptions!$B$15,0)+IF(AND(Projects!$G$10="Yes",Projects!$F$10="Yes",14=Projects!$C$10),Projects!$B$10*Assumptions!$B$15,0)+IF(AND(Projects!$G$11="Yes",Projects!$F$11="Yes",14=Projects!$C$11),Projects!$B$11*Assumptions!$B$15,0)+IF(AND(Projects!$G$12="Yes",Projects!$F$12="Yes",14=Projects!$C$12),Projects!$B$12*Assumptions!$B$15,0)+IF(AND(Projects!$G$13="Yes",Projects!$F$13="Yes",14=Projects!$C$13),Projects!$B$13*Assumptions!$B$15,0)+IF(AND(Projects!$G$14="Yes",Projects!$F$14="Yes",14=Projects!$C$14),Projects!$B$14*Assumptions!$B$15,0)+IF(AND(Projects!$G$15="Yes",Projects!$F$15="Yes",14=Projects!$C$15),Projects!$B$15*Assumptions!$B$15,0)+IF(AND(Projects!$G$16="Yes",Projects!$F$16="Yes",14=Projects!$C$16),Projects!$B$16*Assumptions!$B$15,0),Actuals!S15)</f>
        <v>0</v>
      </c>
      <c r="T18" s="3">
        <f>IF(ISBLANK(Actuals!T15),IF(AND(Projects!$G$6="Yes",Projects!$F$6="Yes",15=Projects!$C$6),Projects!$B$6*Assumptions!$B$15,0)+IF(AND(Projects!$G$7="Yes",Projects!$F$7="Yes",15=Projects!$C$7),Projects!$B$7*Assumptions!$B$15,0)+IF(AND(Projects!$G$8="Yes",Projects!$F$8="Yes",15=Projects!$C$8),Projects!$B$8*Assumptions!$B$15,0)+IF(AND(Projects!$G$9="Yes",Projects!$F$9="Yes",15=Projects!$C$9),Projects!$B$9*Assumptions!$B$15,0)+IF(AND(Projects!$G$10="Yes",Projects!$F$10="Yes",15=Projects!$C$10),Projects!$B$10*Assumptions!$B$15,0)+IF(AND(Projects!$G$11="Yes",Projects!$F$11="Yes",15=Projects!$C$11),Projects!$B$11*Assumptions!$B$15,0)+IF(AND(Projects!$G$12="Yes",Projects!$F$12="Yes",15=Projects!$C$12),Projects!$B$12*Assumptions!$B$15,0)+IF(AND(Projects!$G$13="Yes",Projects!$F$13="Yes",15=Projects!$C$13),Projects!$B$13*Assumptions!$B$15,0)+IF(AND(Projects!$G$14="Yes",Projects!$F$14="Yes",15=Projects!$C$14),Projects!$B$14*Assumptions!$B$15,0)+IF(AND(Projects!$G$15="Yes",Projects!$F$15="Yes",15=Projects!$C$15),Projects!$B$15*Assumptions!$B$15,0)+IF(AND(Projects!$G$16="Yes",Projects!$F$16="Yes",15=Projects!$C$16),Projects!$B$16*Assumptions!$B$15,0),Actuals!T15)</f>
        <v>0</v>
      </c>
      <c r="U18" s="3">
        <f>IF(ISBLANK(Actuals!U15),IF(AND(Projects!$G$6="Yes",Projects!$F$6="Yes",16=Projects!$C$6),Projects!$B$6*Assumptions!$B$15,0)+IF(AND(Projects!$G$7="Yes",Projects!$F$7="Yes",16=Projects!$C$7),Projects!$B$7*Assumptions!$B$15,0)+IF(AND(Projects!$G$8="Yes",Projects!$F$8="Yes",16=Projects!$C$8),Projects!$B$8*Assumptions!$B$15,0)+IF(AND(Projects!$G$9="Yes",Projects!$F$9="Yes",16=Projects!$C$9),Projects!$B$9*Assumptions!$B$15,0)+IF(AND(Projects!$G$10="Yes",Projects!$F$10="Yes",16=Projects!$C$10),Projects!$B$10*Assumptions!$B$15,0)+IF(AND(Projects!$G$11="Yes",Projects!$F$11="Yes",16=Projects!$C$11),Projects!$B$11*Assumptions!$B$15,0)+IF(AND(Projects!$G$12="Yes",Projects!$F$12="Yes",16=Projects!$C$12),Projects!$B$12*Assumptions!$B$15,0)+IF(AND(Projects!$G$13="Yes",Projects!$F$13="Yes",16=Projects!$C$13),Projects!$B$13*Assumptions!$B$15,0)+IF(AND(Projects!$G$14="Yes",Projects!$F$14="Yes",16=Projects!$C$14),Projects!$B$14*Assumptions!$B$15,0)+IF(AND(Projects!$G$15="Yes",Projects!$F$15="Yes",16=Projects!$C$15),Projects!$B$15*Assumptions!$B$15,0)+IF(AND(Projects!$G$16="Yes",Projects!$F$16="Yes",16=Projects!$C$16),Projects!$B$16*Assumptions!$B$15,0),Actuals!U15)</f>
        <v>0</v>
      </c>
      <c r="V18" s="3">
        <f>IF(ISBLANK(Actuals!V15),IF(AND(Projects!$G$6="Yes",Projects!$F$6="Yes",17=Projects!$C$6),Projects!$B$6*Assumptions!$B$15,0)+IF(AND(Projects!$G$7="Yes",Projects!$F$7="Yes",17=Projects!$C$7),Projects!$B$7*Assumptions!$B$15,0)+IF(AND(Projects!$G$8="Yes",Projects!$F$8="Yes",17=Projects!$C$8),Projects!$B$8*Assumptions!$B$15,0)+IF(AND(Projects!$G$9="Yes",Projects!$F$9="Yes",17=Projects!$C$9),Projects!$B$9*Assumptions!$B$15,0)+IF(AND(Projects!$G$10="Yes",Projects!$F$10="Yes",17=Projects!$C$10),Projects!$B$10*Assumptions!$B$15,0)+IF(AND(Projects!$G$11="Yes",Projects!$F$11="Yes",17=Projects!$C$11),Projects!$B$11*Assumptions!$B$15,0)+IF(AND(Projects!$G$12="Yes",Projects!$F$12="Yes",17=Projects!$C$12),Projects!$B$12*Assumptions!$B$15,0)+IF(AND(Projects!$G$13="Yes",Projects!$F$13="Yes",17=Projects!$C$13),Projects!$B$13*Assumptions!$B$15,0)+IF(AND(Projects!$G$14="Yes",Projects!$F$14="Yes",17=Projects!$C$14),Projects!$B$14*Assumptions!$B$15,0)+IF(AND(Projects!$G$15="Yes",Projects!$F$15="Yes",17=Projects!$C$15),Projects!$B$15*Assumptions!$B$15,0)+IF(AND(Projects!$G$16="Yes",Projects!$F$16="Yes",17=Projects!$C$16),Projects!$B$16*Assumptions!$B$15,0),Actuals!V15)</f>
        <v>0</v>
      </c>
      <c r="W18" s="3">
        <f>IF(ISBLANK(Actuals!W15),IF(AND(Projects!$G$6="Yes",Projects!$F$6="Yes",18=Projects!$C$6),Projects!$B$6*Assumptions!$B$15,0)+IF(AND(Projects!$G$7="Yes",Projects!$F$7="Yes",18=Projects!$C$7),Projects!$B$7*Assumptions!$B$15,0)+IF(AND(Projects!$G$8="Yes",Projects!$F$8="Yes",18=Projects!$C$8),Projects!$B$8*Assumptions!$B$15,0)+IF(AND(Projects!$G$9="Yes",Projects!$F$9="Yes",18=Projects!$C$9),Projects!$B$9*Assumptions!$B$15,0)+IF(AND(Projects!$G$10="Yes",Projects!$F$10="Yes",18=Projects!$C$10),Projects!$B$10*Assumptions!$B$15,0)+IF(AND(Projects!$G$11="Yes",Projects!$F$11="Yes",18=Projects!$C$11),Projects!$B$11*Assumptions!$B$15,0)+IF(AND(Projects!$G$12="Yes",Projects!$F$12="Yes",18=Projects!$C$12),Projects!$B$12*Assumptions!$B$15,0)+IF(AND(Projects!$G$13="Yes",Projects!$F$13="Yes",18=Projects!$C$13),Projects!$B$13*Assumptions!$B$15,0)+IF(AND(Projects!$G$14="Yes",Projects!$F$14="Yes",18=Projects!$C$14),Projects!$B$14*Assumptions!$B$15,0)+IF(AND(Projects!$G$15="Yes",Projects!$F$15="Yes",18=Projects!$C$15),Projects!$B$15*Assumptions!$B$15,0)+IF(AND(Projects!$G$16="Yes",Projects!$F$16="Yes",18=Projects!$C$16),Projects!$B$16*Assumptions!$B$15,0),Actuals!W15)</f>
        <v>0</v>
      </c>
      <c r="X18" s="3">
        <f>IF(ISBLANK(Actuals!X15),IF(AND(Projects!$G$6="Yes",Projects!$F$6="Yes",19=Projects!$C$6),Projects!$B$6*Assumptions!$B$15,0)+IF(AND(Projects!$G$7="Yes",Projects!$F$7="Yes",19=Projects!$C$7),Projects!$B$7*Assumptions!$B$15,0)+IF(AND(Projects!$G$8="Yes",Projects!$F$8="Yes",19=Projects!$C$8),Projects!$B$8*Assumptions!$B$15,0)+IF(AND(Projects!$G$9="Yes",Projects!$F$9="Yes",19=Projects!$C$9),Projects!$B$9*Assumptions!$B$15,0)+IF(AND(Projects!$G$10="Yes",Projects!$F$10="Yes",19=Projects!$C$10),Projects!$B$10*Assumptions!$B$15,0)+IF(AND(Projects!$G$11="Yes",Projects!$F$11="Yes",19=Projects!$C$11),Projects!$B$11*Assumptions!$B$15,0)+IF(AND(Projects!$G$12="Yes",Projects!$F$12="Yes",19=Projects!$C$12),Projects!$B$12*Assumptions!$B$15,0)+IF(AND(Projects!$G$13="Yes",Projects!$F$13="Yes",19=Projects!$C$13),Projects!$B$13*Assumptions!$B$15,0)+IF(AND(Projects!$G$14="Yes",Projects!$F$14="Yes",19=Projects!$C$14),Projects!$B$14*Assumptions!$B$15,0)+IF(AND(Projects!$G$15="Yes",Projects!$F$15="Yes",19=Projects!$C$15),Projects!$B$15*Assumptions!$B$15,0)+IF(AND(Projects!$G$16="Yes",Projects!$F$16="Yes",19=Projects!$C$16),Projects!$B$16*Assumptions!$B$15,0),Actuals!X15)</f>
        <v>0</v>
      </c>
      <c r="Y18" s="3">
        <f>IF(ISBLANK(Actuals!Y15),IF(AND(Projects!$G$6="Yes",Projects!$F$6="Yes",20=Projects!$C$6),Projects!$B$6*Assumptions!$B$15,0)+IF(AND(Projects!$G$7="Yes",Projects!$F$7="Yes",20=Projects!$C$7),Projects!$B$7*Assumptions!$B$15,0)+IF(AND(Projects!$G$8="Yes",Projects!$F$8="Yes",20=Projects!$C$8),Projects!$B$8*Assumptions!$B$15,0)+IF(AND(Projects!$G$9="Yes",Projects!$F$9="Yes",20=Projects!$C$9),Projects!$B$9*Assumptions!$B$15,0)+IF(AND(Projects!$G$10="Yes",Projects!$F$10="Yes",20=Projects!$C$10),Projects!$B$10*Assumptions!$B$15,0)+IF(AND(Projects!$G$11="Yes",Projects!$F$11="Yes",20=Projects!$C$11),Projects!$B$11*Assumptions!$B$15,0)+IF(AND(Projects!$G$12="Yes",Projects!$F$12="Yes",20=Projects!$C$12),Projects!$B$12*Assumptions!$B$15,0)+IF(AND(Projects!$G$13="Yes",Projects!$F$13="Yes",20=Projects!$C$13),Projects!$B$13*Assumptions!$B$15,0)+IF(AND(Projects!$G$14="Yes",Projects!$F$14="Yes",20=Projects!$C$14),Projects!$B$14*Assumptions!$B$15,0)+IF(AND(Projects!$G$15="Yes",Projects!$F$15="Yes",20=Projects!$C$15),Projects!$B$15*Assumptions!$B$15,0)+IF(AND(Projects!$G$16="Yes",Projects!$F$16="Yes",20=Projects!$C$16),Projects!$B$16*Assumptions!$B$15,0),Actuals!Y15)</f>
        <v>0</v>
      </c>
      <c r="Z18" s="3">
        <f>IF(ISBLANK(Actuals!Z15),IF(AND(Projects!$G$6="Yes",Projects!$F$6="Yes",21=Projects!$C$6),Projects!$B$6*Assumptions!$B$15,0)+IF(AND(Projects!$G$7="Yes",Projects!$F$7="Yes",21=Projects!$C$7),Projects!$B$7*Assumptions!$B$15,0)+IF(AND(Projects!$G$8="Yes",Projects!$F$8="Yes",21=Projects!$C$8),Projects!$B$8*Assumptions!$B$15,0)+IF(AND(Projects!$G$9="Yes",Projects!$F$9="Yes",21=Projects!$C$9),Projects!$B$9*Assumptions!$B$15,0)+IF(AND(Projects!$G$10="Yes",Projects!$F$10="Yes",21=Projects!$C$10),Projects!$B$10*Assumptions!$B$15,0)+IF(AND(Projects!$G$11="Yes",Projects!$F$11="Yes",21=Projects!$C$11),Projects!$B$11*Assumptions!$B$15,0)+IF(AND(Projects!$G$12="Yes",Projects!$F$12="Yes",21=Projects!$C$12),Projects!$B$12*Assumptions!$B$15,0)+IF(AND(Projects!$G$13="Yes",Projects!$F$13="Yes",21=Projects!$C$13),Projects!$B$13*Assumptions!$B$15,0)+IF(AND(Projects!$G$14="Yes",Projects!$F$14="Yes",21=Projects!$C$14),Projects!$B$14*Assumptions!$B$15,0)+IF(AND(Projects!$G$15="Yes",Projects!$F$15="Yes",21=Projects!$C$15),Projects!$B$15*Assumptions!$B$15,0)+IF(AND(Projects!$G$16="Yes",Projects!$F$16="Yes",21=Projects!$C$16),Projects!$B$16*Assumptions!$B$15,0),Actuals!Z15)</f>
        <v>0</v>
      </c>
      <c r="AA18" s="3">
        <f>IF(ISBLANK(Actuals!AA15),IF(AND(Projects!$G$6="Yes",Projects!$F$6="Yes",22=Projects!$C$6),Projects!$B$6*Assumptions!$B$15,0)+IF(AND(Projects!$G$7="Yes",Projects!$F$7="Yes",22=Projects!$C$7),Projects!$B$7*Assumptions!$B$15,0)+IF(AND(Projects!$G$8="Yes",Projects!$F$8="Yes",22=Projects!$C$8),Projects!$B$8*Assumptions!$B$15,0)+IF(AND(Projects!$G$9="Yes",Projects!$F$9="Yes",22=Projects!$C$9),Projects!$B$9*Assumptions!$B$15,0)+IF(AND(Projects!$G$10="Yes",Projects!$F$10="Yes",22=Projects!$C$10),Projects!$B$10*Assumptions!$B$15,0)+IF(AND(Projects!$G$11="Yes",Projects!$F$11="Yes",22=Projects!$C$11),Projects!$B$11*Assumptions!$B$15,0)+IF(AND(Projects!$G$12="Yes",Projects!$F$12="Yes",22=Projects!$C$12),Projects!$B$12*Assumptions!$B$15,0)+IF(AND(Projects!$G$13="Yes",Projects!$F$13="Yes",22=Projects!$C$13),Projects!$B$13*Assumptions!$B$15,0)+IF(AND(Projects!$G$14="Yes",Projects!$F$14="Yes",22=Projects!$C$14),Projects!$B$14*Assumptions!$B$15,0)+IF(AND(Projects!$G$15="Yes",Projects!$F$15="Yes",22=Projects!$C$15),Projects!$B$15*Assumptions!$B$15,0)+IF(AND(Projects!$G$16="Yes",Projects!$F$16="Yes",22=Projects!$C$16),Projects!$B$16*Assumptions!$B$15,0),Actuals!AA15)</f>
        <v>0</v>
      </c>
      <c r="AB18" s="3">
        <f>IF(ISBLANK(Actuals!AB15),IF(AND(Projects!$G$6="Yes",Projects!$F$6="Yes",23=Projects!$C$6),Projects!$B$6*Assumptions!$B$15,0)+IF(AND(Projects!$G$7="Yes",Projects!$F$7="Yes",23=Projects!$C$7),Projects!$B$7*Assumptions!$B$15,0)+IF(AND(Projects!$G$8="Yes",Projects!$F$8="Yes",23=Projects!$C$8),Projects!$B$8*Assumptions!$B$15,0)+IF(AND(Projects!$G$9="Yes",Projects!$F$9="Yes",23=Projects!$C$9),Projects!$B$9*Assumptions!$B$15,0)+IF(AND(Projects!$G$10="Yes",Projects!$F$10="Yes",23=Projects!$C$10),Projects!$B$10*Assumptions!$B$15,0)+IF(AND(Projects!$G$11="Yes",Projects!$F$11="Yes",23=Projects!$C$11),Projects!$B$11*Assumptions!$B$15,0)+IF(AND(Projects!$G$12="Yes",Projects!$F$12="Yes",23=Projects!$C$12),Projects!$B$12*Assumptions!$B$15,0)+IF(AND(Projects!$G$13="Yes",Projects!$F$13="Yes",23=Projects!$C$13),Projects!$B$13*Assumptions!$B$15,0)+IF(AND(Projects!$G$14="Yes",Projects!$F$14="Yes",23=Projects!$C$14),Projects!$B$14*Assumptions!$B$15,0)+IF(AND(Projects!$G$15="Yes",Projects!$F$15="Yes",23=Projects!$C$15),Projects!$B$15*Assumptions!$B$15,0)+IF(AND(Projects!$G$16="Yes",Projects!$F$16="Yes",23=Projects!$C$16),Projects!$B$16*Assumptions!$B$15,0),Actuals!AB15)</f>
        <v>0</v>
      </c>
      <c r="AC18" s="3">
        <f>IF(ISBLANK(Actuals!AC15),IF(AND(Projects!$G$6="Yes",Projects!$F$6="Yes",24=Projects!$C$6),Projects!$B$6*Assumptions!$B$15,0)+IF(AND(Projects!$G$7="Yes",Projects!$F$7="Yes",24=Projects!$C$7),Projects!$B$7*Assumptions!$B$15,0)+IF(AND(Projects!$G$8="Yes",Projects!$F$8="Yes",24=Projects!$C$8),Projects!$B$8*Assumptions!$B$15,0)+IF(AND(Projects!$G$9="Yes",Projects!$F$9="Yes",24=Projects!$C$9),Projects!$B$9*Assumptions!$B$15,0)+IF(AND(Projects!$G$10="Yes",Projects!$F$10="Yes",24=Projects!$C$10),Projects!$B$10*Assumptions!$B$15,0)+IF(AND(Projects!$G$11="Yes",Projects!$F$11="Yes",24=Projects!$C$11),Projects!$B$11*Assumptions!$B$15,0)+IF(AND(Projects!$G$12="Yes",Projects!$F$12="Yes",24=Projects!$C$12),Projects!$B$12*Assumptions!$B$15,0)+IF(AND(Projects!$G$13="Yes",Projects!$F$13="Yes",24=Projects!$C$13),Projects!$B$13*Assumptions!$B$15,0)+IF(AND(Projects!$G$14="Yes",Projects!$F$14="Yes",24=Projects!$C$14),Projects!$B$14*Assumptions!$B$15,0)+IF(AND(Projects!$G$15="Yes",Projects!$F$15="Yes",24=Projects!$C$15),Projects!$B$15*Assumptions!$B$15,0)+IF(AND(Projects!$G$16="Yes",Projects!$F$16="Yes",24=Projects!$C$16),Projects!$B$16*Assumptions!$B$15,0),Actuals!AC15)</f>
        <v>0</v>
      </c>
      <c r="AD18" s="3">
        <f>IF(ISBLANK(Actuals!AD15),IF(AND(Projects!$G$6="Yes",Projects!$F$6="Yes",25=Projects!$C$6),Projects!$B$6*Assumptions!$B$15,0)+IF(AND(Projects!$G$7="Yes",Projects!$F$7="Yes",25=Projects!$C$7),Projects!$B$7*Assumptions!$B$15,0)+IF(AND(Projects!$G$8="Yes",Projects!$F$8="Yes",25=Projects!$C$8),Projects!$B$8*Assumptions!$B$15,0)+IF(AND(Projects!$G$9="Yes",Projects!$F$9="Yes",25=Projects!$C$9),Projects!$B$9*Assumptions!$B$15,0)+IF(AND(Projects!$G$10="Yes",Projects!$F$10="Yes",25=Projects!$C$10),Projects!$B$10*Assumptions!$B$15,0)+IF(AND(Projects!$G$11="Yes",Projects!$F$11="Yes",25=Projects!$C$11),Projects!$B$11*Assumptions!$B$15,0)+IF(AND(Projects!$G$12="Yes",Projects!$F$12="Yes",25=Projects!$C$12),Projects!$B$12*Assumptions!$B$15,0)+IF(AND(Projects!$G$13="Yes",Projects!$F$13="Yes",25=Projects!$C$13),Projects!$B$13*Assumptions!$B$15,0)+IF(AND(Projects!$G$14="Yes",Projects!$F$14="Yes",25=Projects!$C$14),Projects!$B$14*Assumptions!$B$15,0)+IF(AND(Projects!$G$15="Yes",Projects!$F$15="Yes",25=Projects!$C$15),Projects!$B$15*Assumptions!$B$15,0)+IF(AND(Projects!$G$16="Yes",Projects!$F$16="Yes",25=Projects!$C$16),Projects!$B$16*Assumptions!$B$15,0),Actuals!AD15)</f>
        <v>0</v>
      </c>
      <c r="AE18" s="3">
        <f>IF(ISBLANK(Actuals!AE15),IF(AND(Projects!$G$6="Yes",Projects!$F$6="Yes",26=Projects!$C$6),Projects!$B$6*Assumptions!$B$15,0)+IF(AND(Projects!$G$7="Yes",Projects!$F$7="Yes",26=Projects!$C$7),Projects!$B$7*Assumptions!$B$15,0)+IF(AND(Projects!$G$8="Yes",Projects!$F$8="Yes",26=Projects!$C$8),Projects!$B$8*Assumptions!$B$15,0)+IF(AND(Projects!$G$9="Yes",Projects!$F$9="Yes",26=Projects!$C$9),Projects!$B$9*Assumptions!$B$15,0)+IF(AND(Projects!$G$10="Yes",Projects!$F$10="Yes",26=Projects!$C$10),Projects!$B$10*Assumptions!$B$15,0)+IF(AND(Projects!$G$11="Yes",Projects!$F$11="Yes",26=Projects!$C$11),Projects!$B$11*Assumptions!$B$15,0)+IF(AND(Projects!$G$12="Yes",Projects!$F$12="Yes",26=Projects!$C$12),Projects!$B$12*Assumptions!$B$15,0)+IF(AND(Projects!$G$13="Yes",Projects!$F$13="Yes",26=Projects!$C$13),Projects!$B$13*Assumptions!$B$15,0)+IF(AND(Projects!$G$14="Yes",Projects!$F$14="Yes",26=Projects!$C$14),Projects!$B$14*Assumptions!$B$15,0)+IF(AND(Projects!$G$15="Yes",Projects!$F$15="Yes",26=Projects!$C$15),Projects!$B$15*Assumptions!$B$15,0)+IF(AND(Projects!$G$16="Yes",Projects!$F$16="Yes",26=Projects!$C$16),Projects!$B$16*Assumptions!$B$15,0),Actuals!AE15)</f>
        <v>0</v>
      </c>
      <c r="AF18" s="3">
        <f>IF(ISBLANK(Actuals!AF15),IF(AND(Projects!$G$6="Yes",Projects!$F$6="Yes",27=Projects!$C$6),Projects!$B$6*Assumptions!$B$15,0)+IF(AND(Projects!$G$7="Yes",Projects!$F$7="Yes",27=Projects!$C$7),Projects!$B$7*Assumptions!$B$15,0)+IF(AND(Projects!$G$8="Yes",Projects!$F$8="Yes",27=Projects!$C$8),Projects!$B$8*Assumptions!$B$15,0)+IF(AND(Projects!$G$9="Yes",Projects!$F$9="Yes",27=Projects!$C$9),Projects!$B$9*Assumptions!$B$15,0)+IF(AND(Projects!$G$10="Yes",Projects!$F$10="Yes",27=Projects!$C$10),Projects!$B$10*Assumptions!$B$15,0)+IF(AND(Projects!$G$11="Yes",Projects!$F$11="Yes",27=Projects!$C$11),Projects!$B$11*Assumptions!$B$15,0)+IF(AND(Projects!$G$12="Yes",Projects!$F$12="Yes",27=Projects!$C$12),Projects!$B$12*Assumptions!$B$15,0)+IF(AND(Projects!$G$13="Yes",Projects!$F$13="Yes",27=Projects!$C$13),Projects!$B$13*Assumptions!$B$15,0)+IF(AND(Projects!$G$14="Yes",Projects!$F$14="Yes",27=Projects!$C$14),Projects!$B$14*Assumptions!$B$15,0)+IF(AND(Projects!$G$15="Yes",Projects!$F$15="Yes",27=Projects!$C$15),Projects!$B$15*Assumptions!$B$15,0)+IF(AND(Projects!$G$16="Yes",Projects!$F$16="Yes",27=Projects!$C$16),Projects!$B$16*Assumptions!$B$15,0),Actuals!AF15)</f>
        <v>620319.48</v>
      </c>
      <c r="AG18" s="3">
        <f>IF(ISBLANK(Actuals!AG15),IF(AND(Projects!$G$6="Yes",Projects!$F$6="Yes",28=Projects!$C$6),Projects!$B$6*Assumptions!$B$15,0)+IF(AND(Projects!$G$7="Yes",Projects!$F$7="Yes",28=Projects!$C$7),Projects!$B$7*Assumptions!$B$15,0)+IF(AND(Projects!$G$8="Yes",Projects!$F$8="Yes",28=Projects!$C$8),Projects!$B$8*Assumptions!$B$15,0)+IF(AND(Projects!$G$9="Yes",Projects!$F$9="Yes",28=Projects!$C$9),Projects!$B$9*Assumptions!$B$15,0)+IF(AND(Projects!$G$10="Yes",Projects!$F$10="Yes",28=Projects!$C$10),Projects!$B$10*Assumptions!$B$15,0)+IF(AND(Projects!$G$11="Yes",Projects!$F$11="Yes",28=Projects!$C$11),Projects!$B$11*Assumptions!$B$15,0)+IF(AND(Projects!$G$12="Yes",Projects!$F$12="Yes",28=Projects!$C$12),Projects!$B$12*Assumptions!$B$15,0)+IF(AND(Projects!$G$13="Yes",Projects!$F$13="Yes",28=Projects!$C$13),Projects!$B$13*Assumptions!$B$15,0)+IF(AND(Projects!$G$14="Yes",Projects!$F$14="Yes",28=Projects!$C$14),Projects!$B$14*Assumptions!$B$15,0)+IF(AND(Projects!$G$15="Yes",Projects!$F$15="Yes",28=Projects!$C$15),Projects!$B$15*Assumptions!$B$15,0)+IF(AND(Projects!$G$16="Yes",Projects!$F$16="Yes",28=Projects!$C$16),Projects!$B$16*Assumptions!$B$15,0),Actuals!AG15)</f>
        <v>0</v>
      </c>
      <c r="AH18" s="3">
        <f>IF(ISBLANK(Actuals!AH15),IF(AND(Projects!$G$6="Yes",Projects!$F$6="Yes",29=Projects!$C$6),Projects!$B$6*Assumptions!$B$15,0)+IF(AND(Projects!$G$7="Yes",Projects!$F$7="Yes",29=Projects!$C$7),Projects!$B$7*Assumptions!$B$15,0)+IF(AND(Projects!$G$8="Yes",Projects!$F$8="Yes",29=Projects!$C$8),Projects!$B$8*Assumptions!$B$15,0)+IF(AND(Projects!$G$9="Yes",Projects!$F$9="Yes",29=Projects!$C$9),Projects!$B$9*Assumptions!$B$15,0)+IF(AND(Projects!$G$10="Yes",Projects!$F$10="Yes",29=Projects!$C$10),Projects!$B$10*Assumptions!$B$15,0)+IF(AND(Projects!$G$11="Yes",Projects!$F$11="Yes",29=Projects!$C$11),Projects!$B$11*Assumptions!$B$15,0)+IF(AND(Projects!$G$12="Yes",Projects!$F$12="Yes",29=Projects!$C$12),Projects!$B$12*Assumptions!$B$15,0)+IF(AND(Projects!$G$13="Yes",Projects!$F$13="Yes",29=Projects!$C$13),Projects!$B$13*Assumptions!$B$15,0)+IF(AND(Projects!$G$14="Yes",Projects!$F$14="Yes",29=Projects!$C$14),Projects!$B$14*Assumptions!$B$15,0)+IF(AND(Projects!$G$15="Yes",Projects!$F$15="Yes",29=Projects!$C$15),Projects!$B$15*Assumptions!$B$15,0)+IF(AND(Projects!$G$16="Yes",Projects!$F$16="Yes",29=Projects!$C$16),Projects!$B$16*Assumptions!$B$15,0),Actuals!AH15)</f>
        <v>0</v>
      </c>
      <c r="AI18" s="3">
        <f>IF(ISBLANK(Actuals!AI15),IF(AND(Projects!$G$6="Yes",Projects!$F$6="Yes",30=Projects!$C$6),Projects!$B$6*Assumptions!$B$15,0)+IF(AND(Projects!$G$7="Yes",Projects!$F$7="Yes",30=Projects!$C$7),Projects!$B$7*Assumptions!$B$15,0)+IF(AND(Projects!$G$8="Yes",Projects!$F$8="Yes",30=Projects!$C$8),Projects!$B$8*Assumptions!$B$15,0)+IF(AND(Projects!$G$9="Yes",Projects!$F$9="Yes",30=Projects!$C$9),Projects!$B$9*Assumptions!$B$15,0)+IF(AND(Projects!$G$10="Yes",Projects!$F$10="Yes",30=Projects!$C$10),Projects!$B$10*Assumptions!$B$15,0)+IF(AND(Projects!$G$11="Yes",Projects!$F$11="Yes",30=Projects!$C$11),Projects!$B$11*Assumptions!$B$15,0)+IF(AND(Projects!$G$12="Yes",Projects!$F$12="Yes",30=Projects!$C$12),Projects!$B$12*Assumptions!$B$15,0)+IF(AND(Projects!$G$13="Yes",Projects!$F$13="Yes",30=Projects!$C$13),Projects!$B$13*Assumptions!$B$15,0)+IF(AND(Projects!$G$14="Yes",Projects!$F$14="Yes",30=Projects!$C$14),Projects!$B$14*Assumptions!$B$15,0)+IF(AND(Projects!$G$15="Yes",Projects!$F$15="Yes",30=Projects!$C$15),Projects!$B$15*Assumptions!$B$15,0)+IF(AND(Projects!$G$16="Yes",Projects!$F$16="Yes",30=Projects!$C$16),Projects!$B$16*Assumptions!$B$15,0),Actuals!AI15)</f>
        <v>0</v>
      </c>
      <c r="AJ18" s="3">
        <f>IF(ISBLANK(Actuals!AJ15),IF(AND(Projects!$G$6="Yes",Projects!$F$6="Yes",31=Projects!$C$6),Projects!$B$6*Assumptions!$B$15,0)+IF(AND(Projects!$G$7="Yes",Projects!$F$7="Yes",31=Projects!$C$7),Projects!$B$7*Assumptions!$B$15,0)+IF(AND(Projects!$G$8="Yes",Projects!$F$8="Yes",31=Projects!$C$8),Projects!$B$8*Assumptions!$B$15,0)+IF(AND(Projects!$G$9="Yes",Projects!$F$9="Yes",31=Projects!$C$9),Projects!$B$9*Assumptions!$B$15,0)+IF(AND(Projects!$G$10="Yes",Projects!$F$10="Yes",31=Projects!$C$10),Projects!$B$10*Assumptions!$B$15,0)+IF(AND(Projects!$G$11="Yes",Projects!$F$11="Yes",31=Projects!$C$11),Projects!$B$11*Assumptions!$B$15,0)+IF(AND(Projects!$G$12="Yes",Projects!$F$12="Yes",31=Projects!$C$12),Projects!$B$12*Assumptions!$B$15,0)+IF(AND(Projects!$G$13="Yes",Projects!$F$13="Yes",31=Projects!$C$13),Projects!$B$13*Assumptions!$B$15,0)+IF(AND(Projects!$G$14="Yes",Projects!$F$14="Yes",31=Projects!$C$14),Projects!$B$14*Assumptions!$B$15,0)+IF(AND(Projects!$G$15="Yes",Projects!$F$15="Yes",31=Projects!$C$15),Projects!$B$15*Assumptions!$B$15,0)+IF(AND(Projects!$G$16="Yes",Projects!$F$16="Yes",31=Projects!$C$16),Projects!$B$16*Assumptions!$B$15,0),Actuals!AJ15)</f>
        <v>0</v>
      </c>
      <c r="AK18" s="3">
        <f>IF(ISBLANK(Actuals!AK15),IF(AND(Projects!$G$6="Yes",Projects!$F$6="Yes",32=Projects!$C$6),Projects!$B$6*Assumptions!$B$15,0)+IF(AND(Projects!$G$7="Yes",Projects!$F$7="Yes",32=Projects!$C$7),Projects!$B$7*Assumptions!$B$15,0)+IF(AND(Projects!$G$8="Yes",Projects!$F$8="Yes",32=Projects!$C$8),Projects!$B$8*Assumptions!$B$15,0)+IF(AND(Projects!$G$9="Yes",Projects!$F$9="Yes",32=Projects!$C$9),Projects!$B$9*Assumptions!$B$15,0)+IF(AND(Projects!$G$10="Yes",Projects!$F$10="Yes",32=Projects!$C$10),Projects!$B$10*Assumptions!$B$15,0)+IF(AND(Projects!$G$11="Yes",Projects!$F$11="Yes",32=Projects!$C$11),Projects!$B$11*Assumptions!$B$15,0)+IF(AND(Projects!$G$12="Yes",Projects!$F$12="Yes",32=Projects!$C$12),Projects!$B$12*Assumptions!$B$15,0)+IF(AND(Projects!$G$13="Yes",Projects!$F$13="Yes",32=Projects!$C$13),Projects!$B$13*Assumptions!$B$15,0)+IF(AND(Projects!$G$14="Yes",Projects!$F$14="Yes",32=Projects!$C$14),Projects!$B$14*Assumptions!$B$15,0)+IF(AND(Projects!$G$15="Yes",Projects!$F$15="Yes",32=Projects!$C$15),Projects!$B$15*Assumptions!$B$15,0)+IF(AND(Projects!$G$16="Yes",Projects!$F$16="Yes",32=Projects!$C$16),Projects!$B$16*Assumptions!$B$15,0),Actuals!AK15)</f>
        <v>0</v>
      </c>
      <c r="AL18" s="3">
        <f>IF(ISBLANK(Actuals!AL15),IF(AND(Projects!$G$6="Yes",Projects!$F$6="Yes",33=Projects!$C$6),Projects!$B$6*Assumptions!$B$15,0)+IF(AND(Projects!$G$7="Yes",Projects!$F$7="Yes",33=Projects!$C$7),Projects!$B$7*Assumptions!$B$15,0)+IF(AND(Projects!$G$8="Yes",Projects!$F$8="Yes",33=Projects!$C$8),Projects!$B$8*Assumptions!$B$15,0)+IF(AND(Projects!$G$9="Yes",Projects!$F$9="Yes",33=Projects!$C$9),Projects!$B$9*Assumptions!$B$15,0)+IF(AND(Projects!$G$10="Yes",Projects!$F$10="Yes",33=Projects!$C$10),Projects!$B$10*Assumptions!$B$15,0)+IF(AND(Projects!$G$11="Yes",Projects!$F$11="Yes",33=Projects!$C$11),Projects!$B$11*Assumptions!$B$15,0)+IF(AND(Projects!$G$12="Yes",Projects!$F$12="Yes",33=Projects!$C$12),Projects!$B$12*Assumptions!$B$15,0)+IF(AND(Projects!$G$13="Yes",Projects!$F$13="Yes",33=Projects!$C$13),Projects!$B$13*Assumptions!$B$15,0)+IF(AND(Projects!$G$14="Yes",Projects!$F$14="Yes",33=Projects!$C$14),Projects!$B$14*Assumptions!$B$15,0)+IF(AND(Projects!$G$15="Yes",Projects!$F$15="Yes",33=Projects!$C$15),Projects!$B$15*Assumptions!$B$15,0)+IF(AND(Projects!$G$16="Yes",Projects!$F$16="Yes",33=Projects!$C$16),Projects!$B$16*Assumptions!$B$15,0),Actuals!AL15)</f>
        <v>0</v>
      </c>
      <c r="AM18" s="3">
        <f>IF(ISBLANK(Actuals!AM15),IF(AND(Projects!$G$6="Yes",Projects!$F$6="Yes",34=Projects!$C$6),Projects!$B$6*Assumptions!$B$15,0)+IF(AND(Projects!$G$7="Yes",Projects!$F$7="Yes",34=Projects!$C$7),Projects!$B$7*Assumptions!$B$15,0)+IF(AND(Projects!$G$8="Yes",Projects!$F$8="Yes",34=Projects!$C$8),Projects!$B$8*Assumptions!$B$15,0)+IF(AND(Projects!$G$9="Yes",Projects!$F$9="Yes",34=Projects!$C$9),Projects!$B$9*Assumptions!$B$15,0)+IF(AND(Projects!$G$10="Yes",Projects!$F$10="Yes",34=Projects!$C$10),Projects!$B$10*Assumptions!$B$15,0)+IF(AND(Projects!$G$11="Yes",Projects!$F$11="Yes",34=Projects!$C$11),Projects!$B$11*Assumptions!$B$15,0)+IF(AND(Projects!$G$12="Yes",Projects!$F$12="Yes",34=Projects!$C$12),Projects!$B$12*Assumptions!$B$15,0)+IF(AND(Projects!$G$13="Yes",Projects!$F$13="Yes",34=Projects!$C$13),Projects!$B$13*Assumptions!$B$15,0)+IF(AND(Projects!$G$14="Yes",Projects!$F$14="Yes",34=Projects!$C$14),Projects!$B$14*Assumptions!$B$15,0)+IF(AND(Projects!$G$15="Yes",Projects!$F$15="Yes",34=Projects!$C$15),Projects!$B$15*Assumptions!$B$15,0)+IF(AND(Projects!$G$16="Yes",Projects!$F$16="Yes",34=Projects!$C$16),Projects!$B$16*Assumptions!$B$15,0),Actuals!AM15)</f>
        <v>0</v>
      </c>
      <c r="AN18" s="3">
        <f>IF(ISBLANK(Actuals!AN15),IF(AND(Projects!$G$6="Yes",Projects!$F$6="Yes",35=Projects!$C$6),Projects!$B$6*Assumptions!$B$15,0)+IF(AND(Projects!$G$7="Yes",Projects!$F$7="Yes",35=Projects!$C$7),Projects!$B$7*Assumptions!$B$15,0)+IF(AND(Projects!$G$8="Yes",Projects!$F$8="Yes",35=Projects!$C$8),Projects!$B$8*Assumptions!$B$15,0)+IF(AND(Projects!$G$9="Yes",Projects!$F$9="Yes",35=Projects!$C$9),Projects!$B$9*Assumptions!$B$15,0)+IF(AND(Projects!$G$10="Yes",Projects!$F$10="Yes",35=Projects!$C$10),Projects!$B$10*Assumptions!$B$15,0)+IF(AND(Projects!$G$11="Yes",Projects!$F$11="Yes",35=Projects!$C$11),Projects!$B$11*Assumptions!$B$15,0)+IF(AND(Projects!$G$12="Yes",Projects!$F$12="Yes",35=Projects!$C$12),Projects!$B$12*Assumptions!$B$15,0)+IF(AND(Projects!$G$13="Yes",Projects!$F$13="Yes",35=Projects!$C$13),Projects!$B$13*Assumptions!$B$15,0)+IF(AND(Projects!$G$14="Yes",Projects!$F$14="Yes",35=Projects!$C$14),Projects!$B$14*Assumptions!$B$15,0)+IF(AND(Projects!$G$15="Yes",Projects!$F$15="Yes",35=Projects!$C$15),Projects!$B$15*Assumptions!$B$15,0)+IF(AND(Projects!$G$16="Yes",Projects!$F$16="Yes",35=Projects!$C$16),Projects!$B$16*Assumptions!$B$15,0),Actuals!AN15)</f>
        <v>0</v>
      </c>
      <c r="AO18" s="3">
        <f>IF(ISBLANK(Actuals!AO15),IF(AND(Projects!$G$6="Yes",Projects!$F$6="Yes",36=Projects!$C$6),Projects!$B$6*Assumptions!$B$15,0)+IF(AND(Projects!$G$7="Yes",Projects!$F$7="Yes",36=Projects!$C$7),Projects!$B$7*Assumptions!$B$15,0)+IF(AND(Projects!$G$8="Yes",Projects!$F$8="Yes",36=Projects!$C$8),Projects!$B$8*Assumptions!$B$15,0)+IF(AND(Projects!$G$9="Yes",Projects!$F$9="Yes",36=Projects!$C$9),Projects!$B$9*Assumptions!$B$15,0)+IF(AND(Projects!$G$10="Yes",Projects!$F$10="Yes",36=Projects!$C$10),Projects!$B$10*Assumptions!$B$15,0)+IF(AND(Projects!$G$11="Yes",Projects!$F$11="Yes",36=Projects!$C$11),Projects!$B$11*Assumptions!$B$15,0)+IF(AND(Projects!$G$12="Yes",Projects!$F$12="Yes",36=Projects!$C$12),Projects!$B$12*Assumptions!$B$15,0)+IF(AND(Projects!$G$13="Yes",Projects!$F$13="Yes",36=Projects!$C$13),Projects!$B$13*Assumptions!$B$15,0)+IF(AND(Projects!$G$14="Yes",Projects!$F$14="Yes",36=Projects!$C$14),Projects!$B$14*Assumptions!$B$15,0)+IF(AND(Projects!$G$15="Yes",Projects!$F$15="Yes",36=Projects!$C$15),Projects!$B$15*Assumptions!$B$15,0)+IF(AND(Projects!$G$16="Yes",Projects!$F$16="Yes",36=Projects!$C$16),Projects!$B$16*Assumptions!$B$15,0),Actuals!AO15)</f>
        <v>0</v>
      </c>
      <c r="AP18" s="3">
        <f>IF(ISBLANK(Actuals!AP15),IF(AND(Projects!$G$6="Yes",Projects!$F$6="Yes",37=Projects!$C$6),Projects!$B$6*Assumptions!$B$15,0)+IF(AND(Projects!$G$7="Yes",Projects!$F$7="Yes",37=Projects!$C$7),Projects!$B$7*Assumptions!$B$15,0)+IF(AND(Projects!$G$8="Yes",Projects!$F$8="Yes",37=Projects!$C$8),Projects!$B$8*Assumptions!$B$15,0)+IF(AND(Projects!$G$9="Yes",Projects!$F$9="Yes",37=Projects!$C$9),Projects!$B$9*Assumptions!$B$15,0)+IF(AND(Projects!$G$10="Yes",Projects!$F$10="Yes",37=Projects!$C$10),Projects!$B$10*Assumptions!$B$15,0)+IF(AND(Projects!$G$11="Yes",Projects!$F$11="Yes",37=Projects!$C$11),Projects!$B$11*Assumptions!$B$15,0)+IF(AND(Projects!$G$12="Yes",Projects!$F$12="Yes",37=Projects!$C$12),Projects!$B$12*Assumptions!$B$15,0)+IF(AND(Projects!$G$13="Yes",Projects!$F$13="Yes",37=Projects!$C$13),Projects!$B$13*Assumptions!$B$15,0)+IF(AND(Projects!$G$14="Yes",Projects!$F$14="Yes",37=Projects!$C$14),Projects!$B$14*Assumptions!$B$15,0)+IF(AND(Projects!$G$15="Yes",Projects!$F$15="Yes",37=Projects!$C$15),Projects!$B$15*Assumptions!$B$15,0)+IF(AND(Projects!$G$16="Yes",Projects!$F$16="Yes",37=Projects!$C$16),Projects!$B$16*Assumptions!$B$15,0),Actuals!AP15)</f>
        <v>0</v>
      </c>
      <c r="AQ18" s="3">
        <f>IF(ISBLANK(Actuals!AQ15),IF(AND(Projects!$G$6="Yes",Projects!$F$6="Yes",38=Projects!$C$6),Projects!$B$6*Assumptions!$B$15,0)+IF(AND(Projects!$G$7="Yes",Projects!$F$7="Yes",38=Projects!$C$7),Projects!$B$7*Assumptions!$B$15,0)+IF(AND(Projects!$G$8="Yes",Projects!$F$8="Yes",38=Projects!$C$8),Projects!$B$8*Assumptions!$B$15,0)+IF(AND(Projects!$G$9="Yes",Projects!$F$9="Yes",38=Projects!$C$9),Projects!$B$9*Assumptions!$B$15,0)+IF(AND(Projects!$G$10="Yes",Projects!$F$10="Yes",38=Projects!$C$10),Projects!$B$10*Assumptions!$B$15,0)+IF(AND(Projects!$G$11="Yes",Projects!$F$11="Yes",38=Projects!$C$11),Projects!$B$11*Assumptions!$B$15,0)+IF(AND(Projects!$G$12="Yes",Projects!$F$12="Yes",38=Projects!$C$12),Projects!$B$12*Assumptions!$B$15,0)+IF(AND(Projects!$G$13="Yes",Projects!$F$13="Yes",38=Projects!$C$13),Projects!$B$13*Assumptions!$B$15,0)+IF(AND(Projects!$G$14="Yes",Projects!$F$14="Yes",38=Projects!$C$14),Projects!$B$14*Assumptions!$B$15,0)+IF(AND(Projects!$G$15="Yes",Projects!$F$15="Yes",38=Projects!$C$15),Projects!$B$15*Assumptions!$B$15,0)+IF(AND(Projects!$G$16="Yes",Projects!$F$16="Yes",38=Projects!$C$16),Projects!$B$16*Assumptions!$B$15,0),Actuals!AQ15)</f>
        <v>0</v>
      </c>
      <c r="AR18" s="3">
        <f>IF(ISBLANK(Actuals!AR15),IF(AND(Projects!$G$6="Yes",Projects!$F$6="Yes",39=Projects!$C$6),Projects!$B$6*Assumptions!$B$15,0)+IF(AND(Projects!$G$7="Yes",Projects!$F$7="Yes",39=Projects!$C$7),Projects!$B$7*Assumptions!$B$15,0)+IF(AND(Projects!$G$8="Yes",Projects!$F$8="Yes",39=Projects!$C$8),Projects!$B$8*Assumptions!$B$15,0)+IF(AND(Projects!$G$9="Yes",Projects!$F$9="Yes",39=Projects!$C$9),Projects!$B$9*Assumptions!$B$15,0)+IF(AND(Projects!$G$10="Yes",Projects!$F$10="Yes",39=Projects!$C$10),Projects!$B$10*Assumptions!$B$15,0)+IF(AND(Projects!$G$11="Yes",Projects!$F$11="Yes",39=Projects!$C$11),Projects!$B$11*Assumptions!$B$15,0)+IF(AND(Projects!$G$12="Yes",Projects!$F$12="Yes",39=Projects!$C$12),Projects!$B$12*Assumptions!$B$15,0)+IF(AND(Projects!$G$13="Yes",Projects!$F$13="Yes",39=Projects!$C$13),Projects!$B$13*Assumptions!$B$15,0)+IF(AND(Projects!$G$14="Yes",Projects!$F$14="Yes",39=Projects!$C$14),Projects!$B$14*Assumptions!$B$15,0)+IF(AND(Projects!$G$15="Yes",Projects!$F$15="Yes",39=Projects!$C$15),Projects!$B$15*Assumptions!$B$15,0)+IF(AND(Projects!$G$16="Yes",Projects!$F$16="Yes",39=Projects!$C$16),Projects!$B$16*Assumptions!$B$15,0),Actuals!AR15)</f>
        <v>0</v>
      </c>
      <c r="AS18" s="3">
        <f>IF(ISBLANK(Actuals!AS15),IF(AND(Projects!$G$6="Yes",Projects!$F$6="Yes",40=Projects!$C$6),Projects!$B$6*Assumptions!$B$15,0)+IF(AND(Projects!$G$7="Yes",Projects!$F$7="Yes",40=Projects!$C$7),Projects!$B$7*Assumptions!$B$15,0)+IF(AND(Projects!$G$8="Yes",Projects!$F$8="Yes",40=Projects!$C$8),Projects!$B$8*Assumptions!$B$15,0)+IF(AND(Projects!$G$9="Yes",Projects!$F$9="Yes",40=Projects!$C$9),Projects!$B$9*Assumptions!$B$15,0)+IF(AND(Projects!$G$10="Yes",Projects!$F$10="Yes",40=Projects!$C$10),Projects!$B$10*Assumptions!$B$15,0)+IF(AND(Projects!$G$11="Yes",Projects!$F$11="Yes",40=Projects!$C$11),Projects!$B$11*Assumptions!$B$15,0)+IF(AND(Projects!$G$12="Yes",Projects!$F$12="Yes",40=Projects!$C$12),Projects!$B$12*Assumptions!$B$15,0)+IF(AND(Projects!$G$13="Yes",Projects!$F$13="Yes",40=Projects!$C$13),Projects!$B$13*Assumptions!$B$15,0)+IF(AND(Projects!$G$14="Yes",Projects!$F$14="Yes",40=Projects!$C$14),Projects!$B$14*Assumptions!$B$15,0)+IF(AND(Projects!$G$15="Yes",Projects!$F$15="Yes",40=Projects!$C$15),Projects!$B$15*Assumptions!$B$15,0)+IF(AND(Projects!$G$16="Yes",Projects!$F$16="Yes",40=Projects!$C$16),Projects!$B$16*Assumptions!$B$15,0),Actuals!AS15)</f>
        <v>0</v>
      </c>
      <c r="AT18" s="3">
        <f>IF(ISBLANK(Actuals!AT15),IF(AND(Projects!$G$6="Yes",Projects!$F$6="Yes",41=Projects!$C$6),Projects!$B$6*Assumptions!$B$15,0)+IF(AND(Projects!$G$7="Yes",Projects!$F$7="Yes",41=Projects!$C$7),Projects!$B$7*Assumptions!$B$15,0)+IF(AND(Projects!$G$8="Yes",Projects!$F$8="Yes",41=Projects!$C$8),Projects!$B$8*Assumptions!$B$15,0)+IF(AND(Projects!$G$9="Yes",Projects!$F$9="Yes",41=Projects!$C$9),Projects!$B$9*Assumptions!$B$15,0)+IF(AND(Projects!$G$10="Yes",Projects!$F$10="Yes",41=Projects!$C$10),Projects!$B$10*Assumptions!$B$15,0)+IF(AND(Projects!$G$11="Yes",Projects!$F$11="Yes",41=Projects!$C$11),Projects!$B$11*Assumptions!$B$15,0)+IF(AND(Projects!$G$12="Yes",Projects!$F$12="Yes",41=Projects!$C$12),Projects!$B$12*Assumptions!$B$15,0)+IF(AND(Projects!$G$13="Yes",Projects!$F$13="Yes",41=Projects!$C$13),Projects!$B$13*Assumptions!$B$15,0)+IF(AND(Projects!$G$14="Yes",Projects!$F$14="Yes",41=Projects!$C$14),Projects!$B$14*Assumptions!$B$15,0)+IF(AND(Projects!$G$15="Yes",Projects!$F$15="Yes",41=Projects!$C$15),Projects!$B$15*Assumptions!$B$15,0)+IF(AND(Projects!$G$16="Yes",Projects!$F$16="Yes",41=Projects!$C$16),Projects!$B$16*Assumptions!$B$15,0),Actuals!AT15)</f>
        <v>0</v>
      </c>
      <c r="AU18" s="3">
        <f>IF(ISBLANK(Actuals!AU15),IF(AND(Projects!$G$6="Yes",Projects!$F$6="Yes",42=Projects!$C$6),Projects!$B$6*Assumptions!$B$15,0)+IF(AND(Projects!$G$7="Yes",Projects!$F$7="Yes",42=Projects!$C$7),Projects!$B$7*Assumptions!$B$15,0)+IF(AND(Projects!$G$8="Yes",Projects!$F$8="Yes",42=Projects!$C$8),Projects!$B$8*Assumptions!$B$15,0)+IF(AND(Projects!$G$9="Yes",Projects!$F$9="Yes",42=Projects!$C$9),Projects!$B$9*Assumptions!$B$15,0)+IF(AND(Projects!$G$10="Yes",Projects!$F$10="Yes",42=Projects!$C$10),Projects!$B$10*Assumptions!$B$15,0)+IF(AND(Projects!$G$11="Yes",Projects!$F$11="Yes",42=Projects!$C$11),Projects!$B$11*Assumptions!$B$15,0)+IF(AND(Projects!$G$12="Yes",Projects!$F$12="Yes",42=Projects!$C$12),Projects!$B$12*Assumptions!$B$15,0)+IF(AND(Projects!$G$13="Yes",Projects!$F$13="Yes",42=Projects!$C$13),Projects!$B$13*Assumptions!$B$15,0)+IF(AND(Projects!$G$14="Yes",Projects!$F$14="Yes",42=Projects!$C$14),Projects!$B$14*Assumptions!$B$15,0)+IF(AND(Projects!$G$15="Yes",Projects!$F$15="Yes",42=Projects!$C$15),Projects!$B$15*Assumptions!$B$15,0)+IF(AND(Projects!$G$16="Yes",Projects!$F$16="Yes",42=Projects!$C$16),Projects!$B$16*Assumptions!$B$15,0),Actuals!AU15)</f>
        <v>0</v>
      </c>
      <c r="AV18" s="3">
        <f>IF(ISBLANK(Actuals!AV15),IF(AND(Projects!$G$6="Yes",Projects!$F$6="Yes",43=Projects!$C$6),Projects!$B$6*Assumptions!$B$15,0)+IF(AND(Projects!$G$7="Yes",Projects!$F$7="Yes",43=Projects!$C$7),Projects!$B$7*Assumptions!$B$15,0)+IF(AND(Projects!$G$8="Yes",Projects!$F$8="Yes",43=Projects!$C$8),Projects!$B$8*Assumptions!$B$15,0)+IF(AND(Projects!$G$9="Yes",Projects!$F$9="Yes",43=Projects!$C$9),Projects!$B$9*Assumptions!$B$15,0)+IF(AND(Projects!$G$10="Yes",Projects!$F$10="Yes",43=Projects!$C$10),Projects!$B$10*Assumptions!$B$15,0)+IF(AND(Projects!$G$11="Yes",Projects!$F$11="Yes",43=Projects!$C$11),Projects!$B$11*Assumptions!$B$15,0)+IF(AND(Projects!$G$12="Yes",Projects!$F$12="Yes",43=Projects!$C$12),Projects!$B$12*Assumptions!$B$15,0)+IF(AND(Projects!$G$13="Yes",Projects!$F$13="Yes",43=Projects!$C$13),Projects!$B$13*Assumptions!$B$15,0)+IF(AND(Projects!$G$14="Yes",Projects!$F$14="Yes",43=Projects!$C$14),Projects!$B$14*Assumptions!$B$15,0)+IF(AND(Projects!$G$15="Yes",Projects!$F$15="Yes",43=Projects!$C$15),Projects!$B$15*Assumptions!$B$15,0)+IF(AND(Projects!$G$16="Yes",Projects!$F$16="Yes",43=Projects!$C$16),Projects!$B$16*Assumptions!$B$15,0),Actuals!AV15)</f>
        <v>0</v>
      </c>
      <c r="AW18" s="3">
        <f>IF(ISBLANK(Actuals!AW15),IF(AND(Projects!$G$6="Yes",Projects!$F$6="Yes",44=Projects!$C$6),Projects!$B$6*Assumptions!$B$15,0)+IF(AND(Projects!$G$7="Yes",Projects!$F$7="Yes",44=Projects!$C$7),Projects!$B$7*Assumptions!$B$15,0)+IF(AND(Projects!$G$8="Yes",Projects!$F$8="Yes",44=Projects!$C$8),Projects!$B$8*Assumptions!$B$15,0)+IF(AND(Projects!$G$9="Yes",Projects!$F$9="Yes",44=Projects!$C$9),Projects!$B$9*Assumptions!$B$15,0)+IF(AND(Projects!$G$10="Yes",Projects!$F$10="Yes",44=Projects!$C$10),Projects!$B$10*Assumptions!$B$15,0)+IF(AND(Projects!$G$11="Yes",Projects!$F$11="Yes",44=Projects!$C$11),Projects!$B$11*Assumptions!$B$15,0)+IF(AND(Projects!$G$12="Yes",Projects!$F$12="Yes",44=Projects!$C$12),Projects!$B$12*Assumptions!$B$15,0)+IF(AND(Projects!$G$13="Yes",Projects!$F$13="Yes",44=Projects!$C$13),Projects!$B$13*Assumptions!$B$15,0)+IF(AND(Projects!$G$14="Yes",Projects!$F$14="Yes",44=Projects!$C$14),Projects!$B$14*Assumptions!$B$15,0)+IF(AND(Projects!$G$15="Yes",Projects!$F$15="Yes",44=Projects!$C$15),Projects!$B$15*Assumptions!$B$15,0)+IF(AND(Projects!$G$16="Yes",Projects!$F$16="Yes",44=Projects!$C$16),Projects!$B$16*Assumptions!$B$15,0),Actuals!AW15)</f>
        <v>0</v>
      </c>
      <c r="AX18" s="3">
        <f>IF(ISBLANK(Actuals!AX15),IF(AND(Projects!$G$6="Yes",Projects!$F$6="Yes",45=Projects!$C$6),Projects!$B$6*Assumptions!$B$15,0)+IF(AND(Projects!$G$7="Yes",Projects!$F$7="Yes",45=Projects!$C$7),Projects!$B$7*Assumptions!$B$15,0)+IF(AND(Projects!$G$8="Yes",Projects!$F$8="Yes",45=Projects!$C$8),Projects!$B$8*Assumptions!$B$15,0)+IF(AND(Projects!$G$9="Yes",Projects!$F$9="Yes",45=Projects!$C$9),Projects!$B$9*Assumptions!$B$15,0)+IF(AND(Projects!$G$10="Yes",Projects!$F$10="Yes",45=Projects!$C$10),Projects!$B$10*Assumptions!$B$15,0)+IF(AND(Projects!$G$11="Yes",Projects!$F$11="Yes",45=Projects!$C$11),Projects!$B$11*Assumptions!$B$15,0)+IF(AND(Projects!$G$12="Yes",Projects!$F$12="Yes",45=Projects!$C$12),Projects!$B$12*Assumptions!$B$15,0)+IF(AND(Projects!$G$13="Yes",Projects!$F$13="Yes",45=Projects!$C$13),Projects!$B$13*Assumptions!$B$15,0)+IF(AND(Projects!$G$14="Yes",Projects!$F$14="Yes",45=Projects!$C$14),Projects!$B$14*Assumptions!$B$15,0)+IF(AND(Projects!$G$15="Yes",Projects!$F$15="Yes",45=Projects!$C$15),Projects!$B$15*Assumptions!$B$15,0)+IF(AND(Projects!$G$16="Yes",Projects!$F$16="Yes",45=Projects!$C$16),Projects!$B$16*Assumptions!$B$15,0),Actuals!AX15)</f>
        <v>0</v>
      </c>
      <c r="AY18" s="3">
        <f>IF(ISBLANK(Actuals!AY15),IF(AND(Projects!$G$6="Yes",Projects!$F$6="Yes",46=Projects!$C$6),Projects!$B$6*Assumptions!$B$15,0)+IF(AND(Projects!$G$7="Yes",Projects!$F$7="Yes",46=Projects!$C$7),Projects!$B$7*Assumptions!$B$15,0)+IF(AND(Projects!$G$8="Yes",Projects!$F$8="Yes",46=Projects!$C$8),Projects!$B$8*Assumptions!$B$15,0)+IF(AND(Projects!$G$9="Yes",Projects!$F$9="Yes",46=Projects!$C$9),Projects!$B$9*Assumptions!$B$15,0)+IF(AND(Projects!$G$10="Yes",Projects!$F$10="Yes",46=Projects!$C$10),Projects!$B$10*Assumptions!$B$15,0)+IF(AND(Projects!$G$11="Yes",Projects!$F$11="Yes",46=Projects!$C$11),Projects!$B$11*Assumptions!$B$15,0)+IF(AND(Projects!$G$12="Yes",Projects!$F$12="Yes",46=Projects!$C$12),Projects!$B$12*Assumptions!$B$15,0)+IF(AND(Projects!$G$13="Yes",Projects!$F$13="Yes",46=Projects!$C$13),Projects!$B$13*Assumptions!$B$15,0)+IF(AND(Projects!$G$14="Yes",Projects!$F$14="Yes",46=Projects!$C$14),Projects!$B$14*Assumptions!$B$15,0)+IF(AND(Projects!$G$15="Yes",Projects!$F$15="Yes",46=Projects!$C$15),Projects!$B$15*Assumptions!$B$15,0)+IF(AND(Projects!$G$16="Yes",Projects!$F$16="Yes",46=Projects!$C$16),Projects!$B$16*Assumptions!$B$15,0),Actuals!AY15)</f>
        <v>0</v>
      </c>
      <c r="AZ18" s="3">
        <f>IF(ISBLANK(Actuals!AZ15),IF(AND(Projects!$G$6="Yes",Projects!$F$6="Yes",47=Projects!$C$6),Projects!$B$6*Assumptions!$B$15,0)+IF(AND(Projects!$G$7="Yes",Projects!$F$7="Yes",47=Projects!$C$7),Projects!$B$7*Assumptions!$B$15,0)+IF(AND(Projects!$G$8="Yes",Projects!$F$8="Yes",47=Projects!$C$8),Projects!$B$8*Assumptions!$B$15,0)+IF(AND(Projects!$G$9="Yes",Projects!$F$9="Yes",47=Projects!$C$9),Projects!$B$9*Assumptions!$B$15,0)+IF(AND(Projects!$G$10="Yes",Projects!$F$10="Yes",47=Projects!$C$10),Projects!$B$10*Assumptions!$B$15,0)+IF(AND(Projects!$G$11="Yes",Projects!$F$11="Yes",47=Projects!$C$11),Projects!$B$11*Assumptions!$B$15,0)+IF(AND(Projects!$G$12="Yes",Projects!$F$12="Yes",47=Projects!$C$12),Projects!$B$12*Assumptions!$B$15,0)+IF(AND(Projects!$G$13="Yes",Projects!$F$13="Yes",47=Projects!$C$13),Projects!$B$13*Assumptions!$B$15,0)+IF(AND(Projects!$G$14="Yes",Projects!$F$14="Yes",47=Projects!$C$14),Projects!$B$14*Assumptions!$B$15,0)+IF(AND(Projects!$G$15="Yes",Projects!$F$15="Yes",47=Projects!$C$15),Projects!$B$15*Assumptions!$B$15,0)+IF(AND(Projects!$G$16="Yes",Projects!$F$16="Yes",47=Projects!$C$16),Projects!$B$16*Assumptions!$B$15,0),Actuals!AZ15)</f>
        <v>0</v>
      </c>
      <c r="BA18" s="3">
        <f>IF(ISBLANK(Actuals!BA15),IF(AND(Projects!$G$6="Yes",Projects!$F$6="Yes",48=Projects!$C$6),Projects!$B$6*Assumptions!$B$15,0)+IF(AND(Projects!$G$7="Yes",Projects!$F$7="Yes",48=Projects!$C$7),Projects!$B$7*Assumptions!$B$15,0)+IF(AND(Projects!$G$8="Yes",Projects!$F$8="Yes",48=Projects!$C$8),Projects!$B$8*Assumptions!$B$15,0)+IF(AND(Projects!$G$9="Yes",Projects!$F$9="Yes",48=Projects!$C$9),Projects!$B$9*Assumptions!$B$15,0)+IF(AND(Projects!$G$10="Yes",Projects!$F$10="Yes",48=Projects!$C$10),Projects!$B$10*Assumptions!$B$15,0)+IF(AND(Projects!$G$11="Yes",Projects!$F$11="Yes",48=Projects!$C$11),Projects!$B$11*Assumptions!$B$15,0)+IF(AND(Projects!$G$12="Yes",Projects!$F$12="Yes",48=Projects!$C$12),Projects!$B$12*Assumptions!$B$15,0)+IF(AND(Projects!$G$13="Yes",Projects!$F$13="Yes",48=Projects!$C$13),Projects!$B$13*Assumptions!$B$15,0)+IF(AND(Projects!$G$14="Yes",Projects!$F$14="Yes",48=Projects!$C$14),Projects!$B$14*Assumptions!$B$15,0)+IF(AND(Projects!$G$15="Yes",Projects!$F$15="Yes",48=Projects!$C$15),Projects!$B$15*Assumptions!$B$15,0)+IF(AND(Projects!$G$16="Yes",Projects!$F$16="Yes",48=Projects!$C$16),Projects!$B$16*Assumptions!$B$15,0),Actuals!BA15)</f>
        <v>0</v>
      </c>
      <c r="BB18" s="3">
        <f>IF(ISBLANK(Actuals!BB15),IF(AND(Projects!$G$6="Yes",Projects!$F$6="Yes",49=Projects!$C$6),Projects!$B$6*Assumptions!$B$15,0)+IF(AND(Projects!$G$7="Yes",Projects!$F$7="Yes",49=Projects!$C$7),Projects!$B$7*Assumptions!$B$15,0)+IF(AND(Projects!$G$8="Yes",Projects!$F$8="Yes",49=Projects!$C$8),Projects!$B$8*Assumptions!$B$15,0)+IF(AND(Projects!$G$9="Yes",Projects!$F$9="Yes",49=Projects!$C$9),Projects!$B$9*Assumptions!$B$15,0)+IF(AND(Projects!$G$10="Yes",Projects!$F$10="Yes",49=Projects!$C$10),Projects!$B$10*Assumptions!$B$15,0)+IF(AND(Projects!$G$11="Yes",Projects!$F$11="Yes",49=Projects!$C$11),Projects!$B$11*Assumptions!$B$15,0)+IF(AND(Projects!$G$12="Yes",Projects!$F$12="Yes",49=Projects!$C$12),Projects!$B$12*Assumptions!$B$15,0)+IF(AND(Projects!$G$13="Yes",Projects!$F$13="Yes",49=Projects!$C$13),Projects!$B$13*Assumptions!$B$15,0)+IF(AND(Projects!$G$14="Yes",Projects!$F$14="Yes",49=Projects!$C$14),Projects!$B$14*Assumptions!$B$15,0)+IF(AND(Projects!$G$15="Yes",Projects!$F$15="Yes",49=Projects!$C$15),Projects!$B$15*Assumptions!$B$15,0)+IF(AND(Projects!$G$16="Yes",Projects!$F$16="Yes",49=Projects!$C$16),Projects!$B$16*Assumptions!$B$15,0),Actuals!BB15)</f>
        <v>0</v>
      </c>
      <c r="BC18" s="3">
        <f>IF(ISBLANK(Actuals!BC15),IF(AND(Projects!$G$6="Yes",Projects!$F$6="Yes",50=Projects!$C$6),Projects!$B$6*Assumptions!$B$15,0)+IF(AND(Projects!$G$7="Yes",Projects!$F$7="Yes",50=Projects!$C$7),Projects!$B$7*Assumptions!$B$15,0)+IF(AND(Projects!$G$8="Yes",Projects!$F$8="Yes",50=Projects!$C$8),Projects!$B$8*Assumptions!$B$15,0)+IF(AND(Projects!$G$9="Yes",Projects!$F$9="Yes",50=Projects!$C$9),Projects!$B$9*Assumptions!$B$15,0)+IF(AND(Projects!$G$10="Yes",Projects!$F$10="Yes",50=Projects!$C$10),Projects!$B$10*Assumptions!$B$15,0)+IF(AND(Projects!$G$11="Yes",Projects!$F$11="Yes",50=Projects!$C$11),Projects!$B$11*Assumptions!$B$15,0)+IF(AND(Projects!$G$12="Yes",Projects!$F$12="Yes",50=Projects!$C$12),Projects!$B$12*Assumptions!$B$15,0)+IF(AND(Projects!$G$13="Yes",Projects!$F$13="Yes",50=Projects!$C$13),Projects!$B$13*Assumptions!$B$15,0)+IF(AND(Projects!$G$14="Yes",Projects!$F$14="Yes",50=Projects!$C$14),Projects!$B$14*Assumptions!$B$15,0)+IF(AND(Projects!$G$15="Yes",Projects!$F$15="Yes",50=Projects!$C$15),Projects!$B$15*Assumptions!$B$15,0)+IF(AND(Projects!$G$16="Yes",Projects!$F$16="Yes",50=Projects!$C$16),Projects!$B$16*Assumptions!$B$15,0),Actuals!BC15)</f>
        <v>0</v>
      </c>
      <c r="BD18" s="3">
        <f>IF(ISBLANK(Actuals!BD15),IF(AND(Projects!$G$6="Yes",Projects!$F$6="Yes",51=Projects!$C$6),Projects!$B$6*Assumptions!$B$15,0)+IF(AND(Projects!$G$7="Yes",Projects!$F$7="Yes",51=Projects!$C$7),Projects!$B$7*Assumptions!$B$15,0)+IF(AND(Projects!$G$8="Yes",Projects!$F$8="Yes",51=Projects!$C$8),Projects!$B$8*Assumptions!$B$15,0)+IF(AND(Projects!$G$9="Yes",Projects!$F$9="Yes",51=Projects!$C$9),Projects!$B$9*Assumptions!$B$15,0)+IF(AND(Projects!$G$10="Yes",Projects!$F$10="Yes",51=Projects!$C$10),Projects!$B$10*Assumptions!$B$15,0)+IF(AND(Projects!$G$11="Yes",Projects!$F$11="Yes",51=Projects!$C$11),Projects!$B$11*Assumptions!$B$15,0)+IF(AND(Projects!$G$12="Yes",Projects!$F$12="Yes",51=Projects!$C$12),Projects!$B$12*Assumptions!$B$15,0)+IF(AND(Projects!$G$13="Yes",Projects!$F$13="Yes",51=Projects!$C$13),Projects!$B$13*Assumptions!$B$15,0)+IF(AND(Projects!$G$14="Yes",Projects!$F$14="Yes",51=Projects!$C$14),Projects!$B$14*Assumptions!$B$15,0)+IF(AND(Projects!$G$15="Yes",Projects!$F$15="Yes",51=Projects!$C$15),Projects!$B$15*Assumptions!$B$15,0)+IF(AND(Projects!$G$16="Yes",Projects!$F$16="Yes",51=Projects!$C$16),Projects!$B$16*Assumptions!$B$15,0),Actuals!BD15)</f>
        <v>0</v>
      </c>
      <c r="BE18" s="3">
        <f>IF(ISBLANK(Actuals!BE15),IF(AND(Projects!$G$6="Yes",Projects!$F$6="Yes",52=Projects!$C$6),Projects!$B$6*Assumptions!$B$15,0)+IF(AND(Projects!$G$7="Yes",Projects!$F$7="Yes",52=Projects!$C$7),Projects!$B$7*Assumptions!$B$15,0)+IF(AND(Projects!$G$8="Yes",Projects!$F$8="Yes",52=Projects!$C$8),Projects!$B$8*Assumptions!$B$15,0)+IF(AND(Projects!$G$9="Yes",Projects!$F$9="Yes",52=Projects!$C$9),Projects!$B$9*Assumptions!$B$15,0)+IF(AND(Projects!$G$10="Yes",Projects!$F$10="Yes",52=Projects!$C$10),Projects!$B$10*Assumptions!$B$15,0)+IF(AND(Projects!$G$11="Yes",Projects!$F$11="Yes",52=Projects!$C$11),Projects!$B$11*Assumptions!$B$15,0)+IF(AND(Projects!$G$12="Yes",Projects!$F$12="Yes",52=Projects!$C$12),Projects!$B$12*Assumptions!$B$15,0)+IF(AND(Projects!$G$13="Yes",Projects!$F$13="Yes",52=Projects!$C$13),Projects!$B$13*Assumptions!$B$15,0)+IF(AND(Projects!$G$14="Yes",Projects!$F$14="Yes",52=Projects!$C$14),Projects!$B$14*Assumptions!$B$15,0)+IF(AND(Projects!$G$15="Yes",Projects!$F$15="Yes",52=Projects!$C$15),Projects!$B$15*Assumptions!$B$15,0)+IF(AND(Projects!$G$16="Yes",Projects!$F$16="Yes",52=Projects!$C$16),Projects!$B$16*Assumptions!$B$15,0),Actuals!BE15)</f>
        <v>0</v>
      </c>
      <c r="BF18" s="3">
        <f>IF(ISBLANK(Actuals!BF15),IF(AND(Projects!$G$6="Yes",Projects!$F$6="Yes",53=Projects!$C$6),Projects!$B$6*Assumptions!$B$15,0)+IF(AND(Projects!$G$7="Yes",Projects!$F$7="Yes",53=Projects!$C$7),Projects!$B$7*Assumptions!$B$15,0)+IF(AND(Projects!$G$8="Yes",Projects!$F$8="Yes",53=Projects!$C$8),Projects!$B$8*Assumptions!$B$15,0)+IF(AND(Projects!$G$9="Yes",Projects!$F$9="Yes",53=Projects!$C$9),Projects!$B$9*Assumptions!$B$15,0)+IF(AND(Projects!$G$10="Yes",Projects!$F$10="Yes",53=Projects!$C$10),Projects!$B$10*Assumptions!$B$15,0)+IF(AND(Projects!$G$11="Yes",Projects!$F$11="Yes",53=Projects!$C$11),Projects!$B$11*Assumptions!$B$15,0)+IF(AND(Projects!$G$12="Yes",Projects!$F$12="Yes",53=Projects!$C$12),Projects!$B$12*Assumptions!$B$15,0)+IF(AND(Projects!$G$13="Yes",Projects!$F$13="Yes",53=Projects!$C$13),Projects!$B$13*Assumptions!$B$15,0)+IF(AND(Projects!$G$14="Yes",Projects!$F$14="Yes",53=Projects!$C$14),Projects!$B$14*Assumptions!$B$15,0)+IF(AND(Projects!$G$15="Yes",Projects!$F$15="Yes",53=Projects!$C$15),Projects!$B$15*Assumptions!$B$15,0)+IF(AND(Projects!$G$16="Yes",Projects!$F$16="Yes",53=Projects!$C$16),Projects!$B$16*Assumptions!$B$15,0),Actuals!BF15)</f>
        <v>0</v>
      </c>
      <c r="BG18" s="3">
        <f>IF(ISBLANK(Actuals!BG15),IF(AND(Projects!$G$6="Yes",Projects!$F$6="Yes",54=Projects!$C$6),Projects!$B$6*Assumptions!$B$15,0)+IF(AND(Projects!$G$7="Yes",Projects!$F$7="Yes",54=Projects!$C$7),Projects!$B$7*Assumptions!$B$15,0)+IF(AND(Projects!$G$8="Yes",Projects!$F$8="Yes",54=Projects!$C$8),Projects!$B$8*Assumptions!$B$15,0)+IF(AND(Projects!$G$9="Yes",Projects!$F$9="Yes",54=Projects!$C$9),Projects!$B$9*Assumptions!$B$15,0)+IF(AND(Projects!$G$10="Yes",Projects!$F$10="Yes",54=Projects!$C$10),Projects!$B$10*Assumptions!$B$15,0)+IF(AND(Projects!$G$11="Yes",Projects!$F$11="Yes",54=Projects!$C$11),Projects!$B$11*Assumptions!$B$15,0)+IF(AND(Projects!$G$12="Yes",Projects!$F$12="Yes",54=Projects!$C$12),Projects!$B$12*Assumptions!$B$15,0)+IF(AND(Projects!$G$13="Yes",Projects!$F$13="Yes",54=Projects!$C$13),Projects!$B$13*Assumptions!$B$15,0)+IF(AND(Projects!$G$14="Yes",Projects!$F$14="Yes",54=Projects!$C$14),Projects!$B$14*Assumptions!$B$15,0)+IF(AND(Projects!$G$15="Yes",Projects!$F$15="Yes",54=Projects!$C$15),Projects!$B$15*Assumptions!$B$15,0)+IF(AND(Projects!$G$16="Yes",Projects!$F$16="Yes",54=Projects!$C$16),Projects!$B$16*Assumptions!$B$15,0),Actuals!BG15)</f>
        <v>0</v>
      </c>
      <c r="BH18" s="3">
        <f>IF(ISBLANK(Actuals!BH15),IF(AND(Projects!$G$6="Yes",Projects!$F$6="Yes",55=Projects!$C$6),Projects!$B$6*Assumptions!$B$15,0)+IF(AND(Projects!$G$7="Yes",Projects!$F$7="Yes",55=Projects!$C$7),Projects!$B$7*Assumptions!$B$15,0)+IF(AND(Projects!$G$8="Yes",Projects!$F$8="Yes",55=Projects!$C$8),Projects!$B$8*Assumptions!$B$15,0)+IF(AND(Projects!$G$9="Yes",Projects!$F$9="Yes",55=Projects!$C$9),Projects!$B$9*Assumptions!$B$15,0)+IF(AND(Projects!$G$10="Yes",Projects!$F$10="Yes",55=Projects!$C$10),Projects!$B$10*Assumptions!$B$15,0)+IF(AND(Projects!$G$11="Yes",Projects!$F$11="Yes",55=Projects!$C$11),Projects!$B$11*Assumptions!$B$15,0)+IF(AND(Projects!$G$12="Yes",Projects!$F$12="Yes",55=Projects!$C$12),Projects!$B$12*Assumptions!$B$15,0)+IF(AND(Projects!$G$13="Yes",Projects!$F$13="Yes",55=Projects!$C$13),Projects!$B$13*Assumptions!$B$15,0)+IF(AND(Projects!$G$14="Yes",Projects!$F$14="Yes",55=Projects!$C$14),Projects!$B$14*Assumptions!$B$15,0)+IF(AND(Projects!$G$15="Yes",Projects!$F$15="Yes",55=Projects!$C$15),Projects!$B$15*Assumptions!$B$15,0)+IF(AND(Projects!$G$16="Yes",Projects!$F$16="Yes",55=Projects!$C$16),Projects!$B$16*Assumptions!$B$15,0),Actuals!BH15)</f>
        <v>0</v>
      </c>
      <c r="BI18" s="3">
        <f>IF(ISBLANK(Actuals!BI15),IF(AND(Projects!$G$6="Yes",Projects!$F$6="Yes",56=Projects!$C$6),Projects!$B$6*Assumptions!$B$15,0)+IF(AND(Projects!$G$7="Yes",Projects!$F$7="Yes",56=Projects!$C$7),Projects!$B$7*Assumptions!$B$15,0)+IF(AND(Projects!$G$8="Yes",Projects!$F$8="Yes",56=Projects!$C$8),Projects!$B$8*Assumptions!$B$15,0)+IF(AND(Projects!$G$9="Yes",Projects!$F$9="Yes",56=Projects!$C$9),Projects!$B$9*Assumptions!$B$15,0)+IF(AND(Projects!$G$10="Yes",Projects!$F$10="Yes",56=Projects!$C$10),Projects!$B$10*Assumptions!$B$15,0)+IF(AND(Projects!$G$11="Yes",Projects!$F$11="Yes",56=Projects!$C$11),Projects!$B$11*Assumptions!$B$15,0)+IF(AND(Projects!$G$12="Yes",Projects!$F$12="Yes",56=Projects!$C$12),Projects!$B$12*Assumptions!$B$15,0)+IF(AND(Projects!$G$13="Yes",Projects!$F$13="Yes",56=Projects!$C$13),Projects!$B$13*Assumptions!$B$15,0)+IF(AND(Projects!$G$14="Yes",Projects!$F$14="Yes",56=Projects!$C$14),Projects!$B$14*Assumptions!$B$15,0)+IF(AND(Projects!$G$15="Yes",Projects!$F$15="Yes",56=Projects!$C$15),Projects!$B$15*Assumptions!$B$15,0)+IF(AND(Projects!$G$16="Yes",Projects!$F$16="Yes",56=Projects!$C$16),Projects!$B$16*Assumptions!$B$15,0),Actuals!BI15)</f>
        <v>0</v>
      </c>
      <c r="BJ18" s="3">
        <f>IF(ISBLANK(Actuals!BJ15),IF(AND(Projects!$G$6="Yes",Projects!$F$6="Yes",57=Projects!$C$6),Projects!$B$6*Assumptions!$B$15,0)+IF(AND(Projects!$G$7="Yes",Projects!$F$7="Yes",57=Projects!$C$7),Projects!$B$7*Assumptions!$B$15,0)+IF(AND(Projects!$G$8="Yes",Projects!$F$8="Yes",57=Projects!$C$8),Projects!$B$8*Assumptions!$B$15,0)+IF(AND(Projects!$G$9="Yes",Projects!$F$9="Yes",57=Projects!$C$9),Projects!$B$9*Assumptions!$B$15,0)+IF(AND(Projects!$G$10="Yes",Projects!$F$10="Yes",57=Projects!$C$10),Projects!$B$10*Assumptions!$B$15,0)+IF(AND(Projects!$G$11="Yes",Projects!$F$11="Yes",57=Projects!$C$11),Projects!$B$11*Assumptions!$B$15,0)+IF(AND(Projects!$G$12="Yes",Projects!$F$12="Yes",57=Projects!$C$12),Projects!$B$12*Assumptions!$B$15,0)+IF(AND(Projects!$G$13="Yes",Projects!$F$13="Yes",57=Projects!$C$13),Projects!$B$13*Assumptions!$B$15,0)+IF(AND(Projects!$G$14="Yes",Projects!$F$14="Yes",57=Projects!$C$14),Projects!$B$14*Assumptions!$B$15,0)+IF(AND(Projects!$G$15="Yes",Projects!$F$15="Yes",57=Projects!$C$15),Projects!$B$15*Assumptions!$B$15,0)+IF(AND(Projects!$G$16="Yes",Projects!$F$16="Yes",57=Projects!$C$16),Projects!$B$16*Assumptions!$B$15,0),Actuals!BJ15)</f>
        <v>0</v>
      </c>
      <c r="BK18" s="3">
        <f>IF(ISBLANK(Actuals!BK15),IF(AND(Projects!$G$6="Yes",Projects!$F$6="Yes",58=Projects!$C$6),Projects!$B$6*Assumptions!$B$15,0)+IF(AND(Projects!$G$7="Yes",Projects!$F$7="Yes",58=Projects!$C$7),Projects!$B$7*Assumptions!$B$15,0)+IF(AND(Projects!$G$8="Yes",Projects!$F$8="Yes",58=Projects!$C$8),Projects!$B$8*Assumptions!$B$15,0)+IF(AND(Projects!$G$9="Yes",Projects!$F$9="Yes",58=Projects!$C$9),Projects!$B$9*Assumptions!$B$15,0)+IF(AND(Projects!$G$10="Yes",Projects!$F$10="Yes",58=Projects!$C$10),Projects!$B$10*Assumptions!$B$15,0)+IF(AND(Projects!$G$11="Yes",Projects!$F$11="Yes",58=Projects!$C$11),Projects!$B$11*Assumptions!$B$15,0)+IF(AND(Projects!$G$12="Yes",Projects!$F$12="Yes",58=Projects!$C$12),Projects!$B$12*Assumptions!$B$15,0)+IF(AND(Projects!$G$13="Yes",Projects!$F$13="Yes",58=Projects!$C$13),Projects!$B$13*Assumptions!$B$15,0)+IF(AND(Projects!$G$14="Yes",Projects!$F$14="Yes",58=Projects!$C$14),Projects!$B$14*Assumptions!$B$15,0)+IF(AND(Projects!$G$15="Yes",Projects!$F$15="Yes",58=Projects!$C$15),Projects!$B$15*Assumptions!$B$15,0)+IF(AND(Projects!$G$16="Yes",Projects!$F$16="Yes",58=Projects!$C$16),Projects!$B$16*Assumptions!$B$15,0),Actuals!BK15)</f>
        <v>0</v>
      </c>
      <c r="BL18" s="3">
        <f>IF(ISBLANK(Actuals!BL15),IF(AND(Projects!$G$6="Yes",Projects!$F$6="Yes",59=Projects!$C$6),Projects!$B$6*Assumptions!$B$15,0)+IF(AND(Projects!$G$7="Yes",Projects!$F$7="Yes",59=Projects!$C$7),Projects!$B$7*Assumptions!$B$15,0)+IF(AND(Projects!$G$8="Yes",Projects!$F$8="Yes",59=Projects!$C$8),Projects!$B$8*Assumptions!$B$15,0)+IF(AND(Projects!$G$9="Yes",Projects!$F$9="Yes",59=Projects!$C$9),Projects!$B$9*Assumptions!$B$15,0)+IF(AND(Projects!$G$10="Yes",Projects!$F$10="Yes",59=Projects!$C$10),Projects!$B$10*Assumptions!$B$15,0)+IF(AND(Projects!$G$11="Yes",Projects!$F$11="Yes",59=Projects!$C$11),Projects!$B$11*Assumptions!$B$15,0)+IF(AND(Projects!$G$12="Yes",Projects!$F$12="Yes",59=Projects!$C$12),Projects!$B$12*Assumptions!$B$15,0)+IF(AND(Projects!$G$13="Yes",Projects!$F$13="Yes",59=Projects!$C$13),Projects!$B$13*Assumptions!$B$15,0)+IF(AND(Projects!$G$14="Yes",Projects!$F$14="Yes",59=Projects!$C$14),Projects!$B$14*Assumptions!$B$15,0)+IF(AND(Projects!$G$15="Yes",Projects!$F$15="Yes",59=Projects!$C$15),Projects!$B$15*Assumptions!$B$15,0)+IF(AND(Projects!$G$16="Yes",Projects!$F$16="Yes",59=Projects!$C$16),Projects!$B$16*Assumptions!$B$15,0),Actuals!BL15)</f>
        <v>0</v>
      </c>
      <c r="BM18" s="3">
        <f>IF(ISBLANK(Actuals!BM15),IF(AND(Projects!$G$6="Yes",Projects!$F$6="Yes",60=Projects!$C$6),Projects!$B$6*Assumptions!$B$15,0)+IF(AND(Projects!$G$7="Yes",Projects!$F$7="Yes",60=Projects!$C$7),Projects!$B$7*Assumptions!$B$15,0)+IF(AND(Projects!$G$8="Yes",Projects!$F$8="Yes",60=Projects!$C$8),Projects!$B$8*Assumptions!$B$15,0)+IF(AND(Projects!$G$9="Yes",Projects!$F$9="Yes",60=Projects!$C$9),Projects!$B$9*Assumptions!$B$15,0)+IF(AND(Projects!$G$10="Yes",Projects!$F$10="Yes",60=Projects!$C$10),Projects!$B$10*Assumptions!$B$15,0)+IF(AND(Projects!$G$11="Yes",Projects!$F$11="Yes",60=Projects!$C$11),Projects!$B$11*Assumptions!$B$15,0)+IF(AND(Projects!$G$12="Yes",Projects!$F$12="Yes",60=Projects!$C$12),Projects!$B$12*Assumptions!$B$15,0)+IF(AND(Projects!$G$13="Yes",Projects!$F$13="Yes",60=Projects!$C$13),Projects!$B$13*Assumptions!$B$15,0)+IF(AND(Projects!$G$14="Yes",Projects!$F$14="Yes",60=Projects!$C$14),Projects!$B$14*Assumptions!$B$15,0)+IF(AND(Projects!$G$15="Yes",Projects!$F$15="Yes",60=Projects!$C$15),Projects!$B$15*Assumptions!$B$15,0)+IF(AND(Projects!$G$16="Yes",Projects!$F$16="Yes",60=Projects!$C$16),Projects!$B$16*Assumptions!$B$15,0),Actuals!BM15)</f>
        <v>0</v>
      </c>
      <c r="BN18" s="3">
        <f>IF(ISBLANK(Actuals!BN15),IF(AND(Projects!$G$6="Yes",Projects!$F$6="Yes",61=Projects!$C$6),Projects!$B$6*Assumptions!$B$15,0)+IF(AND(Projects!$G$7="Yes",Projects!$F$7="Yes",61=Projects!$C$7),Projects!$B$7*Assumptions!$B$15,0)+IF(AND(Projects!$G$8="Yes",Projects!$F$8="Yes",61=Projects!$C$8),Projects!$B$8*Assumptions!$B$15,0)+IF(AND(Projects!$G$9="Yes",Projects!$F$9="Yes",61=Projects!$C$9),Projects!$B$9*Assumptions!$B$15,0)+IF(AND(Projects!$G$10="Yes",Projects!$F$10="Yes",61=Projects!$C$10),Projects!$B$10*Assumptions!$B$15,0)+IF(AND(Projects!$G$11="Yes",Projects!$F$11="Yes",61=Projects!$C$11),Projects!$B$11*Assumptions!$B$15,0)+IF(AND(Projects!$G$12="Yes",Projects!$F$12="Yes",61=Projects!$C$12),Projects!$B$12*Assumptions!$B$15,0)+IF(AND(Projects!$G$13="Yes",Projects!$F$13="Yes",61=Projects!$C$13),Projects!$B$13*Assumptions!$B$15,0)+IF(AND(Projects!$G$14="Yes",Projects!$F$14="Yes",61=Projects!$C$14),Projects!$B$14*Assumptions!$B$15,0)+IF(AND(Projects!$G$15="Yes",Projects!$F$15="Yes",61=Projects!$C$15),Projects!$B$15*Assumptions!$B$15,0)+IF(AND(Projects!$G$16="Yes",Projects!$F$16="Yes",61=Projects!$C$16),Projects!$B$16*Assumptions!$B$15,0),Actuals!BN15)</f>
        <v>0</v>
      </c>
      <c r="BO18" s="3">
        <f>IF(ISBLANK(Actuals!BO15),IF(AND(Projects!$G$6="Yes",Projects!$F$6="Yes",62=Projects!$C$6),Projects!$B$6*Assumptions!$B$15,0)+IF(AND(Projects!$G$7="Yes",Projects!$F$7="Yes",62=Projects!$C$7),Projects!$B$7*Assumptions!$B$15,0)+IF(AND(Projects!$G$8="Yes",Projects!$F$8="Yes",62=Projects!$C$8),Projects!$B$8*Assumptions!$B$15,0)+IF(AND(Projects!$G$9="Yes",Projects!$F$9="Yes",62=Projects!$C$9),Projects!$B$9*Assumptions!$B$15,0)+IF(AND(Projects!$G$10="Yes",Projects!$F$10="Yes",62=Projects!$C$10),Projects!$B$10*Assumptions!$B$15,0)+IF(AND(Projects!$G$11="Yes",Projects!$F$11="Yes",62=Projects!$C$11),Projects!$B$11*Assumptions!$B$15,0)+IF(AND(Projects!$G$12="Yes",Projects!$F$12="Yes",62=Projects!$C$12),Projects!$B$12*Assumptions!$B$15,0)+IF(AND(Projects!$G$13="Yes",Projects!$F$13="Yes",62=Projects!$C$13),Projects!$B$13*Assumptions!$B$15,0)+IF(AND(Projects!$G$14="Yes",Projects!$F$14="Yes",62=Projects!$C$14),Projects!$B$14*Assumptions!$B$15,0)+IF(AND(Projects!$G$15="Yes",Projects!$F$15="Yes",62=Projects!$C$15),Projects!$B$15*Assumptions!$B$15,0)+IF(AND(Projects!$G$16="Yes",Projects!$F$16="Yes",62=Projects!$C$16),Projects!$B$16*Assumptions!$B$15,0),Actuals!BO15)</f>
        <v>0</v>
      </c>
      <c r="BP18" s="3">
        <f>IF(ISBLANK(Actuals!BP15),IF(AND(Projects!$G$6="Yes",Projects!$F$6="Yes",63=Projects!$C$6),Projects!$B$6*Assumptions!$B$15,0)+IF(AND(Projects!$G$7="Yes",Projects!$F$7="Yes",63=Projects!$C$7),Projects!$B$7*Assumptions!$B$15,0)+IF(AND(Projects!$G$8="Yes",Projects!$F$8="Yes",63=Projects!$C$8),Projects!$B$8*Assumptions!$B$15,0)+IF(AND(Projects!$G$9="Yes",Projects!$F$9="Yes",63=Projects!$C$9),Projects!$B$9*Assumptions!$B$15,0)+IF(AND(Projects!$G$10="Yes",Projects!$F$10="Yes",63=Projects!$C$10),Projects!$B$10*Assumptions!$B$15,0)+IF(AND(Projects!$G$11="Yes",Projects!$F$11="Yes",63=Projects!$C$11),Projects!$B$11*Assumptions!$B$15,0)+IF(AND(Projects!$G$12="Yes",Projects!$F$12="Yes",63=Projects!$C$12),Projects!$B$12*Assumptions!$B$15,0)+IF(AND(Projects!$G$13="Yes",Projects!$F$13="Yes",63=Projects!$C$13),Projects!$B$13*Assumptions!$B$15,0)+IF(AND(Projects!$G$14="Yes",Projects!$F$14="Yes",63=Projects!$C$14),Projects!$B$14*Assumptions!$B$15,0)+IF(AND(Projects!$G$15="Yes",Projects!$F$15="Yes",63=Projects!$C$15),Projects!$B$15*Assumptions!$B$15,0)+IF(AND(Projects!$G$16="Yes",Projects!$F$16="Yes",63=Projects!$C$16),Projects!$B$16*Assumptions!$B$15,0),Actuals!BP15)</f>
        <v>0</v>
      </c>
      <c r="BQ18" s="3">
        <f>IF(ISBLANK(Actuals!BQ15),IF(AND(Projects!$G$6="Yes",Projects!$F$6="Yes",64=Projects!$C$6),Projects!$B$6*Assumptions!$B$15,0)+IF(AND(Projects!$G$7="Yes",Projects!$F$7="Yes",64=Projects!$C$7),Projects!$B$7*Assumptions!$B$15,0)+IF(AND(Projects!$G$8="Yes",Projects!$F$8="Yes",64=Projects!$C$8),Projects!$B$8*Assumptions!$B$15,0)+IF(AND(Projects!$G$9="Yes",Projects!$F$9="Yes",64=Projects!$C$9),Projects!$B$9*Assumptions!$B$15,0)+IF(AND(Projects!$G$10="Yes",Projects!$F$10="Yes",64=Projects!$C$10),Projects!$B$10*Assumptions!$B$15,0)+IF(AND(Projects!$G$11="Yes",Projects!$F$11="Yes",64=Projects!$C$11),Projects!$B$11*Assumptions!$B$15,0)+IF(AND(Projects!$G$12="Yes",Projects!$F$12="Yes",64=Projects!$C$12),Projects!$B$12*Assumptions!$B$15,0)+IF(AND(Projects!$G$13="Yes",Projects!$F$13="Yes",64=Projects!$C$13),Projects!$B$13*Assumptions!$B$15,0)+IF(AND(Projects!$G$14="Yes",Projects!$F$14="Yes",64=Projects!$C$14),Projects!$B$14*Assumptions!$B$15,0)+IF(AND(Projects!$G$15="Yes",Projects!$F$15="Yes",64=Projects!$C$15),Projects!$B$15*Assumptions!$B$15,0)+IF(AND(Projects!$G$16="Yes",Projects!$F$16="Yes",64=Projects!$C$16),Projects!$B$16*Assumptions!$B$15,0),Actuals!BQ15)</f>
        <v>0</v>
      </c>
      <c r="BR18" s="3">
        <f>IF(ISBLANK(Actuals!BR15),IF(AND(Projects!$G$6="Yes",Projects!$F$6="Yes",65=Projects!$C$6),Projects!$B$6*Assumptions!$B$15,0)+IF(AND(Projects!$G$7="Yes",Projects!$F$7="Yes",65=Projects!$C$7),Projects!$B$7*Assumptions!$B$15,0)+IF(AND(Projects!$G$8="Yes",Projects!$F$8="Yes",65=Projects!$C$8),Projects!$B$8*Assumptions!$B$15,0)+IF(AND(Projects!$G$9="Yes",Projects!$F$9="Yes",65=Projects!$C$9),Projects!$B$9*Assumptions!$B$15,0)+IF(AND(Projects!$G$10="Yes",Projects!$F$10="Yes",65=Projects!$C$10),Projects!$B$10*Assumptions!$B$15,0)+IF(AND(Projects!$G$11="Yes",Projects!$F$11="Yes",65=Projects!$C$11),Projects!$B$11*Assumptions!$B$15,0)+IF(AND(Projects!$G$12="Yes",Projects!$F$12="Yes",65=Projects!$C$12),Projects!$B$12*Assumptions!$B$15,0)+IF(AND(Projects!$G$13="Yes",Projects!$F$13="Yes",65=Projects!$C$13),Projects!$B$13*Assumptions!$B$15,0)+IF(AND(Projects!$G$14="Yes",Projects!$F$14="Yes",65=Projects!$C$14),Projects!$B$14*Assumptions!$B$15,0)+IF(AND(Projects!$G$15="Yes",Projects!$F$15="Yes",65=Projects!$C$15),Projects!$B$15*Assumptions!$B$15,0)+IF(AND(Projects!$G$16="Yes",Projects!$F$16="Yes",65=Projects!$C$16),Projects!$B$16*Assumptions!$B$15,0),Actuals!BR15)</f>
        <v>0</v>
      </c>
      <c r="BS18" s="3">
        <f>IF(ISBLANK(Actuals!BS15),IF(AND(Projects!$G$6="Yes",Projects!$F$6="Yes",66=Projects!$C$6),Projects!$B$6*Assumptions!$B$15,0)+IF(AND(Projects!$G$7="Yes",Projects!$F$7="Yes",66=Projects!$C$7),Projects!$B$7*Assumptions!$B$15,0)+IF(AND(Projects!$G$8="Yes",Projects!$F$8="Yes",66=Projects!$C$8),Projects!$B$8*Assumptions!$B$15,0)+IF(AND(Projects!$G$9="Yes",Projects!$F$9="Yes",66=Projects!$C$9),Projects!$B$9*Assumptions!$B$15,0)+IF(AND(Projects!$G$10="Yes",Projects!$F$10="Yes",66=Projects!$C$10),Projects!$B$10*Assumptions!$B$15,0)+IF(AND(Projects!$G$11="Yes",Projects!$F$11="Yes",66=Projects!$C$11),Projects!$B$11*Assumptions!$B$15,0)+IF(AND(Projects!$G$12="Yes",Projects!$F$12="Yes",66=Projects!$C$12),Projects!$B$12*Assumptions!$B$15,0)+IF(AND(Projects!$G$13="Yes",Projects!$F$13="Yes",66=Projects!$C$13),Projects!$B$13*Assumptions!$B$15,0)+IF(AND(Projects!$G$14="Yes",Projects!$F$14="Yes",66=Projects!$C$14),Projects!$B$14*Assumptions!$B$15,0)+IF(AND(Projects!$G$15="Yes",Projects!$F$15="Yes",66=Projects!$C$15),Projects!$B$15*Assumptions!$B$15,0)+IF(AND(Projects!$G$16="Yes",Projects!$F$16="Yes",66=Projects!$C$16),Projects!$B$16*Assumptions!$B$15,0),Actuals!BS15)</f>
        <v>0</v>
      </c>
      <c r="BT18" s="3">
        <f>IF(ISBLANK(Actuals!BT15),IF(AND(Projects!$G$6="Yes",Projects!$F$6="Yes",67=Projects!$C$6),Projects!$B$6*Assumptions!$B$15,0)+IF(AND(Projects!$G$7="Yes",Projects!$F$7="Yes",67=Projects!$C$7),Projects!$B$7*Assumptions!$B$15,0)+IF(AND(Projects!$G$8="Yes",Projects!$F$8="Yes",67=Projects!$C$8),Projects!$B$8*Assumptions!$B$15,0)+IF(AND(Projects!$G$9="Yes",Projects!$F$9="Yes",67=Projects!$C$9),Projects!$B$9*Assumptions!$B$15,0)+IF(AND(Projects!$G$10="Yes",Projects!$F$10="Yes",67=Projects!$C$10),Projects!$B$10*Assumptions!$B$15,0)+IF(AND(Projects!$G$11="Yes",Projects!$F$11="Yes",67=Projects!$C$11),Projects!$B$11*Assumptions!$B$15,0)+IF(AND(Projects!$G$12="Yes",Projects!$F$12="Yes",67=Projects!$C$12),Projects!$B$12*Assumptions!$B$15,0)+IF(AND(Projects!$G$13="Yes",Projects!$F$13="Yes",67=Projects!$C$13),Projects!$B$13*Assumptions!$B$15,0)+IF(AND(Projects!$G$14="Yes",Projects!$F$14="Yes",67=Projects!$C$14),Projects!$B$14*Assumptions!$B$15,0)+IF(AND(Projects!$G$15="Yes",Projects!$F$15="Yes",67=Projects!$C$15),Projects!$B$15*Assumptions!$B$15,0)+IF(AND(Projects!$G$16="Yes",Projects!$F$16="Yes",67=Projects!$C$16),Projects!$B$16*Assumptions!$B$15,0),Actuals!BT15)</f>
        <v>0</v>
      </c>
      <c r="BU18" s="3">
        <f>IF(ISBLANK(Actuals!BU15),IF(AND(Projects!$G$6="Yes",Projects!$F$6="Yes",68=Projects!$C$6),Projects!$B$6*Assumptions!$B$15,0)+IF(AND(Projects!$G$7="Yes",Projects!$F$7="Yes",68=Projects!$C$7),Projects!$B$7*Assumptions!$B$15,0)+IF(AND(Projects!$G$8="Yes",Projects!$F$8="Yes",68=Projects!$C$8),Projects!$B$8*Assumptions!$B$15,0)+IF(AND(Projects!$G$9="Yes",Projects!$F$9="Yes",68=Projects!$C$9),Projects!$B$9*Assumptions!$B$15,0)+IF(AND(Projects!$G$10="Yes",Projects!$F$10="Yes",68=Projects!$C$10),Projects!$B$10*Assumptions!$B$15,0)+IF(AND(Projects!$G$11="Yes",Projects!$F$11="Yes",68=Projects!$C$11),Projects!$B$11*Assumptions!$B$15,0)+IF(AND(Projects!$G$12="Yes",Projects!$F$12="Yes",68=Projects!$C$12),Projects!$B$12*Assumptions!$B$15,0)+IF(AND(Projects!$G$13="Yes",Projects!$F$13="Yes",68=Projects!$C$13),Projects!$B$13*Assumptions!$B$15,0)+IF(AND(Projects!$G$14="Yes",Projects!$F$14="Yes",68=Projects!$C$14),Projects!$B$14*Assumptions!$B$15,0)+IF(AND(Projects!$G$15="Yes",Projects!$F$15="Yes",68=Projects!$C$15),Projects!$B$15*Assumptions!$B$15,0)+IF(AND(Projects!$G$16="Yes",Projects!$F$16="Yes",68=Projects!$C$16),Projects!$B$16*Assumptions!$B$15,0),Actuals!BU15)</f>
        <v>0</v>
      </c>
      <c r="BV18" s="3">
        <f>IF(ISBLANK(Actuals!BV15),IF(AND(Projects!$G$6="Yes",Projects!$F$6="Yes",69=Projects!$C$6),Projects!$B$6*Assumptions!$B$15,0)+IF(AND(Projects!$G$7="Yes",Projects!$F$7="Yes",69=Projects!$C$7),Projects!$B$7*Assumptions!$B$15,0)+IF(AND(Projects!$G$8="Yes",Projects!$F$8="Yes",69=Projects!$C$8),Projects!$B$8*Assumptions!$B$15,0)+IF(AND(Projects!$G$9="Yes",Projects!$F$9="Yes",69=Projects!$C$9),Projects!$B$9*Assumptions!$B$15,0)+IF(AND(Projects!$G$10="Yes",Projects!$F$10="Yes",69=Projects!$C$10),Projects!$B$10*Assumptions!$B$15,0)+IF(AND(Projects!$G$11="Yes",Projects!$F$11="Yes",69=Projects!$C$11),Projects!$B$11*Assumptions!$B$15,0)+IF(AND(Projects!$G$12="Yes",Projects!$F$12="Yes",69=Projects!$C$12),Projects!$B$12*Assumptions!$B$15,0)+IF(AND(Projects!$G$13="Yes",Projects!$F$13="Yes",69=Projects!$C$13),Projects!$B$13*Assumptions!$B$15,0)+IF(AND(Projects!$G$14="Yes",Projects!$F$14="Yes",69=Projects!$C$14),Projects!$B$14*Assumptions!$B$15,0)+IF(AND(Projects!$G$15="Yes",Projects!$F$15="Yes",69=Projects!$C$15),Projects!$B$15*Assumptions!$B$15,0)+IF(AND(Projects!$G$16="Yes",Projects!$F$16="Yes",69=Projects!$C$16),Projects!$B$16*Assumptions!$B$15,0),Actuals!BV15)</f>
        <v>0</v>
      </c>
      <c r="BW18" s="3">
        <f>IF(ISBLANK(Actuals!BW15),IF(AND(Projects!$G$6="Yes",Projects!$F$6="Yes",70=Projects!$C$6),Projects!$B$6*Assumptions!$B$15,0)+IF(AND(Projects!$G$7="Yes",Projects!$F$7="Yes",70=Projects!$C$7),Projects!$B$7*Assumptions!$B$15,0)+IF(AND(Projects!$G$8="Yes",Projects!$F$8="Yes",70=Projects!$C$8),Projects!$B$8*Assumptions!$B$15,0)+IF(AND(Projects!$G$9="Yes",Projects!$F$9="Yes",70=Projects!$C$9),Projects!$B$9*Assumptions!$B$15,0)+IF(AND(Projects!$G$10="Yes",Projects!$F$10="Yes",70=Projects!$C$10),Projects!$B$10*Assumptions!$B$15,0)+IF(AND(Projects!$G$11="Yes",Projects!$F$11="Yes",70=Projects!$C$11),Projects!$B$11*Assumptions!$B$15,0)+IF(AND(Projects!$G$12="Yes",Projects!$F$12="Yes",70=Projects!$C$12),Projects!$B$12*Assumptions!$B$15,0)+IF(AND(Projects!$G$13="Yes",Projects!$F$13="Yes",70=Projects!$C$13),Projects!$B$13*Assumptions!$B$15,0)+IF(AND(Projects!$G$14="Yes",Projects!$F$14="Yes",70=Projects!$C$14),Projects!$B$14*Assumptions!$B$15,0)+IF(AND(Projects!$G$15="Yes",Projects!$F$15="Yes",70=Projects!$C$15),Projects!$B$15*Assumptions!$B$15,0)+IF(AND(Projects!$G$16="Yes",Projects!$F$16="Yes",70=Projects!$C$16),Projects!$B$16*Assumptions!$B$15,0),Actuals!BW15)</f>
        <v>0</v>
      </c>
      <c r="BX18" s="3">
        <f>IF(ISBLANK(Actuals!BX15),IF(AND(Projects!$G$6="Yes",Projects!$F$6="Yes",71=Projects!$C$6),Projects!$B$6*Assumptions!$B$15,0)+IF(AND(Projects!$G$7="Yes",Projects!$F$7="Yes",71=Projects!$C$7),Projects!$B$7*Assumptions!$B$15,0)+IF(AND(Projects!$G$8="Yes",Projects!$F$8="Yes",71=Projects!$C$8),Projects!$B$8*Assumptions!$B$15,0)+IF(AND(Projects!$G$9="Yes",Projects!$F$9="Yes",71=Projects!$C$9),Projects!$B$9*Assumptions!$B$15,0)+IF(AND(Projects!$G$10="Yes",Projects!$F$10="Yes",71=Projects!$C$10),Projects!$B$10*Assumptions!$B$15,0)+IF(AND(Projects!$G$11="Yes",Projects!$F$11="Yes",71=Projects!$C$11),Projects!$B$11*Assumptions!$B$15,0)+IF(AND(Projects!$G$12="Yes",Projects!$F$12="Yes",71=Projects!$C$12),Projects!$B$12*Assumptions!$B$15,0)+IF(AND(Projects!$G$13="Yes",Projects!$F$13="Yes",71=Projects!$C$13),Projects!$B$13*Assumptions!$B$15,0)+IF(AND(Projects!$G$14="Yes",Projects!$F$14="Yes",71=Projects!$C$14),Projects!$B$14*Assumptions!$B$15,0)+IF(AND(Projects!$G$15="Yes",Projects!$F$15="Yes",71=Projects!$C$15),Projects!$B$15*Assumptions!$B$15,0)+IF(AND(Projects!$G$16="Yes",Projects!$F$16="Yes",71=Projects!$C$16),Projects!$B$16*Assumptions!$B$15,0),Actuals!BX15)</f>
        <v>0</v>
      </c>
      <c r="BY18" s="3">
        <f>IF(ISBLANK(Actuals!BY15),IF(AND(Projects!$G$6="Yes",Projects!$F$6="Yes",72=Projects!$C$6),Projects!$B$6*Assumptions!$B$15,0)+IF(AND(Projects!$G$7="Yes",Projects!$F$7="Yes",72=Projects!$C$7),Projects!$B$7*Assumptions!$B$15,0)+IF(AND(Projects!$G$8="Yes",Projects!$F$8="Yes",72=Projects!$C$8),Projects!$B$8*Assumptions!$B$15,0)+IF(AND(Projects!$G$9="Yes",Projects!$F$9="Yes",72=Projects!$C$9),Projects!$B$9*Assumptions!$B$15,0)+IF(AND(Projects!$G$10="Yes",Projects!$F$10="Yes",72=Projects!$C$10),Projects!$B$10*Assumptions!$B$15,0)+IF(AND(Projects!$G$11="Yes",Projects!$F$11="Yes",72=Projects!$C$11),Projects!$B$11*Assumptions!$B$15,0)+IF(AND(Projects!$G$12="Yes",Projects!$F$12="Yes",72=Projects!$C$12),Projects!$B$12*Assumptions!$B$15,0)+IF(AND(Projects!$G$13="Yes",Projects!$F$13="Yes",72=Projects!$C$13),Projects!$B$13*Assumptions!$B$15,0)+IF(AND(Projects!$G$14="Yes",Projects!$F$14="Yes",72=Projects!$C$14),Projects!$B$14*Assumptions!$B$15,0)+IF(AND(Projects!$G$15="Yes",Projects!$F$15="Yes",72=Projects!$C$15),Projects!$B$15*Assumptions!$B$15,0)+IF(AND(Projects!$G$16="Yes",Projects!$F$16="Yes",72=Projects!$C$16),Projects!$B$16*Assumptions!$B$15,0),Actuals!BY15)</f>
        <v>0</v>
      </c>
      <c r="BZ18" s="3">
        <f>IF(ISBLANK(Actuals!BZ15),IF(AND(Projects!$G$6="Yes",Projects!$F$6="Yes",73=Projects!$C$6),Projects!$B$6*Assumptions!$B$15,0)+IF(AND(Projects!$G$7="Yes",Projects!$F$7="Yes",73=Projects!$C$7),Projects!$B$7*Assumptions!$B$15,0)+IF(AND(Projects!$G$8="Yes",Projects!$F$8="Yes",73=Projects!$C$8),Projects!$B$8*Assumptions!$B$15,0)+IF(AND(Projects!$G$9="Yes",Projects!$F$9="Yes",73=Projects!$C$9),Projects!$B$9*Assumptions!$B$15,0)+IF(AND(Projects!$G$10="Yes",Projects!$F$10="Yes",73=Projects!$C$10),Projects!$B$10*Assumptions!$B$15,0)+IF(AND(Projects!$G$11="Yes",Projects!$F$11="Yes",73=Projects!$C$11),Projects!$B$11*Assumptions!$B$15,0)+IF(AND(Projects!$G$12="Yes",Projects!$F$12="Yes",73=Projects!$C$12),Projects!$B$12*Assumptions!$B$15,0)+IF(AND(Projects!$G$13="Yes",Projects!$F$13="Yes",73=Projects!$C$13),Projects!$B$13*Assumptions!$B$15,0)+IF(AND(Projects!$G$14="Yes",Projects!$F$14="Yes",73=Projects!$C$14),Projects!$B$14*Assumptions!$B$15,0)+IF(AND(Projects!$G$15="Yes",Projects!$F$15="Yes",73=Projects!$C$15),Projects!$B$15*Assumptions!$B$15,0)+IF(AND(Projects!$G$16="Yes",Projects!$F$16="Yes",73=Projects!$C$16),Projects!$B$16*Assumptions!$B$15,0),Actuals!BZ15)</f>
        <v>0</v>
      </c>
      <c r="CA18" s="3">
        <f>IF(ISBLANK(Actuals!CA15),IF(AND(Projects!$G$6="Yes",Projects!$F$6="Yes",74=Projects!$C$6),Projects!$B$6*Assumptions!$B$15,0)+IF(AND(Projects!$G$7="Yes",Projects!$F$7="Yes",74=Projects!$C$7),Projects!$B$7*Assumptions!$B$15,0)+IF(AND(Projects!$G$8="Yes",Projects!$F$8="Yes",74=Projects!$C$8),Projects!$B$8*Assumptions!$B$15,0)+IF(AND(Projects!$G$9="Yes",Projects!$F$9="Yes",74=Projects!$C$9),Projects!$B$9*Assumptions!$B$15,0)+IF(AND(Projects!$G$10="Yes",Projects!$F$10="Yes",74=Projects!$C$10),Projects!$B$10*Assumptions!$B$15,0)+IF(AND(Projects!$G$11="Yes",Projects!$F$11="Yes",74=Projects!$C$11),Projects!$B$11*Assumptions!$B$15,0)+IF(AND(Projects!$G$12="Yes",Projects!$F$12="Yes",74=Projects!$C$12),Projects!$B$12*Assumptions!$B$15,0)+IF(AND(Projects!$G$13="Yes",Projects!$F$13="Yes",74=Projects!$C$13),Projects!$B$13*Assumptions!$B$15,0)+IF(AND(Projects!$G$14="Yes",Projects!$F$14="Yes",74=Projects!$C$14),Projects!$B$14*Assumptions!$B$15,0)+IF(AND(Projects!$G$15="Yes",Projects!$F$15="Yes",74=Projects!$C$15),Projects!$B$15*Assumptions!$B$15,0)+IF(AND(Projects!$G$16="Yes",Projects!$F$16="Yes",74=Projects!$C$16),Projects!$B$16*Assumptions!$B$15,0),Actuals!CA15)</f>
        <v>0</v>
      </c>
      <c r="CB18" s="3">
        <f>IF(ISBLANK(Actuals!CB15),IF(AND(Projects!$G$6="Yes",Projects!$F$6="Yes",75=Projects!$C$6),Projects!$B$6*Assumptions!$B$15,0)+IF(AND(Projects!$G$7="Yes",Projects!$F$7="Yes",75=Projects!$C$7),Projects!$B$7*Assumptions!$B$15,0)+IF(AND(Projects!$G$8="Yes",Projects!$F$8="Yes",75=Projects!$C$8),Projects!$B$8*Assumptions!$B$15,0)+IF(AND(Projects!$G$9="Yes",Projects!$F$9="Yes",75=Projects!$C$9),Projects!$B$9*Assumptions!$B$15,0)+IF(AND(Projects!$G$10="Yes",Projects!$F$10="Yes",75=Projects!$C$10),Projects!$B$10*Assumptions!$B$15,0)+IF(AND(Projects!$G$11="Yes",Projects!$F$11="Yes",75=Projects!$C$11),Projects!$B$11*Assumptions!$B$15,0)+IF(AND(Projects!$G$12="Yes",Projects!$F$12="Yes",75=Projects!$C$12),Projects!$B$12*Assumptions!$B$15,0)+IF(AND(Projects!$G$13="Yes",Projects!$F$13="Yes",75=Projects!$C$13),Projects!$B$13*Assumptions!$B$15,0)+IF(AND(Projects!$G$14="Yes",Projects!$F$14="Yes",75=Projects!$C$14),Projects!$B$14*Assumptions!$B$15,0)+IF(AND(Projects!$G$15="Yes",Projects!$F$15="Yes",75=Projects!$C$15),Projects!$B$15*Assumptions!$B$15,0)+IF(AND(Projects!$G$16="Yes",Projects!$F$16="Yes",75=Projects!$C$16),Projects!$B$16*Assumptions!$B$15,0),Actuals!CB15)</f>
        <v>0</v>
      </c>
      <c r="CC18" s="3">
        <f>IF(ISBLANK(Actuals!CC15),IF(AND(Projects!$G$6="Yes",Projects!$F$6="Yes",76=Projects!$C$6),Projects!$B$6*Assumptions!$B$15,0)+IF(AND(Projects!$G$7="Yes",Projects!$F$7="Yes",76=Projects!$C$7),Projects!$B$7*Assumptions!$B$15,0)+IF(AND(Projects!$G$8="Yes",Projects!$F$8="Yes",76=Projects!$C$8),Projects!$B$8*Assumptions!$B$15,0)+IF(AND(Projects!$G$9="Yes",Projects!$F$9="Yes",76=Projects!$C$9),Projects!$B$9*Assumptions!$B$15,0)+IF(AND(Projects!$G$10="Yes",Projects!$F$10="Yes",76=Projects!$C$10),Projects!$B$10*Assumptions!$B$15,0)+IF(AND(Projects!$G$11="Yes",Projects!$F$11="Yes",76=Projects!$C$11),Projects!$B$11*Assumptions!$B$15,0)+IF(AND(Projects!$G$12="Yes",Projects!$F$12="Yes",76=Projects!$C$12),Projects!$B$12*Assumptions!$B$15,0)+IF(AND(Projects!$G$13="Yes",Projects!$F$13="Yes",76=Projects!$C$13),Projects!$B$13*Assumptions!$B$15,0)+IF(AND(Projects!$G$14="Yes",Projects!$F$14="Yes",76=Projects!$C$14),Projects!$B$14*Assumptions!$B$15,0)+IF(AND(Projects!$G$15="Yes",Projects!$F$15="Yes",76=Projects!$C$15),Projects!$B$15*Assumptions!$B$15,0)+IF(AND(Projects!$G$16="Yes",Projects!$F$16="Yes",76=Projects!$C$16),Projects!$B$16*Assumptions!$B$15,0),Actuals!CC15)</f>
        <v>0</v>
      </c>
      <c r="CD18" s="3">
        <f>IF(ISBLANK(Actuals!CD15),IF(AND(Projects!$G$6="Yes",Projects!$F$6="Yes",77=Projects!$C$6),Projects!$B$6*Assumptions!$B$15,0)+IF(AND(Projects!$G$7="Yes",Projects!$F$7="Yes",77=Projects!$C$7),Projects!$B$7*Assumptions!$B$15,0)+IF(AND(Projects!$G$8="Yes",Projects!$F$8="Yes",77=Projects!$C$8),Projects!$B$8*Assumptions!$B$15,0)+IF(AND(Projects!$G$9="Yes",Projects!$F$9="Yes",77=Projects!$C$9),Projects!$B$9*Assumptions!$B$15,0)+IF(AND(Projects!$G$10="Yes",Projects!$F$10="Yes",77=Projects!$C$10),Projects!$B$10*Assumptions!$B$15,0)+IF(AND(Projects!$G$11="Yes",Projects!$F$11="Yes",77=Projects!$C$11),Projects!$B$11*Assumptions!$B$15,0)+IF(AND(Projects!$G$12="Yes",Projects!$F$12="Yes",77=Projects!$C$12),Projects!$B$12*Assumptions!$B$15,0)+IF(AND(Projects!$G$13="Yes",Projects!$F$13="Yes",77=Projects!$C$13),Projects!$B$13*Assumptions!$B$15,0)+IF(AND(Projects!$G$14="Yes",Projects!$F$14="Yes",77=Projects!$C$14),Projects!$B$14*Assumptions!$B$15,0)+IF(AND(Projects!$G$15="Yes",Projects!$F$15="Yes",77=Projects!$C$15),Projects!$B$15*Assumptions!$B$15,0)+IF(AND(Projects!$G$16="Yes",Projects!$F$16="Yes",77=Projects!$C$16),Projects!$B$16*Assumptions!$B$15,0),Actuals!CD15)</f>
        <v>0</v>
      </c>
      <c r="CE18" s="3">
        <f>IF(ISBLANK(Actuals!CE15),IF(AND(Projects!$G$6="Yes",Projects!$F$6="Yes",78=Projects!$C$6),Projects!$B$6*Assumptions!$B$15,0)+IF(AND(Projects!$G$7="Yes",Projects!$F$7="Yes",78=Projects!$C$7),Projects!$B$7*Assumptions!$B$15,0)+IF(AND(Projects!$G$8="Yes",Projects!$F$8="Yes",78=Projects!$C$8),Projects!$B$8*Assumptions!$B$15,0)+IF(AND(Projects!$G$9="Yes",Projects!$F$9="Yes",78=Projects!$C$9),Projects!$B$9*Assumptions!$B$15,0)+IF(AND(Projects!$G$10="Yes",Projects!$F$10="Yes",78=Projects!$C$10),Projects!$B$10*Assumptions!$B$15,0)+IF(AND(Projects!$G$11="Yes",Projects!$F$11="Yes",78=Projects!$C$11),Projects!$B$11*Assumptions!$B$15,0)+IF(AND(Projects!$G$12="Yes",Projects!$F$12="Yes",78=Projects!$C$12),Projects!$B$12*Assumptions!$B$15,0)+IF(AND(Projects!$G$13="Yes",Projects!$F$13="Yes",78=Projects!$C$13),Projects!$B$13*Assumptions!$B$15,0)+IF(AND(Projects!$G$14="Yes",Projects!$F$14="Yes",78=Projects!$C$14),Projects!$B$14*Assumptions!$B$15,0)+IF(AND(Projects!$G$15="Yes",Projects!$F$15="Yes",78=Projects!$C$15),Projects!$B$15*Assumptions!$B$15,0)+IF(AND(Projects!$G$16="Yes",Projects!$F$16="Yes",78=Projects!$C$16),Projects!$B$16*Assumptions!$B$15,0),Actuals!CE15)</f>
        <v>0</v>
      </c>
      <c r="CF18" s="3">
        <f>IF(ISBLANK(Actuals!CF15),IF(AND(Projects!$G$6="Yes",Projects!$F$6="Yes",79=Projects!$C$6),Projects!$B$6*Assumptions!$B$15,0)+IF(AND(Projects!$G$7="Yes",Projects!$F$7="Yes",79=Projects!$C$7),Projects!$B$7*Assumptions!$B$15,0)+IF(AND(Projects!$G$8="Yes",Projects!$F$8="Yes",79=Projects!$C$8),Projects!$B$8*Assumptions!$B$15,0)+IF(AND(Projects!$G$9="Yes",Projects!$F$9="Yes",79=Projects!$C$9),Projects!$B$9*Assumptions!$B$15,0)+IF(AND(Projects!$G$10="Yes",Projects!$F$10="Yes",79=Projects!$C$10),Projects!$B$10*Assumptions!$B$15,0)+IF(AND(Projects!$G$11="Yes",Projects!$F$11="Yes",79=Projects!$C$11),Projects!$B$11*Assumptions!$B$15,0)+IF(AND(Projects!$G$12="Yes",Projects!$F$12="Yes",79=Projects!$C$12),Projects!$B$12*Assumptions!$B$15,0)+IF(AND(Projects!$G$13="Yes",Projects!$F$13="Yes",79=Projects!$C$13),Projects!$B$13*Assumptions!$B$15,0)+IF(AND(Projects!$G$14="Yes",Projects!$F$14="Yes",79=Projects!$C$14),Projects!$B$14*Assumptions!$B$15,0)+IF(AND(Projects!$G$15="Yes",Projects!$F$15="Yes",79=Projects!$C$15),Projects!$B$15*Assumptions!$B$15,0)+IF(AND(Projects!$G$16="Yes",Projects!$F$16="Yes",79=Projects!$C$16),Projects!$B$16*Assumptions!$B$15,0),Actuals!CF15)</f>
        <v>0</v>
      </c>
      <c r="CG18" s="3">
        <f>IF(ISBLANK(Actuals!CG15),IF(AND(Projects!$G$6="Yes",Projects!$F$6="Yes",80=Projects!$C$6),Projects!$B$6*Assumptions!$B$15,0)+IF(AND(Projects!$G$7="Yes",Projects!$F$7="Yes",80=Projects!$C$7),Projects!$B$7*Assumptions!$B$15,0)+IF(AND(Projects!$G$8="Yes",Projects!$F$8="Yes",80=Projects!$C$8),Projects!$B$8*Assumptions!$B$15,0)+IF(AND(Projects!$G$9="Yes",Projects!$F$9="Yes",80=Projects!$C$9),Projects!$B$9*Assumptions!$B$15,0)+IF(AND(Projects!$G$10="Yes",Projects!$F$10="Yes",80=Projects!$C$10),Projects!$B$10*Assumptions!$B$15,0)+IF(AND(Projects!$G$11="Yes",Projects!$F$11="Yes",80=Projects!$C$11),Projects!$B$11*Assumptions!$B$15,0)+IF(AND(Projects!$G$12="Yes",Projects!$F$12="Yes",80=Projects!$C$12),Projects!$B$12*Assumptions!$B$15,0)+IF(AND(Projects!$G$13="Yes",Projects!$F$13="Yes",80=Projects!$C$13),Projects!$B$13*Assumptions!$B$15,0)+IF(AND(Projects!$G$14="Yes",Projects!$F$14="Yes",80=Projects!$C$14),Projects!$B$14*Assumptions!$B$15,0)+IF(AND(Projects!$G$15="Yes",Projects!$F$15="Yes",80=Projects!$C$15),Projects!$B$15*Assumptions!$B$15,0)+IF(AND(Projects!$G$16="Yes",Projects!$F$16="Yes",80=Projects!$C$16),Projects!$B$16*Assumptions!$B$15,0),Actuals!CG15)</f>
        <v>0</v>
      </c>
      <c r="CH18" s="3">
        <f>IF(ISBLANK(Actuals!CH15),IF(AND(Projects!$G$6="Yes",Projects!$F$6="Yes",81=Projects!$C$6),Projects!$B$6*Assumptions!$B$15,0)+IF(AND(Projects!$G$7="Yes",Projects!$F$7="Yes",81=Projects!$C$7),Projects!$B$7*Assumptions!$B$15,0)+IF(AND(Projects!$G$8="Yes",Projects!$F$8="Yes",81=Projects!$C$8),Projects!$B$8*Assumptions!$B$15,0)+IF(AND(Projects!$G$9="Yes",Projects!$F$9="Yes",81=Projects!$C$9),Projects!$B$9*Assumptions!$B$15,0)+IF(AND(Projects!$G$10="Yes",Projects!$F$10="Yes",81=Projects!$C$10),Projects!$B$10*Assumptions!$B$15,0)+IF(AND(Projects!$G$11="Yes",Projects!$F$11="Yes",81=Projects!$C$11),Projects!$B$11*Assumptions!$B$15,0)+IF(AND(Projects!$G$12="Yes",Projects!$F$12="Yes",81=Projects!$C$12),Projects!$B$12*Assumptions!$B$15,0)+IF(AND(Projects!$G$13="Yes",Projects!$F$13="Yes",81=Projects!$C$13),Projects!$B$13*Assumptions!$B$15,0)+IF(AND(Projects!$G$14="Yes",Projects!$F$14="Yes",81=Projects!$C$14),Projects!$B$14*Assumptions!$B$15,0)+IF(AND(Projects!$G$15="Yes",Projects!$F$15="Yes",81=Projects!$C$15),Projects!$B$15*Assumptions!$B$15,0)+IF(AND(Projects!$G$16="Yes",Projects!$F$16="Yes",81=Projects!$C$16),Projects!$B$16*Assumptions!$B$15,0),Actuals!CH15)</f>
        <v>0</v>
      </c>
      <c r="CI18" s="3">
        <f>IF(ISBLANK(Actuals!CI15),IF(AND(Projects!$G$6="Yes",Projects!$F$6="Yes",82=Projects!$C$6),Projects!$B$6*Assumptions!$B$15,0)+IF(AND(Projects!$G$7="Yes",Projects!$F$7="Yes",82=Projects!$C$7),Projects!$B$7*Assumptions!$B$15,0)+IF(AND(Projects!$G$8="Yes",Projects!$F$8="Yes",82=Projects!$C$8),Projects!$B$8*Assumptions!$B$15,0)+IF(AND(Projects!$G$9="Yes",Projects!$F$9="Yes",82=Projects!$C$9),Projects!$B$9*Assumptions!$B$15,0)+IF(AND(Projects!$G$10="Yes",Projects!$F$10="Yes",82=Projects!$C$10),Projects!$B$10*Assumptions!$B$15,0)+IF(AND(Projects!$G$11="Yes",Projects!$F$11="Yes",82=Projects!$C$11),Projects!$B$11*Assumptions!$B$15,0)+IF(AND(Projects!$G$12="Yes",Projects!$F$12="Yes",82=Projects!$C$12),Projects!$B$12*Assumptions!$B$15,0)+IF(AND(Projects!$G$13="Yes",Projects!$F$13="Yes",82=Projects!$C$13),Projects!$B$13*Assumptions!$B$15,0)+IF(AND(Projects!$G$14="Yes",Projects!$F$14="Yes",82=Projects!$C$14),Projects!$B$14*Assumptions!$B$15,0)+IF(AND(Projects!$G$15="Yes",Projects!$F$15="Yes",82=Projects!$C$15),Projects!$B$15*Assumptions!$B$15,0)+IF(AND(Projects!$G$16="Yes",Projects!$F$16="Yes",82=Projects!$C$16),Projects!$B$16*Assumptions!$B$15,0),Actuals!CI15)</f>
        <v>0</v>
      </c>
      <c r="CJ18" s="3">
        <f>IF(ISBLANK(Actuals!CJ15),IF(AND(Projects!$G$6="Yes",Projects!$F$6="Yes",83=Projects!$C$6),Projects!$B$6*Assumptions!$B$15,0)+IF(AND(Projects!$G$7="Yes",Projects!$F$7="Yes",83=Projects!$C$7),Projects!$B$7*Assumptions!$B$15,0)+IF(AND(Projects!$G$8="Yes",Projects!$F$8="Yes",83=Projects!$C$8),Projects!$B$8*Assumptions!$B$15,0)+IF(AND(Projects!$G$9="Yes",Projects!$F$9="Yes",83=Projects!$C$9),Projects!$B$9*Assumptions!$B$15,0)+IF(AND(Projects!$G$10="Yes",Projects!$F$10="Yes",83=Projects!$C$10),Projects!$B$10*Assumptions!$B$15,0)+IF(AND(Projects!$G$11="Yes",Projects!$F$11="Yes",83=Projects!$C$11),Projects!$B$11*Assumptions!$B$15,0)+IF(AND(Projects!$G$12="Yes",Projects!$F$12="Yes",83=Projects!$C$12),Projects!$B$12*Assumptions!$B$15,0)+IF(AND(Projects!$G$13="Yes",Projects!$F$13="Yes",83=Projects!$C$13),Projects!$B$13*Assumptions!$B$15,0)+IF(AND(Projects!$G$14="Yes",Projects!$F$14="Yes",83=Projects!$C$14),Projects!$B$14*Assumptions!$B$15,0)+IF(AND(Projects!$G$15="Yes",Projects!$F$15="Yes",83=Projects!$C$15),Projects!$B$15*Assumptions!$B$15,0)+IF(AND(Projects!$G$16="Yes",Projects!$F$16="Yes",83=Projects!$C$16),Projects!$B$16*Assumptions!$B$15,0),Actuals!CJ15)</f>
        <v>0</v>
      </c>
      <c r="CK18" s="3">
        <f>IF(ISBLANK(Actuals!CK15),IF(AND(Projects!$G$6="Yes",Projects!$F$6="Yes",84=Projects!$C$6),Projects!$B$6*Assumptions!$B$15,0)+IF(AND(Projects!$G$7="Yes",Projects!$F$7="Yes",84=Projects!$C$7),Projects!$B$7*Assumptions!$B$15,0)+IF(AND(Projects!$G$8="Yes",Projects!$F$8="Yes",84=Projects!$C$8),Projects!$B$8*Assumptions!$B$15,0)+IF(AND(Projects!$G$9="Yes",Projects!$F$9="Yes",84=Projects!$C$9),Projects!$B$9*Assumptions!$B$15,0)+IF(AND(Projects!$G$10="Yes",Projects!$F$10="Yes",84=Projects!$C$10),Projects!$B$10*Assumptions!$B$15,0)+IF(AND(Projects!$G$11="Yes",Projects!$F$11="Yes",84=Projects!$C$11),Projects!$B$11*Assumptions!$B$15,0)+IF(AND(Projects!$G$12="Yes",Projects!$F$12="Yes",84=Projects!$C$12),Projects!$B$12*Assumptions!$B$15,0)+IF(AND(Projects!$G$13="Yes",Projects!$F$13="Yes",84=Projects!$C$13),Projects!$B$13*Assumptions!$B$15,0)+IF(AND(Projects!$G$14="Yes",Projects!$F$14="Yes",84=Projects!$C$14),Projects!$B$14*Assumptions!$B$15,0)+IF(AND(Projects!$G$15="Yes",Projects!$F$15="Yes",84=Projects!$C$15),Projects!$B$15*Assumptions!$B$15,0)+IF(AND(Projects!$G$16="Yes",Projects!$F$16="Yes",84=Projects!$C$16),Projects!$B$16*Assumptions!$B$15,0),Actuals!CK15)</f>
        <v>0</v>
      </c>
      <c r="CL18" s="3">
        <f>IF(ISBLANK(Actuals!CL15),IF(AND(Projects!$G$6="Yes",Projects!$F$6="Yes",85=Projects!$C$6),Projects!$B$6*Assumptions!$B$15,0)+IF(AND(Projects!$G$7="Yes",Projects!$F$7="Yes",85=Projects!$C$7),Projects!$B$7*Assumptions!$B$15,0)+IF(AND(Projects!$G$8="Yes",Projects!$F$8="Yes",85=Projects!$C$8),Projects!$B$8*Assumptions!$B$15,0)+IF(AND(Projects!$G$9="Yes",Projects!$F$9="Yes",85=Projects!$C$9),Projects!$B$9*Assumptions!$B$15,0)+IF(AND(Projects!$G$10="Yes",Projects!$F$10="Yes",85=Projects!$C$10),Projects!$B$10*Assumptions!$B$15,0)+IF(AND(Projects!$G$11="Yes",Projects!$F$11="Yes",85=Projects!$C$11),Projects!$B$11*Assumptions!$B$15,0)+IF(AND(Projects!$G$12="Yes",Projects!$F$12="Yes",85=Projects!$C$12),Projects!$B$12*Assumptions!$B$15,0)+IF(AND(Projects!$G$13="Yes",Projects!$F$13="Yes",85=Projects!$C$13),Projects!$B$13*Assumptions!$B$15,0)+IF(AND(Projects!$G$14="Yes",Projects!$F$14="Yes",85=Projects!$C$14),Projects!$B$14*Assumptions!$B$15,0)+IF(AND(Projects!$G$15="Yes",Projects!$F$15="Yes",85=Projects!$C$15),Projects!$B$15*Assumptions!$B$15,0)+IF(AND(Projects!$G$16="Yes",Projects!$F$16="Yes",85=Projects!$C$16),Projects!$B$16*Assumptions!$B$15,0),Actuals!CL15)</f>
        <v>0</v>
      </c>
      <c r="CM18" s="3">
        <f>IF(ISBLANK(Actuals!CM15),IF(AND(Projects!$G$6="Yes",Projects!$F$6="Yes",86=Projects!$C$6),Projects!$B$6*Assumptions!$B$15,0)+IF(AND(Projects!$G$7="Yes",Projects!$F$7="Yes",86=Projects!$C$7),Projects!$B$7*Assumptions!$B$15,0)+IF(AND(Projects!$G$8="Yes",Projects!$F$8="Yes",86=Projects!$C$8),Projects!$B$8*Assumptions!$B$15,0)+IF(AND(Projects!$G$9="Yes",Projects!$F$9="Yes",86=Projects!$C$9),Projects!$B$9*Assumptions!$B$15,0)+IF(AND(Projects!$G$10="Yes",Projects!$F$10="Yes",86=Projects!$C$10),Projects!$B$10*Assumptions!$B$15,0)+IF(AND(Projects!$G$11="Yes",Projects!$F$11="Yes",86=Projects!$C$11),Projects!$B$11*Assumptions!$B$15,0)+IF(AND(Projects!$G$12="Yes",Projects!$F$12="Yes",86=Projects!$C$12),Projects!$B$12*Assumptions!$B$15,0)+IF(AND(Projects!$G$13="Yes",Projects!$F$13="Yes",86=Projects!$C$13),Projects!$B$13*Assumptions!$B$15,0)+IF(AND(Projects!$G$14="Yes",Projects!$F$14="Yes",86=Projects!$C$14),Projects!$B$14*Assumptions!$B$15,0)+IF(AND(Projects!$G$15="Yes",Projects!$F$15="Yes",86=Projects!$C$15),Projects!$B$15*Assumptions!$B$15,0)+IF(AND(Projects!$G$16="Yes",Projects!$F$16="Yes",86=Projects!$C$16),Projects!$B$16*Assumptions!$B$15,0),Actuals!CM15)</f>
        <v>0</v>
      </c>
      <c r="CN18" s="3">
        <f>IF(ISBLANK(Actuals!CN15),IF(AND(Projects!$G$6="Yes",Projects!$F$6="Yes",87=Projects!$C$6),Projects!$B$6*Assumptions!$B$15,0)+IF(AND(Projects!$G$7="Yes",Projects!$F$7="Yes",87=Projects!$C$7),Projects!$B$7*Assumptions!$B$15,0)+IF(AND(Projects!$G$8="Yes",Projects!$F$8="Yes",87=Projects!$C$8),Projects!$B$8*Assumptions!$B$15,0)+IF(AND(Projects!$G$9="Yes",Projects!$F$9="Yes",87=Projects!$C$9),Projects!$B$9*Assumptions!$B$15,0)+IF(AND(Projects!$G$10="Yes",Projects!$F$10="Yes",87=Projects!$C$10),Projects!$B$10*Assumptions!$B$15,0)+IF(AND(Projects!$G$11="Yes",Projects!$F$11="Yes",87=Projects!$C$11),Projects!$B$11*Assumptions!$B$15,0)+IF(AND(Projects!$G$12="Yes",Projects!$F$12="Yes",87=Projects!$C$12),Projects!$B$12*Assumptions!$B$15,0)+IF(AND(Projects!$G$13="Yes",Projects!$F$13="Yes",87=Projects!$C$13),Projects!$B$13*Assumptions!$B$15,0)+IF(AND(Projects!$G$14="Yes",Projects!$F$14="Yes",87=Projects!$C$14),Projects!$B$14*Assumptions!$B$15,0)+IF(AND(Projects!$G$15="Yes",Projects!$F$15="Yes",87=Projects!$C$15),Projects!$B$15*Assumptions!$B$15,0)+IF(AND(Projects!$G$16="Yes",Projects!$F$16="Yes",87=Projects!$C$16),Projects!$B$16*Assumptions!$B$15,0),Actuals!CN15)</f>
        <v>0</v>
      </c>
      <c r="CO18" s="3">
        <f>IF(ISBLANK(Actuals!CO15),IF(AND(Projects!$G$6="Yes",Projects!$F$6="Yes",88=Projects!$C$6),Projects!$B$6*Assumptions!$B$15,0)+IF(AND(Projects!$G$7="Yes",Projects!$F$7="Yes",88=Projects!$C$7),Projects!$B$7*Assumptions!$B$15,0)+IF(AND(Projects!$G$8="Yes",Projects!$F$8="Yes",88=Projects!$C$8),Projects!$B$8*Assumptions!$B$15,0)+IF(AND(Projects!$G$9="Yes",Projects!$F$9="Yes",88=Projects!$C$9),Projects!$B$9*Assumptions!$B$15,0)+IF(AND(Projects!$G$10="Yes",Projects!$F$10="Yes",88=Projects!$C$10),Projects!$B$10*Assumptions!$B$15,0)+IF(AND(Projects!$G$11="Yes",Projects!$F$11="Yes",88=Projects!$C$11),Projects!$B$11*Assumptions!$B$15,0)+IF(AND(Projects!$G$12="Yes",Projects!$F$12="Yes",88=Projects!$C$12),Projects!$B$12*Assumptions!$B$15,0)+IF(AND(Projects!$G$13="Yes",Projects!$F$13="Yes",88=Projects!$C$13),Projects!$B$13*Assumptions!$B$15,0)+IF(AND(Projects!$G$14="Yes",Projects!$F$14="Yes",88=Projects!$C$14),Projects!$B$14*Assumptions!$B$15,0)+IF(AND(Projects!$G$15="Yes",Projects!$F$15="Yes",88=Projects!$C$15),Projects!$B$15*Assumptions!$B$15,0)+IF(AND(Projects!$G$16="Yes",Projects!$F$16="Yes",88=Projects!$C$16),Projects!$B$16*Assumptions!$B$15,0),Actuals!CO15)</f>
        <v>0</v>
      </c>
      <c r="CP18" s="3">
        <f>IF(ISBLANK(Actuals!CP15),IF(AND(Projects!$G$6="Yes",Projects!$F$6="Yes",89=Projects!$C$6),Projects!$B$6*Assumptions!$B$15,0)+IF(AND(Projects!$G$7="Yes",Projects!$F$7="Yes",89=Projects!$C$7),Projects!$B$7*Assumptions!$B$15,0)+IF(AND(Projects!$G$8="Yes",Projects!$F$8="Yes",89=Projects!$C$8),Projects!$B$8*Assumptions!$B$15,0)+IF(AND(Projects!$G$9="Yes",Projects!$F$9="Yes",89=Projects!$C$9),Projects!$B$9*Assumptions!$B$15,0)+IF(AND(Projects!$G$10="Yes",Projects!$F$10="Yes",89=Projects!$C$10),Projects!$B$10*Assumptions!$B$15,0)+IF(AND(Projects!$G$11="Yes",Projects!$F$11="Yes",89=Projects!$C$11),Projects!$B$11*Assumptions!$B$15,0)+IF(AND(Projects!$G$12="Yes",Projects!$F$12="Yes",89=Projects!$C$12),Projects!$B$12*Assumptions!$B$15,0)+IF(AND(Projects!$G$13="Yes",Projects!$F$13="Yes",89=Projects!$C$13),Projects!$B$13*Assumptions!$B$15,0)+IF(AND(Projects!$G$14="Yes",Projects!$F$14="Yes",89=Projects!$C$14),Projects!$B$14*Assumptions!$B$15,0)+IF(AND(Projects!$G$15="Yes",Projects!$F$15="Yes",89=Projects!$C$15),Projects!$B$15*Assumptions!$B$15,0)+IF(AND(Projects!$G$16="Yes",Projects!$F$16="Yes",89=Projects!$C$16),Projects!$B$16*Assumptions!$B$15,0),Actuals!CP15)</f>
        <v>0</v>
      </c>
      <c r="CQ18" s="3">
        <f>IF(ISBLANK(Actuals!CQ15),IF(AND(Projects!$G$6="Yes",Projects!$F$6="Yes",90=Projects!$C$6),Projects!$B$6*Assumptions!$B$15,0)+IF(AND(Projects!$G$7="Yes",Projects!$F$7="Yes",90=Projects!$C$7),Projects!$B$7*Assumptions!$B$15,0)+IF(AND(Projects!$G$8="Yes",Projects!$F$8="Yes",90=Projects!$C$8),Projects!$B$8*Assumptions!$B$15,0)+IF(AND(Projects!$G$9="Yes",Projects!$F$9="Yes",90=Projects!$C$9),Projects!$B$9*Assumptions!$B$15,0)+IF(AND(Projects!$G$10="Yes",Projects!$F$10="Yes",90=Projects!$C$10),Projects!$B$10*Assumptions!$B$15,0)+IF(AND(Projects!$G$11="Yes",Projects!$F$11="Yes",90=Projects!$C$11),Projects!$B$11*Assumptions!$B$15,0)+IF(AND(Projects!$G$12="Yes",Projects!$F$12="Yes",90=Projects!$C$12),Projects!$B$12*Assumptions!$B$15,0)+IF(AND(Projects!$G$13="Yes",Projects!$F$13="Yes",90=Projects!$C$13),Projects!$B$13*Assumptions!$B$15,0)+IF(AND(Projects!$G$14="Yes",Projects!$F$14="Yes",90=Projects!$C$14),Projects!$B$14*Assumptions!$B$15,0)+IF(AND(Projects!$G$15="Yes",Projects!$F$15="Yes",90=Projects!$C$15),Projects!$B$15*Assumptions!$B$15,0)+IF(AND(Projects!$G$16="Yes",Projects!$F$16="Yes",90=Projects!$C$16),Projects!$B$16*Assumptions!$B$15,0),Actuals!CQ15)</f>
        <v>0</v>
      </c>
      <c r="CR18" s="3">
        <f>IF(ISBLANK(Actuals!CR15),IF(AND(Projects!$G$6="Yes",Projects!$F$6="Yes",91=Projects!$C$6),Projects!$B$6*Assumptions!$B$15,0)+IF(AND(Projects!$G$7="Yes",Projects!$F$7="Yes",91=Projects!$C$7),Projects!$B$7*Assumptions!$B$15,0)+IF(AND(Projects!$G$8="Yes",Projects!$F$8="Yes",91=Projects!$C$8),Projects!$B$8*Assumptions!$B$15,0)+IF(AND(Projects!$G$9="Yes",Projects!$F$9="Yes",91=Projects!$C$9),Projects!$B$9*Assumptions!$B$15,0)+IF(AND(Projects!$G$10="Yes",Projects!$F$10="Yes",91=Projects!$C$10),Projects!$B$10*Assumptions!$B$15,0)+IF(AND(Projects!$G$11="Yes",Projects!$F$11="Yes",91=Projects!$C$11),Projects!$B$11*Assumptions!$B$15,0)+IF(AND(Projects!$G$12="Yes",Projects!$F$12="Yes",91=Projects!$C$12),Projects!$B$12*Assumptions!$B$15,0)+IF(AND(Projects!$G$13="Yes",Projects!$F$13="Yes",91=Projects!$C$13),Projects!$B$13*Assumptions!$B$15,0)+IF(AND(Projects!$G$14="Yes",Projects!$F$14="Yes",91=Projects!$C$14),Projects!$B$14*Assumptions!$B$15,0)+IF(AND(Projects!$G$15="Yes",Projects!$F$15="Yes",91=Projects!$C$15),Projects!$B$15*Assumptions!$B$15,0)+IF(AND(Projects!$G$16="Yes",Projects!$F$16="Yes",91=Projects!$C$16),Projects!$B$16*Assumptions!$B$15,0),Actuals!CR15)</f>
        <v>0</v>
      </c>
      <c r="CS18" s="3">
        <f>IF(ISBLANK(Actuals!CS15),IF(AND(Projects!$G$6="Yes",Projects!$F$6="Yes",92=Projects!$C$6),Projects!$B$6*Assumptions!$B$15,0)+IF(AND(Projects!$G$7="Yes",Projects!$F$7="Yes",92=Projects!$C$7),Projects!$B$7*Assumptions!$B$15,0)+IF(AND(Projects!$G$8="Yes",Projects!$F$8="Yes",92=Projects!$C$8),Projects!$B$8*Assumptions!$B$15,0)+IF(AND(Projects!$G$9="Yes",Projects!$F$9="Yes",92=Projects!$C$9),Projects!$B$9*Assumptions!$B$15,0)+IF(AND(Projects!$G$10="Yes",Projects!$F$10="Yes",92=Projects!$C$10),Projects!$B$10*Assumptions!$B$15,0)+IF(AND(Projects!$G$11="Yes",Projects!$F$11="Yes",92=Projects!$C$11),Projects!$B$11*Assumptions!$B$15,0)+IF(AND(Projects!$G$12="Yes",Projects!$F$12="Yes",92=Projects!$C$12),Projects!$B$12*Assumptions!$B$15,0)+IF(AND(Projects!$G$13="Yes",Projects!$F$13="Yes",92=Projects!$C$13),Projects!$B$13*Assumptions!$B$15,0)+IF(AND(Projects!$G$14="Yes",Projects!$F$14="Yes",92=Projects!$C$14),Projects!$B$14*Assumptions!$B$15,0)+IF(AND(Projects!$G$15="Yes",Projects!$F$15="Yes",92=Projects!$C$15),Projects!$B$15*Assumptions!$B$15,0)+IF(AND(Projects!$G$16="Yes",Projects!$F$16="Yes",92=Projects!$C$16),Projects!$B$16*Assumptions!$B$15,0),Actuals!CS15)</f>
        <v>0</v>
      </c>
      <c r="CT18" s="3">
        <f>IF(ISBLANK(Actuals!CT15),IF(AND(Projects!$G$6="Yes",Projects!$F$6="Yes",93=Projects!$C$6),Projects!$B$6*Assumptions!$B$15,0)+IF(AND(Projects!$G$7="Yes",Projects!$F$7="Yes",93=Projects!$C$7),Projects!$B$7*Assumptions!$B$15,0)+IF(AND(Projects!$G$8="Yes",Projects!$F$8="Yes",93=Projects!$C$8),Projects!$B$8*Assumptions!$B$15,0)+IF(AND(Projects!$G$9="Yes",Projects!$F$9="Yes",93=Projects!$C$9),Projects!$B$9*Assumptions!$B$15,0)+IF(AND(Projects!$G$10="Yes",Projects!$F$10="Yes",93=Projects!$C$10),Projects!$B$10*Assumptions!$B$15,0)+IF(AND(Projects!$G$11="Yes",Projects!$F$11="Yes",93=Projects!$C$11),Projects!$B$11*Assumptions!$B$15,0)+IF(AND(Projects!$G$12="Yes",Projects!$F$12="Yes",93=Projects!$C$12),Projects!$B$12*Assumptions!$B$15,0)+IF(AND(Projects!$G$13="Yes",Projects!$F$13="Yes",93=Projects!$C$13),Projects!$B$13*Assumptions!$B$15,0)+IF(AND(Projects!$G$14="Yes",Projects!$F$14="Yes",93=Projects!$C$14),Projects!$B$14*Assumptions!$B$15,0)+IF(AND(Projects!$G$15="Yes",Projects!$F$15="Yes",93=Projects!$C$15),Projects!$B$15*Assumptions!$B$15,0)+IF(AND(Projects!$G$16="Yes",Projects!$F$16="Yes",93=Projects!$C$16),Projects!$B$16*Assumptions!$B$15,0),Actuals!CT15)</f>
        <v>0</v>
      </c>
      <c r="CU18" s="3">
        <f>IF(ISBLANK(Actuals!CU15),IF(AND(Projects!$G$6="Yes",Projects!$F$6="Yes",94=Projects!$C$6),Projects!$B$6*Assumptions!$B$15,0)+IF(AND(Projects!$G$7="Yes",Projects!$F$7="Yes",94=Projects!$C$7),Projects!$B$7*Assumptions!$B$15,0)+IF(AND(Projects!$G$8="Yes",Projects!$F$8="Yes",94=Projects!$C$8),Projects!$B$8*Assumptions!$B$15,0)+IF(AND(Projects!$G$9="Yes",Projects!$F$9="Yes",94=Projects!$C$9),Projects!$B$9*Assumptions!$B$15,0)+IF(AND(Projects!$G$10="Yes",Projects!$F$10="Yes",94=Projects!$C$10),Projects!$B$10*Assumptions!$B$15,0)+IF(AND(Projects!$G$11="Yes",Projects!$F$11="Yes",94=Projects!$C$11),Projects!$B$11*Assumptions!$B$15,0)+IF(AND(Projects!$G$12="Yes",Projects!$F$12="Yes",94=Projects!$C$12),Projects!$B$12*Assumptions!$B$15,0)+IF(AND(Projects!$G$13="Yes",Projects!$F$13="Yes",94=Projects!$C$13),Projects!$B$13*Assumptions!$B$15,0)+IF(AND(Projects!$G$14="Yes",Projects!$F$14="Yes",94=Projects!$C$14),Projects!$B$14*Assumptions!$B$15,0)+IF(AND(Projects!$G$15="Yes",Projects!$F$15="Yes",94=Projects!$C$15),Projects!$B$15*Assumptions!$B$15,0)+IF(AND(Projects!$G$16="Yes",Projects!$F$16="Yes",94=Projects!$C$16),Projects!$B$16*Assumptions!$B$15,0),Actuals!CU15)</f>
        <v>0</v>
      </c>
      <c r="CV18" s="3">
        <f>IF(ISBLANK(Actuals!CV15),IF(AND(Projects!$G$6="Yes",Projects!$F$6="Yes",95=Projects!$C$6),Projects!$B$6*Assumptions!$B$15,0)+IF(AND(Projects!$G$7="Yes",Projects!$F$7="Yes",95=Projects!$C$7),Projects!$B$7*Assumptions!$B$15,0)+IF(AND(Projects!$G$8="Yes",Projects!$F$8="Yes",95=Projects!$C$8),Projects!$B$8*Assumptions!$B$15,0)+IF(AND(Projects!$G$9="Yes",Projects!$F$9="Yes",95=Projects!$C$9),Projects!$B$9*Assumptions!$B$15,0)+IF(AND(Projects!$G$10="Yes",Projects!$F$10="Yes",95=Projects!$C$10),Projects!$B$10*Assumptions!$B$15,0)+IF(AND(Projects!$G$11="Yes",Projects!$F$11="Yes",95=Projects!$C$11),Projects!$B$11*Assumptions!$B$15,0)+IF(AND(Projects!$G$12="Yes",Projects!$F$12="Yes",95=Projects!$C$12),Projects!$B$12*Assumptions!$B$15,0)+IF(AND(Projects!$G$13="Yes",Projects!$F$13="Yes",95=Projects!$C$13),Projects!$B$13*Assumptions!$B$15,0)+IF(AND(Projects!$G$14="Yes",Projects!$F$14="Yes",95=Projects!$C$14),Projects!$B$14*Assumptions!$B$15,0)+IF(AND(Projects!$G$15="Yes",Projects!$F$15="Yes",95=Projects!$C$15),Projects!$B$15*Assumptions!$B$15,0)+IF(AND(Projects!$G$16="Yes",Projects!$F$16="Yes",95=Projects!$C$16),Projects!$B$16*Assumptions!$B$15,0),Actuals!CV15)</f>
        <v>0</v>
      </c>
      <c r="CW18" s="3">
        <f>IF(ISBLANK(Actuals!CW15),IF(AND(Projects!$G$6="Yes",Projects!$F$6="Yes",96=Projects!$C$6),Projects!$B$6*Assumptions!$B$15,0)+IF(AND(Projects!$G$7="Yes",Projects!$F$7="Yes",96=Projects!$C$7),Projects!$B$7*Assumptions!$B$15,0)+IF(AND(Projects!$G$8="Yes",Projects!$F$8="Yes",96=Projects!$C$8),Projects!$B$8*Assumptions!$B$15,0)+IF(AND(Projects!$G$9="Yes",Projects!$F$9="Yes",96=Projects!$C$9),Projects!$B$9*Assumptions!$B$15,0)+IF(AND(Projects!$G$10="Yes",Projects!$F$10="Yes",96=Projects!$C$10),Projects!$B$10*Assumptions!$B$15,0)+IF(AND(Projects!$G$11="Yes",Projects!$F$11="Yes",96=Projects!$C$11),Projects!$B$11*Assumptions!$B$15,0)+IF(AND(Projects!$G$12="Yes",Projects!$F$12="Yes",96=Projects!$C$12),Projects!$B$12*Assumptions!$B$15,0)+IF(AND(Projects!$G$13="Yes",Projects!$F$13="Yes",96=Projects!$C$13),Projects!$B$13*Assumptions!$B$15,0)+IF(AND(Projects!$G$14="Yes",Projects!$F$14="Yes",96=Projects!$C$14),Projects!$B$14*Assumptions!$B$15,0)+IF(AND(Projects!$G$15="Yes",Projects!$F$15="Yes",96=Projects!$C$15),Projects!$B$15*Assumptions!$B$15,0)+IF(AND(Projects!$G$16="Yes",Projects!$F$16="Yes",96=Projects!$C$16),Projects!$B$16*Assumptions!$B$15,0),Actuals!CW15)</f>
        <v>0</v>
      </c>
      <c r="CX18" s="3">
        <f>IF(ISBLANK(Actuals!CX15),IF(AND(Projects!$G$6="Yes",Projects!$F$6="Yes",97=Projects!$C$6),Projects!$B$6*Assumptions!$B$15,0)+IF(AND(Projects!$G$7="Yes",Projects!$F$7="Yes",97=Projects!$C$7),Projects!$B$7*Assumptions!$B$15,0)+IF(AND(Projects!$G$8="Yes",Projects!$F$8="Yes",97=Projects!$C$8),Projects!$B$8*Assumptions!$B$15,0)+IF(AND(Projects!$G$9="Yes",Projects!$F$9="Yes",97=Projects!$C$9),Projects!$B$9*Assumptions!$B$15,0)+IF(AND(Projects!$G$10="Yes",Projects!$F$10="Yes",97=Projects!$C$10),Projects!$B$10*Assumptions!$B$15,0)+IF(AND(Projects!$G$11="Yes",Projects!$F$11="Yes",97=Projects!$C$11),Projects!$B$11*Assumptions!$B$15,0)+IF(AND(Projects!$G$12="Yes",Projects!$F$12="Yes",97=Projects!$C$12),Projects!$B$12*Assumptions!$B$15,0)+IF(AND(Projects!$G$13="Yes",Projects!$F$13="Yes",97=Projects!$C$13),Projects!$B$13*Assumptions!$B$15,0)+IF(AND(Projects!$G$14="Yes",Projects!$F$14="Yes",97=Projects!$C$14),Projects!$B$14*Assumptions!$B$15,0)+IF(AND(Projects!$G$15="Yes",Projects!$F$15="Yes",97=Projects!$C$15),Projects!$B$15*Assumptions!$B$15,0)+IF(AND(Projects!$G$16="Yes",Projects!$F$16="Yes",97=Projects!$C$16),Projects!$B$16*Assumptions!$B$15,0),Actuals!CX15)</f>
        <v>0</v>
      </c>
      <c r="CY18" s="3">
        <f>IF(ISBLANK(Actuals!CY15),IF(AND(Projects!$G$6="Yes",Projects!$F$6="Yes",98=Projects!$C$6),Projects!$B$6*Assumptions!$B$15,0)+IF(AND(Projects!$G$7="Yes",Projects!$F$7="Yes",98=Projects!$C$7),Projects!$B$7*Assumptions!$B$15,0)+IF(AND(Projects!$G$8="Yes",Projects!$F$8="Yes",98=Projects!$C$8),Projects!$B$8*Assumptions!$B$15,0)+IF(AND(Projects!$G$9="Yes",Projects!$F$9="Yes",98=Projects!$C$9),Projects!$B$9*Assumptions!$B$15,0)+IF(AND(Projects!$G$10="Yes",Projects!$F$10="Yes",98=Projects!$C$10),Projects!$B$10*Assumptions!$B$15,0)+IF(AND(Projects!$G$11="Yes",Projects!$F$11="Yes",98=Projects!$C$11),Projects!$B$11*Assumptions!$B$15,0)+IF(AND(Projects!$G$12="Yes",Projects!$F$12="Yes",98=Projects!$C$12),Projects!$B$12*Assumptions!$B$15,0)+IF(AND(Projects!$G$13="Yes",Projects!$F$13="Yes",98=Projects!$C$13),Projects!$B$13*Assumptions!$B$15,0)+IF(AND(Projects!$G$14="Yes",Projects!$F$14="Yes",98=Projects!$C$14),Projects!$B$14*Assumptions!$B$15,0)+IF(AND(Projects!$G$15="Yes",Projects!$F$15="Yes",98=Projects!$C$15),Projects!$B$15*Assumptions!$B$15,0)+IF(AND(Projects!$G$16="Yes",Projects!$F$16="Yes",98=Projects!$C$16),Projects!$B$16*Assumptions!$B$15,0),Actuals!CY15)</f>
        <v>0</v>
      </c>
      <c r="CZ18" s="3">
        <f>IF(ISBLANK(Actuals!CZ15),IF(AND(Projects!$G$6="Yes",Projects!$F$6="Yes",99=Projects!$C$6),Projects!$B$6*Assumptions!$B$15,0)+IF(AND(Projects!$G$7="Yes",Projects!$F$7="Yes",99=Projects!$C$7),Projects!$B$7*Assumptions!$B$15,0)+IF(AND(Projects!$G$8="Yes",Projects!$F$8="Yes",99=Projects!$C$8),Projects!$B$8*Assumptions!$B$15,0)+IF(AND(Projects!$G$9="Yes",Projects!$F$9="Yes",99=Projects!$C$9),Projects!$B$9*Assumptions!$B$15,0)+IF(AND(Projects!$G$10="Yes",Projects!$F$10="Yes",99=Projects!$C$10),Projects!$B$10*Assumptions!$B$15,0)+IF(AND(Projects!$G$11="Yes",Projects!$F$11="Yes",99=Projects!$C$11),Projects!$B$11*Assumptions!$B$15,0)+IF(AND(Projects!$G$12="Yes",Projects!$F$12="Yes",99=Projects!$C$12),Projects!$B$12*Assumptions!$B$15,0)+IF(AND(Projects!$G$13="Yes",Projects!$F$13="Yes",99=Projects!$C$13),Projects!$B$13*Assumptions!$B$15,0)+IF(AND(Projects!$G$14="Yes",Projects!$F$14="Yes",99=Projects!$C$14),Projects!$B$14*Assumptions!$B$15,0)+IF(AND(Projects!$G$15="Yes",Projects!$F$15="Yes",99=Projects!$C$15),Projects!$B$15*Assumptions!$B$15,0)+IF(AND(Projects!$G$16="Yes",Projects!$F$16="Yes",99=Projects!$C$16),Projects!$B$16*Assumptions!$B$15,0),Actuals!CZ15)</f>
        <v>0</v>
      </c>
      <c r="DA18" s="3">
        <f>IF(ISBLANK(Actuals!DA15),IF(AND(Projects!$G$6="Yes",Projects!$F$6="Yes",100=Projects!$C$6),Projects!$B$6*Assumptions!$B$15,0)+IF(AND(Projects!$G$7="Yes",Projects!$F$7="Yes",100=Projects!$C$7),Projects!$B$7*Assumptions!$B$15,0)+IF(AND(Projects!$G$8="Yes",Projects!$F$8="Yes",100=Projects!$C$8),Projects!$B$8*Assumptions!$B$15,0)+IF(AND(Projects!$G$9="Yes",Projects!$F$9="Yes",100=Projects!$C$9),Projects!$B$9*Assumptions!$B$15,0)+IF(AND(Projects!$G$10="Yes",Projects!$F$10="Yes",100=Projects!$C$10),Projects!$B$10*Assumptions!$B$15,0)+IF(AND(Projects!$G$11="Yes",Projects!$F$11="Yes",100=Projects!$C$11),Projects!$B$11*Assumptions!$B$15,0)+IF(AND(Projects!$G$12="Yes",Projects!$F$12="Yes",100=Projects!$C$12),Projects!$B$12*Assumptions!$B$15,0)+IF(AND(Projects!$G$13="Yes",Projects!$F$13="Yes",100=Projects!$C$13),Projects!$B$13*Assumptions!$B$15,0)+IF(AND(Projects!$G$14="Yes",Projects!$F$14="Yes",100=Projects!$C$14),Projects!$B$14*Assumptions!$B$15,0)+IF(AND(Projects!$G$15="Yes",Projects!$F$15="Yes",100=Projects!$C$15),Projects!$B$15*Assumptions!$B$15,0)+IF(AND(Projects!$G$16="Yes",Projects!$F$16="Yes",100=Projects!$C$16),Projects!$B$16*Assumptions!$B$15,0),Actuals!DA15)</f>
        <v>0</v>
      </c>
      <c r="DB18" s="3">
        <f>IF(ISBLANK(Actuals!DB15),IF(AND(Projects!$G$6="Yes",Projects!$F$6="Yes",101=Projects!$C$6),Projects!$B$6*Assumptions!$B$15,0)+IF(AND(Projects!$G$7="Yes",Projects!$F$7="Yes",101=Projects!$C$7),Projects!$B$7*Assumptions!$B$15,0)+IF(AND(Projects!$G$8="Yes",Projects!$F$8="Yes",101=Projects!$C$8),Projects!$B$8*Assumptions!$B$15,0)+IF(AND(Projects!$G$9="Yes",Projects!$F$9="Yes",101=Projects!$C$9),Projects!$B$9*Assumptions!$B$15,0)+IF(AND(Projects!$G$10="Yes",Projects!$F$10="Yes",101=Projects!$C$10),Projects!$B$10*Assumptions!$B$15,0)+IF(AND(Projects!$G$11="Yes",Projects!$F$11="Yes",101=Projects!$C$11),Projects!$B$11*Assumptions!$B$15,0)+IF(AND(Projects!$G$12="Yes",Projects!$F$12="Yes",101=Projects!$C$12),Projects!$B$12*Assumptions!$B$15,0)+IF(AND(Projects!$G$13="Yes",Projects!$F$13="Yes",101=Projects!$C$13),Projects!$B$13*Assumptions!$B$15,0)+IF(AND(Projects!$G$14="Yes",Projects!$F$14="Yes",101=Projects!$C$14),Projects!$B$14*Assumptions!$B$15,0)+IF(AND(Projects!$G$15="Yes",Projects!$F$15="Yes",101=Projects!$C$15),Projects!$B$15*Assumptions!$B$15,0)+IF(AND(Projects!$G$16="Yes",Projects!$F$16="Yes",101=Projects!$C$16),Projects!$B$16*Assumptions!$B$15,0),Actuals!DB15)</f>
        <v>0</v>
      </c>
      <c r="DC18" s="3">
        <f>IF(ISBLANK(Actuals!DC15),IF(AND(Projects!$G$6="Yes",Projects!$F$6="Yes",102=Projects!$C$6),Projects!$B$6*Assumptions!$B$15,0)+IF(AND(Projects!$G$7="Yes",Projects!$F$7="Yes",102=Projects!$C$7),Projects!$B$7*Assumptions!$B$15,0)+IF(AND(Projects!$G$8="Yes",Projects!$F$8="Yes",102=Projects!$C$8),Projects!$B$8*Assumptions!$B$15,0)+IF(AND(Projects!$G$9="Yes",Projects!$F$9="Yes",102=Projects!$C$9),Projects!$B$9*Assumptions!$B$15,0)+IF(AND(Projects!$G$10="Yes",Projects!$F$10="Yes",102=Projects!$C$10),Projects!$B$10*Assumptions!$B$15,0)+IF(AND(Projects!$G$11="Yes",Projects!$F$11="Yes",102=Projects!$C$11),Projects!$B$11*Assumptions!$B$15,0)+IF(AND(Projects!$G$12="Yes",Projects!$F$12="Yes",102=Projects!$C$12),Projects!$B$12*Assumptions!$B$15,0)+IF(AND(Projects!$G$13="Yes",Projects!$F$13="Yes",102=Projects!$C$13),Projects!$B$13*Assumptions!$B$15,0)+IF(AND(Projects!$G$14="Yes",Projects!$F$14="Yes",102=Projects!$C$14),Projects!$B$14*Assumptions!$B$15,0)+IF(AND(Projects!$G$15="Yes",Projects!$F$15="Yes",102=Projects!$C$15),Projects!$B$15*Assumptions!$B$15,0)+IF(AND(Projects!$G$16="Yes",Projects!$F$16="Yes",102=Projects!$C$16),Projects!$B$16*Assumptions!$B$15,0),Actuals!DC15)</f>
        <v>0</v>
      </c>
      <c r="DD18" s="3">
        <f>IF(ISBLANK(Actuals!DD15),IF(AND(Projects!$G$6="Yes",Projects!$F$6="Yes",103=Projects!$C$6),Projects!$B$6*Assumptions!$B$15,0)+IF(AND(Projects!$G$7="Yes",Projects!$F$7="Yes",103=Projects!$C$7),Projects!$B$7*Assumptions!$B$15,0)+IF(AND(Projects!$G$8="Yes",Projects!$F$8="Yes",103=Projects!$C$8),Projects!$B$8*Assumptions!$B$15,0)+IF(AND(Projects!$G$9="Yes",Projects!$F$9="Yes",103=Projects!$C$9),Projects!$B$9*Assumptions!$B$15,0)+IF(AND(Projects!$G$10="Yes",Projects!$F$10="Yes",103=Projects!$C$10),Projects!$B$10*Assumptions!$B$15,0)+IF(AND(Projects!$G$11="Yes",Projects!$F$11="Yes",103=Projects!$C$11),Projects!$B$11*Assumptions!$B$15,0)+IF(AND(Projects!$G$12="Yes",Projects!$F$12="Yes",103=Projects!$C$12),Projects!$B$12*Assumptions!$B$15,0)+IF(AND(Projects!$G$13="Yes",Projects!$F$13="Yes",103=Projects!$C$13),Projects!$B$13*Assumptions!$B$15,0)+IF(AND(Projects!$G$14="Yes",Projects!$F$14="Yes",103=Projects!$C$14),Projects!$B$14*Assumptions!$B$15,0)+IF(AND(Projects!$G$15="Yes",Projects!$F$15="Yes",103=Projects!$C$15),Projects!$B$15*Assumptions!$B$15,0)+IF(AND(Projects!$G$16="Yes",Projects!$F$16="Yes",103=Projects!$C$16),Projects!$B$16*Assumptions!$B$15,0),Actuals!DD15)</f>
        <v>0</v>
      </c>
      <c r="DE18" s="3">
        <f>IF(ISBLANK(Actuals!DE15),IF(AND(Projects!$G$6="Yes",Projects!$F$6="Yes",104=Projects!$C$6),Projects!$B$6*Assumptions!$B$15,0)+IF(AND(Projects!$G$7="Yes",Projects!$F$7="Yes",104=Projects!$C$7),Projects!$B$7*Assumptions!$B$15,0)+IF(AND(Projects!$G$8="Yes",Projects!$F$8="Yes",104=Projects!$C$8),Projects!$B$8*Assumptions!$B$15,0)+IF(AND(Projects!$G$9="Yes",Projects!$F$9="Yes",104=Projects!$C$9),Projects!$B$9*Assumptions!$B$15,0)+IF(AND(Projects!$G$10="Yes",Projects!$F$10="Yes",104=Projects!$C$10),Projects!$B$10*Assumptions!$B$15,0)+IF(AND(Projects!$G$11="Yes",Projects!$F$11="Yes",104=Projects!$C$11),Projects!$B$11*Assumptions!$B$15,0)+IF(AND(Projects!$G$12="Yes",Projects!$F$12="Yes",104=Projects!$C$12),Projects!$B$12*Assumptions!$B$15,0)+IF(AND(Projects!$G$13="Yes",Projects!$F$13="Yes",104=Projects!$C$13),Projects!$B$13*Assumptions!$B$15,0)+IF(AND(Projects!$G$14="Yes",Projects!$F$14="Yes",104=Projects!$C$14),Projects!$B$14*Assumptions!$B$15,0)+IF(AND(Projects!$G$15="Yes",Projects!$F$15="Yes",104=Projects!$C$15),Projects!$B$15*Assumptions!$B$15,0)+IF(AND(Projects!$G$16="Yes",Projects!$F$16="Yes",104=Projects!$C$16),Projects!$B$16*Assumptions!$B$15,0),Actuals!DE15)</f>
        <v>0</v>
      </c>
      <c r="DF18" s="3">
        <f>IF(ISBLANK(Actuals!DF15),IF(AND(Projects!$G$6="Yes",Projects!$F$6="Yes",105=Projects!$C$6),Projects!$B$6*Assumptions!$B$15,0)+IF(AND(Projects!$G$7="Yes",Projects!$F$7="Yes",105=Projects!$C$7),Projects!$B$7*Assumptions!$B$15,0)+IF(AND(Projects!$G$8="Yes",Projects!$F$8="Yes",105=Projects!$C$8),Projects!$B$8*Assumptions!$B$15,0)+IF(AND(Projects!$G$9="Yes",Projects!$F$9="Yes",105=Projects!$C$9),Projects!$B$9*Assumptions!$B$15,0)+IF(AND(Projects!$G$10="Yes",Projects!$F$10="Yes",105=Projects!$C$10),Projects!$B$10*Assumptions!$B$15,0)+IF(AND(Projects!$G$11="Yes",Projects!$F$11="Yes",105=Projects!$C$11),Projects!$B$11*Assumptions!$B$15,0)+IF(AND(Projects!$G$12="Yes",Projects!$F$12="Yes",105=Projects!$C$12),Projects!$B$12*Assumptions!$B$15,0)+IF(AND(Projects!$G$13="Yes",Projects!$F$13="Yes",105=Projects!$C$13),Projects!$B$13*Assumptions!$B$15,0)+IF(AND(Projects!$G$14="Yes",Projects!$F$14="Yes",105=Projects!$C$14),Projects!$B$14*Assumptions!$B$15,0)+IF(AND(Projects!$G$15="Yes",Projects!$F$15="Yes",105=Projects!$C$15),Projects!$B$15*Assumptions!$B$15,0)+IF(AND(Projects!$G$16="Yes",Projects!$F$16="Yes",105=Projects!$C$16),Projects!$B$16*Assumptions!$B$15,0),Actuals!DF15)</f>
        <v>0</v>
      </c>
    </row>
    <row r="19" spans="1:110" ht="15" customHeight="1" x14ac:dyDescent="0.25">
      <c r="A19" s="13" t="s">
        <v>62</v>
      </c>
      <c r="B19" s="302"/>
      <c r="C19" s="3">
        <f>IF(ISBLANK(Actuals!C16),0,Actuals!C16)</f>
        <v>-1966.5</v>
      </c>
      <c r="D19" s="3">
        <f>IF(ISBLANK(Actuals!D16),0,Actuals!D16)</f>
        <v>0</v>
      </c>
      <c r="E19" s="3">
        <f>IF(ISBLANK(Actuals!E16),0,Actuals!E16)</f>
        <v>0</v>
      </c>
      <c r="F19" s="3">
        <f>IF(ISBLANK(Actuals!F16),-(IF(AND(Projects!$G$6="Yes",Projects!$F$6="Yes",1=Projects!$C$6),Projects!$B$6*Projects!$I$6,0)+IF(AND(Projects!$G$7="Yes",Projects!$F$7="Yes",1=Projects!$C$7),Projects!$B$7*Projects!$I$7,0)+IF(AND(Projects!$G$8="Yes",Projects!$F$8="Yes",1=Projects!$C$8),Projects!$B$8*Projects!$I$8,0)+IF(AND(Projects!$G$9="Yes",Projects!$F$9="Yes",1=Projects!$C$9),Projects!$B$9*Projects!$I$9,0)+IF(AND(Projects!$G$10="Yes",Projects!$F$10="Yes",1=Projects!$C$10),Projects!$B$10*Projects!$I$10,0)+IF(AND(Projects!$G$11="Yes",Projects!$F$11="Yes",1=Projects!$C$11),Projects!$B$11*Projects!$I$11,0)+IF(AND(Projects!$G$12="Yes",Projects!$F$12="Yes",1=Projects!$C$12),Projects!$B$12*Projects!$I$12,0)+IF(AND(Projects!$G$13="Yes",Projects!$F$13="Yes",1=Projects!$C$13),Projects!$B$13*Projects!$I$13,0)+IF(AND(Projects!$G$14="Yes",Projects!$F$14="Yes",1=Projects!$C$14),Projects!$B$14*Projects!$I$14,0)+IF(AND(Projects!$G$15="Yes",Projects!$F$15="Yes",1=Projects!$C$15),Projects!$B$15*Projects!$I$15,0)+IF(AND(Projects!$G$16="Yes",Projects!$F$16="Yes",1=Projects!$C$16),Projects!$B$16*Projects!$I$16,0)),Actuals!F16)</f>
        <v>0</v>
      </c>
      <c r="G19" s="3">
        <f>IF(ISBLANK(Actuals!G16),-(IF(AND(Projects!$G$6="Yes",Projects!$F$6="Yes",2=Projects!$C$6),Projects!$B$6*Projects!$I$6,0)+IF(AND(Projects!$G$7="Yes",Projects!$F$7="Yes",2=Projects!$C$7),Projects!$B$7*Projects!$I$7,0)+IF(AND(Projects!$G$8="Yes",Projects!$F$8="Yes",2=Projects!$C$8),Projects!$B$8*Projects!$I$8,0)+IF(AND(Projects!$G$9="Yes",Projects!$F$9="Yes",2=Projects!$C$9),Projects!$B$9*Projects!$I$9,0)+IF(AND(Projects!$G$10="Yes",Projects!$F$10="Yes",2=Projects!$C$10),Projects!$B$10*Projects!$I$10,0)+IF(AND(Projects!$G$11="Yes",Projects!$F$11="Yes",2=Projects!$C$11),Projects!$B$11*Projects!$I$11,0)+IF(AND(Projects!$G$12="Yes",Projects!$F$12="Yes",2=Projects!$C$12),Projects!$B$12*Projects!$I$12,0)+IF(AND(Projects!$G$13="Yes",Projects!$F$13="Yes",2=Projects!$C$13),Projects!$B$13*Projects!$I$13,0)+IF(AND(Projects!$G$14="Yes",Projects!$F$14="Yes",2=Projects!$C$14),Projects!$B$14*Projects!$I$14,0)+IF(AND(Projects!$G$15="Yes",Projects!$F$15="Yes",2=Projects!$C$15),Projects!$B$15*Projects!$I$15,0)+IF(AND(Projects!$G$16="Yes",Projects!$F$16="Yes",2=Projects!$C$16),Projects!$B$16*Projects!$I$16,0)),Actuals!G16)</f>
        <v>0</v>
      </c>
      <c r="H19" s="3">
        <f>IF(ISBLANK(Actuals!H16),-(IF(AND(Projects!$G$6="Yes",Projects!$F$6="Yes",3=Projects!$C$6),Projects!$B$6*Projects!$I$6,0)+IF(AND(Projects!$G$7="Yes",Projects!$F$7="Yes",3=Projects!$C$7),Projects!$B$7*Projects!$I$7,0)+IF(AND(Projects!$G$8="Yes",Projects!$F$8="Yes",3=Projects!$C$8),Projects!$B$8*Projects!$I$8,0)+IF(AND(Projects!$G$9="Yes",Projects!$F$9="Yes",3=Projects!$C$9),Projects!$B$9*Projects!$I$9,0)+IF(AND(Projects!$G$10="Yes",Projects!$F$10="Yes",3=Projects!$C$10),Projects!$B$10*Projects!$I$10,0)+IF(AND(Projects!$G$11="Yes",Projects!$F$11="Yes",3=Projects!$C$11),Projects!$B$11*Projects!$I$11,0)+IF(AND(Projects!$G$12="Yes",Projects!$F$12="Yes",3=Projects!$C$12),Projects!$B$12*Projects!$I$12,0)+IF(AND(Projects!$G$13="Yes",Projects!$F$13="Yes",3=Projects!$C$13),Projects!$B$13*Projects!$I$13,0)+IF(AND(Projects!$G$14="Yes",Projects!$F$14="Yes",3=Projects!$C$14),Projects!$B$14*Projects!$I$14,0)+IF(AND(Projects!$G$15="Yes",Projects!$F$15="Yes",3=Projects!$C$15),Projects!$B$15*Projects!$I$15,0)+IF(AND(Projects!$G$16="Yes",Projects!$F$16="Yes",3=Projects!$C$16),Projects!$B$16*Projects!$I$16,0)),Actuals!H16)</f>
        <v>0</v>
      </c>
      <c r="I19" s="3">
        <f>IF(ISBLANK(Actuals!I16),-(IF(AND(Projects!$G$6="Yes",Projects!$F$6="Yes",4=Projects!$C$6),Projects!$B$6*Projects!$I$6,0)+IF(AND(Projects!$G$7="Yes",Projects!$F$7="Yes",4=Projects!$C$7),Projects!$B$7*Projects!$I$7,0)+IF(AND(Projects!$G$8="Yes",Projects!$F$8="Yes",4=Projects!$C$8),Projects!$B$8*Projects!$I$8,0)+IF(AND(Projects!$G$9="Yes",Projects!$F$9="Yes",4=Projects!$C$9),Projects!$B$9*Projects!$I$9,0)+IF(AND(Projects!$G$10="Yes",Projects!$F$10="Yes",4=Projects!$C$10),Projects!$B$10*Projects!$I$10,0)+IF(AND(Projects!$G$11="Yes",Projects!$F$11="Yes",4=Projects!$C$11),Projects!$B$11*Projects!$I$11,0)+IF(AND(Projects!$G$12="Yes",Projects!$F$12="Yes",4=Projects!$C$12),Projects!$B$12*Projects!$I$12,0)+IF(AND(Projects!$G$13="Yes",Projects!$F$13="Yes",4=Projects!$C$13),Projects!$B$13*Projects!$I$13,0)+IF(AND(Projects!$G$14="Yes",Projects!$F$14="Yes",4=Projects!$C$14),Projects!$B$14*Projects!$I$14,0)+IF(AND(Projects!$G$15="Yes",Projects!$F$15="Yes",4=Projects!$C$15),Projects!$B$15*Projects!$I$15,0)+IF(AND(Projects!$G$16="Yes",Projects!$F$16="Yes",4=Projects!$C$16),Projects!$B$16*Projects!$I$16,0)),Actuals!I16)</f>
        <v>-317966.51520000002</v>
      </c>
      <c r="J19" s="3">
        <f>IF(ISBLANK(Actuals!J16),-(IF(AND(Projects!$G$6="Yes",Projects!$F$6="Yes",5=Projects!$C$6),Projects!$B$6*Projects!$I$6,0)+IF(AND(Projects!$G$7="Yes",Projects!$F$7="Yes",5=Projects!$C$7),Projects!$B$7*Projects!$I$7,0)+IF(AND(Projects!$G$8="Yes",Projects!$F$8="Yes",5=Projects!$C$8),Projects!$B$8*Projects!$I$8,0)+IF(AND(Projects!$G$9="Yes",Projects!$F$9="Yes",5=Projects!$C$9),Projects!$B$9*Projects!$I$9,0)+IF(AND(Projects!$G$10="Yes",Projects!$F$10="Yes",5=Projects!$C$10),Projects!$B$10*Projects!$I$10,0)+IF(AND(Projects!$G$11="Yes",Projects!$F$11="Yes",5=Projects!$C$11),Projects!$B$11*Projects!$I$11,0)+IF(AND(Projects!$G$12="Yes",Projects!$F$12="Yes",5=Projects!$C$12),Projects!$B$12*Projects!$I$12,0)+IF(AND(Projects!$G$13="Yes",Projects!$F$13="Yes",5=Projects!$C$13),Projects!$B$13*Projects!$I$13,0)+IF(AND(Projects!$G$14="Yes",Projects!$F$14="Yes",5=Projects!$C$14),Projects!$B$14*Projects!$I$14,0)+IF(AND(Projects!$G$15="Yes",Projects!$F$15="Yes",5=Projects!$C$15),Projects!$B$15*Projects!$I$15,0)+IF(AND(Projects!$G$16="Yes",Projects!$F$16="Yes",5=Projects!$C$16),Projects!$B$16*Projects!$I$16,0)),Actuals!J16)</f>
        <v>0</v>
      </c>
      <c r="K19" s="3">
        <f>IF(ISBLANK(Actuals!K16),-(IF(AND(Projects!$G$6="Yes",Projects!$F$6="Yes",6=Projects!$C$6),Projects!$B$6*Projects!$I$6,0)+IF(AND(Projects!$G$7="Yes",Projects!$F$7="Yes",6=Projects!$C$7),Projects!$B$7*Projects!$I$7,0)+IF(AND(Projects!$G$8="Yes",Projects!$F$8="Yes",6=Projects!$C$8),Projects!$B$8*Projects!$I$8,0)+IF(AND(Projects!$G$9="Yes",Projects!$F$9="Yes",6=Projects!$C$9),Projects!$B$9*Projects!$I$9,0)+IF(AND(Projects!$G$10="Yes",Projects!$F$10="Yes",6=Projects!$C$10),Projects!$B$10*Projects!$I$10,0)+IF(AND(Projects!$G$11="Yes",Projects!$F$11="Yes",6=Projects!$C$11),Projects!$B$11*Projects!$I$11,0)+IF(AND(Projects!$G$12="Yes",Projects!$F$12="Yes",6=Projects!$C$12),Projects!$B$12*Projects!$I$12,0)+IF(AND(Projects!$G$13="Yes",Projects!$F$13="Yes",6=Projects!$C$13),Projects!$B$13*Projects!$I$13,0)+IF(AND(Projects!$G$14="Yes",Projects!$F$14="Yes",6=Projects!$C$14),Projects!$B$14*Projects!$I$14,0)+IF(AND(Projects!$G$15="Yes",Projects!$F$15="Yes",6=Projects!$C$15),Projects!$B$15*Projects!$I$15,0)+IF(AND(Projects!$G$16="Yes",Projects!$F$16="Yes",6=Projects!$C$16),Projects!$B$16*Projects!$I$16,0)),Actuals!K16)</f>
        <v>0</v>
      </c>
      <c r="L19" s="3">
        <f>IF(ISBLANK(Actuals!L16),-(IF(AND(Projects!$G$6="Yes",Projects!$F$6="Yes",7=Projects!$C$6),Projects!$B$6*Projects!$I$6,0)+IF(AND(Projects!$G$7="Yes",Projects!$F$7="Yes",7=Projects!$C$7),Projects!$B$7*Projects!$I$7,0)+IF(AND(Projects!$G$8="Yes",Projects!$F$8="Yes",7=Projects!$C$8),Projects!$B$8*Projects!$I$8,0)+IF(AND(Projects!$G$9="Yes",Projects!$F$9="Yes",7=Projects!$C$9),Projects!$B$9*Projects!$I$9,0)+IF(AND(Projects!$G$10="Yes",Projects!$F$10="Yes",7=Projects!$C$10),Projects!$B$10*Projects!$I$10,0)+IF(AND(Projects!$G$11="Yes",Projects!$F$11="Yes",7=Projects!$C$11),Projects!$B$11*Projects!$I$11,0)+IF(AND(Projects!$G$12="Yes",Projects!$F$12="Yes",7=Projects!$C$12),Projects!$B$12*Projects!$I$12,0)+IF(AND(Projects!$G$13="Yes",Projects!$F$13="Yes",7=Projects!$C$13),Projects!$B$13*Projects!$I$13,0)+IF(AND(Projects!$G$14="Yes",Projects!$F$14="Yes",7=Projects!$C$14),Projects!$B$14*Projects!$I$14,0)+IF(AND(Projects!$G$15="Yes",Projects!$F$15="Yes",7=Projects!$C$15),Projects!$B$15*Projects!$I$15,0)+IF(AND(Projects!$G$16="Yes",Projects!$F$16="Yes",7=Projects!$C$16),Projects!$B$16*Projects!$I$16,0)),Actuals!L16)</f>
        <v>-218082.84700000001</v>
      </c>
      <c r="M19" s="3">
        <f>IF(ISBLANK(Actuals!M16),-(IF(AND(Projects!$G$6="Yes",Projects!$F$6="Yes",8=Projects!$C$6),Projects!$B$6*Projects!$I$6,0)+IF(AND(Projects!$G$7="Yes",Projects!$F$7="Yes",8=Projects!$C$7),Projects!$B$7*Projects!$I$7,0)+IF(AND(Projects!$G$8="Yes",Projects!$F$8="Yes",8=Projects!$C$8),Projects!$B$8*Projects!$I$8,0)+IF(AND(Projects!$G$9="Yes",Projects!$F$9="Yes",8=Projects!$C$9),Projects!$B$9*Projects!$I$9,0)+IF(AND(Projects!$G$10="Yes",Projects!$F$10="Yes",8=Projects!$C$10),Projects!$B$10*Projects!$I$10,0)+IF(AND(Projects!$G$11="Yes",Projects!$F$11="Yes",8=Projects!$C$11),Projects!$B$11*Projects!$I$11,0)+IF(AND(Projects!$G$12="Yes",Projects!$F$12="Yes",8=Projects!$C$12),Projects!$B$12*Projects!$I$12,0)+IF(AND(Projects!$G$13="Yes",Projects!$F$13="Yes",8=Projects!$C$13),Projects!$B$13*Projects!$I$13,0)+IF(AND(Projects!$G$14="Yes",Projects!$F$14="Yes",8=Projects!$C$14),Projects!$B$14*Projects!$I$14,0)+IF(AND(Projects!$G$15="Yes",Projects!$F$15="Yes",8=Projects!$C$15),Projects!$B$15*Projects!$I$15,0)+IF(AND(Projects!$G$16="Yes",Projects!$F$16="Yes",8=Projects!$C$16),Projects!$B$16*Projects!$I$16,0)),Actuals!M16)</f>
        <v>-157349.19700000001</v>
      </c>
      <c r="N19" s="3">
        <f>IF(ISBLANK(Actuals!N16),-(IF(AND(Projects!$G$6="Yes",Projects!$F$6="Yes",9=Projects!$C$6),Projects!$B$6*Projects!$I$6,0)+IF(AND(Projects!$G$7="Yes",Projects!$F$7="Yes",9=Projects!$C$7),Projects!$B$7*Projects!$I$7,0)+IF(AND(Projects!$G$8="Yes",Projects!$F$8="Yes",9=Projects!$C$8),Projects!$B$8*Projects!$I$8,0)+IF(AND(Projects!$G$9="Yes",Projects!$F$9="Yes",9=Projects!$C$9),Projects!$B$9*Projects!$I$9,0)+IF(AND(Projects!$G$10="Yes",Projects!$F$10="Yes",9=Projects!$C$10),Projects!$B$10*Projects!$I$10,0)+IF(AND(Projects!$G$11="Yes",Projects!$F$11="Yes",9=Projects!$C$11),Projects!$B$11*Projects!$I$11,0)+IF(AND(Projects!$G$12="Yes",Projects!$F$12="Yes",9=Projects!$C$12),Projects!$B$12*Projects!$I$12,0)+IF(AND(Projects!$G$13="Yes",Projects!$F$13="Yes",9=Projects!$C$13),Projects!$B$13*Projects!$I$13,0)+IF(AND(Projects!$G$14="Yes",Projects!$F$14="Yes",9=Projects!$C$14),Projects!$B$14*Projects!$I$14,0)+IF(AND(Projects!$G$15="Yes",Projects!$F$15="Yes",9=Projects!$C$15),Projects!$B$15*Projects!$I$15,0)+IF(AND(Projects!$G$16="Yes",Projects!$F$16="Yes",9=Projects!$C$16),Projects!$B$16*Projects!$I$16,0)),Actuals!N16)</f>
        <v>0</v>
      </c>
      <c r="O19" s="3">
        <f>IF(ISBLANK(Actuals!O16),-(IF(AND(Projects!$G$6="Yes",Projects!$F$6="Yes",10=Projects!$C$6),Projects!$B$6*Projects!$I$6,0)+IF(AND(Projects!$G$7="Yes",Projects!$F$7="Yes",10=Projects!$C$7),Projects!$B$7*Projects!$I$7,0)+IF(AND(Projects!$G$8="Yes",Projects!$F$8="Yes",10=Projects!$C$8),Projects!$B$8*Projects!$I$8,0)+IF(AND(Projects!$G$9="Yes",Projects!$F$9="Yes",10=Projects!$C$9),Projects!$B$9*Projects!$I$9,0)+IF(AND(Projects!$G$10="Yes",Projects!$F$10="Yes",10=Projects!$C$10),Projects!$B$10*Projects!$I$10,0)+IF(AND(Projects!$G$11="Yes",Projects!$F$11="Yes",10=Projects!$C$11),Projects!$B$11*Projects!$I$11,0)+IF(AND(Projects!$G$12="Yes",Projects!$F$12="Yes",10=Projects!$C$12),Projects!$B$12*Projects!$I$12,0)+IF(AND(Projects!$G$13="Yes",Projects!$F$13="Yes",10=Projects!$C$13),Projects!$B$13*Projects!$I$13,0)+IF(AND(Projects!$G$14="Yes",Projects!$F$14="Yes",10=Projects!$C$14),Projects!$B$14*Projects!$I$14,0)+IF(AND(Projects!$G$15="Yes",Projects!$F$15="Yes",10=Projects!$C$15),Projects!$B$15*Projects!$I$15,0)+IF(AND(Projects!$G$16="Yes",Projects!$F$16="Yes",10=Projects!$C$16),Projects!$B$16*Projects!$I$16,0)),Actuals!O16)</f>
        <v>0</v>
      </c>
      <c r="P19" s="3">
        <f>IF(ISBLANK(Actuals!P16),-(IF(AND(Projects!$G$6="Yes",Projects!$F$6="Yes",11=Projects!$C$6),Projects!$B$6*Projects!$I$6,0)+IF(AND(Projects!$G$7="Yes",Projects!$F$7="Yes",11=Projects!$C$7),Projects!$B$7*Projects!$I$7,0)+IF(AND(Projects!$G$8="Yes",Projects!$F$8="Yes",11=Projects!$C$8),Projects!$B$8*Projects!$I$8,0)+IF(AND(Projects!$G$9="Yes",Projects!$F$9="Yes",11=Projects!$C$9),Projects!$B$9*Projects!$I$9,0)+IF(AND(Projects!$G$10="Yes",Projects!$F$10="Yes",11=Projects!$C$10),Projects!$B$10*Projects!$I$10,0)+IF(AND(Projects!$G$11="Yes",Projects!$F$11="Yes",11=Projects!$C$11),Projects!$B$11*Projects!$I$11,0)+IF(AND(Projects!$G$12="Yes",Projects!$F$12="Yes",11=Projects!$C$12),Projects!$B$12*Projects!$I$12,0)+IF(AND(Projects!$G$13="Yes",Projects!$F$13="Yes",11=Projects!$C$13),Projects!$B$13*Projects!$I$13,0)+IF(AND(Projects!$G$14="Yes",Projects!$F$14="Yes",11=Projects!$C$14),Projects!$B$14*Projects!$I$14,0)+IF(AND(Projects!$G$15="Yes",Projects!$F$15="Yes",11=Projects!$C$15),Projects!$B$15*Projects!$I$15,0)+IF(AND(Projects!$G$16="Yes",Projects!$F$16="Yes",11=Projects!$C$16),Projects!$B$16*Projects!$I$16,0)),Actuals!P16)</f>
        <v>0</v>
      </c>
      <c r="Q19" s="3">
        <f>IF(ISBLANK(Actuals!Q16),-(IF(AND(Projects!$G$6="Yes",Projects!$F$6="Yes",12=Projects!$C$6),Projects!$B$6*Projects!$I$6,0)+IF(AND(Projects!$G$7="Yes",Projects!$F$7="Yes",12=Projects!$C$7),Projects!$B$7*Projects!$I$7,0)+IF(AND(Projects!$G$8="Yes",Projects!$F$8="Yes",12=Projects!$C$8),Projects!$B$8*Projects!$I$8,0)+IF(AND(Projects!$G$9="Yes",Projects!$F$9="Yes",12=Projects!$C$9),Projects!$B$9*Projects!$I$9,0)+IF(AND(Projects!$G$10="Yes",Projects!$F$10="Yes",12=Projects!$C$10),Projects!$B$10*Projects!$I$10,0)+IF(AND(Projects!$G$11="Yes",Projects!$F$11="Yes",12=Projects!$C$11),Projects!$B$11*Projects!$I$11,0)+IF(AND(Projects!$G$12="Yes",Projects!$F$12="Yes",12=Projects!$C$12),Projects!$B$12*Projects!$I$12,0)+IF(AND(Projects!$G$13="Yes",Projects!$F$13="Yes",12=Projects!$C$13),Projects!$B$13*Projects!$I$13,0)+IF(AND(Projects!$G$14="Yes",Projects!$F$14="Yes",12=Projects!$C$14),Projects!$B$14*Projects!$I$14,0)+IF(AND(Projects!$G$15="Yes",Projects!$F$15="Yes",12=Projects!$C$15),Projects!$B$15*Projects!$I$15,0)+IF(AND(Projects!$G$16="Yes",Projects!$F$16="Yes",12=Projects!$C$16),Projects!$B$16*Projects!$I$16,0)),Actuals!Q16)</f>
        <v>0</v>
      </c>
      <c r="R19" s="3">
        <f>IF(ISBLANK(Actuals!R16),-(IF(AND(Projects!$G$6="Yes",Projects!$F$6="Yes",13=Projects!$C$6),Projects!$B$6*Projects!$I$6,0)+IF(AND(Projects!$G$7="Yes",Projects!$F$7="Yes",13=Projects!$C$7),Projects!$B$7*Projects!$I$7,0)+IF(AND(Projects!$G$8="Yes",Projects!$F$8="Yes",13=Projects!$C$8),Projects!$B$8*Projects!$I$8,0)+IF(AND(Projects!$G$9="Yes",Projects!$F$9="Yes",13=Projects!$C$9),Projects!$B$9*Projects!$I$9,0)+IF(AND(Projects!$G$10="Yes",Projects!$F$10="Yes",13=Projects!$C$10),Projects!$B$10*Projects!$I$10,0)+IF(AND(Projects!$G$11="Yes",Projects!$F$11="Yes",13=Projects!$C$11),Projects!$B$11*Projects!$I$11,0)+IF(AND(Projects!$G$12="Yes",Projects!$F$12="Yes",13=Projects!$C$12),Projects!$B$12*Projects!$I$12,0)+IF(AND(Projects!$G$13="Yes",Projects!$F$13="Yes",13=Projects!$C$13),Projects!$B$13*Projects!$I$13,0)+IF(AND(Projects!$G$14="Yes",Projects!$F$14="Yes",13=Projects!$C$14),Projects!$B$14*Projects!$I$14,0)+IF(AND(Projects!$G$15="Yes",Projects!$F$15="Yes",13=Projects!$C$15),Projects!$B$15*Projects!$I$15,0)+IF(AND(Projects!$G$16="Yes",Projects!$F$16="Yes",13=Projects!$C$16),Projects!$B$16*Projects!$I$16,0)),Actuals!R16)</f>
        <v>-1471170.0250000001</v>
      </c>
      <c r="S19" s="3">
        <f>IF(ISBLANK(Actuals!S16),-(IF(AND(Projects!$G$6="Yes",Projects!$F$6="Yes",14=Projects!$C$6),Projects!$B$6*Projects!$I$6,0)+IF(AND(Projects!$G$7="Yes",Projects!$F$7="Yes",14=Projects!$C$7),Projects!$B$7*Projects!$I$7,0)+IF(AND(Projects!$G$8="Yes",Projects!$F$8="Yes",14=Projects!$C$8),Projects!$B$8*Projects!$I$8,0)+IF(AND(Projects!$G$9="Yes",Projects!$F$9="Yes",14=Projects!$C$9),Projects!$B$9*Projects!$I$9,0)+IF(AND(Projects!$G$10="Yes",Projects!$F$10="Yes",14=Projects!$C$10),Projects!$B$10*Projects!$I$10,0)+IF(AND(Projects!$G$11="Yes",Projects!$F$11="Yes",14=Projects!$C$11),Projects!$B$11*Projects!$I$11,0)+IF(AND(Projects!$G$12="Yes",Projects!$F$12="Yes",14=Projects!$C$12),Projects!$B$12*Projects!$I$12,0)+IF(AND(Projects!$G$13="Yes",Projects!$F$13="Yes",14=Projects!$C$13),Projects!$B$13*Projects!$I$13,0)+IF(AND(Projects!$G$14="Yes",Projects!$F$14="Yes",14=Projects!$C$14),Projects!$B$14*Projects!$I$14,0)+IF(AND(Projects!$G$15="Yes",Projects!$F$15="Yes",14=Projects!$C$15),Projects!$B$15*Projects!$I$15,0)+IF(AND(Projects!$G$16="Yes",Projects!$F$16="Yes",14=Projects!$C$16),Projects!$B$16*Projects!$I$16,0)),Actuals!S16)</f>
        <v>0</v>
      </c>
      <c r="T19" s="3">
        <f>IF(ISBLANK(Actuals!T16),-(IF(AND(Projects!$G$6="Yes",Projects!$F$6="Yes",15=Projects!$C$6),Projects!$B$6*Projects!$I$6,0)+IF(AND(Projects!$G$7="Yes",Projects!$F$7="Yes",15=Projects!$C$7),Projects!$B$7*Projects!$I$7,0)+IF(AND(Projects!$G$8="Yes",Projects!$F$8="Yes",15=Projects!$C$8),Projects!$B$8*Projects!$I$8,0)+IF(AND(Projects!$G$9="Yes",Projects!$F$9="Yes",15=Projects!$C$9),Projects!$B$9*Projects!$I$9,0)+IF(AND(Projects!$G$10="Yes",Projects!$F$10="Yes",15=Projects!$C$10),Projects!$B$10*Projects!$I$10,0)+IF(AND(Projects!$G$11="Yes",Projects!$F$11="Yes",15=Projects!$C$11),Projects!$B$11*Projects!$I$11,0)+IF(AND(Projects!$G$12="Yes",Projects!$F$12="Yes",15=Projects!$C$12),Projects!$B$12*Projects!$I$12,0)+IF(AND(Projects!$G$13="Yes",Projects!$F$13="Yes",15=Projects!$C$13),Projects!$B$13*Projects!$I$13,0)+IF(AND(Projects!$G$14="Yes",Projects!$F$14="Yes",15=Projects!$C$14),Projects!$B$14*Projects!$I$14,0)+IF(AND(Projects!$G$15="Yes",Projects!$F$15="Yes",15=Projects!$C$15),Projects!$B$15*Projects!$I$15,0)+IF(AND(Projects!$G$16="Yes",Projects!$F$16="Yes",15=Projects!$C$16),Projects!$B$16*Projects!$I$16,0)),Actuals!T16)</f>
        <v>0</v>
      </c>
      <c r="U19" s="3">
        <f>IF(ISBLANK(Actuals!U16),-(IF(AND(Projects!$G$6="Yes",Projects!$F$6="Yes",16=Projects!$C$6),Projects!$B$6*Projects!$I$6,0)+IF(AND(Projects!$G$7="Yes",Projects!$F$7="Yes",16=Projects!$C$7),Projects!$B$7*Projects!$I$7,0)+IF(AND(Projects!$G$8="Yes",Projects!$F$8="Yes",16=Projects!$C$8),Projects!$B$8*Projects!$I$8,0)+IF(AND(Projects!$G$9="Yes",Projects!$F$9="Yes",16=Projects!$C$9),Projects!$B$9*Projects!$I$9,0)+IF(AND(Projects!$G$10="Yes",Projects!$F$10="Yes",16=Projects!$C$10),Projects!$B$10*Projects!$I$10,0)+IF(AND(Projects!$G$11="Yes",Projects!$F$11="Yes",16=Projects!$C$11),Projects!$B$11*Projects!$I$11,0)+IF(AND(Projects!$G$12="Yes",Projects!$F$12="Yes",16=Projects!$C$12),Projects!$B$12*Projects!$I$12,0)+IF(AND(Projects!$G$13="Yes",Projects!$F$13="Yes",16=Projects!$C$13),Projects!$B$13*Projects!$I$13,0)+IF(AND(Projects!$G$14="Yes",Projects!$F$14="Yes",16=Projects!$C$14),Projects!$B$14*Projects!$I$14,0)+IF(AND(Projects!$G$15="Yes",Projects!$F$15="Yes",16=Projects!$C$15),Projects!$B$15*Projects!$I$15,0)+IF(AND(Projects!$G$16="Yes",Projects!$F$16="Yes",16=Projects!$C$16),Projects!$B$16*Projects!$I$16,0)),Actuals!U16)</f>
        <v>0</v>
      </c>
      <c r="V19" s="3">
        <f>IF(ISBLANK(Actuals!V16),-(IF(AND(Projects!$G$6="Yes",Projects!$F$6="Yes",17=Projects!$C$6),Projects!$B$6*Projects!$I$6,0)+IF(AND(Projects!$G$7="Yes",Projects!$F$7="Yes",17=Projects!$C$7),Projects!$B$7*Projects!$I$7,0)+IF(AND(Projects!$G$8="Yes",Projects!$F$8="Yes",17=Projects!$C$8),Projects!$B$8*Projects!$I$8,0)+IF(AND(Projects!$G$9="Yes",Projects!$F$9="Yes",17=Projects!$C$9),Projects!$B$9*Projects!$I$9,0)+IF(AND(Projects!$G$10="Yes",Projects!$F$10="Yes",17=Projects!$C$10),Projects!$B$10*Projects!$I$10,0)+IF(AND(Projects!$G$11="Yes",Projects!$F$11="Yes",17=Projects!$C$11),Projects!$B$11*Projects!$I$11,0)+IF(AND(Projects!$G$12="Yes",Projects!$F$12="Yes",17=Projects!$C$12),Projects!$B$12*Projects!$I$12,0)+IF(AND(Projects!$G$13="Yes",Projects!$F$13="Yes",17=Projects!$C$13),Projects!$B$13*Projects!$I$13,0)+IF(AND(Projects!$G$14="Yes",Projects!$F$14="Yes",17=Projects!$C$14),Projects!$B$14*Projects!$I$14,0)+IF(AND(Projects!$G$15="Yes",Projects!$F$15="Yes",17=Projects!$C$15),Projects!$B$15*Projects!$I$15,0)+IF(AND(Projects!$G$16="Yes",Projects!$F$16="Yes",17=Projects!$C$16),Projects!$B$16*Projects!$I$16,0)),Actuals!V16)</f>
        <v>0</v>
      </c>
      <c r="W19" s="3">
        <f>IF(ISBLANK(Actuals!W16),-(IF(AND(Projects!$G$6="Yes",Projects!$F$6="Yes",18=Projects!$C$6),Projects!$B$6*Projects!$I$6,0)+IF(AND(Projects!$G$7="Yes",Projects!$F$7="Yes",18=Projects!$C$7),Projects!$B$7*Projects!$I$7,0)+IF(AND(Projects!$G$8="Yes",Projects!$F$8="Yes",18=Projects!$C$8),Projects!$B$8*Projects!$I$8,0)+IF(AND(Projects!$G$9="Yes",Projects!$F$9="Yes",18=Projects!$C$9),Projects!$B$9*Projects!$I$9,0)+IF(AND(Projects!$G$10="Yes",Projects!$F$10="Yes",18=Projects!$C$10),Projects!$B$10*Projects!$I$10,0)+IF(AND(Projects!$G$11="Yes",Projects!$F$11="Yes",18=Projects!$C$11),Projects!$B$11*Projects!$I$11,0)+IF(AND(Projects!$G$12="Yes",Projects!$F$12="Yes",18=Projects!$C$12),Projects!$B$12*Projects!$I$12,0)+IF(AND(Projects!$G$13="Yes",Projects!$F$13="Yes",18=Projects!$C$13),Projects!$B$13*Projects!$I$13,0)+IF(AND(Projects!$G$14="Yes",Projects!$F$14="Yes",18=Projects!$C$14),Projects!$B$14*Projects!$I$14,0)+IF(AND(Projects!$G$15="Yes",Projects!$F$15="Yes",18=Projects!$C$15),Projects!$B$15*Projects!$I$15,0)+IF(AND(Projects!$G$16="Yes",Projects!$F$16="Yes",18=Projects!$C$16),Projects!$B$16*Projects!$I$16,0)),Actuals!W16)</f>
        <v>0</v>
      </c>
      <c r="X19" s="3">
        <f>IF(ISBLANK(Actuals!X16),-(IF(AND(Projects!$G$6="Yes",Projects!$F$6="Yes",19=Projects!$C$6),Projects!$B$6*Projects!$I$6,0)+IF(AND(Projects!$G$7="Yes",Projects!$F$7="Yes",19=Projects!$C$7),Projects!$B$7*Projects!$I$7,0)+IF(AND(Projects!$G$8="Yes",Projects!$F$8="Yes",19=Projects!$C$8),Projects!$B$8*Projects!$I$8,0)+IF(AND(Projects!$G$9="Yes",Projects!$F$9="Yes",19=Projects!$C$9),Projects!$B$9*Projects!$I$9,0)+IF(AND(Projects!$G$10="Yes",Projects!$F$10="Yes",19=Projects!$C$10),Projects!$B$10*Projects!$I$10,0)+IF(AND(Projects!$G$11="Yes",Projects!$F$11="Yes",19=Projects!$C$11),Projects!$B$11*Projects!$I$11,0)+IF(AND(Projects!$G$12="Yes",Projects!$F$12="Yes",19=Projects!$C$12),Projects!$B$12*Projects!$I$12,0)+IF(AND(Projects!$G$13="Yes",Projects!$F$13="Yes",19=Projects!$C$13),Projects!$B$13*Projects!$I$13,0)+IF(AND(Projects!$G$14="Yes",Projects!$F$14="Yes",19=Projects!$C$14),Projects!$B$14*Projects!$I$14,0)+IF(AND(Projects!$G$15="Yes",Projects!$F$15="Yes",19=Projects!$C$15),Projects!$B$15*Projects!$I$15,0)+IF(AND(Projects!$G$16="Yes",Projects!$F$16="Yes",19=Projects!$C$16),Projects!$B$16*Projects!$I$16,0)),Actuals!X16)</f>
        <v>0</v>
      </c>
      <c r="Y19" s="3">
        <f>IF(ISBLANK(Actuals!Y16),-(IF(AND(Projects!$G$6="Yes",Projects!$F$6="Yes",20=Projects!$C$6),Projects!$B$6*Projects!$I$6,0)+IF(AND(Projects!$G$7="Yes",Projects!$F$7="Yes",20=Projects!$C$7),Projects!$B$7*Projects!$I$7,0)+IF(AND(Projects!$G$8="Yes",Projects!$F$8="Yes",20=Projects!$C$8),Projects!$B$8*Projects!$I$8,0)+IF(AND(Projects!$G$9="Yes",Projects!$F$9="Yes",20=Projects!$C$9),Projects!$B$9*Projects!$I$9,0)+IF(AND(Projects!$G$10="Yes",Projects!$F$10="Yes",20=Projects!$C$10),Projects!$B$10*Projects!$I$10,0)+IF(AND(Projects!$G$11="Yes",Projects!$F$11="Yes",20=Projects!$C$11),Projects!$B$11*Projects!$I$11,0)+IF(AND(Projects!$G$12="Yes",Projects!$F$12="Yes",20=Projects!$C$12),Projects!$B$12*Projects!$I$12,0)+IF(AND(Projects!$G$13="Yes",Projects!$F$13="Yes",20=Projects!$C$13),Projects!$B$13*Projects!$I$13,0)+IF(AND(Projects!$G$14="Yes",Projects!$F$14="Yes",20=Projects!$C$14),Projects!$B$14*Projects!$I$14,0)+IF(AND(Projects!$G$15="Yes",Projects!$F$15="Yes",20=Projects!$C$15),Projects!$B$15*Projects!$I$15,0)+IF(AND(Projects!$G$16="Yes",Projects!$F$16="Yes",20=Projects!$C$16),Projects!$B$16*Projects!$I$16,0)),Actuals!Y16)</f>
        <v>0</v>
      </c>
      <c r="Z19" s="3">
        <f>IF(ISBLANK(Actuals!Z16),-(IF(AND(Projects!$G$6="Yes",Projects!$F$6="Yes",21=Projects!$C$6),Projects!$B$6*Projects!$I$6,0)+IF(AND(Projects!$G$7="Yes",Projects!$F$7="Yes",21=Projects!$C$7),Projects!$B$7*Projects!$I$7,0)+IF(AND(Projects!$G$8="Yes",Projects!$F$8="Yes",21=Projects!$C$8),Projects!$B$8*Projects!$I$8,0)+IF(AND(Projects!$G$9="Yes",Projects!$F$9="Yes",21=Projects!$C$9),Projects!$B$9*Projects!$I$9,0)+IF(AND(Projects!$G$10="Yes",Projects!$F$10="Yes",21=Projects!$C$10),Projects!$B$10*Projects!$I$10,0)+IF(AND(Projects!$G$11="Yes",Projects!$F$11="Yes",21=Projects!$C$11),Projects!$B$11*Projects!$I$11,0)+IF(AND(Projects!$G$12="Yes",Projects!$F$12="Yes",21=Projects!$C$12),Projects!$B$12*Projects!$I$12,0)+IF(AND(Projects!$G$13="Yes",Projects!$F$13="Yes",21=Projects!$C$13),Projects!$B$13*Projects!$I$13,0)+IF(AND(Projects!$G$14="Yes",Projects!$F$14="Yes",21=Projects!$C$14),Projects!$B$14*Projects!$I$14,0)+IF(AND(Projects!$G$15="Yes",Projects!$F$15="Yes",21=Projects!$C$15),Projects!$B$15*Projects!$I$15,0)+IF(AND(Projects!$G$16="Yes",Projects!$F$16="Yes",21=Projects!$C$16),Projects!$B$16*Projects!$I$16,0)),Actuals!Z16)</f>
        <v>0</v>
      </c>
      <c r="AA19" s="3">
        <f>IF(ISBLANK(Actuals!AA16),-(IF(AND(Projects!$G$6="Yes",Projects!$F$6="Yes",22=Projects!$C$6),Projects!$B$6*Projects!$I$6,0)+IF(AND(Projects!$G$7="Yes",Projects!$F$7="Yes",22=Projects!$C$7),Projects!$B$7*Projects!$I$7,0)+IF(AND(Projects!$G$8="Yes",Projects!$F$8="Yes",22=Projects!$C$8),Projects!$B$8*Projects!$I$8,0)+IF(AND(Projects!$G$9="Yes",Projects!$F$9="Yes",22=Projects!$C$9),Projects!$B$9*Projects!$I$9,0)+IF(AND(Projects!$G$10="Yes",Projects!$F$10="Yes",22=Projects!$C$10),Projects!$B$10*Projects!$I$10,0)+IF(AND(Projects!$G$11="Yes",Projects!$F$11="Yes",22=Projects!$C$11),Projects!$B$11*Projects!$I$11,0)+IF(AND(Projects!$G$12="Yes",Projects!$F$12="Yes",22=Projects!$C$12),Projects!$B$12*Projects!$I$12,0)+IF(AND(Projects!$G$13="Yes",Projects!$F$13="Yes",22=Projects!$C$13),Projects!$B$13*Projects!$I$13,0)+IF(AND(Projects!$G$14="Yes",Projects!$F$14="Yes",22=Projects!$C$14),Projects!$B$14*Projects!$I$14,0)+IF(AND(Projects!$G$15="Yes",Projects!$F$15="Yes",22=Projects!$C$15),Projects!$B$15*Projects!$I$15,0)+IF(AND(Projects!$G$16="Yes",Projects!$F$16="Yes",22=Projects!$C$16),Projects!$B$16*Projects!$I$16,0)),Actuals!AA16)</f>
        <v>0</v>
      </c>
      <c r="AB19" s="3">
        <f>IF(ISBLANK(Actuals!AB16),-(IF(AND(Projects!$G$6="Yes",Projects!$F$6="Yes",23=Projects!$C$6),Projects!$B$6*Projects!$I$6,0)+IF(AND(Projects!$G$7="Yes",Projects!$F$7="Yes",23=Projects!$C$7),Projects!$B$7*Projects!$I$7,0)+IF(AND(Projects!$G$8="Yes",Projects!$F$8="Yes",23=Projects!$C$8),Projects!$B$8*Projects!$I$8,0)+IF(AND(Projects!$G$9="Yes",Projects!$F$9="Yes",23=Projects!$C$9),Projects!$B$9*Projects!$I$9,0)+IF(AND(Projects!$G$10="Yes",Projects!$F$10="Yes",23=Projects!$C$10),Projects!$B$10*Projects!$I$10,0)+IF(AND(Projects!$G$11="Yes",Projects!$F$11="Yes",23=Projects!$C$11),Projects!$B$11*Projects!$I$11,0)+IF(AND(Projects!$G$12="Yes",Projects!$F$12="Yes",23=Projects!$C$12),Projects!$B$12*Projects!$I$12,0)+IF(AND(Projects!$G$13="Yes",Projects!$F$13="Yes",23=Projects!$C$13),Projects!$B$13*Projects!$I$13,0)+IF(AND(Projects!$G$14="Yes",Projects!$F$14="Yes",23=Projects!$C$14),Projects!$B$14*Projects!$I$14,0)+IF(AND(Projects!$G$15="Yes",Projects!$F$15="Yes",23=Projects!$C$15),Projects!$B$15*Projects!$I$15,0)+IF(AND(Projects!$G$16="Yes",Projects!$F$16="Yes",23=Projects!$C$16),Projects!$B$16*Projects!$I$16,0)),Actuals!AB16)</f>
        <v>0</v>
      </c>
      <c r="AC19" s="3">
        <f>IF(ISBLANK(Actuals!AC16),-(IF(AND(Projects!$G$6="Yes",Projects!$F$6="Yes",24=Projects!$C$6),Projects!$B$6*Projects!$I$6,0)+IF(AND(Projects!$G$7="Yes",Projects!$F$7="Yes",24=Projects!$C$7),Projects!$B$7*Projects!$I$7,0)+IF(AND(Projects!$G$8="Yes",Projects!$F$8="Yes",24=Projects!$C$8),Projects!$B$8*Projects!$I$8,0)+IF(AND(Projects!$G$9="Yes",Projects!$F$9="Yes",24=Projects!$C$9),Projects!$B$9*Projects!$I$9,0)+IF(AND(Projects!$G$10="Yes",Projects!$F$10="Yes",24=Projects!$C$10),Projects!$B$10*Projects!$I$10,0)+IF(AND(Projects!$G$11="Yes",Projects!$F$11="Yes",24=Projects!$C$11),Projects!$B$11*Projects!$I$11,0)+IF(AND(Projects!$G$12="Yes",Projects!$F$12="Yes",24=Projects!$C$12),Projects!$B$12*Projects!$I$12,0)+IF(AND(Projects!$G$13="Yes",Projects!$F$13="Yes",24=Projects!$C$13),Projects!$B$13*Projects!$I$13,0)+IF(AND(Projects!$G$14="Yes",Projects!$F$14="Yes",24=Projects!$C$14),Projects!$B$14*Projects!$I$14,0)+IF(AND(Projects!$G$15="Yes",Projects!$F$15="Yes",24=Projects!$C$15),Projects!$B$15*Projects!$I$15,0)+IF(AND(Projects!$G$16="Yes",Projects!$F$16="Yes",24=Projects!$C$16),Projects!$B$16*Projects!$I$16,0)),Actuals!AC16)</f>
        <v>0</v>
      </c>
      <c r="AD19" s="3">
        <f>IF(ISBLANK(Actuals!AD16),-(IF(AND(Projects!$G$6="Yes",Projects!$F$6="Yes",25=Projects!$C$6),Projects!$B$6*Projects!$I$6,0)+IF(AND(Projects!$G$7="Yes",Projects!$F$7="Yes",25=Projects!$C$7),Projects!$B$7*Projects!$I$7,0)+IF(AND(Projects!$G$8="Yes",Projects!$F$8="Yes",25=Projects!$C$8),Projects!$B$8*Projects!$I$8,0)+IF(AND(Projects!$G$9="Yes",Projects!$F$9="Yes",25=Projects!$C$9),Projects!$B$9*Projects!$I$9,0)+IF(AND(Projects!$G$10="Yes",Projects!$F$10="Yes",25=Projects!$C$10),Projects!$B$10*Projects!$I$10,0)+IF(AND(Projects!$G$11="Yes",Projects!$F$11="Yes",25=Projects!$C$11),Projects!$B$11*Projects!$I$11,0)+IF(AND(Projects!$G$12="Yes",Projects!$F$12="Yes",25=Projects!$C$12),Projects!$B$12*Projects!$I$12,0)+IF(AND(Projects!$G$13="Yes",Projects!$F$13="Yes",25=Projects!$C$13),Projects!$B$13*Projects!$I$13,0)+IF(AND(Projects!$G$14="Yes",Projects!$F$14="Yes",25=Projects!$C$14),Projects!$B$14*Projects!$I$14,0)+IF(AND(Projects!$G$15="Yes",Projects!$F$15="Yes",25=Projects!$C$15),Projects!$B$15*Projects!$I$15,0)+IF(AND(Projects!$G$16="Yes",Projects!$F$16="Yes",25=Projects!$C$16),Projects!$B$16*Projects!$I$16,0)),Actuals!AD16)</f>
        <v>0</v>
      </c>
      <c r="AE19" s="3">
        <f>IF(ISBLANK(Actuals!AE16),-(IF(AND(Projects!$G$6="Yes",Projects!$F$6="Yes",26=Projects!$C$6),Projects!$B$6*Projects!$I$6,0)+IF(AND(Projects!$G$7="Yes",Projects!$F$7="Yes",26=Projects!$C$7),Projects!$B$7*Projects!$I$7,0)+IF(AND(Projects!$G$8="Yes",Projects!$F$8="Yes",26=Projects!$C$8),Projects!$B$8*Projects!$I$8,0)+IF(AND(Projects!$G$9="Yes",Projects!$F$9="Yes",26=Projects!$C$9),Projects!$B$9*Projects!$I$9,0)+IF(AND(Projects!$G$10="Yes",Projects!$F$10="Yes",26=Projects!$C$10),Projects!$B$10*Projects!$I$10,0)+IF(AND(Projects!$G$11="Yes",Projects!$F$11="Yes",26=Projects!$C$11),Projects!$B$11*Projects!$I$11,0)+IF(AND(Projects!$G$12="Yes",Projects!$F$12="Yes",26=Projects!$C$12),Projects!$B$12*Projects!$I$12,0)+IF(AND(Projects!$G$13="Yes",Projects!$F$13="Yes",26=Projects!$C$13),Projects!$B$13*Projects!$I$13,0)+IF(AND(Projects!$G$14="Yes",Projects!$F$14="Yes",26=Projects!$C$14),Projects!$B$14*Projects!$I$14,0)+IF(AND(Projects!$G$15="Yes",Projects!$F$15="Yes",26=Projects!$C$15),Projects!$B$15*Projects!$I$15,0)+IF(AND(Projects!$G$16="Yes",Projects!$F$16="Yes",26=Projects!$C$16),Projects!$B$16*Projects!$I$16,0)),Actuals!AE16)</f>
        <v>0</v>
      </c>
      <c r="AF19" s="3">
        <f>IF(ISBLANK(Actuals!AF16),-(IF(AND(Projects!$G$6="Yes",Projects!$F$6="Yes",27=Projects!$C$6),Projects!$B$6*Projects!$I$6,0)+IF(AND(Projects!$G$7="Yes",Projects!$F$7="Yes",27=Projects!$C$7),Projects!$B$7*Projects!$I$7,0)+IF(AND(Projects!$G$8="Yes",Projects!$F$8="Yes",27=Projects!$C$8),Projects!$B$8*Projects!$I$8,0)+IF(AND(Projects!$G$9="Yes",Projects!$F$9="Yes",27=Projects!$C$9),Projects!$B$9*Projects!$I$9,0)+IF(AND(Projects!$G$10="Yes",Projects!$F$10="Yes",27=Projects!$C$10),Projects!$B$10*Projects!$I$10,0)+IF(AND(Projects!$G$11="Yes",Projects!$F$11="Yes",27=Projects!$C$11),Projects!$B$11*Projects!$I$11,0)+IF(AND(Projects!$G$12="Yes",Projects!$F$12="Yes",27=Projects!$C$12),Projects!$B$12*Projects!$I$12,0)+IF(AND(Projects!$G$13="Yes",Projects!$F$13="Yes",27=Projects!$C$13),Projects!$B$13*Projects!$I$13,0)+IF(AND(Projects!$G$14="Yes",Projects!$F$14="Yes",27=Projects!$C$14),Projects!$B$14*Projects!$I$14,0)+IF(AND(Projects!$G$15="Yes",Projects!$F$15="Yes",27=Projects!$C$15),Projects!$B$15*Projects!$I$15,0)+IF(AND(Projects!$G$16="Yes",Projects!$F$16="Yes",27=Projects!$C$16),Projects!$B$16*Projects!$I$16,0)),Actuals!AF16)</f>
        <v>-1344025.54</v>
      </c>
      <c r="AG19" s="3">
        <f>IF(ISBLANK(Actuals!AG16),-(IF(AND(Projects!$G$6="Yes",Projects!$F$6="Yes",28=Projects!$C$6),Projects!$B$6*Projects!$I$6,0)+IF(AND(Projects!$G$7="Yes",Projects!$F$7="Yes",28=Projects!$C$7),Projects!$B$7*Projects!$I$7,0)+IF(AND(Projects!$G$8="Yes",Projects!$F$8="Yes",28=Projects!$C$8),Projects!$B$8*Projects!$I$8,0)+IF(AND(Projects!$G$9="Yes",Projects!$F$9="Yes",28=Projects!$C$9),Projects!$B$9*Projects!$I$9,0)+IF(AND(Projects!$G$10="Yes",Projects!$F$10="Yes",28=Projects!$C$10),Projects!$B$10*Projects!$I$10,0)+IF(AND(Projects!$G$11="Yes",Projects!$F$11="Yes",28=Projects!$C$11),Projects!$B$11*Projects!$I$11,0)+IF(AND(Projects!$G$12="Yes",Projects!$F$12="Yes",28=Projects!$C$12),Projects!$B$12*Projects!$I$12,0)+IF(AND(Projects!$G$13="Yes",Projects!$F$13="Yes",28=Projects!$C$13),Projects!$B$13*Projects!$I$13,0)+IF(AND(Projects!$G$14="Yes",Projects!$F$14="Yes",28=Projects!$C$14),Projects!$B$14*Projects!$I$14,0)+IF(AND(Projects!$G$15="Yes",Projects!$F$15="Yes",28=Projects!$C$15),Projects!$B$15*Projects!$I$15,0)+IF(AND(Projects!$G$16="Yes",Projects!$F$16="Yes",28=Projects!$C$16),Projects!$B$16*Projects!$I$16,0)),Actuals!AG16)</f>
        <v>0</v>
      </c>
      <c r="AH19" s="3">
        <f>IF(ISBLANK(Actuals!AH16),-(IF(AND(Projects!$G$6="Yes",Projects!$F$6="Yes",29=Projects!$C$6),Projects!$B$6*Projects!$I$6,0)+IF(AND(Projects!$G$7="Yes",Projects!$F$7="Yes",29=Projects!$C$7),Projects!$B$7*Projects!$I$7,0)+IF(AND(Projects!$G$8="Yes",Projects!$F$8="Yes",29=Projects!$C$8),Projects!$B$8*Projects!$I$8,0)+IF(AND(Projects!$G$9="Yes",Projects!$F$9="Yes",29=Projects!$C$9),Projects!$B$9*Projects!$I$9,0)+IF(AND(Projects!$G$10="Yes",Projects!$F$10="Yes",29=Projects!$C$10),Projects!$B$10*Projects!$I$10,0)+IF(AND(Projects!$G$11="Yes",Projects!$F$11="Yes",29=Projects!$C$11),Projects!$B$11*Projects!$I$11,0)+IF(AND(Projects!$G$12="Yes",Projects!$F$12="Yes",29=Projects!$C$12),Projects!$B$12*Projects!$I$12,0)+IF(AND(Projects!$G$13="Yes",Projects!$F$13="Yes",29=Projects!$C$13),Projects!$B$13*Projects!$I$13,0)+IF(AND(Projects!$G$14="Yes",Projects!$F$14="Yes",29=Projects!$C$14),Projects!$B$14*Projects!$I$14,0)+IF(AND(Projects!$G$15="Yes",Projects!$F$15="Yes",29=Projects!$C$15),Projects!$B$15*Projects!$I$15,0)+IF(AND(Projects!$G$16="Yes",Projects!$F$16="Yes",29=Projects!$C$16),Projects!$B$16*Projects!$I$16,0)),Actuals!AH16)</f>
        <v>0</v>
      </c>
      <c r="AI19" s="3">
        <f>IF(ISBLANK(Actuals!AI16),-(IF(AND(Projects!$G$6="Yes",Projects!$F$6="Yes",30=Projects!$C$6),Projects!$B$6*Projects!$I$6,0)+IF(AND(Projects!$G$7="Yes",Projects!$F$7="Yes",30=Projects!$C$7),Projects!$B$7*Projects!$I$7,0)+IF(AND(Projects!$G$8="Yes",Projects!$F$8="Yes",30=Projects!$C$8),Projects!$B$8*Projects!$I$8,0)+IF(AND(Projects!$G$9="Yes",Projects!$F$9="Yes",30=Projects!$C$9),Projects!$B$9*Projects!$I$9,0)+IF(AND(Projects!$G$10="Yes",Projects!$F$10="Yes",30=Projects!$C$10),Projects!$B$10*Projects!$I$10,0)+IF(AND(Projects!$G$11="Yes",Projects!$F$11="Yes",30=Projects!$C$11),Projects!$B$11*Projects!$I$11,0)+IF(AND(Projects!$G$12="Yes",Projects!$F$12="Yes",30=Projects!$C$12),Projects!$B$12*Projects!$I$12,0)+IF(AND(Projects!$G$13="Yes",Projects!$F$13="Yes",30=Projects!$C$13),Projects!$B$13*Projects!$I$13,0)+IF(AND(Projects!$G$14="Yes",Projects!$F$14="Yes",30=Projects!$C$14),Projects!$B$14*Projects!$I$14,0)+IF(AND(Projects!$G$15="Yes",Projects!$F$15="Yes",30=Projects!$C$15),Projects!$B$15*Projects!$I$15,0)+IF(AND(Projects!$G$16="Yes",Projects!$F$16="Yes",30=Projects!$C$16),Projects!$B$16*Projects!$I$16,0)),Actuals!AI16)</f>
        <v>0</v>
      </c>
      <c r="AJ19" s="3">
        <f>IF(ISBLANK(Actuals!AJ16),-(IF(AND(Projects!$G$6="Yes",Projects!$F$6="Yes",31=Projects!$C$6),Projects!$B$6*Projects!$I$6,0)+IF(AND(Projects!$G$7="Yes",Projects!$F$7="Yes",31=Projects!$C$7),Projects!$B$7*Projects!$I$7,0)+IF(AND(Projects!$G$8="Yes",Projects!$F$8="Yes",31=Projects!$C$8),Projects!$B$8*Projects!$I$8,0)+IF(AND(Projects!$G$9="Yes",Projects!$F$9="Yes",31=Projects!$C$9),Projects!$B$9*Projects!$I$9,0)+IF(AND(Projects!$G$10="Yes",Projects!$F$10="Yes",31=Projects!$C$10),Projects!$B$10*Projects!$I$10,0)+IF(AND(Projects!$G$11="Yes",Projects!$F$11="Yes",31=Projects!$C$11),Projects!$B$11*Projects!$I$11,0)+IF(AND(Projects!$G$12="Yes",Projects!$F$12="Yes",31=Projects!$C$12),Projects!$B$12*Projects!$I$12,0)+IF(AND(Projects!$G$13="Yes",Projects!$F$13="Yes",31=Projects!$C$13),Projects!$B$13*Projects!$I$13,0)+IF(AND(Projects!$G$14="Yes",Projects!$F$14="Yes",31=Projects!$C$14),Projects!$B$14*Projects!$I$14,0)+IF(AND(Projects!$G$15="Yes",Projects!$F$15="Yes",31=Projects!$C$15),Projects!$B$15*Projects!$I$15,0)+IF(AND(Projects!$G$16="Yes",Projects!$F$16="Yes",31=Projects!$C$16),Projects!$B$16*Projects!$I$16,0)),Actuals!AJ16)</f>
        <v>0</v>
      </c>
      <c r="AK19" s="3">
        <f>IF(ISBLANK(Actuals!AK16),-(IF(AND(Projects!$G$6="Yes",Projects!$F$6="Yes",32=Projects!$C$6),Projects!$B$6*Projects!$I$6,0)+IF(AND(Projects!$G$7="Yes",Projects!$F$7="Yes",32=Projects!$C$7),Projects!$B$7*Projects!$I$7,0)+IF(AND(Projects!$G$8="Yes",Projects!$F$8="Yes",32=Projects!$C$8),Projects!$B$8*Projects!$I$8,0)+IF(AND(Projects!$G$9="Yes",Projects!$F$9="Yes",32=Projects!$C$9),Projects!$B$9*Projects!$I$9,0)+IF(AND(Projects!$G$10="Yes",Projects!$F$10="Yes",32=Projects!$C$10),Projects!$B$10*Projects!$I$10,0)+IF(AND(Projects!$G$11="Yes",Projects!$F$11="Yes",32=Projects!$C$11),Projects!$B$11*Projects!$I$11,0)+IF(AND(Projects!$G$12="Yes",Projects!$F$12="Yes",32=Projects!$C$12),Projects!$B$12*Projects!$I$12,0)+IF(AND(Projects!$G$13="Yes",Projects!$F$13="Yes",32=Projects!$C$13),Projects!$B$13*Projects!$I$13,0)+IF(AND(Projects!$G$14="Yes",Projects!$F$14="Yes",32=Projects!$C$14),Projects!$B$14*Projects!$I$14,0)+IF(AND(Projects!$G$15="Yes",Projects!$F$15="Yes",32=Projects!$C$15),Projects!$B$15*Projects!$I$15,0)+IF(AND(Projects!$G$16="Yes",Projects!$F$16="Yes",32=Projects!$C$16),Projects!$B$16*Projects!$I$16,0)),Actuals!AK16)</f>
        <v>0</v>
      </c>
      <c r="AL19" s="3">
        <f>IF(ISBLANK(Actuals!AL16),-(IF(AND(Projects!$G$6="Yes",Projects!$F$6="Yes",33=Projects!$C$6),Projects!$B$6*Projects!$I$6,0)+IF(AND(Projects!$G$7="Yes",Projects!$F$7="Yes",33=Projects!$C$7),Projects!$B$7*Projects!$I$7,0)+IF(AND(Projects!$G$8="Yes",Projects!$F$8="Yes",33=Projects!$C$8),Projects!$B$8*Projects!$I$8,0)+IF(AND(Projects!$G$9="Yes",Projects!$F$9="Yes",33=Projects!$C$9),Projects!$B$9*Projects!$I$9,0)+IF(AND(Projects!$G$10="Yes",Projects!$F$10="Yes",33=Projects!$C$10),Projects!$B$10*Projects!$I$10,0)+IF(AND(Projects!$G$11="Yes",Projects!$F$11="Yes",33=Projects!$C$11),Projects!$B$11*Projects!$I$11,0)+IF(AND(Projects!$G$12="Yes",Projects!$F$12="Yes",33=Projects!$C$12),Projects!$B$12*Projects!$I$12,0)+IF(AND(Projects!$G$13="Yes",Projects!$F$13="Yes",33=Projects!$C$13),Projects!$B$13*Projects!$I$13,0)+IF(AND(Projects!$G$14="Yes",Projects!$F$14="Yes",33=Projects!$C$14),Projects!$B$14*Projects!$I$14,0)+IF(AND(Projects!$G$15="Yes",Projects!$F$15="Yes",33=Projects!$C$15),Projects!$B$15*Projects!$I$15,0)+IF(AND(Projects!$G$16="Yes",Projects!$F$16="Yes",33=Projects!$C$16),Projects!$B$16*Projects!$I$16,0)),Actuals!AL16)</f>
        <v>0</v>
      </c>
      <c r="AM19" s="3">
        <f>IF(ISBLANK(Actuals!AM16),-(IF(AND(Projects!$G$6="Yes",Projects!$F$6="Yes",34=Projects!$C$6),Projects!$B$6*Projects!$I$6,0)+IF(AND(Projects!$G$7="Yes",Projects!$F$7="Yes",34=Projects!$C$7),Projects!$B$7*Projects!$I$7,0)+IF(AND(Projects!$G$8="Yes",Projects!$F$8="Yes",34=Projects!$C$8),Projects!$B$8*Projects!$I$8,0)+IF(AND(Projects!$G$9="Yes",Projects!$F$9="Yes",34=Projects!$C$9),Projects!$B$9*Projects!$I$9,0)+IF(AND(Projects!$G$10="Yes",Projects!$F$10="Yes",34=Projects!$C$10),Projects!$B$10*Projects!$I$10,0)+IF(AND(Projects!$G$11="Yes",Projects!$F$11="Yes",34=Projects!$C$11),Projects!$B$11*Projects!$I$11,0)+IF(AND(Projects!$G$12="Yes",Projects!$F$12="Yes",34=Projects!$C$12),Projects!$B$12*Projects!$I$12,0)+IF(AND(Projects!$G$13="Yes",Projects!$F$13="Yes",34=Projects!$C$13),Projects!$B$13*Projects!$I$13,0)+IF(AND(Projects!$G$14="Yes",Projects!$F$14="Yes",34=Projects!$C$14),Projects!$B$14*Projects!$I$14,0)+IF(AND(Projects!$G$15="Yes",Projects!$F$15="Yes",34=Projects!$C$15),Projects!$B$15*Projects!$I$15,0)+IF(AND(Projects!$G$16="Yes",Projects!$F$16="Yes",34=Projects!$C$16),Projects!$B$16*Projects!$I$16,0)),Actuals!AM16)</f>
        <v>0</v>
      </c>
      <c r="AN19" s="3">
        <f>IF(ISBLANK(Actuals!AN16),-(IF(AND(Projects!$G$6="Yes",Projects!$F$6="Yes",35=Projects!$C$6),Projects!$B$6*Projects!$I$6,0)+IF(AND(Projects!$G$7="Yes",Projects!$F$7="Yes",35=Projects!$C$7),Projects!$B$7*Projects!$I$7,0)+IF(AND(Projects!$G$8="Yes",Projects!$F$8="Yes",35=Projects!$C$8),Projects!$B$8*Projects!$I$8,0)+IF(AND(Projects!$G$9="Yes",Projects!$F$9="Yes",35=Projects!$C$9),Projects!$B$9*Projects!$I$9,0)+IF(AND(Projects!$G$10="Yes",Projects!$F$10="Yes",35=Projects!$C$10),Projects!$B$10*Projects!$I$10,0)+IF(AND(Projects!$G$11="Yes",Projects!$F$11="Yes",35=Projects!$C$11),Projects!$B$11*Projects!$I$11,0)+IF(AND(Projects!$G$12="Yes",Projects!$F$12="Yes",35=Projects!$C$12),Projects!$B$12*Projects!$I$12,0)+IF(AND(Projects!$G$13="Yes",Projects!$F$13="Yes",35=Projects!$C$13),Projects!$B$13*Projects!$I$13,0)+IF(AND(Projects!$G$14="Yes",Projects!$F$14="Yes",35=Projects!$C$14),Projects!$B$14*Projects!$I$14,0)+IF(AND(Projects!$G$15="Yes",Projects!$F$15="Yes",35=Projects!$C$15),Projects!$B$15*Projects!$I$15,0)+IF(AND(Projects!$G$16="Yes",Projects!$F$16="Yes",35=Projects!$C$16),Projects!$B$16*Projects!$I$16,0)),Actuals!AN16)</f>
        <v>0</v>
      </c>
      <c r="AO19" s="3">
        <f>IF(ISBLANK(Actuals!AO16),-(IF(AND(Projects!$G$6="Yes",Projects!$F$6="Yes",36=Projects!$C$6),Projects!$B$6*Projects!$I$6,0)+IF(AND(Projects!$G$7="Yes",Projects!$F$7="Yes",36=Projects!$C$7),Projects!$B$7*Projects!$I$7,0)+IF(AND(Projects!$G$8="Yes",Projects!$F$8="Yes",36=Projects!$C$8),Projects!$B$8*Projects!$I$8,0)+IF(AND(Projects!$G$9="Yes",Projects!$F$9="Yes",36=Projects!$C$9),Projects!$B$9*Projects!$I$9,0)+IF(AND(Projects!$G$10="Yes",Projects!$F$10="Yes",36=Projects!$C$10),Projects!$B$10*Projects!$I$10,0)+IF(AND(Projects!$G$11="Yes",Projects!$F$11="Yes",36=Projects!$C$11),Projects!$B$11*Projects!$I$11,0)+IF(AND(Projects!$G$12="Yes",Projects!$F$12="Yes",36=Projects!$C$12),Projects!$B$12*Projects!$I$12,0)+IF(AND(Projects!$G$13="Yes",Projects!$F$13="Yes",36=Projects!$C$13),Projects!$B$13*Projects!$I$13,0)+IF(AND(Projects!$G$14="Yes",Projects!$F$14="Yes",36=Projects!$C$14),Projects!$B$14*Projects!$I$14,0)+IF(AND(Projects!$G$15="Yes",Projects!$F$15="Yes",36=Projects!$C$15),Projects!$B$15*Projects!$I$15,0)+IF(AND(Projects!$G$16="Yes",Projects!$F$16="Yes",36=Projects!$C$16),Projects!$B$16*Projects!$I$16,0)),Actuals!AO16)</f>
        <v>0</v>
      </c>
      <c r="AP19" s="3">
        <f>IF(ISBLANK(Actuals!AP16),-(IF(AND(Projects!$G$6="Yes",Projects!$F$6="Yes",37=Projects!$C$6),Projects!$B$6*Projects!$I$6,0)+IF(AND(Projects!$G$7="Yes",Projects!$F$7="Yes",37=Projects!$C$7),Projects!$B$7*Projects!$I$7,0)+IF(AND(Projects!$G$8="Yes",Projects!$F$8="Yes",37=Projects!$C$8),Projects!$B$8*Projects!$I$8,0)+IF(AND(Projects!$G$9="Yes",Projects!$F$9="Yes",37=Projects!$C$9),Projects!$B$9*Projects!$I$9,0)+IF(AND(Projects!$G$10="Yes",Projects!$F$10="Yes",37=Projects!$C$10),Projects!$B$10*Projects!$I$10,0)+IF(AND(Projects!$G$11="Yes",Projects!$F$11="Yes",37=Projects!$C$11),Projects!$B$11*Projects!$I$11,0)+IF(AND(Projects!$G$12="Yes",Projects!$F$12="Yes",37=Projects!$C$12),Projects!$B$12*Projects!$I$12,0)+IF(AND(Projects!$G$13="Yes",Projects!$F$13="Yes",37=Projects!$C$13),Projects!$B$13*Projects!$I$13,0)+IF(AND(Projects!$G$14="Yes",Projects!$F$14="Yes",37=Projects!$C$14),Projects!$B$14*Projects!$I$14,0)+IF(AND(Projects!$G$15="Yes",Projects!$F$15="Yes",37=Projects!$C$15),Projects!$B$15*Projects!$I$15,0)+IF(AND(Projects!$G$16="Yes",Projects!$F$16="Yes",37=Projects!$C$16),Projects!$B$16*Projects!$I$16,0)),Actuals!AP16)</f>
        <v>0</v>
      </c>
      <c r="AQ19" s="3">
        <f>IF(ISBLANK(Actuals!AQ16),-(IF(AND(Projects!$G$6="Yes",Projects!$F$6="Yes",38=Projects!$C$6),Projects!$B$6*Projects!$I$6,0)+IF(AND(Projects!$G$7="Yes",Projects!$F$7="Yes",38=Projects!$C$7),Projects!$B$7*Projects!$I$7,0)+IF(AND(Projects!$G$8="Yes",Projects!$F$8="Yes",38=Projects!$C$8),Projects!$B$8*Projects!$I$8,0)+IF(AND(Projects!$G$9="Yes",Projects!$F$9="Yes",38=Projects!$C$9),Projects!$B$9*Projects!$I$9,0)+IF(AND(Projects!$G$10="Yes",Projects!$F$10="Yes",38=Projects!$C$10),Projects!$B$10*Projects!$I$10,0)+IF(AND(Projects!$G$11="Yes",Projects!$F$11="Yes",38=Projects!$C$11),Projects!$B$11*Projects!$I$11,0)+IF(AND(Projects!$G$12="Yes",Projects!$F$12="Yes",38=Projects!$C$12),Projects!$B$12*Projects!$I$12,0)+IF(AND(Projects!$G$13="Yes",Projects!$F$13="Yes",38=Projects!$C$13),Projects!$B$13*Projects!$I$13,0)+IF(AND(Projects!$G$14="Yes",Projects!$F$14="Yes",38=Projects!$C$14),Projects!$B$14*Projects!$I$14,0)+IF(AND(Projects!$G$15="Yes",Projects!$F$15="Yes",38=Projects!$C$15),Projects!$B$15*Projects!$I$15,0)+IF(AND(Projects!$G$16="Yes",Projects!$F$16="Yes",38=Projects!$C$16),Projects!$B$16*Projects!$I$16,0)),Actuals!AQ16)</f>
        <v>0</v>
      </c>
      <c r="AR19" s="3">
        <f>IF(ISBLANK(Actuals!AR16),-(IF(AND(Projects!$G$6="Yes",Projects!$F$6="Yes",39=Projects!$C$6),Projects!$B$6*Projects!$I$6,0)+IF(AND(Projects!$G$7="Yes",Projects!$F$7="Yes",39=Projects!$C$7),Projects!$B$7*Projects!$I$7,0)+IF(AND(Projects!$G$8="Yes",Projects!$F$8="Yes",39=Projects!$C$8),Projects!$B$8*Projects!$I$8,0)+IF(AND(Projects!$G$9="Yes",Projects!$F$9="Yes",39=Projects!$C$9),Projects!$B$9*Projects!$I$9,0)+IF(AND(Projects!$G$10="Yes",Projects!$F$10="Yes",39=Projects!$C$10),Projects!$B$10*Projects!$I$10,0)+IF(AND(Projects!$G$11="Yes",Projects!$F$11="Yes",39=Projects!$C$11),Projects!$B$11*Projects!$I$11,0)+IF(AND(Projects!$G$12="Yes",Projects!$F$12="Yes",39=Projects!$C$12),Projects!$B$12*Projects!$I$12,0)+IF(AND(Projects!$G$13="Yes",Projects!$F$13="Yes",39=Projects!$C$13),Projects!$B$13*Projects!$I$13,0)+IF(AND(Projects!$G$14="Yes",Projects!$F$14="Yes",39=Projects!$C$14),Projects!$B$14*Projects!$I$14,0)+IF(AND(Projects!$G$15="Yes",Projects!$F$15="Yes",39=Projects!$C$15),Projects!$B$15*Projects!$I$15,0)+IF(AND(Projects!$G$16="Yes",Projects!$F$16="Yes",39=Projects!$C$16),Projects!$B$16*Projects!$I$16,0)),Actuals!AR16)</f>
        <v>0</v>
      </c>
      <c r="AS19" s="3">
        <f>IF(ISBLANK(Actuals!AS16),-(IF(AND(Projects!$G$6="Yes",Projects!$F$6="Yes",40=Projects!$C$6),Projects!$B$6*Projects!$I$6,0)+IF(AND(Projects!$G$7="Yes",Projects!$F$7="Yes",40=Projects!$C$7),Projects!$B$7*Projects!$I$7,0)+IF(AND(Projects!$G$8="Yes",Projects!$F$8="Yes",40=Projects!$C$8),Projects!$B$8*Projects!$I$8,0)+IF(AND(Projects!$G$9="Yes",Projects!$F$9="Yes",40=Projects!$C$9),Projects!$B$9*Projects!$I$9,0)+IF(AND(Projects!$G$10="Yes",Projects!$F$10="Yes",40=Projects!$C$10),Projects!$B$10*Projects!$I$10,0)+IF(AND(Projects!$G$11="Yes",Projects!$F$11="Yes",40=Projects!$C$11),Projects!$B$11*Projects!$I$11,0)+IF(AND(Projects!$G$12="Yes",Projects!$F$12="Yes",40=Projects!$C$12),Projects!$B$12*Projects!$I$12,0)+IF(AND(Projects!$G$13="Yes",Projects!$F$13="Yes",40=Projects!$C$13),Projects!$B$13*Projects!$I$13,0)+IF(AND(Projects!$G$14="Yes",Projects!$F$14="Yes",40=Projects!$C$14),Projects!$B$14*Projects!$I$14,0)+IF(AND(Projects!$G$15="Yes",Projects!$F$15="Yes",40=Projects!$C$15),Projects!$B$15*Projects!$I$15,0)+IF(AND(Projects!$G$16="Yes",Projects!$F$16="Yes",40=Projects!$C$16),Projects!$B$16*Projects!$I$16,0)),Actuals!AS16)</f>
        <v>0</v>
      </c>
      <c r="AT19" s="3">
        <f>IF(ISBLANK(Actuals!AT16),-(IF(AND(Projects!$G$6="Yes",Projects!$F$6="Yes",41=Projects!$C$6),Projects!$B$6*Projects!$I$6,0)+IF(AND(Projects!$G$7="Yes",Projects!$F$7="Yes",41=Projects!$C$7),Projects!$B$7*Projects!$I$7,0)+IF(AND(Projects!$G$8="Yes",Projects!$F$8="Yes",41=Projects!$C$8),Projects!$B$8*Projects!$I$8,0)+IF(AND(Projects!$G$9="Yes",Projects!$F$9="Yes",41=Projects!$C$9),Projects!$B$9*Projects!$I$9,0)+IF(AND(Projects!$G$10="Yes",Projects!$F$10="Yes",41=Projects!$C$10),Projects!$B$10*Projects!$I$10,0)+IF(AND(Projects!$G$11="Yes",Projects!$F$11="Yes",41=Projects!$C$11),Projects!$B$11*Projects!$I$11,0)+IF(AND(Projects!$G$12="Yes",Projects!$F$12="Yes",41=Projects!$C$12),Projects!$B$12*Projects!$I$12,0)+IF(AND(Projects!$G$13="Yes",Projects!$F$13="Yes",41=Projects!$C$13),Projects!$B$13*Projects!$I$13,0)+IF(AND(Projects!$G$14="Yes",Projects!$F$14="Yes",41=Projects!$C$14),Projects!$B$14*Projects!$I$14,0)+IF(AND(Projects!$G$15="Yes",Projects!$F$15="Yes",41=Projects!$C$15),Projects!$B$15*Projects!$I$15,0)+IF(AND(Projects!$G$16="Yes",Projects!$F$16="Yes",41=Projects!$C$16),Projects!$B$16*Projects!$I$16,0)),Actuals!AT16)</f>
        <v>0</v>
      </c>
      <c r="AU19" s="3">
        <f>IF(ISBLANK(Actuals!AU16),-(IF(AND(Projects!$G$6="Yes",Projects!$F$6="Yes",42=Projects!$C$6),Projects!$B$6*Projects!$I$6,0)+IF(AND(Projects!$G$7="Yes",Projects!$F$7="Yes",42=Projects!$C$7),Projects!$B$7*Projects!$I$7,0)+IF(AND(Projects!$G$8="Yes",Projects!$F$8="Yes",42=Projects!$C$8),Projects!$B$8*Projects!$I$8,0)+IF(AND(Projects!$G$9="Yes",Projects!$F$9="Yes",42=Projects!$C$9),Projects!$B$9*Projects!$I$9,0)+IF(AND(Projects!$G$10="Yes",Projects!$F$10="Yes",42=Projects!$C$10),Projects!$B$10*Projects!$I$10,0)+IF(AND(Projects!$G$11="Yes",Projects!$F$11="Yes",42=Projects!$C$11),Projects!$B$11*Projects!$I$11,0)+IF(AND(Projects!$G$12="Yes",Projects!$F$12="Yes",42=Projects!$C$12),Projects!$B$12*Projects!$I$12,0)+IF(AND(Projects!$G$13="Yes",Projects!$F$13="Yes",42=Projects!$C$13),Projects!$B$13*Projects!$I$13,0)+IF(AND(Projects!$G$14="Yes",Projects!$F$14="Yes",42=Projects!$C$14),Projects!$B$14*Projects!$I$14,0)+IF(AND(Projects!$G$15="Yes",Projects!$F$15="Yes",42=Projects!$C$15),Projects!$B$15*Projects!$I$15,0)+IF(AND(Projects!$G$16="Yes",Projects!$F$16="Yes",42=Projects!$C$16),Projects!$B$16*Projects!$I$16,0)),Actuals!AU16)</f>
        <v>0</v>
      </c>
      <c r="AV19" s="3">
        <f>IF(ISBLANK(Actuals!AV16),-(IF(AND(Projects!$G$6="Yes",Projects!$F$6="Yes",43=Projects!$C$6),Projects!$B$6*Projects!$I$6,0)+IF(AND(Projects!$G$7="Yes",Projects!$F$7="Yes",43=Projects!$C$7),Projects!$B$7*Projects!$I$7,0)+IF(AND(Projects!$G$8="Yes",Projects!$F$8="Yes",43=Projects!$C$8),Projects!$B$8*Projects!$I$8,0)+IF(AND(Projects!$G$9="Yes",Projects!$F$9="Yes",43=Projects!$C$9),Projects!$B$9*Projects!$I$9,0)+IF(AND(Projects!$G$10="Yes",Projects!$F$10="Yes",43=Projects!$C$10),Projects!$B$10*Projects!$I$10,0)+IF(AND(Projects!$G$11="Yes",Projects!$F$11="Yes",43=Projects!$C$11),Projects!$B$11*Projects!$I$11,0)+IF(AND(Projects!$G$12="Yes",Projects!$F$12="Yes",43=Projects!$C$12),Projects!$B$12*Projects!$I$12,0)+IF(AND(Projects!$G$13="Yes",Projects!$F$13="Yes",43=Projects!$C$13),Projects!$B$13*Projects!$I$13,0)+IF(AND(Projects!$G$14="Yes",Projects!$F$14="Yes",43=Projects!$C$14),Projects!$B$14*Projects!$I$14,0)+IF(AND(Projects!$G$15="Yes",Projects!$F$15="Yes",43=Projects!$C$15),Projects!$B$15*Projects!$I$15,0)+IF(AND(Projects!$G$16="Yes",Projects!$F$16="Yes",43=Projects!$C$16),Projects!$B$16*Projects!$I$16,0)),Actuals!AV16)</f>
        <v>0</v>
      </c>
      <c r="AW19" s="3">
        <f>IF(ISBLANK(Actuals!AW16),-(IF(AND(Projects!$G$6="Yes",Projects!$F$6="Yes",44=Projects!$C$6),Projects!$B$6*Projects!$I$6,0)+IF(AND(Projects!$G$7="Yes",Projects!$F$7="Yes",44=Projects!$C$7),Projects!$B$7*Projects!$I$7,0)+IF(AND(Projects!$G$8="Yes",Projects!$F$8="Yes",44=Projects!$C$8),Projects!$B$8*Projects!$I$8,0)+IF(AND(Projects!$G$9="Yes",Projects!$F$9="Yes",44=Projects!$C$9),Projects!$B$9*Projects!$I$9,0)+IF(AND(Projects!$G$10="Yes",Projects!$F$10="Yes",44=Projects!$C$10),Projects!$B$10*Projects!$I$10,0)+IF(AND(Projects!$G$11="Yes",Projects!$F$11="Yes",44=Projects!$C$11),Projects!$B$11*Projects!$I$11,0)+IF(AND(Projects!$G$12="Yes",Projects!$F$12="Yes",44=Projects!$C$12),Projects!$B$12*Projects!$I$12,0)+IF(AND(Projects!$G$13="Yes",Projects!$F$13="Yes",44=Projects!$C$13),Projects!$B$13*Projects!$I$13,0)+IF(AND(Projects!$G$14="Yes",Projects!$F$14="Yes",44=Projects!$C$14),Projects!$B$14*Projects!$I$14,0)+IF(AND(Projects!$G$15="Yes",Projects!$F$15="Yes",44=Projects!$C$15),Projects!$B$15*Projects!$I$15,0)+IF(AND(Projects!$G$16="Yes",Projects!$F$16="Yes",44=Projects!$C$16),Projects!$B$16*Projects!$I$16,0)),Actuals!AW16)</f>
        <v>0</v>
      </c>
      <c r="AX19" s="3">
        <f>IF(ISBLANK(Actuals!AX16),-(IF(AND(Projects!$G$6="Yes",Projects!$F$6="Yes",45=Projects!$C$6),Projects!$B$6*Projects!$I$6,0)+IF(AND(Projects!$G$7="Yes",Projects!$F$7="Yes",45=Projects!$C$7),Projects!$B$7*Projects!$I$7,0)+IF(AND(Projects!$G$8="Yes",Projects!$F$8="Yes",45=Projects!$C$8),Projects!$B$8*Projects!$I$8,0)+IF(AND(Projects!$G$9="Yes",Projects!$F$9="Yes",45=Projects!$C$9),Projects!$B$9*Projects!$I$9,0)+IF(AND(Projects!$G$10="Yes",Projects!$F$10="Yes",45=Projects!$C$10),Projects!$B$10*Projects!$I$10,0)+IF(AND(Projects!$G$11="Yes",Projects!$F$11="Yes",45=Projects!$C$11),Projects!$B$11*Projects!$I$11,0)+IF(AND(Projects!$G$12="Yes",Projects!$F$12="Yes",45=Projects!$C$12),Projects!$B$12*Projects!$I$12,0)+IF(AND(Projects!$G$13="Yes",Projects!$F$13="Yes",45=Projects!$C$13),Projects!$B$13*Projects!$I$13,0)+IF(AND(Projects!$G$14="Yes",Projects!$F$14="Yes",45=Projects!$C$14),Projects!$B$14*Projects!$I$14,0)+IF(AND(Projects!$G$15="Yes",Projects!$F$15="Yes",45=Projects!$C$15),Projects!$B$15*Projects!$I$15,0)+IF(AND(Projects!$G$16="Yes",Projects!$F$16="Yes",45=Projects!$C$16),Projects!$B$16*Projects!$I$16,0)),Actuals!AX16)</f>
        <v>0</v>
      </c>
      <c r="AY19" s="3">
        <f>IF(ISBLANK(Actuals!AY16),-(IF(AND(Projects!$G$6="Yes",Projects!$F$6="Yes",46=Projects!$C$6),Projects!$B$6*Projects!$I$6,0)+IF(AND(Projects!$G$7="Yes",Projects!$F$7="Yes",46=Projects!$C$7),Projects!$B$7*Projects!$I$7,0)+IF(AND(Projects!$G$8="Yes",Projects!$F$8="Yes",46=Projects!$C$8),Projects!$B$8*Projects!$I$8,0)+IF(AND(Projects!$G$9="Yes",Projects!$F$9="Yes",46=Projects!$C$9),Projects!$B$9*Projects!$I$9,0)+IF(AND(Projects!$G$10="Yes",Projects!$F$10="Yes",46=Projects!$C$10),Projects!$B$10*Projects!$I$10,0)+IF(AND(Projects!$G$11="Yes",Projects!$F$11="Yes",46=Projects!$C$11),Projects!$B$11*Projects!$I$11,0)+IF(AND(Projects!$G$12="Yes",Projects!$F$12="Yes",46=Projects!$C$12),Projects!$B$12*Projects!$I$12,0)+IF(AND(Projects!$G$13="Yes",Projects!$F$13="Yes",46=Projects!$C$13),Projects!$B$13*Projects!$I$13,0)+IF(AND(Projects!$G$14="Yes",Projects!$F$14="Yes",46=Projects!$C$14),Projects!$B$14*Projects!$I$14,0)+IF(AND(Projects!$G$15="Yes",Projects!$F$15="Yes",46=Projects!$C$15),Projects!$B$15*Projects!$I$15,0)+IF(AND(Projects!$G$16="Yes",Projects!$F$16="Yes",46=Projects!$C$16),Projects!$B$16*Projects!$I$16,0)),Actuals!AY16)</f>
        <v>0</v>
      </c>
      <c r="AZ19" s="3">
        <f>IF(ISBLANK(Actuals!AZ16),-(IF(AND(Projects!$G$6="Yes",Projects!$F$6="Yes",47=Projects!$C$6),Projects!$B$6*Projects!$I$6,0)+IF(AND(Projects!$G$7="Yes",Projects!$F$7="Yes",47=Projects!$C$7),Projects!$B$7*Projects!$I$7,0)+IF(AND(Projects!$G$8="Yes",Projects!$F$8="Yes",47=Projects!$C$8),Projects!$B$8*Projects!$I$8,0)+IF(AND(Projects!$G$9="Yes",Projects!$F$9="Yes",47=Projects!$C$9),Projects!$B$9*Projects!$I$9,0)+IF(AND(Projects!$G$10="Yes",Projects!$F$10="Yes",47=Projects!$C$10),Projects!$B$10*Projects!$I$10,0)+IF(AND(Projects!$G$11="Yes",Projects!$F$11="Yes",47=Projects!$C$11),Projects!$B$11*Projects!$I$11,0)+IF(AND(Projects!$G$12="Yes",Projects!$F$12="Yes",47=Projects!$C$12),Projects!$B$12*Projects!$I$12,0)+IF(AND(Projects!$G$13="Yes",Projects!$F$13="Yes",47=Projects!$C$13),Projects!$B$13*Projects!$I$13,0)+IF(AND(Projects!$G$14="Yes",Projects!$F$14="Yes",47=Projects!$C$14),Projects!$B$14*Projects!$I$14,0)+IF(AND(Projects!$G$15="Yes",Projects!$F$15="Yes",47=Projects!$C$15),Projects!$B$15*Projects!$I$15,0)+IF(AND(Projects!$G$16="Yes",Projects!$F$16="Yes",47=Projects!$C$16),Projects!$B$16*Projects!$I$16,0)),Actuals!AZ16)</f>
        <v>0</v>
      </c>
      <c r="BA19" s="3">
        <f>IF(ISBLANK(Actuals!BA16),-(IF(AND(Projects!$G$6="Yes",Projects!$F$6="Yes",48=Projects!$C$6),Projects!$B$6*Projects!$I$6,0)+IF(AND(Projects!$G$7="Yes",Projects!$F$7="Yes",48=Projects!$C$7),Projects!$B$7*Projects!$I$7,0)+IF(AND(Projects!$G$8="Yes",Projects!$F$8="Yes",48=Projects!$C$8),Projects!$B$8*Projects!$I$8,0)+IF(AND(Projects!$G$9="Yes",Projects!$F$9="Yes",48=Projects!$C$9),Projects!$B$9*Projects!$I$9,0)+IF(AND(Projects!$G$10="Yes",Projects!$F$10="Yes",48=Projects!$C$10),Projects!$B$10*Projects!$I$10,0)+IF(AND(Projects!$G$11="Yes",Projects!$F$11="Yes",48=Projects!$C$11),Projects!$B$11*Projects!$I$11,0)+IF(AND(Projects!$G$12="Yes",Projects!$F$12="Yes",48=Projects!$C$12),Projects!$B$12*Projects!$I$12,0)+IF(AND(Projects!$G$13="Yes",Projects!$F$13="Yes",48=Projects!$C$13),Projects!$B$13*Projects!$I$13,0)+IF(AND(Projects!$G$14="Yes",Projects!$F$14="Yes",48=Projects!$C$14),Projects!$B$14*Projects!$I$14,0)+IF(AND(Projects!$G$15="Yes",Projects!$F$15="Yes",48=Projects!$C$15),Projects!$B$15*Projects!$I$15,0)+IF(AND(Projects!$G$16="Yes",Projects!$F$16="Yes",48=Projects!$C$16),Projects!$B$16*Projects!$I$16,0)),Actuals!BA16)</f>
        <v>0</v>
      </c>
      <c r="BB19" s="3">
        <f>IF(ISBLANK(Actuals!BB16),-(IF(AND(Projects!$G$6="Yes",Projects!$F$6="Yes",49=Projects!$C$6),Projects!$B$6*Projects!$I$6,0)+IF(AND(Projects!$G$7="Yes",Projects!$F$7="Yes",49=Projects!$C$7),Projects!$B$7*Projects!$I$7,0)+IF(AND(Projects!$G$8="Yes",Projects!$F$8="Yes",49=Projects!$C$8),Projects!$B$8*Projects!$I$8,0)+IF(AND(Projects!$G$9="Yes",Projects!$F$9="Yes",49=Projects!$C$9),Projects!$B$9*Projects!$I$9,0)+IF(AND(Projects!$G$10="Yes",Projects!$F$10="Yes",49=Projects!$C$10),Projects!$B$10*Projects!$I$10,0)+IF(AND(Projects!$G$11="Yes",Projects!$F$11="Yes",49=Projects!$C$11),Projects!$B$11*Projects!$I$11,0)+IF(AND(Projects!$G$12="Yes",Projects!$F$12="Yes",49=Projects!$C$12),Projects!$B$12*Projects!$I$12,0)+IF(AND(Projects!$G$13="Yes",Projects!$F$13="Yes",49=Projects!$C$13),Projects!$B$13*Projects!$I$13,0)+IF(AND(Projects!$G$14="Yes",Projects!$F$14="Yes",49=Projects!$C$14),Projects!$B$14*Projects!$I$14,0)+IF(AND(Projects!$G$15="Yes",Projects!$F$15="Yes",49=Projects!$C$15),Projects!$B$15*Projects!$I$15,0)+IF(AND(Projects!$G$16="Yes",Projects!$F$16="Yes",49=Projects!$C$16),Projects!$B$16*Projects!$I$16,0)),Actuals!BB16)</f>
        <v>0</v>
      </c>
      <c r="BC19" s="3">
        <f>IF(ISBLANK(Actuals!BC16),-(IF(AND(Projects!$G$6="Yes",Projects!$F$6="Yes",50=Projects!$C$6),Projects!$B$6*Projects!$I$6,0)+IF(AND(Projects!$G$7="Yes",Projects!$F$7="Yes",50=Projects!$C$7),Projects!$B$7*Projects!$I$7,0)+IF(AND(Projects!$G$8="Yes",Projects!$F$8="Yes",50=Projects!$C$8),Projects!$B$8*Projects!$I$8,0)+IF(AND(Projects!$G$9="Yes",Projects!$F$9="Yes",50=Projects!$C$9),Projects!$B$9*Projects!$I$9,0)+IF(AND(Projects!$G$10="Yes",Projects!$F$10="Yes",50=Projects!$C$10),Projects!$B$10*Projects!$I$10,0)+IF(AND(Projects!$G$11="Yes",Projects!$F$11="Yes",50=Projects!$C$11),Projects!$B$11*Projects!$I$11,0)+IF(AND(Projects!$G$12="Yes",Projects!$F$12="Yes",50=Projects!$C$12),Projects!$B$12*Projects!$I$12,0)+IF(AND(Projects!$G$13="Yes",Projects!$F$13="Yes",50=Projects!$C$13),Projects!$B$13*Projects!$I$13,0)+IF(AND(Projects!$G$14="Yes",Projects!$F$14="Yes",50=Projects!$C$14),Projects!$B$14*Projects!$I$14,0)+IF(AND(Projects!$G$15="Yes",Projects!$F$15="Yes",50=Projects!$C$15),Projects!$B$15*Projects!$I$15,0)+IF(AND(Projects!$G$16="Yes",Projects!$F$16="Yes",50=Projects!$C$16),Projects!$B$16*Projects!$I$16,0)),Actuals!BC16)</f>
        <v>0</v>
      </c>
      <c r="BD19" s="3">
        <f>IF(ISBLANK(Actuals!BD16),-(IF(AND(Projects!$G$6="Yes",Projects!$F$6="Yes",51=Projects!$C$6),Projects!$B$6*Projects!$I$6,0)+IF(AND(Projects!$G$7="Yes",Projects!$F$7="Yes",51=Projects!$C$7),Projects!$B$7*Projects!$I$7,0)+IF(AND(Projects!$G$8="Yes",Projects!$F$8="Yes",51=Projects!$C$8),Projects!$B$8*Projects!$I$8,0)+IF(AND(Projects!$G$9="Yes",Projects!$F$9="Yes",51=Projects!$C$9),Projects!$B$9*Projects!$I$9,0)+IF(AND(Projects!$G$10="Yes",Projects!$F$10="Yes",51=Projects!$C$10),Projects!$B$10*Projects!$I$10,0)+IF(AND(Projects!$G$11="Yes",Projects!$F$11="Yes",51=Projects!$C$11),Projects!$B$11*Projects!$I$11,0)+IF(AND(Projects!$G$12="Yes",Projects!$F$12="Yes",51=Projects!$C$12),Projects!$B$12*Projects!$I$12,0)+IF(AND(Projects!$G$13="Yes",Projects!$F$13="Yes",51=Projects!$C$13),Projects!$B$13*Projects!$I$13,0)+IF(AND(Projects!$G$14="Yes",Projects!$F$14="Yes",51=Projects!$C$14),Projects!$B$14*Projects!$I$14,0)+IF(AND(Projects!$G$15="Yes",Projects!$F$15="Yes",51=Projects!$C$15),Projects!$B$15*Projects!$I$15,0)+IF(AND(Projects!$G$16="Yes",Projects!$F$16="Yes",51=Projects!$C$16),Projects!$B$16*Projects!$I$16,0)),Actuals!BD16)</f>
        <v>0</v>
      </c>
      <c r="BE19" s="3">
        <f>IF(ISBLANK(Actuals!BE16),-(IF(AND(Projects!$G$6="Yes",Projects!$F$6="Yes",52=Projects!$C$6),Projects!$B$6*Projects!$I$6,0)+IF(AND(Projects!$G$7="Yes",Projects!$F$7="Yes",52=Projects!$C$7),Projects!$B$7*Projects!$I$7,0)+IF(AND(Projects!$G$8="Yes",Projects!$F$8="Yes",52=Projects!$C$8),Projects!$B$8*Projects!$I$8,0)+IF(AND(Projects!$G$9="Yes",Projects!$F$9="Yes",52=Projects!$C$9),Projects!$B$9*Projects!$I$9,0)+IF(AND(Projects!$G$10="Yes",Projects!$F$10="Yes",52=Projects!$C$10),Projects!$B$10*Projects!$I$10,0)+IF(AND(Projects!$G$11="Yes",Projects!$F$11="Yes",52=Projects!$C$11),Projects!$B$11*Projects!$I$11,0)+IF(AND(Projects!$G$12="Yes",Projects!$F$12="Yes",52=Projects!$C$12),Projects!$B$12*Projects!$I$12,0)+IF(AND(Projects!$G$13="Yes",Projects!$F$13="Yes",52=Projects!$C$13),Projects!$B$13*Projects!$I$13,0)+IF(AND(Projects!$G$14="Yes",Projects!$F$14="Yes",52=Projects!$C$14),Projects!$B$14*Projects!$I$14,0)+IF(AND(Projects!$G$15="Yes",Projects!$F$15="Yes",52=Projects!$C$15),Projects!$B$15*Projects!$I$15,0)+IF(AND(Projects!$G$16="Yes",Projects!$F$16="Yes",52=Projects!$C$16),Projects!$B$16*Projects!$I$16,0)),Actuals!BE16)</f>
        <v>0</v>
      </c>
      <c r="BF19" s="3">
        <f>IF(ISBLANK(Actuals!BF16),-(IF(AND(Projects!$G$6="Yes",Projects!$F$6="Yes",53=Projects!$C$6),Projects!$B$6*Projects!$I$6,0)+IF(AND(Projects!$G$7="Yes",Projects!$F$7="Yes",53=Projects!$C$7),Projects!$B$7*Projects!$I$7,0)+IF(AND(Projects!$G$8="Yes",Projects!$F$8="Yes",53=Projects!$C$8),Projects!$B$8*Projects!$I$8,0)+IF(AND(Projects!$G$9="Yes",Projects!$F$9="Yes",53=Projects!$C$9),Projects!$B$9*Projects!$I$9,0)+IF(AND(Projects!$G$10="Yes",Projects!$F$10="Yes",53=Projects!$C$10),Projects!$B$10*Projects!$I$10,0)+IF(AND(Projects!$G$11="Yes",Projects!$F$11="Yes",53=Projects!$C$11),Projects!$B$11*Projects!$I$11,0)+IF(AND(Projects!$G$12="Yes",Projects!$F$12="Yes",53=Projects!$C$12),Projects!$B$12*Projects!$I$12,0)+IF(AND(Projects!$G$13="Yes",Projects!$F$13="Yes",53=Projects!$C$13),Projects!$B$13*Projects!$I$13,0)+IF(AND(Projects!$G$14="Yes",Projects!$F$14="Yes",53=Projects!$C$14),Projects!$B$14*Projects!$I$14,0)+IF(AND(Projects!$G$15="Yes",Projects!$F$15="Yes",53=Projects!$C$15),Projects!$B$15*Projects!$I$15,0)+IF(AND(Projects!$G$16="Yes",Projects!$F$16="Yes",53=Projects!$C$16),Projects!$B$16*Projects!$I$16,0)),Actuals!BF16)</f>
        <v>0</v>
      </c>
      <c r="BG19" s="3">
        <f>IF(ISBLANK(Actuals!BG16),-(IF(AND(Projects!$G$6="Yes",Projects!$F$6="Yes",54=Projects!$C$6),Projects!$B$6*Projects!$I$6,0)+IF(AND(Projects!$G$7="Yes",Projects!$F$7="Yes",54=Projects!$C$7),Projects!$B$7*Projects!$I$7,0)+IF(AND(Projects!$G$8="Yes",Projects!$F$8="Yes",54=Projects!$C$8),Projects!$B$8*Projects!$I$8,0)+IF(AND(Projects!$G$9="Yes",Projects!$F$9="Yes",54=Projects!$C$9),Projects!$B$9*Projects!$I$9,0)+IF(AND(Projects!$G$10="Yes",Projects!$F$10="Yes",54=Projects!$C$10),Projects!$B$10*Projects!$I$10,0)+IF(AND(Projects!$G$11="Yes",Projects!$F$11="Yes",54=Projects!$C$11),Projects!$B$11*Projects!$I$11,0)+IF(AND(Projects!$G$12="Yes",Projects!$F$12="Yes",54=Projects!$C$12),Projects!$B$12*Projects!$I$12,0)+IF(AND(Projects!$G$13="Yes",Projects!$F$13="Yes",54=Projects!$C$13),Projects!$B$13*Projects!$I$13,0)+IF(AND(Projects!$G$14="Yes",Projects!$F$14="Yes",54=Projects!$C$14),Projects!$B$14*Projects!$I$14,0)+IF(AND(Projects!$G$15="Yes",Projects!$F$15="Yes",54=Projects!$C$15),Projects!$B$15*Projects!$I$15,0)+IF(AND(Projects!$G$16="Yes",Projects!$F$16="Yes",54=Projects!$C$16),Projects!$B$16*Projects!$I$16,0)),Actuals!BG16)</f>
        <v>0</v>
      </c>
      <c r="BH19" s="3">
        <f>IF(ISBLANK(Actuals!BH16),-(IF(AND(Projects!$G$6="Yes",Projects!$F$6="Yes",55=Projects!$C$6),Projects!$B$6*Projects!$I$6,0)+IF(AND(Projects!$G$7="Yes",Projects!$F$7="Yes",55=Projects!$C$7),Projects!$B$7*Projects!$I$7,0)+IF(AND(Projects!$G$8="Yes",Projects!$F$8="Yes",55=Projects!$C$8),Projects!$B$8*Projects!$I$8,0)+IF(AND(Projects!$G$9="Yes",Projects!$F$9="Yes",55=Projects!$C$9),Projects!$B$9*Projects!$I$9,0)+IF(AND(Projects!$G$10="Yes",Projects!$F$10="Yes",55=Projects!$C$10),Projects!$B$10*Projects!$I$10,0)+IF(AND(Projects!$G$11="Yes",Projects!$F$11="Yes",55=Projects!$C$11),Projects!$B$11*Projects!$I$11,0)+IF(AND(Projects!$G$12="Yes",Projects!$F$12="Yes",55=Projects!$C$12),Projects!$B$12*Projects!$I$12,0)+IF(AND(Projects!$G$13="Yes",Projects!$F$13="Yes",55=Projects!$C$13),Projects!$B$13*Projects!$I$13,0)+IF(AND(Projects!$G$14="Yes",Projects!$F$14="Yes",55=Projects!$C$14),Projects!$B$14*Projects!$I$14,0)+IF(AND(Projects!$G$15="Yes",Projects!$F$15="Yes",55=Projects!$C$15),Projects!$B$15*Projects!$I$15,0)+IF(AND(Projects!$G$16="Yes",Projects!$F$16="Yes",55=Projects!$C$16),Projects!$B$16*Projects!$I$16,0)),Actuals!BH16)</f>
        <v>0</v>
      </c>
      <c r="BI19" s="3">
        <f>IF(ISBLANK(Actuals!BI16),-(IF(AND(Projects!$G$6="Yes",Projects!$F$6="Yes",56=Projects!$C$6),Projects!$B$6*Projects!$I$6,0)+IF(AND(Projects!$G$7="Yes",Projects!$F$7="Yes",56=Projects!$C$7),Projects!$B$7*Projects!$I$7,0)+IF(AND(Projects!$G$8="Yes",Projects!$F$8="Yes",56=Projects!$C$8),Projects!$B$8*Projects!$I$8,0)+IF(AND(Projects!$G$9="Yes",Projects!$F$9="Yes",56=Projects!$C$9),Projects!$B$9*Projects!$I$9,0)+IF(AND(Projects!$G$10="Yes",Projects!$F$10="Yes",56=Projects!$C$10),Projects!$B$10*Projects!$I$10,0)+IF(AND(Projects!$G$11="Yes",Projects!$F$11="Yes",56=Projects!$C$11),Projects!$B$11*Projects!$I$11,0)+IF(AND(Projects!$G$12="Yes",Projects!$F$12="Yes",56=Projects!$C$12),Projects!$B$12*Projects!$I$12,0)+IF(AND(Projects!$G$13="Yes",Projects!$F$13="Yes",56=Projects!$C$13),Projects!$B$13*Projects!$I$13,0)+IF(AND(Projects!$G$14="Yes",Projects!$F$14="Yes",56=Projects!$C$14),Projects!$B$14*Projects!$I$14,0)+IF(AND(Projects!$G$15="Yes",Projects!$F$15="Yes",56=Projects!$C$15),Projects!$B$15*Projects!$I$15,0)+IF(AND(Projects!$G$16="Yes",Projects!$F$16="Yes",56=Projects!$C$16),Projects!$B$16*Projects!$I$16,0)),Actuals!BI16)</f>
        <v>0</v>
      </c>
      <c r="BJ19" s="3">
        <f>IF(ISBLANK(Actuals!BJ16),-(IF(AND(Projects!$G$6="Yes",Projects!$F$6="Yes",57=Projects!$C$6),Projects!$B$6*Projects!$I$6,0)+IF(AND(Projects!$G$7="Yes",Projects!$F$7="Yes",57=Projects!$C$7),Projects!$B$7*Projects!$I$7,0)+IF(AND(Projects!$G$8="Yes",Projects!$F$8="Yes",57=Projects!$C$8),Projects!$B$8*Projects!$I$8,0)+IF(AND(Projects!$G$9="Yes",Projects!$F$9="Yes",57=Projects!$C$9),Projects!$B$9*Projects!$I$9,0)+IF(AND(Projects!$G$10="Yes",Projects!$F$10="Yes",57=Projects!$C$10),Projects!$B$10*Projects!$I$10,0)+IF(AND(Projects!$G$11="Yes",Projects!$F$11="Yes",57=Projects!$C$11),Projects!$B$11*Projects!$I$11,0)+IF(AND(Projects!$G$12="Yes",Projects!$F$12="Yes",57=Projects!$C$12),Projects!$B$12*Projects!$I$12,0)+IF(AND(Projects!$G$13="Yes",Projects!$F$13="Yes",57=Projects!$C$13),Projects!$B$13*Projects!$I$13,0)+IF(AND(Projects!$G$14="Yes",Projects!$F$14="Yes",57=Projects!$C$14),Projects!$B$14*Projects!$I$14,0)+IF(AND(Projects!$G$15="Yes",Projects!$F$15="Yes",57=Projects!$C$15),Projects!$B$15*Projects!$I$15,0)+IF(AND(Projects!$G$16="Yes",Projects!$F$16="Yes",57=Projects!$C$16),Projects!$B$16*Projects!$I$16,0)),Actuals!BJ16)</f>
        <v>0</v>
      </c>
      <c r="BK19" s="3">
        <f>IF(ISBLANK(Actuals!BK16),-(IF(AND(Projects!$G$6="Yes",Projects!$F$6="Yes",58=Projects!$C$6),Projects!$B$6*Projects!$I$6,0)+IF(AND(Projects!$G$7="Yes",Projects!$F$7="Yes",58=Projects!$C$7),Projects!$B$7*Projects!$I$7,0)+IF(AND(Projects!$G$8="Yes",Projects!$F$8="Yes",58=Projects!$C$8),Projects!$B$8*Projects!$I$8,0)+IF(AND(Projects!$G$9="Yes",Projects!$F$9="Yes",58=Projects!$C$9),Projects!$B$9*Projects!$I$9,0)+IF(AND(Projects!$G$10="Yes",Projects!$F$10="Yes",58=Projects!$C$10),Projects!$B$10*Projects!$I$10,0)+IF(AND(Projects!$G$11="Yes",Projects!$F$11="Yes",58=Projects!$C$11),Projects!$B$11*Projects!$I$11,0)+IF(AND(Projects!$G$12="Yes",Projects!$F$12="Yes",58=Projects!$C$12),Projects!$B$12*Projects!$I$12,0)+IF(AND(Projects!$G$13="Yes",Projects!$F$13="Yes",58=Projects!$C$13),Projects!$B$13*Projects!$I$13,0)+IF(AND(Projects!$G$14="Yes",Projects!$F$14="Yes",58=Projects!$C$14),Projects!$B$14*Projects!$I$14,0)+IF(AND(Projects!$G$15="Yes",Projects!$F$15="Yes",58=Projects!$C$15),Projects!$B$15*Projects!$I$15,0)+IF(AND(Projects!$G$16="Yes",Projects!$F$16="Yes",58=Projects!$C$16),Projects!$B$16*Projects!$I$16,0)),Actuals!BK16)</f>
        <v>0</v>
      </c>
      <c r="BL19" s="3">
        <f>IF(ISBLANK(Actuals!BL16),-(IF(AND(Projects!$G$6="Yes",Projects!$F$6="Yes",59=Projects!$C$6),Projects!$B$6*Projects!$I$6,0)+IF(AND(Projects!$G$7="Yes",Projects!$F$7="Yes",59=Projects!$C$7),Projects!$B$7*Projects!$I$7,0)+IF(AND(Projects!$G$8="Yes",Projects!$F$8="Yes",59=Projects!$C$8),Projects!$B$8*Projects!$I$8,0)+IF(AND(Projects!$G$9="Yes",Projects!$F$9="Yes",59=Projects!$C$9),Projects!$B$9*Projects!$I$9,0)+IF(AND(Projects!$G$10="Yes",Projects!$F$10="Yes",59=Projects!$C$10),Projects!$B$10*Projects!$I$10,0)+IF(AND(Projects!$G$11="Yes",Projects!$F$11="Yes",59=Projects!$C$11),Projects!$B$11*Projects!$I$11,0)+IF(AND(Projects!$G$12="Yes",Projects!$F$12="Yes",59=Projects!$C$12),Projects!$B$12*Projects!$I$12,0)+IF(AND(Projects!$G$13="Yes",Projects!$F$13="Yes",59=Projects!$C$13),Projects!$B$13*Projects!$I$13,0)+IF(AND(Projects!$G$14="Yes",Projects!$F$14="Yes",59=Projects!$C$14),Projects!$B$14*Projects!$I$14,0)+IF(AND(Projects!$G$15="Yes",Projects!$F$15="Yes",59=Projects!$C$15),Projects!$B$15*Projects!$I$15,0)+IF(AND(Projects!$G$16="Yes",Projects!$F$16="Yes",59=Projects!$C$16),Projects!$B$16*Projects!$I$16,0)),Actuals!BL16)</f>
        <v>0</v>
      </c>
      <c r="BM19" s="3">
        <f>IF(ISBLANK(Actuals!BM16),-(IF(AND(Projects!$G$6="Yes",Projects!$F$6="Yes",60=Projects!$C$6),Projects!$B$6*Projects!$I$6,0)+IF(AND(Projects!$G$7="Yes",Projects!$F$7="Yes",60=Projects!$C$7),Projects!$B$7*Projects!$I$7,0)+IF(AND(Projects!$G$8="Yes",Projects!$F$8="Yes",60=Projects!$C$8),Projects!$B$8*Projects!$I$8,0)+IF(AND(Projects!$G$9="Yes",Projects!$F$9="Yes",60=Projects!$C$9),Projects!$B$9*Projects!$I$9,0)+IF(AND(Projects!$G$10="Yes",Projects!$F$10="Yes",60=Projects!$C$10),Projects!$B$10*Projects!$I$10,0)+IF(AND(Projects!$G$11="Yes",Projects!$F$11="Yes",60=Projects!$C$11),Projects!$B$11*Projects!$I$11,0)+IF(AND(Projects!$G$12="Yes",Projects!$F$12="Yes",60=Projects!$C$12),Projects!$B$12*Projects!$I$12,0)+IF(AND(Projects!$G$13="Yes",Projects!$F$13="Yes",60=Projects!$C$13),Projects!$B$13*Projects!$I$13,0)+IF(AND(Projects!$G$14="Yes",Projects!$F$14="Yes",60=Projects!$C$14),Projects!$B$14*Projects!$I$14,0)+IF(AND(Projects!$G$15="Yes",Projects!$F$15="Yes",60=Projects!$C$15),Projects!$B$15*Projects!$I$15,0)+IF(AND(Projects!$G$16="Yes",Projects!$F$16="Yes",60=Projects!$C$16),Projects!$B$16*Projects!$I$16,0)),Actuals!BM16)</f>
        <v>0</v>
      </c>
      <c r="BN19" s="3">
        <f>IF(ISBLANK(Actuals!BN16),-(IF(AND(Projects!$G$6="Yes",Projects!$F$6="Yes",61=Projects!$C$6),Projects!$B$6*Projects!$I$6,0)+IF(AND(Projects!$G$7="Yes",Projects!$F$7="Yes",61=Projects!$C$7),Projects!$B$7*Projects!$I$7,0)+IF(AND(Projects!$G$8="Yes",Projects!$F$8="Yes",61=Projects!$C$8),Projects!$B$8*Projects!$I$8,0)+IF(AND(Projects!$G$9="Yes",Projects!$F$9="Yes",61=Projects!$C$9),Projects!$B$9*Projects!$I$9,0)+IF(AND(Projects!$G$10="Yes",Projects!$F$10="Yes",61=Projects!$C$10),Projects!$B$10*Projects!$I$10,0)+IF(AND(Projects!$G$11="Yes",Projects!$F$11="Yes",61=Projects!$C$11),Projects!$B$11*Projects!$I$11,0)+IF(AND(Projects!$G$12="Yes",Projects!$F$12="Yes",61=Projects!$C$12),Projects!$B$12*Projects!$I$12,0)+IF(AND(Projects!$G$13="Yes",Projects!$F$13="Yes",61=Projects!$C$13),Projects!$B$13*Projects!$I$13,0)+IF(AND(Projects!$G$14="Yes",Projects!$F$14="Yes",61=Projects!$C$14),Projects!$B$14*Projects!$I$14,0)+IF(AND(Projects!$G$15="Yes",Projects!$F$15="Yes",61=Projects!$C$15),Projects!$B$15*Projects!$I$15,0)+IF(AND(Projects!$G$16="Yes",Projects!$F$16="Yes",61=Projects!$C$16),Projects!$B$16*Projects!$I$16,0)),Actuals!BN16)</f>
        <v>0</v>
      </c>
      <c r="BO19" s="3">
        <f>IF(ISBLANK(Actuals!BO16),-(IF(AND(Projects!$G$6="Yes",Projects!$F$6="Yes",62=Projects!$C$6),Projects!$B$6*Projects!$I$6,0)+IF(AND(Projects!$G$7="Yes",Projects!$F$7="Yes",62=Projects!$C$7),Projects!$B$7*Projects!$I$7,0)+IF(AND(Projects!$G$8="Yes",Projects!$F$8="Yes",62=Projects!$C$8),Projects!$B$8*Projects!$I$8,0)+IF(AND(Projects!$G$9="Yes",Projects!$F$9="Yes",62=Projects!$C$9),Projects!$B$9*Projects!$I$9,0)+IF(AND(Projects!$G$10="Yes",Projects!$F$10="Yes",62=Projects!$C$10),Projects!$B$10*Projects!$I$10,0)+IF(AND(Projects!$G$11="Yes",Projects!$F$11="Yes",62=Projects!$C$11),Projects!$B$11*Projects!$I$11,0)+IF(AND(Projects!$G$12="Yes",Projects!$F$12="Yes",62=Projects!$C$12),Projects!$B$12*Projects!$I$12,0)+IF(AND(Projects!$G$13="Yes",Projects!$F$13="Yes",62=Projects!$C$13),Projects!$B$13*Projects!$I$13,0)+IF(AND(Projects!$G$14="Yes",Projects!$F$14="Yes",62=Projects!$C$14),Projects!$B$14*Projects!$I$14,0)+IF(AND(Projects!$G$15="Yes",Projects!$F$15="Yes",62=Projects!$C$15),Projects!$B$15*Projects!$I$15,0)+IF(AND(Projects!$G$16="Yes",Projects!$F$16="Yes",62=Projects!$C$16),Projects!$B$16*Projects!$I$16,0)),Actuals!BO16)</f>
        <v>0</v>
      </c>
      <c r="BP19" s="3">
        <f>IF(ISBLANK(Actuals!BP16),-(IF(AND(Projects!$G$6="Yes",Projects!$F$6="Yes",63=Projects!$C$6),Projects!$B$6*Projects!$I$6,0)+IF(AND(Projects!$G$7="Yes",Projects!$F$7="Yes",63=Projects!$C$7),Projects!$B$7*Projects!$I$7,0)+IF(AND(Projects!$G$8="Yes",Projects!$F$8="Yes",63=Projects!$C$8),Projects!$B$8*Projects!$I$8,0)+IF(AND(Projects!$G$9="Yes",Projects!$F$9="Yes",63=Projects!$C$9),Projects!$B$9*Projects!$I$9,0)+IF(AND(Projects!$G$10="Yes",Projects!$F$10="Yes",63=Projects!$C$10),Projects!$B$10*Projects!$I$10,0)+IF(AND(Projects!$G$11="Yes",Projects!$F$11="Yes",63=Projects!$C$11),Projects!$B$11*Projects!$I$11,0)+IF(AND(Projects!$G$12="Yes",Projects!$F$12="Yes",63=Projects!$C$12),Projects!$B$12*Projects!$I$12,0)+IF(AND(Projects!$G$13="Yes",Projects!$F$13="Yes",63=Projects!$C$13),Projects!$B$13*Projects!$I$13,0)+IF(AND(Projects!$G$14="Yes",Projects!$F$14="Yes",63=Projects!$C$14),Projects!$B$14*Projects!$I$14,0)+IF(AND(Projects!$G$15="Yes",Projects!$F$15="Yes",63=Projects!$C$15),Projects!$B$15*Projects!$I$15,0)+IF(AND(Projects!$G$16="Yes",Projects!$F$16="Yes",63=Projects!$C$16),Projects!$B$16*Projects!$I$16,0)),Actuals!BP16)</f>
        <v>0</v>
      </c>
      <c r="BQ19" s="3">
        <f>IF(ISBLANK(Actuals!BQ16),-(IF(AND(Projects!$G$6="Yes",Projects!$F$6="Yes",64=Projects!$C$6),Projects!$B$6*Projects!$I$6,0)+IF(AND(Projects!$G$7="Yes",Projects!$F$7="Yes",64=Projects!$C$7),Projects!$B$7*Projects!$I$7,0)+IF(AND(Projects!$G$8="Yes",Projects!$F$8="Yes",64=Projects!$C$8),Projects!$B$8*Projects!$I$8,0)+IF(AND(Projects!$G$9="Yes",Projects!$F$9="Yes",64=Projects!$C$9),Projects!$B$9*Projects!$I$9,0)+IF(AND(Projects!$G$10="Yes",Projects!$F$10="Yes",64=Projects!$C$10),Projects!$B$10*Projects!$I$10,0)+IF(AND(Projects!$G$11="Yes",Projects!$F$11="Yes",64=Projects!$C$11),Projects!$B$11*Projects!$I$11,0)+IF(AND(Projects!$G$12="Yes",Projects!$F$12="Yes",64=Projects!$C$12),Projects!$B$12*Projects!$I$12,0)+IF(AND(Projects!$G$13="Yes",Projects!$F$13="Yes",64=Projects!$C$13),Projects!$B$13*Projects!$I$13,0)+IF(AND(Projects!$G$14="Yes",Projects!$F$14="Yes",64=Projects!$C$14),Projects!$B$14*Projects!$I$14,0)+IF(AND(Projects!$G$15="Yes",Projects!$F$15="Yes",64=Projects!$C$15),Projects!$B$15*Projects!$I$15,0)+IF(AND(Projects!$G$16="Yes",Projects!$F$16="Yes",64=Projects!$C$16),Projects!$B$16*Projects!$I$16,0)),Actuals!BQ16)</f>
        <v>0</v>
      </c>
      <c r="BR19" s="3">
        <f>IF(ISBLANK(Actuals!BR16),-(IF(AND(Projects!$G$6="Yes",Projects!$F$6="Yes",65=Projects!$C$6),Projects!$B$6*Projects!$I$6,0)+IF(AND(Projects!$G$7="Yes",Projects!$F$7="Yes",65=Projects!$C$7),Projects!$B$7*Projects!$I$7,0)+IF(AND(Projects!$G$8="Yes",Projects!$F$8="Yes",65=Projects!$C$8),Projects!$B$8*Projects!$I$8,0)+IF(AND(Projects!$G$9="Yes",Projects!$F$9="Yes",65=Projects!$C$9),Projects!$B$9*Projects!$I$9,0)+IF(AND(Projects!$G$10="Yes",Projects!$F$10="Yes",65=Projects!$C$10),Projects!$B$10*Projects!$I$10,0)+IF(AND(Projects!$G$11="Yes",Projects!$F$11="Yes",65=Projects!$C$11),Projects!$B$11*Projects!$I$11,0)+IF(AND(Projects!$G$12="Yes",Projects!$F$12="Yes",65=Projects!$C$12),Projects!$B$12*Projects!$I$12,0)+IF(AND(Projects!$G$13="Yes",Projects!$F$13="Yes",65=Projects!$C$13),Projects!$B$13*Projects!$I$13,0)+IF(AND(Projects!$G$14="Yes",Projects!$F$14="Yes",65=Projects!$C$14),Projects!$B$14*Projects!$I$14,0)+IF(AND(Projects!$G$15="Yes",Projects!$F$15="Yes",65=Projects!$C$15),Projects!$B$15*Projects!$I$15,0)+IF(AND(Projects!$G$16="Yes",Projects!$F$16="Yes",65=Projects!$C$16),Projects!$B$16*Projects!$I$16,0)),Actuals!BR16)</f>
        <v>0</v>
      </c>
      <c r="BS19" s="3">
        <f>IF(ISBLANK(Actuals!BS16),-(IF(AND(Projects!$G$6="Yes",Projects!$F$6="Yes",66=Projects!$C$6),Projects!$B$6*Projects!$I$6,0)+IF(AND(Projects!$G$7="Yes",Projects!$F$7="Yes",66=Projects!$C$7),Projects!$B$7*Projects!$I$7,0)+IF(AND(Projects!$G$8="Yes",Projects!$F$8="Yes",66=Projects!$C$8),Projects!$B$8*Projects!$I$8,0)+IF(AND(Projects!$G$9="Yes",Projects!$F$9="Yes",66=Projects!$C$9),Projects!$B$9*Projects!$I$9,0)+IF(AND(Projects!$G$10="Yes",Projects!$F$10="Yes",66=Projects!$C$10),Projects!$B$10*Projects!$I$10,0)+IF(AND(Projects!$G$11="Yes",Projects!$F$11="Yes",66=Projects!$C$11),Projects!$B$11*Projects!$I$11,0)+IF(AND(Projects!$G$12="Yes",Projects!$F$12="Yes",66=Projects!$C$12),Projects!$B$12*Projects!$I$12,0)+IF(AND(Projects!$G$13="Yes",Projects!$F$13="Yes",66=Projects!$C$13),Projects!$B$13*Projects!$I$13,0)+IF(AND(Projects!$G$14="Yes",Projects!$F$14="Yes",66=Projects!$C$14),Projects!$B$14*Projects!$I$14,0)+IF(AND(Projects!$G$15="Yes",Projects!$F$15="Yes",66=Projects!$C$15),Projects!$B$15*Projects!$I$15,0)+IF(AND(Projects!$G$16="Yes",Projects!$F$16="Yes",66=Projects!$C$16),Projects!$B$16*Projects!$I$16,0)),Actuals!BS16)</f>
        <v>0</v>
      </c>
      <c r="BT19" s="3">
        <f>IF(ISBLANK(Actuals!BT16),-(IF(AND(Projects!$G$6="Yes",Projects!$F$6="Yes",67=Projects!$C$6),Projects!$B$6*Projects!$I$6,0)+IF(AND(Projects!$G$7="Yes",Projects!$F$7="Yes",67=Projects!$C$7),Projects!$B$7*Projects!$I$7,0)+IF(AND(Projects!$G$8="Yes",Projects!$F$8="Yes",67=Projects!$C$8),Projects!$B$8*Projects!$I$8,0)+IF(AND(Projects!$G$9="Yes",Projects!$F$9="Yes",67=Projects!$C$9),Projects!$B$9*Projects!$I$9,0)+IF(AND(Projects!$G$10="Yes",Projects!$F$10="Yes",67=Projects!$C$10),Projects!$B$10*Projects!$I$10,0)+IF(AND(Projects!$G$11="Yes",Projects!$F$11="Yes",67=Projects!$C$11),Projects!$B$11*Projects!$I$11,0)+IF(AND(Projects!$G$12="Yes",Projects!$F$12="Yes",67=Projects!$C$12),Projects!$B$12*Projects!$I$12,0)+IF(AND(Projects!$G$13="Yes",Projects!$F$13="Yes",67=Projects!$C$13),Projects!$B$13*Projects!$I$13,0)+IF(AND(Projects!$G$14="Yes",Projects!$F$14="Yes",67=Projects!$C$14),Projects!$B$14*Projects!$I$14,0)+IF(AND(Projects!$G$15="Yes",Projects!$F$15="Yes",67=Projects!$C$15),Projects!$B$15*Projects!$I$15,0)+IF(AND(Projects!$G$16="Yes",Projects!$F$16="Yes",67=Projects!$C$16),Projects!$B$16*Projects!$I$16,0)),Actuals!BT16)</f>
        <v>0</v>
      </c>
      <c r="BU19" s="3">
        <f>IF(ISBLANK(Actuals!BU16),-(IF(AND(Projects!$G$6="Yes",Projects!$F$6="Yes",68=Projects!$C$6),Projects!$B$6*Projects!$I$6,0)+IF(AND(Projects!$G$7="Yes",Projects!$F$7="Yes",68=Projects!$C$7),Projects!$B$7*Projects!$I$7,0)+IF(AND(Projects!$G$8="Yes",Projects!$F$8="Yes",68=Projects!$C$8),Projects!$B$8*Projects!$I$8,0)+IF(AND(Projects!$G$9="Yes",Projects!$F$9="Yes",68=Projects!$C$9),Projects!$B$9*Projects!$I$9,0)+IF(AND(Projects!$G$10="Yes",Projects!$F$10="Yes",68=Projects!$C$10),Projects!$B$10*Projects!$I$10,0)+IF(AND(Projects!$G$11="Yes",Projects!$F$11="Yes",68=Projects!$C$11),Projects!$B$11*Projects!$I$11,0)+IF(AND(Projects!$G$12="Yes",Projects!$F$12="Yes",68=Projects!$C$12),Projects!$B$12*Projects!$I$12,0)+IF(AND(Projects!$G$13="Yes",Projects!$F$13="Yes",68=Projects!$C$13),Projects!$B$13*Projects!$I$13,0)+IF(AND(Projects!$G$14="Yes",Projects!$F$14="Yes",68=Projects!$C$14),Projects!$B$14*Projects!$I$14,0)+IF(AND(Projects!$G$15="Yes",Projects!$F$15="Yes",68=Projects!$C$15),Projects!$B$15*Projects!$I$15,0)+IF(AND(Projects!$G$16="Yes",Projects!$F$16="Yes",68=Projects!$C$16),Projects!$B$16*Projects!$I$16,0)),Actuals!BU16)</f>
        <v>0</v>
      </c>
      <c r="BV19" s="3">
        <f>IF(ISBLANK(Actuals!BV16),-(IF(AND(Projects!$G$6="Yes",Projects!$F$6="Yes",69=Projects!$C$6),Projects!$B$6*Projects!$I$6,0)+IF(AND(Projects!$G$7="Yes",Projects!$F$7="Yes",69=Projects!$C$7),Projects!$B$7*Projects!$I$7,0)+IF(AND(Projects!$G$8="Yes",Projects!$F$8="Yes",69=Projects!$C$8),Projects!$B$8*Projects!$I$8,0)+IF(AND(Projects!$G$9="Yes",Projects!$F$9="Yes",69=Projects!$C$9),Projects!$B$9*Projects!$I$9,0)+IF(AND(Projects!$G$10="Yes",Projects!$F$10="Yes",69=Projects!$C$10),Projects!$B$10*Projects!$I$10,0)+IF(AND(Projects!$G$11="Yes",Projects!$F$11="Yes",69=Projects!$C$11),Projects!$B$11*Projects!$I$11,0)+IF(AND(Projects!$G$12="Yes",Projects!$F$12="Yes",69=Projects!$C$12),Projects!$B$12*Projects!$I$12,0)+IF(AND(Projects!$G$13="Yes",Projects!$F$13="Yes",69=Projects!$C$13),Projects!$B$13*Projects!$I$13,0)+IF(AND(Projects!$G$14="Yes",Projects!$F$14="Yes",69=Projects!$C$14),Projects!$B$14*Projects!$I$14,0)+IF(AND(Projects!$G$15="Yes",Projects!$F$15="Yes",69=Projects!$C$15),Projects!$B$15*Projects!$I$15,0)+IF(AND(Projects!$G$16="Yes",Projects!$F$16="Yes",69=Projects!$C$16),Projects!$B$16*Projects!$I$16,0)),Actuals!BV16)</f>
        <v>0</v>
      </c>
      <c r="BW19" s="3">
        <f>IF(ISBLANK(Actuals!BW16),-(IF(AND(Projects!$G$6="Yes",Projects!$F$6="Yes",70=Projects!$C$6),Projects!$B$6*Projects!$I$6,0)+IF(AND(Projects!$G$7="Yes",Projects!$F$7="Yes",70=Projects!$C$7),Projects!$B$7*Projects!$I$7,0)+IF(AND(Projects!$G$8="Yes",Projects!$F$8="Yes",70=Projects!$C$8),Projects!$B$8*Projects!$I$8,0)+IF(AND(Projects!$G$9="Yes",Projects!$F$9="Yes",70=Projects!$C$9),Projects!$B$9*Projects!$I$9,0)+IF(AND(Projects!$G$10="Yes",Projects!$F$10="Yes",70=Projects!$C$10),Projects!$B$10*Projects!$I$10,0)+IF(AND(Projects!$G$11="Yes",Projects!$F$11="Yes",70=Projects!$C$11),Projects!$B$11*Projects!$I$11,0)+IF(AND(Projects!$G$12="Yes",Projects!$F$12="Yes",70=Projects!$C$12),Projects!$B$12*Projects!$I$12,0)+IF(AND(Projects!$G$13="Yes",Projects!$F$13="Yes",70=Projects!$C$13),Projects!$B$13*Projects!$I$13,0)+IF(AND(Projects!$G$14="Yes",Projects!$F$14="Yes",70=Projects!$C$14),Projects!$B$14*Projects!$I$14,0)+IF(AND(Projects!$G$15="Yes",Projects!$F$15="Yes",70=Projects!$C$15),Projects!$B$15*Projects!$I$15,0)+IF(AND(Projects!$G$16="Yes",Projects!$F$16="Yes",70=Projects!$C$16),Projects!$B$16*Projects!$I$16,0)),Actuals!BW16)</f>
        <v>0</v>
      </c>
      <c r="BX19" s="3">
        <f>IF(ISBLANK(Actuals!BX16),-(IF(AND(Projects!$G$6="Yes",Projects!$F$6="Yes",71=Projects!$C$6),Projects!$B$6*Projects!$I$6,0)+IF(AND(Projects!$G$7="Yes",Projects!$F$7="Yes",71=Projects!$C$7),Projects!$B$7*Projects!$I$7,0)+IF(AND(Projects!$G$8="Yes",Projects!$F$8="Yes",71=Projects!$C$8),Projects!$B$8*Projects!$I$8,0)+IF(AND(Projects!$G$9="Yes",Projects!$F$9="Yes",71=Projects!$C$9),Projects!$B$9*Projects!$I$9,0)+IF(AND(Projects!$G$10="Yes",Projects!$F$10="Yes",71=Projects!$C$10),Projects!$B$10*Projects!$I$10,0)+IF(AND(Projects!$G$11="Yes",Projects!$F$11="Yes",71=Projects!$C$11),Projects!$B$11*Projects!$I$11,0)+IF(AND(Projects!$G$12="Yes",Projects!$F$12="Yes",71=Projects!$C$12),Projects!$B$12*Projects!$I$12,0)+IF(AND(Projects!$G$13="Yes",Projects!$F$13="Yes",71=Projects!$C$13),Projects!$B$13*Projects!$I$13,0)+IF(AND(Projects!$G$14="Yes",Projects!$F$14="Yes",71=Projects!$C$14),Projects!$B$14*Projects!$I$14,0)+IF(AND(Projects!$G$15="Yes",Projects!$F$15="Yes",71=Projects!$C$15),Projects!$B$15*Projects!$I$15,0)+IF(AND(Projects!$G$16="Yes",Projects!$F$16="Yes",71=Projects!$C$16),Projects!$B$16*Projects!$I$16,0)),Actuals!BX16)</f>
        <v>0</v>
      </c>
      <c r="BY19" s="3">
        <f>IF(ISBLANK(Actuals!BY16),-(IF(AND(Projects!$G$6="Yes",Projects!$F$6="Yes",72=Projects!$C$6),Projects!$B$6*Projects!$I$6,0)+IF(AND(Projects!$G$7="Yes",Projects!$F$7="Yes",72=Projects!$C$7),Projects!$B$7*Projects!$I$7,0)+IF(AND(Projects!$G$8="Yes",Projects!$F$8="Yes",72=Projects!$C$8),Projects!$B$8*Projects!$I$8,0)+IF(AND(Projects!$G$9="Yes",Projects!$F$9="Yes",72=Projects!$C$9),Projects!$B$9*Projects!$I$9,0)+IF(AND(Projects!$G$10="Yes",Projects!$F$10="Yes",72=Projects!$C$10),Projects!$B$10*Projects!$I$10,0)+IF(AND(Projects!$G$11="Yes",Projects!$F$11="Yes",72=Projects!$C$11),Projects!$B$11*Projects!$I$11,0)+IF(AND(Projects!$G$12="Yes",Projects!$F$12="Yes",72=Projects!$C$12),Projects!$B$12*Projects!$I$12,0)+IF(AND(Projects!$G$13="Yes",Projects!$F$13="Yes",72=Projects!$C$13),Projects!$B$13*Projects!$I$13,0)+IF(AND(Projects!$G$14="Yes",Projects!$F$14="Yes",72=Projects!$C$14),Projects!$B$14*Projects!$I$14,0)+IF(AND(Projects!$G$15="Yes",Projects!$F$15="Yes",72=Projects!$C$15),Projects!$B$15*Projects!$I$15,0)+IF(AND(Projects!$G$16="Yes",Projects!$F$16="Yes",72=Projects!$C$16),Projects!$B$16*Projects!$I$16,0)),Actuals!BY16)</f>
        <v>0</v>
      </c>
      <c r="BZ19" s="3">
        <f>IF(ISBLANK(Actuals!BZ16),-(IF(AND(Projects!$G$6="Yes",Projects!$F$6="Yes",73=Projects!$C$6),Projects!$B$6*Projects!$I$6,0)+IF(AND(Projects!$G$7="Yes",Projects!$F$7="Yes",73=Projects!$C$7),Projects!$B$7*Projects!$I$7,0)+IF(AND(Projects!$G$8="Yes",Projects!$F$8="Yes",73=Projects!$C$8),Projects!$B$8*Projects!$I$8,0)+IF(AND(Projects!$G$9="Yes",Projects!$F$9="Yes",73=Projects!$C$9),Projects!$B$9*Projects!$I$9,0)+IF(AND(Projects!$G$10="Yes",Projects!$F$10="Yes",73=Projects!$C$10),Projects!$B$10*Projects!$I$10,0)+IF(AND(Projects!$G$11="Yes",Projects!$F$11="Yes",73=Projects!$C$11),Projects!$B$11*Projects!$I$11,0)+IF(AND(Projects!$G$12="Yes",Projects!$F$12="Yes",73=Projects!$C$12),Projects!$B$12*Projects!$I$12,0)+IF(AND(Projects!$G$13="Yes",Projects!$F$13="Yes",73=Projects!$C$13),Projects!$B$13*Projects!$I$13,0)+IF(AND(Projects!$G$14="Yes",Projects!$F$14="Yes",73=Projects!$C$14),Projects!$B$14*Projects!$I$14,0)+IF(AND(Projects!$G$15="Yes",Projects!$F$15="Yes",73=Projects!$C$15),Projects!$B$15*Projects!$I$15,0)+IF(AND(Projects!$G$16="Yes",Projects!$F$16="Yes",73=Projects!$C$16),Projects!$B$16*Projects!$I$16,0)),Actuals!BZ16)</f>
        <v>0</v>
      </c>
      <c r="CA19" s="3">
        <f>IF(ISBLANK(Actuals!CA16),-(IF(AND(Projects!$G$6="Yes",Projects!$F$6="Yes",74=Projects!$C$6),Projects!$B$6*Projects!$I$6,0)+IF(AND(Projects!$G$7="Yes",Projects!$F$7="Yes",74=Projects!$C$7),Projects!$B$7*Projects!$I$7,0)+IF(AND(Projects!$G$8="Yes",Projects!$F$8="Yes",74=Projects!$C$8),Projects!$B$8*Projects!$I$8,0)+IF(AND(Projects!$G$9="Yes",Projects!$F$9="Yes",74=Projects!$C$9),Projects!$B$9*Projects!$I$9,0)+IF(AND(Projects!$G$10="Yes",Projects!$F$10="Yes",74=Projects!$C$10),Projects!$B$10*Projects!$I$10,0)+IF(AND(Projects!$G$11="Yes",Projects!$F$11="Yes",74=Projects!$C$11),Projects!$B$11*Projects!$I$11,0)+IF(AND(Projects!$G$12="Yes",Projects!$F$12="Yes",74=Projects!$C$12),Projects!$B$12*Projects!$I$12,0)+IF(AND(Projects!$G$13="Yes",Projects!$F$13="Yes",74=Projects!$C$13),Projects!$B$13*Projects!$I$13,0)+IF(AND(Projects!$G$14="Yes",Projects!$F$14="Yes",74=Projects!$C$14),Projects!$B$14*Projects!$I$14,0)+IF(AND(Projects!$G$15="Yes",Projects!$F$15="Yes",74=Projects!$C$15),Projects!$B$15*Projects!$I$15,0)+IF(AND(Projects!$G$16="Yes",Projects!$F$16="Yes",74=Projects!$C$16),Projects!$B$16*Projects!$I$16,0)),Actuals!CA16)</f>
        <v>0</v>
      </c>
      <c r="CB19" s="3">
        <f>IF(ISBLANK(Actuals!CB16),-(IF(AND(Projects!$G$6="Yes",Projects!$F$6="Yes",75=Projects!$C$6),Projects!$B$6*Projects!$I$6,0)+IF(AND(Projects!$G$7="Yes",Projects!$F$7="Yes",75=Projects!$C$7),Projects!$B$7*Projects!$I$7,0)+IF(AND(Projects!$G$8="Yes",Projects!$F$8="Yes",75=Projects!$C$8),Projects!$B$8*Projects!$I$8,0)+IF(AND(Projects!$G$9="Yes",Projects!$F$9="Yes",75=Projects!$C$9),Projects!$B$9*Projects!$I$9,0)+IF(AND(Projects!$G$10="Yes",Projects!$F$10="Yes",75=Projects!$C$10),Projects!$B$10*Projects!$I$10,0)+IF(AND(Projects!$G$11="Yes",Projects!$F$11="Yes",75=Projects!$C$11),Projects!$B$11*Projects!$I$11,0)+IF(AND(Projects!$G$12="Yes",Projects!$F$12="Yes",75=Projects!$C$12),Projects!$B$12*Projects!$I$12,0)+IF(AND(Projects!$G$13="Yes",Projects!$F$13="Yes",75=Projects!$C$13),Projects!$B$13*Projects!$I$13,0)+IF(AND(Projects!$G$14="Yes",Projects!$F$14="Yes",75=Projects!$C$14),Projects!$B$14*Projects!$I$14,0)+IF(AND(Projects!$G$15="Yes",Projects!$F$15="Yes",75=Projects!$C$15),Projects!$B$15*Projects!$I$15,0)+IF(AND(Projects!$G$16="Yes",Projects!$F$16="Yes",75=Projects!$C$16),Projects!$B$16*Projects!$I$16,0)),Actuals!CB16)</f>
        <v>0</v>
      </c>
      <c r="CC19" s="3">
        <f>IF(ISBLANK(Actuals!CC16),-(IF(AND(Projects!$G$6="Yes",Projects!$F$6="Yes",76=Projects!$C$6),Projects!$B$6*Projects!$I$6,0)+IF(AND(Projects!$G$7="Yes",Projects!$F$7="Yes",76=Projects!$C$7),Projects!$B$7*Projects!$I$7,0)+IF(AND(Projects!$G$8="Yes",Projects!$F$8="Yes",76=Projects!$C$8),Projects!$B$8*Projects!$I$8,0)+IF(AND(Projects!$G$9="Yes",Projects!$F$9="Yes",76=Projects!$C$9),Projects!$B$9*Projects!$I$9,0)+IF(AND(Projects!$G$10="Yes",Projects!$F$10="Yes",76=Projects!$C$10),Projects!$B$10*Projects!$I$10,0)+IF(AND(Projects!$G$11="Yes",Projects!$F$11="Yes",76=Projects!$C$11),Projects!$B$11*Projects!$I$11,0)+IF(AND(Projects!$G$12="Yes",Projects!$F$12="Yes",76=Projects!$C$12),Projects!$B$12*Projects!$I$12,0)+IF(AND(Projects!$G$13="Yes",Projects!$F$13="Yes",76=Projects!$C$13),Projects!$B$13*Projects!$I$13,0)+IF(AND(Projects!$G$14="Yes",Projects!$F$14="Yes",76=Projects!$C$14),Projects!$B$14*Projects!$I$14,0)+IF(AND(Projects!$G$15="Yes",Projects!$F$15="Yes",76=Projects!$C$15),Projects!$B$15*Projects!$I$15,0)+IF(AND(Projects!$G$16="Yes",Projects!$F$16="Yes",76=Projects!$C$16),Projects!$B$16*Projects!$I$16,0)),Actuals!CC16)</f>
        <v>0</v>
      </c>
      <c r="CD19" s="3">
        <f>IF(ISBLANK(Actuals!CD16),-(IF(AND(Projects!$G$6="Yes",Projects!$F$6="Yes",77=Projects!$C$6),Projects!$B$6*Projects!$I$6,0)+IF(AND(Projects!$G$7="Yes",Projects!$F$7="Yes",77=Projects!$C$7),Projects!$B$7*Projects!$I$7,0)+IF(AND(Projects!$G$8="Yes",Projects!$F$8="Yes",77=Projects!$C$8),Projects!$B$8*Projects!$I$8,0)+IF(AND(Projects!$G$9="Yes",Projects!$F$9="Yes",77=Projects!$C$9),Projects!$B$9*Projects!$I$9,0)+IF(AND(Projects!$G$10="Yes",Projects!$F$10="Yes",77=Projects!$C$10),Projects!$B$10*Projects!$I$10,0)+IF(AND(Projects!$G$11="Yes",Projects!$F$11="Yes",77=Projects!$C$11),Projects!$B$11*Projects!$I$11,0)+IF(AND(Projects!$G$12="Yes",Projects!$F$12="Yes",77=Projects!$C$12),Projects!$B$12*Projects!$I$12,0)+IF(AND(Projects!$G$13="Yes",Projects!$F$13="Yes",77=Projects!$C$13),Projects!$B$13*Projects!$I$13,0)+IF(AND(Projects!$G$14="Yes",Projects!$F$14="Yes",77=Projects!$C$14),Projects!$B$14*Projects!$I$14,0)+IF(AND(Projects!$G$15="Yes",Projects!$F$15="Yes",77=Projects!$C$15),Projects!$B$15*Projects!$I$15,0)+IF(AND(Projects!$G$16="Yes",Projects!$F$16="Yes",77=Projects!$C$16),Projects!$B$16*Projects!$I$16,0)),Actuals!CD16)</f>
        <v>0</v>
      </c>
      <c r="CE19" s="3">
        <f>IF(ISBLANK(Actuals!CE16),-(IF(AND(Projects!$G$6="Yes",Projects!$F$6="Yes",78=Projects!$C$6),Projects!$B$6*Projects!$I$6,0)+IF(AND(Projects!$G$7="Yes",Projects!$F$7="Yes",78=Projects!$C$7),Projects!$B$7*Projects!$I$7,0)+IF(AND(Projects!$G$8="Yes",Projects!$F$8="Yes",78=Projects!$C$8),Projects!$B$8*Projects!$I$8,0)+IF(AND(Projects!$G$9="Yes",Projects!$F$9="Yes",78=Projects!$C$9),Projects!$B$9*Projects!$I$9,0)+IF(AND(Projects!$G$10="Yes",Projects!$F$10="Yes",78=Projects!$C$10),Projects!$B$10*Projects!$I$10,0)+IF(AND(Projects!$G$11="Yes",Projects!$F$11="Yes",78=Projects!$C$11),Projects!$B$11*Projects!$I$11,0)+IF(AND(Projects!$G$12="Yes",Projects!$F$12="Yes",78=Projects!$C$12),Projects!$B$12*Projects!$I$12,0)+IF(AND(Projects!$G$13="Yes",Projects!$F$13="Yes",78=Projects!$C$13),Projects!$B$13*Projects!$I$13,0)+IF(AND(Projects!$G$14="Yes",Projects!$F$14="Yes",78=Projects!$C$14),Projects!$B$14*Projects!$I$14,0)+IF(AND(Projects!$G$15="Yes",Projects!$F$15="Yes",78=Projects!$C$15),Projects!$B$15*Projects!$I$15,0)+IF(AND(Projects!$G$16="Yes",Projects!$F$16="Yes",78=Projects!$C$16),Projects!$B$16*Projects!$I$16,0)),Actuals!CE16)</f>
        <v>0</v>
      </c>
      <c r="CF19" s="3">
        <f>IF(ISBLANK(Actuals!CF16),-(IF(AND(Projects!$G$6="Yes",Projects!$F$6="Yes",79=Projects!$C$6),Projects!$B$6*Projects!$I$6,0)+IF(AND(Projects!$G$7="Yes",Projects!$F$7="Yes",79=Projects!$C$7),Projects!$B$7*Projects!$I$7,0)+IF(AND(Projects!$G$8="Yes",Projects!$F$8="Yes",79=Projects!$C$8),Projects!$B$8*Projects!$I$8,0)+IF(AND(Projects!$G$9="Yes",Projects!$F$9="Yes",79=Projects!$C$9),Projects!$B$9*Projects!$I$9,0)+IF(AND(Projects!$G$10="Yes",Projects!$F$10="Yes",79=Projects!$C$10),Projects!$B$10*Projects!$I$10,0)+IF(AND(Projects!$G$11="Yes",Projects!$F$11="Yes",79=Projects!$C$11),Projects!$B$11*Projects!$I$11,0)+IF(AND(Projects!$G$12="Yes",Projects!$F$12="Yes",79=Projects!$C$12),Projects!$B$12*Projects!$I$12,0)+IF(AND(Projects!$G$13="Yes",Projects!$F$13="Yes",79=Projects!$C$13),Projects!$B$13*Projects!$I$13,0)+IF(AND(Projects!$G$14="Yes",Projects!$F$14="Yes",79=Projects!$C$14),Projects!$B$14*Projects!$I$14,0)+IF(AND(Projects!$G$15="Yes",Projects!$F$15="Yes",79=Projects!$C$15),Projects!$B$15*Projects!$I$15,0)+IF(AND(Projects!$G$16="Yes",Projects!$F$16="Yes",79=Projects!$C$16),Projects!$B$16*Projects!$I$16,0)),Actuals!CF16)</f>
        <v>0</v>
      </c>
      <c r="CG19" s="3">
        <f>IF(ISBLANK(Actuals!CG16),-(IF(AND(Projects!$G$6="Yes",Projects!$F$6="Yes",80=Projects!$C$6),Projects!$B$6*Projects!$I$6,0)+IF(AND(Projects!$G$7="Yes",Projects!$F$7="Yes",80=Projects!$C$7),Projects!$B$7*Projects!$I$7,0)+IF(AND(Projects!$G$8="Yes",Projects!$F$8="Yes",80=Projects!$C$8),Projects!$B$8*Projects!$I$8,0)+IF(AND(Projects!$G$9="Yes",Projects!$F$9="Yes",80=Projects!$C$9),Projects!$B$9*Projects!$I$9,0)+IF(AND(Projects!$G$10="Yes",Projects!$F$10="Yes",80=Projects!$C$10),Projects!$B$10*Projects!$I$10,0)+IF(AND(Projects!$G$11="Yes",Projects!$F$11="Yes",80=Projects!$C$11),Projects!$B$11*Projects!$I$11,0)+IF(AND(Projects!$G$12="Yes",Projects!$F$12="Yes",80=Projects!$C$12),Projects!$B$12*Projects!$I$12,0)+IF(AND(Projects!$G$13="Yes",Projects!$F$13="Yes",80=Projects!$C$13),Projects!$B$13*Projects!$I$13,0)+IF(AND(Projects!$G$14="Yes",Projects!$F$14="Yes",80=Projects!$C$14),Projects!$B$14*Projects!$I$14,0)+IF(AND(Projects!$G$15="Yes",Projects!$F$15="Yes",80=Projects!$C$15),Projects!$B$15*Projects!$I$15,0)+IF(AND(Projects!$G$16="Yes",Projects!$F$16="Yes",80=Projects!$C$16),Projects!$B$16*Projects!$I$16,0)),Actuals!CG16)</f>
        <v>0</v>
      </c>
      <c r="CH19" s="3">
        <f>IF(ISBLANK(Actuals!CH16),-(IF(AND(Projects!$G$6="Yes",Projects!$F$6="Yes",81=Projects!$C$6),Projects!$B$6*Projects!$I$6,0)+IF(AND(Projects!$G$7="Yes",Projects!$F$7="Yes",81=Projects!$C$7),Projects!$B$7*Projects!$I$7,0)+IF(AND(Projects!$G$8="Yes",Projects!$F$8="Yes",81=Projects!$C$8),Projects!$B$8*Projects!$I$8,0)+IF(AND(Projects!$G$9="Yes",Projects!$F$9="Yes",81=Projects!$C$9),Projects!$B$9*Projects!$I$9,0)+IF(AND(Projects!$G$10="Yes",Projects!$F$10="Yes",81=Projects!$C$10),Projects!$B$10*Projects!$I$10,0)+IF(AND(Projects!$G$11="Yes",Projects!$F$11="Yes",81=Projects!$C$11),Projects!$B$11*Projects!$I$11,0)+IF(AND(Projects!$G$12="Yes",Projects!$F$12="Yes",81=Projects!$C$12),Projects!$B$12*Projects!$I$12,0)+IF(AND(Projects!$G$13="Yes",Projects!$F$13="Yes",81=Projects!$C$13),Projects!$B$13*Projects!$I$13,0)+IF(AND(Projects!$G$14="Yes",Projects!$F$14="Yes",81=Projects!$C$14),Projects!$B$14*Projects!$I$14,0)+IF(AND(Projects!$G$15="Yes",Projects!$F$15="Yes",81=Projects!$C$15),Projects!$B$15*Projects!$I$15,0)+IF(AND(Projects!$G$16="Yes",Projects!$F$16="Yes",81=Projects!$C$16),Projects!$B$16*Projects!$I$16,0)),Actuals!CH16)</f>
        <v>0</v>
      </c>
      <c r="CI19" s="3">
        <f>IF(ISBLANK(Actuals!CI16),-(IF(AND(Projects!$G$6="Yes",Projects!$F$6="Yes",82=Projects!$C$6),Projects!$B$6*Projects!$I$6,0)+IF(AND(Projects!$G$7="Yes",Projects!$F$7="Yes",82=Projects!$C$7),Projects!$B$7*Projects!$I$7,0)+IF(AND(Projects!$G$8="Yes",Projects!$F$8="Yes",82=Projects!$C$8),Projects!$B$8*Projects!$I$8,0)+IF(AND(Projects!$G$9="Yes",Projects!$F$9="Yes",82=Projects!$C$9),Projects!$B$9*Projects!$I$9,0)+IF(AND(Projects!$G$10="Yes",Projects!$F$10="Yes",82=Projects!$C$10),Projects!$B$10*Projects!$I$10,0)+IF(AND(Projects!$G$11="Yes",Projects!$F$11="Yes",82=Projects!$C$11),Projects!$B$11*Projects!$I$11,0)+IF(AND(Projects!$G$12="Yes",Projects!$F$12="Yes",82=Projects!$C$12),Projects!$B$12*Projects!$I$12,0)+IF(AND(Projects!$G$13="Yes",Projects!$F$13="Yes",82=Projects!$C$13),Projects!$B$13*Projects!$I$13,0)+IF(AND(Projects!$G$14="Yes",Projects!$F$14="Yes",82=Projects!$C$14),Projects!$B$14*Projects!$I$14,0)+IF(AND(Projects!$G$15="Yes",Projects!$F$15="Yes",82=Projects!$C$15),Projects!$B$15*Projects!$I$15,0)+IF(AND(Projects!$G$16="Yes",Projects!$F$16="Yes",82=Projects!$C$16),Projects!$B$16*Projects!$I$16,0)),Actuals!CI16)</f>
        <v>0</v>
      </c>
      <c r="CJ19" s="3">
        <f>IF(ISBLANK(Actuals!CJ16),-(IF(AND(Projects!$G$6="Yes",Projects!$F$6="Yes",83=Projects!$C$6),Projects!$B$6*Projects!$I$6,0)+IF(AND(Projects!$G$7="Yes",Projects!$F$7="Yes",83=Projects!$C$7),Projects!$B$7*Projects!$I$7,0)+IF(AND(Projects!$G$8="Yes",Projects!$F$8="Yes",83=Projects!$C$8),Projects!$B$8*Projects!$I$8,0)+IF(AND(Projects!$G$9="Yes",Projects!$F$9="Yes",83=Projects!$C$9),Projects!$B$9*Projects!$I$9,0)+IF(AND(Projects!$G$10="Yes",Projects!$F$10="Yes",83=Projects!$C$10),Projects!$B$10*Projects!$I$10,0)+IF(AND(Projects!$G$11="Yes",Projects!$F$11="Yes",83=Projects!$C$11),Projects!$B$11*Projects!$I$11,0)+IF(AND(Projects!$G$12="Yes",Projects!$F$12="Yes",83=Projects!$C$12),Projects!$B$12*Projects!$I$12,0)+IF(AND(Projects!$G$13="Yes",Projects!$F$13="Yes",83=Projects!$C$13),Projects!$B$13*Projects!$I$13,0)+IF(AND(Projects!$G$14="Yes",Projects!$F$14="Yes",83=Projects!$C$14),Projects!$B$14*Projects!$I$14,0)+IF(AND(Projects!$G$15="Yes",Projects!$F$15="Yes",83=Projects!$C$15),Projects!$B$15*Projects!$I$15,0)+IF(AND(Projects!$G$16="Yes",Projects!$F$16="Yes",83=Projects!$C$16),Projects!$B$16*Projects!$I$16,0)),Actuals!CJ16)</f>
        <v>0</v>
      </c>
      <c r="CK19" s="3">
        <f>IF(ISBLANK(Actuals!CK16),-(IF(AND(Projects!$G$6="Yes",Projects!$F$6="Yes",84=Projects!$C$6),Projects!$B$6*Projects!$I$6,0)+IF(AND(Projects!$G$7="Yes",Projects!$F$7="Yes",84=Projects!$C$7),Projects!$B$7*Projects!$I$7,0)+IF(AND(Projects!$G$8="Yes",Projects!$F$8="Yes",84=Projects!$C$8),Projects!$B$8*Projects!$I$8,0)+IF(AND(Projects!$G$9="Yes",Projects!$F$9="Yes",84=Projects!$C$9),Projects!$B$9*Projects!$I$9,0)+IF(AND(Projects!$G$10="Yes",Projects!$F$10="Yes",84=Projects!$C$10),Projects!$B$10*Projects!$I$10,0)+IF(AND(Projects!$G$11="Yes",Projects!$F$11="Yes",84=Projects!$C$11),Projects!$B$11*Projects!$I$11,0)+IF(AND(Projects!$G$12="Yes",Projects!$F$12="Yes",84=Projects!$C$12),Projects!$B$12*Projects!$I$12,0)+IF(AND(Projects!$G$13="Yes",Projects!$F$13="Yes",84=Projects!$C$13),Projects!$B$13*Projects!$I$13,0)+IF(AND(Projects!$G$14="Yes",Projects!$F$14="Yes",84=Projects!$C$14),Projects!$B$14*Projects!$I$14,0)+IF(AND(Projects!$G$15="Yes",Projects!$F$15="Yes",84=Projects!$C$15),Projects!$B$15*Projects!$I$15,0)+IF(AND(Projects!$G$16="Yes",Projects!$F$16="Yes",84=Projects!$C$16),Projects!$B$16*Projects!$I$16,0)),Actuals!CK16)</f>
        <v>0</v>
      </c>
      <c r="CL19" s="3">
        <f>IF(ISBLANK(Actuals!CL16),-(IF(AND(Projects!$G$6="Yes",Projects!$F$6="Yes",85=Projects!$C$6),Projects!$B$6*Projects!$I$6,0)+IF(AND(Projects!$G$7="Yes",Projects!$F$7="Yes",85=Projects!$C$7),Projects!$B$7*Projects!$I$7,0)+IF(AND(Projects!$G$8="Yes",Projects!$F$8="Yes",85=Projects!$C$8),Projects!$B$8*Projects!$I$8,0)+IF(AND(Projects!$G$9="Yes",Projects!$F$9="Yes",85=Projects!$C$9),Projects!$B$9*Projects!$I$9,0)+IF(AND(Projects!$G$10="Yes",Projects!$F$10="Yes",85=Projects!$C$10),Projects!$B$10*Projects!$I$10,0)+IF(AND(Projects!$G$11="Yes",Projects!$F$11="Yes",85=Projects!$C$11),Projects!$B$11*Projects!$I$11,0)+IF(AND(Projects!$G$12="Yes",Projects!$F$12="Yes",85=Projects!$C$12),Projects!$B$12*Projects!$I$12,0)+IF(AND(Projects!$G$13="Yes",Projects!$F$13="Yes",85=Projects!$C$13),Projects!$B$13*Projects!$I$13,0)+IF(AND(Projects!$G$14="Yes",Projects!$F$14="Yes",85=Projects!$C$14),Projects!$B$14*Projects!$I$14,0)+IF(AND(Projects!$G$15="Yes",Projects!$F$15="Yes",85=Projects!$C$15),Projects!$B$15*Projects!$I$15,0)+IF(AND(Projects!$G$16="Yes",Projects!$F$16="Yes",85=Projects!$C$16),Projects!$B$16*Projects!$I$16,0)),Actuals!CL16)</f>
        <v>0</v>
      </c>
      <c r="CM19" s="3">
        <f>IF(ISBLANK(Actuals!CM16),-(IF(AND(Projects!$G$6="Yes",Projects!$F$6="Yes",86=Projects!$C$6),Projects!$B$6*Projects!$I$6,0)+IF(AND(Projects!$G$7="Yes",Projects!$F$7="Yes",86=Projects!$C$7),Projects!$B$7*Projects!$I$7,0)+IF(AND(Projects!$G$8="Yes",Projects!$F$8="Yes",86=Projects!$C$8),Projects!$B$8*Projects!$I$8,0)+IF(AND(Projects!$G$9="Yes",Projects!$F$9="Yes",86=Projects!$C$9),Projects!$B$9*Projects!$I$9,0)+IF(AND(Projects!$G$10="Yes",Projects!$F$10="Yes",86=Projects!$C$10),Projects!$B$10*Projects!$I$10,0)+IF(AND(Projects!$G$11="Yes",Projects!$F$11="Yes",86=Projects!$C$11),Projects!$B$11*Projects!$I$11,0)+IF(AND(Projects!$G$12="Yes",Projects!$F$12="Yes",86=Projects!$C$12),Projects!$B$12*Projects!$I$12,0)+IF(AND(Projects!$G$13="Yes",Projects!$F$13="Yes",86=Projects!$C$13),Projects!$B$13*Projects!$I$13,0)+IF(AND(Projects!$G$14="Yes",Projects!$F$14="Yes",86=Projects!$C$14),Projects!$B$14*Projects!$I$14,0)+IF(AND(Projects!$G$15="Yes",Projects!$F$15="Yes",86=Projects!$C$15),Projects!$B$15*Projects!$I$15,0)+IF(AND(Projects!$G$16="Yes",Projects!$F$16="Yes",86=Projects!$C$16),Projects!$B$16*Projects!$I$16,0)),Actuals!CM16)</f>
        <v>0</v>
      </c>
      <c r="CN19" s="3">
        <f>IF(ISBLANK(Actuals!CN16),-(IF(AND(Projects!$G$6="Yes",Projects!$F$6="Yes",87=Projects!$C$6),Projects!$B$6*Projects!$I$6,0)+IF(AND(Projects!$G$7="Yes",Projects!$F$7="Yes",87=Projects!$C$7),Projects!$B$7*Projects!$I$7,0)+IF(AND(Projects!$G$8="Yes",Projects!$F$8="Yes",87=Projects!$C$8),Projects!$B$8*Projects!$I$8,0)+IF(AND(Projects!$G$9="Yes",Projects!$F$9="Yes",87=Projects!$C$9),Projects!$B$9*Projects!$I$9,0)+IF(AND(Projects!$G$10="Yes",Projects!$F$10="Yes",87=Projects!$C$10),Projects!$B$10*Projects!$I$10,0)+IF(AND(Projects!$G$11="Yes",Projects!$F$11="Yes",87=Projects!$C$11),Projects!$B$11*Projects!$I$11,0)+IF(AND(Projects!$G$12="Yes",Projects!$F$12="Yes",87=Projects!$C$12),Projects!$B$12*Projects!$I$12,0)+IF(AND(Projects!$G$13="Yes",Projects!$F$13="Yes",87=Projects!$C$13),Projects!$B$13*Projects!$I$13,0)+IF(AND(Projects!$G$14="Yes",Projects!$F$14="Yes",87=Projects!$C$14),Projects!$B$14*Projects!$I$14,0)+IF(AND(Projects!$G$15="Yes",Projects!$F$15="Yes",87=Projects!$C$15),Projects!$B$15*Projects!$I$15,0)+IF(AND(Projects!$G$16="Yes",Projects!$F$16="Yes",87=Projects!$C$16),Projects!$B$16*Projects!$I$16,0)),Actuals!CN16)</f>
        <v>0</v>
      </c>
      <c r="CO19" s="3">
        <f>IF(ISBLANK(Actuals!CO16),-(IF(AND(Projects!$G$6="Yes",Projects!$F$6="Yes",88=Projects!$C$6),Projects!$B$6*Projects!$I$6,0)+IF(AND(Projects!$G$7="Yes",Projects!$F$7="Yes",88=Projects!$C$7),Projects!$B$7*Projects!$I$7,0)+IF(AND(Projects!$G$8="Yes",Projects!$F$8="Yes",88=Projects!$C$8),Projects!$B$8*Projects!$I$8,0)+IF(AND(Projects!$G$9="Yes",Projects!$F$9="Yes",88=Projects!$C$9),Projects!$B$9*Projects!$I$9,0)+IF(AND(Projects!$G$10="Yes",Projects!$F$10="Yes",88=Projects!$C$10),Projects!$B$10*Projects!$I$10,0)+IF(AND(Projects!$G$11="Yes",Projects!$F$11="Yes",88=Projects!$C$11),Projects!$B$11*Projects!$I$11,0)+IF(AND(Projects!$G$12="Yes",Projects!$F$12="Yes",88=Projects!$C$12),Projects!$B$12*Projects!$I$12,0)+IF(AND(Projects!$G$13="Yes",Projects!$F$13="Yes",88=Projects!$C$13),Projects!$B$13*Projects!$I$13,0)+IF(AND(Projects!$G$14="Yes",Projects!$F$14="Yes",88=Projects!$C$14),Projects!$B$14*Projects!$I$14,0)+IF(AND(Projects!$G$15="Yes",Projects!$F$15="Yes",88=Projects!$C$15),Projects!$B$15*Projects!$I$15,0)+IF(AND(Projects!$G$16="Yes",Projects!$F$16="Yes",88=Projects!$C$16),Projects!$B$16*Projects!$I$16,0)),Actuals!CO16)</f>
        <v>0</v>
      </c>
      <c r="CP19" s="3">
        <f>IF(ISBLANK(Actuals!CP16),-(IF(AND(Projects!$G$6="Yes",Projects!$F$6="Yes",89=Projects!$C$6),Projects!$B$6*Projects!$I$6,0)+IF(AND(Projects!$G$7="Yes",Projects!$F$7="Yes",89=Projects!$C$7),Projects!$B$7*Projects!$I$7,0)+IF(AND(Projects!$G$8="Yes",Projects!$F$8="Yes",89=Projects!$C$8),Projects!$B$8*Projects!$I$8,0)+IF(AND(Projects!$G$9="Yes",Projects!$F$9="Yes",89=Projects!$C$9),Projects!$B$9*Projects!$I$9,0)+IF(AND(Projects!$G$10="Yes",Projects!$F$10="Yes",89=Projects!$C$10),Projects!$B$10*Projects!$I$10,0)+IF(AND(Projects!$G$11="Yes",Projects!$F$11="Yes",89=Projects!$C$11),Projects!$B$11*Projects!$I$11,0)+IF(AND(Projects!$G$12="Yes",Projects!$F$12="Yes",89=Projects!$C$12),Projects!$B$12*Projects!$I$12,0)+IF(AND(Projects!$G$13="Yes",Projects!$F$13="Yes",89=Projects!$C$13),Projects!$B$13*Projects!$I$13,0)+IF(AND(Projects!$G$14="Yes",Projects!$F$14="Yes",89=Projects!$C$14),Projects!$B$14*Projects!$I$14,0)+IF(AND(Projects!$G$15="Yes",Projects!$F$15="Yes",89=Projects!$C$15),Projects!$B$15*Projects!$I$15,0)+IF(AND(Projects!$G$16="Yes",Projects!$F$16="Yes",89=Projects!$C$16),Projects!$B$16*Projects!$I$16,0)),Actuals!CP16)</f>
        <v>0</v>
      </c>
      <c r="CQ19" s="3">
        <f>IF(ISBLANK(Actuals!CQ16),-(IF(AND(Projects!$G$6="Yes",Projects!$F$6="Yes",90=Projects!$C$6),Projects!$B$6*Projects!$I$6,0)+IF(AND(Projects!$G$7="Yes",Projects!$F$7="Yes",90=Projects!$C$7),Projects!$B$7*Projects!$I$7,0)+IF(AND(Projects!$G$8="Yes",Projects!$F$8="Yes",90=Projects!$C$8),Projects!$B$8*Projects!$I$8,0)+IF(AND(Projects!$G$9="Yes",Projects!$F$9="Yes",90=Projects!$C$9),Projects!$B$9*Projects!$I$9,0)+IF(AND(Projects!$G$10="Yes",Projects!$F$10="Yes",90=Projects!$C$10),Projects!$B$10*Projects!$I$10,0)+IF(AND(Projects!$G$11="Yes",Projects!$F$11="Yes",90=Projects!$C$11),Projects!$B$11*Projects!$I$11,0)+IF(AND(Projects!$G$12="Yes",Projects!$F$12="Yes",90=Projects!$C$12),Projects!$B$12*Projects!$I$12,0)+IF(AND(Projects!$G$13="Yes",Projects!$F$13="Yes",90=Projects!$C$13),Projects!$B$13*Projects!$I$13,0)+IF(AND(Projects!$G$14="Yes",Projects!$F$14="Yes",90=Projects!$C$14),Projects!$B$14*Projects!$I$14,0)+IF(AND(Projects!$G$15="Yes",Projects!$F$15="Yes",90=Projects!$C$15),Projects!$B$15*Projects!$I$15,0)+IF(AND(Projects!$G$16="Yes",Projects!$F$16="Yes",90=Projects!$C$16),Projects!$B$16*Projects!$I$16,0)),Actuals!CQ16)</f>
        <v>0</v>
      </c>
      <c r="CR19" s="3">
        <f>IF(ISBLANK(Actuals!CR16),-(IF(AND(Projects!$G$6="Yes",Projects!$F$6="Yes",91=Projects!$C$6),Projects!$B$6*Projects!$I$6,0)+IF(AND(Projects!$G$7="Yes",Projects!$F$7="Yes",91=Projects!$C$7),Projects!$B$7*Projects!$I$7,0)+IF(AND(Projects!$G$8="Yes",Projects!$F$8="Yes",91=Projects!$C$8),Projects!$B$8*Projects!$I$8,0)+IF(AND(Projects!$G$9="Yes",Projects!$F$9="Yes",91=Projects!$C$9),Projects!$B$9*Projects!$I$9,0)+IF(AND(Projects!$G$10="Yes",Projects!$F$10="Yes",91=Projects!$C$10),Projects!$B$10*Projects!$I$10,0)+IF(AND(Projects!$G$11="Yes",Projects!$F$11="Yes",91=Projects!$C$11),Projects!$B$11*Projects!$I$11,0)+IF(AND(Projects!$G$12="Yes",Projects!$F$12="Yes",91=Projects!$C$12),Projects!$B$12*Projects!$I$12,0)+IF(AND(Projects!$G$13="Yes",Projects!$F$13="Yes",91=Projects!$C$13),Projects!$B$13*Projects!$I$13,0)+IF(AND(Projects!$G$14="Yes",Projects!$F$14="Yes",91=Projects!$C$14),Projects!$B$14*Projects!$I$14,0)+IF(AND(Projects!$G$15="Yes",Projects!$F$15="Yes",91=Projects!$C$15),Projects!$B$15*Projects!$I$15,0)+IF(AND(Projects!$G$16="Yes",Projects!$F$16="Yes",91=Projects!$C$16),Projects!$B$16*Projects!$I$16,0)),Actuals!CR16)</f>
        <v>0</v>
      </c>
      <c r="CS19" s="3">
        <f>IF(ISBLANK(Actuals!CS16),-(IF(AND(Projects!$G$6="Yes",Projects!$F$6="Yes",92=Projects!$C$6),Projects!$B$6*Projects!$I$6,0)+IF(AND(Projects!$G$7="Yes",Projects!$F$7="Yes",92=Projects!$C$7),Projects!$B$7*Projects!$I$7,0)+IF(AND(Projects!$G$8="Yes",Projects!$F$8="Yes",92=Projects!$C$8),Projects!$B$8*Projects!$I$8,0)+IF(AND(Projects!$G$9="Yes",Projects!$F$9="Yes",92=Projects!$C$9),Projects!$B$9*Projects!$I$9,0)+IF(AND(Projects!$G$10="Yes",Projects!$F$10="Yes",92=Projects!$C$10),Projects!$B$10*Projects!$I$10,0)+IF(AND(Projects!$G$11="Yes",Projects!$F$11="Yes",92=Projects!$C$11),Projects!$B$11*Projects!$I$11,0)+IF(AND(Projects!$G$12="Yes",Projects!$F$12="Yes",92=Projects!$C$12),Projects!$B$12*Projects!$I$12,0)+IF(AND(Projects!$G$13="Yes",Projects!$F$13="Yes",92=Projects!$C$13),Projects!$B$13*Projects!$I$13,0)+IF(AND(Projects!$G$14="Yes",Projects!$F$14="Yes",92=Projects!$C$14),Projects!$B$14*Projects!$I$14,0)+IF(AND(Projects!$G$15="Yes",Projects!$F$15="Yes",92=Projects!$C$15),Projects!$B$15*Projects!$I$15,0)+IF(AND(Projects!$G$16="Yes",Projects!$F$16="Yes",92=Projects!$C$16),Projects!$B$16*Projects!$I$16,0)),Actuals!CS16)</f>
        <v>0</v>
      </c>
      <c r="CT19" s="3">
        <f>IF(ISBLANK(Actuals!CT16),-(IF(AND(Projects!$G$6="Yes",Projects!$F$6="Yes",93=Projects!$C$6),Projects!$B$6*Projects!$I$6,0)+IF(AND(Projects!$G$7="Yes",Projects!$F$7="Yes",93=Projects!$C$7),Projects!$B$7*Projects!$I$7,0)+IF(AND(Projects!$G$8="Yes",Projects!$F$8="Yes",93=Projects!$C$8),Projects!$B$8*Projects!$I$8,0)+IF(AND(Projects!$G$9="Yes",Projects!$F$9="Yes",93=Projects!$C$9),Projects!$B$9*Projects!$I$9,0)+IF(AND(Projects!$G$10="Yes",Projects!$F$10="Yes",93=Projects!$C$10),Projects!$B$10*Projects!$I$10,0)+IF(AND(Projects!$G$11="Yes",Projects!$F$11="Yes",93=Projects!$C$11),Projects!$B$11*Projects!$I$11,0)+IF(AND(Projects!$G$12="Yes",Projects!$F$12="Yes",93=Projects!$C$12),Projects!$B$12*Projects!$I$12,0)+IF(AND(Projects!$G$13="Yes",Projects!$F$13="Yes",93=Projects!$C$13),Projects!$B$13*Projects!$I$13,0)+IF(AND(Projects!$G$14="Yes",Projects!$F$14="Yes",93=Projects!$C$14),Projects!$B$14*Projects!$I$14,0)+IF(AND(Projects!$G$15="Yes",Projects!$F$15="Yes",93=Projects!$C$15),Projects!$B$15*Projects!$I$15,0)+IF(AND(Projects!$G$16="Yes",Projects!$F$16="Yes",93=Projects!$C$16),Projects!$B$16*Projects!$I$16,0)),Actuals!CT16)</f>
        <v>0</v>
      </c>
      <c r="CU19" s="3">
        <f>IF(ISBLANK(Actuals!CU16),-(IF(AND(Projects!$G$6="Yes",Projects!$F$6="Yes",94=Projects!$C$6),Projects!$B$6*Projects!$I$6,0)+IF(AND(Projects!$G$7="Yes",Projects!$F$7="Yes",94=Projects!$C$7),Projects!$B$7*Projects!$I$7,0)+IF(AND(Projects!$G$8="Yes",Projects!$F$8="Yes",94=Projects!$C$8),Projects!$B$8*Projects!$I$8,0)+IF(AND(Projects!$G$9="Yes",Projects!$F$9="Yes",94=Projects!$C$9),Projects!$B$9*Projects!$I$9,0)+IF(AND(Projects!$G$10="Yes",Projects!$F$10="Yes",94=Projects!$C$10),Projects!$B$10*Projects!$I$10,0)+IF(AND(Projects!$G$11="Yes",Projects!$F$11="Yes",94=Projects!$C$11),Projects!$B$11*Projects!$I$11,0)+IF(AND(Projects!$G$12="Yes",Projects!$F$12="Yes",94=Projects!$C$12),Projects!$B$12*Projects!$I$12,0)+IF(AND(Projects!$G$13="Yes",Projects!$F$13="Yes",94=Projects!$C$13),Projects!$B$13*Projects!$I$13,0)+IF(AND(Projects!$G$14="Yes",Projects!$F$14="Yes",94=Projects!$C$14),Projects!$B$14*Projects!$I$14,0)+IF(AND(Projects!$G$15="Yes",Projects!$F$15="Yes",94=Projects!$C$15),Projects!$B$15*Projects!$I$15,0)+IF(AND(Projects!$G$16="Yes",Projects!$F$16="Yes",94=Projects!$C$16),Projects!$B$16*Projects!$I$16,0)),Actuals!CU16)</f>
        <v>0</v>
      </c>
      <c r="CV19" s="3">
        <f>IF(ISBLANK(Actuals!CV16),-(IF(AND(Projects!$G$6="Yes",Projects!$F$6="Yes",95=Projects!$C$6),Projects!$B$6*Projects!$I$6,0)+IF(AND(Projects!$G$7="Yes",Projects!$F$7="Yes",95=Projects!$C$7),Projects!$B$7*Projects!$I$7,0)+IF(AND(Projects!$G$8="Yes",Projects!$F$8="Yes",95=Projects!$C$8),Projects!$B$8*Projects!$I$8,0)+IF(AND(Projects!$G$9="Yes",Projects!$F$9="Yes",95=Projects!$C$9),Projects!$B$9*Projects!$I$9,0)+IF(AND(Projects!$G$10="Yes",Projects!$F$10="Yes",95=Projects!$C$10),Projects!$B$10*Projects!$I$10,0)+IF(AND(Projects!$G$11="Yes",Projects!$F$11="Yes",95=Projects!$C$11),Projects!$B$11*Projects!$I$11,0)+IF(AND(Projects!$G$12="Yes",Projects!$F$12="Yes",95=Projects!$C$12),Projects!$B$12*Projects!$I$12,0)+IF(AND(Projects!$G$13="Yes",Projects!$F$13="Yes",95=Projects!$C$13),Projects!$B$13*Projects!$I$13,0)+IF(AND(Projects!$G$14="Yes",Projects!$F$14="Yes",95=Projects!$C$14),Projects!$B$14*Projects!$I$14,0)+IF(AND(Projects!$G$15="Yes",Projects!$F$15="Yes",95=Projects!$C$15),Projects!$B$15*Projects!$I$15,0)+IF(AND(Projects!$G$16="Yes",Projects!$F$16="Yes",95=Projects!$C$16),Projects!$B$16*Projects!$I$16,0)),Actuals!CV16)</f>
        <v>0</v>
      </c>
      <c r="CW19" s="3">
        <f>IF(ISBLANK(Actuals!CW16),-(IF(AND(Projects!$G$6="Yes",Projects!$F$6="Yes",96=Projects!$C$6),Projects!$B$6*Projects!$I$6,0)+IF(AND(Projects!$G$7="Yes",Projects!$F$7="Yes",96=Projects!$C$7),Projects!$B$7*Projects!$I$7,0)+IF(AND(Projects!$G$8="Yes",Projects!$F$8="Yes",96=Projects!$C$8),Projects!$B$8*Projects!$I$8,0)+IF(AND(Projects!$G$9="Yes",Projects!$F$9="Yes",96=Projects!$C$9),Projects!$B$9*Projects!$I$9,0)+IF(AND(Projects!$G$10="Yes",Projects!$F$10="Yes",96=Projects!$C$10),Projects!$B$10*Projects!$I$10,0)+IF(AND(Projects!$G$11="Yes",Projects!$F$11="Yes",96=Projects!$C$11),Projects!$B$11*Projects!$I$11,0)+IF(AND(Projects!$G$12="Yes",Projects!$F$12="Yes",96=Projects!$C$12),Projects!$B$12*Projects!$I$12,0)+IF(AND(Projects!$G$13="Yes",Projects!$F$13="Yes",96=Projects!$C$13),Projects!$B$13*Projects!$I$13,0)+IF(AND(Projects!$G$14="Yes",Projects!$F$14="Yes",96=Projects!$C$14),Projects!$B$14*Projects!$I$14,0)+IF(AND(Projects!$G$15="Yes",Projects!$F$15="Yes",96=Projects!$C$15),Projects!$B$15*Projects!$I$15,0)+IF(AND(Projects!$G$16="Yes",Projects!$F$16="Yes",96=Projects!$C$16),Projects!$B$16*Projects!$I$16,0)),Actuals!CW16)</f>
        <v>0</v>
      </c>
      <c r="CX19" s="3">
        <f>IF(ISBLANK(Actuals!CX16),-(IF(AND(Projects!$G$6="Yes",Projects!$F$6="Yes",97=Projects!$C$6),Projects!$B$6*Projects!$I$6,0)+IF(AND(Projects!$G$7="Yes",Projects!$F$7="Yes",97=Projects!$C$7),Projects!$B$7*Projects!$I$7,0)+IF(AND(Projects!$G$8="Yes",Projects!$F$8="Yes",97=Projects!$C$8),Projects!$B$8*Projects!$I$8,0)+IF(AND(Projects!$G$9="Yes",Projects!$F$9="Yes",97=Projects!$C$9),Projects!$B$9*Projects!$I$9,0)+IF(AND(Projects!$G$10="Yes",Projects!$F$10="Yes",97=Projects!$C$10),Projects!$B$10*Projects!$I$10,0)+IF(AND(Projects!$G$11="Yes",Projects!$F$11="Yes",97=Projects!$C$11),Projects!$B$11*Projects!$I$11,0)+IF(AND(Projects!$G$12="Yes",Projects!$F$12="Yes",97=Projects!$C$12),Projects!$B$12*Projects!$I$12,0)+IF(AND(Projects!$G$13="Yes",Projects!$F$13="Yes",97=Projects!$C$13),Projects!$B$13*Projects!$I$13,0)+IF(AND(Projects!$G$14="Yes",Projects!$F$14="Yes",97=Projects!$C$14),Projects!$B$14*Projects!$I$14,0)+IF(AND(Projects!$G$15="Yes",Projects!$F$15="Yes",97=Projects!$C$15),Projects!$B$15*Projects!$I$15,0)+IF(AND(Projects!$G$16="Yes",Projects!$F$16="Yes",97=Projects!$C$16),Projects!$B$16*Projects!$I$16,0)),Actuals!CX16)</f>
        <v>0</v>
      </c>
      <c r="CY19" s="3">
        <f>IF(ISBLANK(Actuals!CY16),-(IF(AND(Projects!$G$6="Yes",Projects!$F$6="Yes",98=Projects!$C$6),Projects!$B$6*Projects!$I$6,0)+IF(AND(Projects!$G$7="Yes",Projects!$F$7="Yes",98=Projects!$C$7),Projects!$B$7*Projects!$I$7,0)+IF(AND(Projects!$G$8="Yes",Projects!$F$8="Yes",98=Projects!$C$8),Projects!$B$8*Projects!$I$8,0)+IF(AND(Projects!$G$9="Yes",Projects!$F$9="Yes",98=Projects!$C$9),Projects!$B$9*Projects!$I$9,0)+IF(AND(Projects!$G$10="Yes",Projects!$F$10="Yes",98=Projects!$C$10),Projects!$B$10*Projects!$I$10,0)+IF(AND(Projects!$G$11="Yes",Projects!$F$11="Yes",98=Projects!$C$11),Projects!$B$11*Projects!$I$11,0)+IF(AND(Projects!$G$12="Yes",Projects!$F$12="Yes",98=Projects!$C$12),Projects!$B$12*Projects!$I$12,0)+IF(AND(Projects!$G$13="Yes",Projects!$F$13="Yes",98=Projects!$C$13),Projects!$B$13*Projects!$I$13,0)+IF(AND(Projects!$G$14="Yes",Projects!$F$14="Yes",98=Projects!$C$14),Projects!$B$14*Projects!$I$14,0)+IF(AND(Projects!$G$15="Yes",Projects!$F$15="Yes",98=Projects!$C$15),Projects!$B$15*Projects!$I$15,0)+IF(AND(Projects!$G$16="Yes",Projects!$F$16="Yes",98=Projects!$C$16),Projects!$B$16*Projects!$I$16,0)),Actuals!CY16)</f>
        <v>0</v>
      </c>
      <c r="CZ19" s="3">
        <f>IF(ISBLANK(Actuals!CZ16),-(IF(AND(Projects!$G$6="Yes",Projects!$F$6="Yes",99=Projects!$C$6),Projects!$B$6*Projects!$I$6,0)+IF(AND(Projects!$G$7="Yes",Projects!$F$7="Yes",99=Projects!$C$7),Projects!$B$7*Projects!$I$7,0)+IF(AND(Projects!$G$8="Yes",Projects!$F$8="Yes",99=Projects!$C$8),Projects!$B$8*Projects!$I$8,0)+IF(AND(Projects!$G$9="Yes",Projects!$F$9="Yes",99=Projects!$C$9),Projects!$B$9*Projects!$I$9,0)+IF(AND(Projects!$G$10="Yes",Projects!$F$10="Yes",99=Projects!$C$10),Projects!$B$10*Projects!$I$10,0)+IF(AND(Projects!$G$11="Yes",Projects!$F$11="Yes",99=Projects!$C$11),Projects!$B$11*Projects!$I$11,0)+IF(AND(Projects!$G$12="Yes",Projects!$F$12="Yes",99=Projects!$C$12),Projects!$B$12*Projects!$I$12,0)+IF(AND(Projects!$G$13="Yes",Projects!$F$13="Yes",99=Projects!$C$13),Projects!$B$13*Projects!$I$13,0)+IF(AND(Projects!$G$14="Yes",Projects!$F$14="Yes",99=Projects!$C$14),Projects!$B$14*Projects!$I$14,0)+IF(AND(Projects!$G$15="Yes",Projects!$F$15="Yes",99=Projects!$C$15),Projects!$B$15*Projects!$I$15,0)+IF(AND(Projects!$G$16="Yes",Projects!$F$16="Yes",99=Projects!$C$16),Projects!$B$16*Projects!$I$16,0)),Actuals!CZ16)</f>
        <v>0</v>
      </c>
      <c r="DA19" s="3">
        <f>IF(ISBLANK(Actuals!DA16),-(IF(AND(Projects!$G$6="Yes",Projects!$F$6="Yes",100=Projects!$C$6),Projects!$B$6*Projects!$I$6,0)+IF(AND(Projects!$G$7="Yes",Projects!$F$7="Yes",100=Projects!$C$7),Projects!$B$7*Projects!$I$7,0)+IF(AND(Projects!$G$8="Yes",Projects!$F$8="Yes",100=Projects!$C$8),Projects!$B$8*Projects!$I$8,0)+IF(AND(Projects!$G$9="Yes",Projects!$F$9="Yes",100=Projects!$C$9),Projects!$B$9*Projects!$I$9,0)+IF(AND(Projects!$G$10="Yes",Projects!$F$10="Yes",100=Projects!$C$10),Projects!$B$10*Projects!$I$10,0)+IF(AND(Projects!$G$11="Yes",Projects!$F$11="Yes",100=Projects!$C$11),Projects!$B$11*Projects!$I$11,0)+IF(AND(Projects!$G$12="Yes",Projects!$F$12="Yes",100=Projects!$C$12),Projects!$B$12*Projects!$I$12,0)+IF(AND(Projects!$G$13="Yes",Projects!$F$13="Yes",100=Projects!$C$13),Projects!$B$13*Projects!$I$13,0)+IF(AND(Projects!$G$14="Yes",Projects!$F$14="Yes",100=Projects!$C$14),Projects!$B$14*Projects!$I$14,0)+IF(AND(Projects!$G$15="Yes",Projects!$F$15="Yes",100=Projects!$C$15),Projects!$B$15*Projects!$I$15,0)+IF(AND(Projects!$G$16="Yes",Projects!$F$16="Yes",100=Projects!$C$16),Projects!$B$16*Projects!$I$16,0)),Actuals!DA16)</f>
        <v>0</v>
      </c>
      <c r="DB19" s="3">
        <f>IF(ISBLANK(Actuals!DB16),-(IF(AND(Projects!$G$6="Yes",Projects!$F$6="Yes",101=Projects!$C$6),Projects!$B$6*Projects!$I$6,0)+IF(AND(Projects!$G$7="Yes",Projects!$F$7="Yes",101=Projects!$C$7),Projects!$B$7*Projects!$I$7,0)+IF(AND(Projects!$G$8="Yes",Projects!$F$8="Yes",101=Projects!$C$8),Projects!$B$8*Projects!$I$8,0)+IF(AND(Projects!$G$9="Yes",Projects!$F$9="Yes",101=Projects!$C$9),Projects!$B$9*Projects!$I$9,0)+IF(AND(Projects!$G$10="Yes",Projects!$F$10="Yes",101=Projects!$C$10),Projects!$B$10*Projects!$I$10,0)+IF(AND(Projects!$G$11="Yes",Projects!$F$11="Yes",101=Projects!$C$11),Projects!$B$11*Projects!$I$11,0)+IF(AND(Projects!$G$12="Yes",Projects!$F$12="Yes",101=Projects!$C$12),Projects!$B$12*Projects!$I$12,0)+IF(AND(Projects!$G$13="Yes",Projects!$F$13="Yes",101=Projects!$C$13),Projects!$B$13*Projects!$I$13,0)+IF(AND(Projects!$G$14="Yes",Projects!$F$14="Yes",101=Projects!$C$14),Projects!$B$14*Projects!$I$14,0)+IF(AND(Projects!$G$15="Yes",Projects!$F$15="Yes",101=Projects!$C$15),Projects!$B$15*Projects!$I$15,0)+IF(AND(Projects!$G$16="Yes",Projects!$F$16="Yes",101=Projects!$C$16),Projects!$B$16*Projects!$I$16,0)),Actuals!DB16)</f>
        <v>0</v>
      </c>
      <c r="DC19" s="3">
        <f>IF(ISBLANK(Actuals!DC16),-(IF(AND(Projects!$G$6="Yes",Projects!$F$6="Yes",102=Projects!$C$6),Projects!$B$6*Projects!$I$6,0)+IF(AND(Projects!$G$7="Yes",Projects!$F$7="Yes",102=Projects!$C$7),Projects!$B$7*Projects!$I$7,0)+IF(AND(Projects!$G$8="Yes",Projects!$F$8="Yes",102=Projects!$C$8),Projects!$B$8*Projects!$I$8,0)+IF(AND(Projects!$G$9="Yes",Projects!$F$9="Yes",102=Projects!$C$9),Projects!$B$9*Projects!$I$9,0)+IF(AND(Projects!$G$10="Yes",Projects!$F$10="Yes",102=Projects!$C$10),Projects!$B$10*Projects!$I$10,0)+IF(AND(Projects!$G$11="Yes",Projects!$F$11="Yes",102=Projects!$C$11),Projects!$B$11*Projects!$I$11,0)+IF(AND(Projects!$G$12="Yes",Projects!$F$12="Yes",102=Projects!$C$12),Projects!$B$12*Projects!$I$12,0)+IF(AND(Projects!$G$13="Yes",Projects!$F$13="Yes",102=Projects!$C$13),Projects!$B$13*Projects!$I$13,0)+IF(AND(Projects!$G$14="Yes",Projects!$F$14="Yes",102=Projects!$C$14),Projects!$B$14*Projects!$I$14,0)+IF(AND(Projects!$G$15="Yes",Projects!$F$15="Yes",102=Projects!$C$15),Projects!$B$15*Projects!$I$15,0)+IF(AND(Projects!$G$16="Yes",Projects!$F$16="Yes",102=Projects!$C$16),Projects!$B$16*Projects!$I$16,0)),Actuals!DC16)</f>
        <v>0</v>
      </c>
      <c r="DD19" s="3">
        <f>IF(ISBLANK(Actuals!DD16),-(IF(AND(Projects!$G$6="Yes",Projects!$F$6="Yes",103=Projects!$C$6),Projects!$B$6*Projects!$I$6,0)+IF(AND(Projects!$G$7="Yes",Projects!$F$7="Yes",103=Projects!$C$7),Projects!$B$7*Projects!$I$7,0)+IF(AND(Projects!$G$8="Yes",Projects!$F$8="Yes",103=Projects!$C$8),Projects!$B$8*Projects!$I$8,0)+IF(AND(Projects!$G$9="Yes",Projects!$F$9="Yes",103=Projects!$C$9),Projects!$B$9*Projects!$I$9,0)+IF(AND(Projects!$G$10="Yes",Projects!$F$10="Yes",103=Projects!$C$10),Projects!$B$10*Projects!$I$10,0)+IF(AND(Projects!$G$11="Yes",Projects!$F$11="Yes",103=Projects!$C$11),Projects!$B$11*Projects!$I$11,0)+IF(AND(Projects!$G$12="Yes",Projects!$F$12="Yes",103=Projects!$C$12),Projects!$B$12*Projects!$I$12,0)+IF(AND(Projects!$G$13="Yes",Projects!$F$13="Yes",103=Projects!$C$13),Projects!$B$13*Projects!$I$13,0)+IF(AND(Projects!$G$14="Yes",Projects!$F$14="Yes",103=Projects!$C$14),Projects!$B$14*Projects!$I$14,0)+IF(AND(Projects!$G$15="Yes",Projects!$F$15="Yes",103=Projects!$C$15),Projects!$B$15*Projects!$I$15,0)+IF(AND(Projects!$G$16="Yes",Projects!$F$16="Yes",103=Projects!$C$16),Projects!$B$16*Projects!$I$16,0)),Actuals!DD16)</f>
        <v>0</v>
      </c>
      <c r="DE19" s="3">
        <f>IF(ISBLANK(Actuals!DE16),-(IF(AND(Projects!$G$6="Yes",Projects!$F$6="Yes",104=Projects!$C$6),Projects!$B$6*Projects!$I$6,0)+IF(AND(Projects!$G$7="Yes",Projects!$F$7="Yes",104=Projects!$C$7),Projects!$B$7*Projects!$I$7,0)+IF(AND(Projects!$G$8="Yes",Projects!$F$8="Yes",104=Projects!$C$8),Projects!$B$8*Projects!$I$8,0)+IF(AND(Projects!$G$9="Yes",Projects!$F$9="Yes",104=Projects!$C$9),Projects!$B$9*Projects!$I$9,0)+IF(AND(Projects!$G$10="Yes",Projects!$F$10="Yes",104=Projects!$C$10),Projects!$B$10*Projects!$I$10,0)+IF(AND(Projects!$G$11="Yes",Projects!$F$11="Yes",104=Projects!$C$11),Projects!$B$11*Projects!$I$11,0)+IF(AND(Projects!$G$12="Yes",Projects!$F$12="Yes",104=Projects!$C$12),Projects!$B$12*Projects!$I$12,0)+IF(AND(Projects!$G$13="Yes",Projects!$F$13="Yes",104=Projects!$C$13),Projects!$B$13*Projects!$I$13,0)+IF(AND(Projects!$G$14="Yes",Projects!$F$14="Yes",104=Projects!$C$14),Projects!$B$14*Projects!$I$14,0)+IF(AND(Projects!$G$15="Yes",Projects!$F$15="Yes",104=Projects!$C$15),Projects!$B$15*Projects!$I$15,0)+IF(AND(Projects!$G$16="Yes",Projects!$F$16="Yes",104=Projects!$C$16),Projects!$B$16*Projects!$I$16,0)),Actuals!DE16)</f>
        <v>0</v>
      </c>
      <c r="DF19" s="3">
        <f>IF(ISBLANK(Actuals!DF16),-(IF(AND(Projects!$G$6="Yes",Projects!$F$6="Yes",105=Projects!$C$6),Projects!$B$6*Projects!$I$6,0)+IF(AND(Projects!$G$7="Yes",Projects!$F$7="Yes",105=Projects!$C$7),Projects!$B$7*Projects!$I$7,0)+IF(AND(Projects!$G$8="Yes",Projects!$F$8="Yes",105=Projects!$C$8),Projects!$B$8*Projects!$I$8,0)+IF(AND(Projects!$G$9="Yes",Projects!$F$9="Yes",105=Projects!$C$9),Projects!$B$9*Projects!$I$9,0)+IF(AND(Projects!$G$10="Yes",Projects!$F$10="Yes",105=Projects!$C$10),Projects!$B$10*Projects!$I$10,0)+IF(AND(Projects!$G$11="Yes",Projects!$F$11="Yes",105=Projects!$C$11),Projects!$B$11*Projects!$I$11,0)+IF(AND(Projects!$G$12="Yes",Projects!$F$12="Yes",105=Projects!$C$12),Projects!$B$12*Projects!$I$12,0)+IF(AND(Projects!$G$13="Yes",Projects!$F$13="Yes",105=Projects!$C$13),Projects!$B$13*Projects!$I$13,0)+IF(AND(Projects!$G$14="Yes",Projects!$F$14="Yes",105=Projects!$C$14),Projects!$B$14*Projects!$I$14,0)+IF(AND(Projects!$G$15="Yes",Projects!$F$15="Yes",105=Projects!$C$15),Projects!$B$15*Projects!$I$15,0)+IF(AND(Projects!$G$16="Yes",Projects!$F$16="Yes",105=Projects!$C$16),Projects!$B$16*Projects!$I$16,0)),Actuals!DF16)</f>
        <v>0</v>
      </c>
    </row>
    <row r="20" spans="1:110" ht="19.5" customHeight="1" x14ac:dyDescent="0.25">
      <c r="A20" s="18" t="s">
        <v>21</v>
      </c>
      <c r="B20" s="19"/>
      <c r="C20" s="20">
        <f t="shared" ref="C20:AH20" si="8">C17+C18+C19</f>
        <v>218752.81000000006</v>
      </c>
      <c r="D20" s="20">
        <f t="shared" si="8"/>
        <v>-51003.469999999739</v>
      </c>
      <c r="E20" s="20">
        <f t="shared" si="8"/>
        <v>594184.52000000025</v>
      </c>
      <c r="F20" s="20">
        <f t="shared" si="8"/>
        <v>447358.24999999953</v>
      </c>
      <c r="G20" s="20">
        <f t="shared" si="8"/>
        <v>468885.06625426281</v>
      </c>
      <c r="H20" s="20">
        <f t="shared" si="8"/>
        <v>468885.06625426281</v>
      </c>
      <c r="I20" s="20">
        <f t="shared" si="8"/>
        <v>959257.39445458306</v>
      </c>
      <c r="J20" s="20">
        <f t="shared" si="8"/>
        <v>632697.18965458311</v>
      </c>
      <c r="K20" s="20">
        <f t="shared" si="8"/>
        <v>632697.18965458311</v>
      </c>
      <c r="L20" s="20">
        <f t="shared" si="8"/>
        <v>999101.92495686072</v>
      </c>
      <c r="M20" s="20">
        <f t="shared" si="8"/>
        <v>1080952.8589642462</v>
      </c>
      <c r="N20" s="20">
        <f t="shared" si="8"/>
        <v>774577.77487815265</v>
      </c>
      <c r="O20" s="20">
        <f t="shared" si="8"/>
        <v>774577.77487815265</v>
      </c>
      <c r="P20" s="20">
        <f t="shared" si="8"/>
        <v>774577.77487815265</v>
      </c>
      <c r="Q20" s="20">
        <f t="shared" si="8"/>
        <v>774577.77487815265</v>
      </c>
      <c r="R20" s="20">
        <f t="shared" si="8"/>
        <v>154983.50393536896</v>
      </c>
      <c r="S20" s="20">
        <f t="shared" si="8"/>
        <v>947151.97893536929</v>
      </c>
      <c r="T20" s="20">
        <f t="shared" si="8"/>
        <v>1105813.8572215699</v>
      </c>
      <c r="U20" s="20">
        <f t="shared" si="8"/>
        <v>867633.41001746617</v>
      </c>
      <c r="V20" s="20">
        <f t="shared" si="8"/>
        <v>601954.65844070073</v>
      </c>
      <c r="W20" s="20">
        <f t="shared" si="8"/>
        <v>601954.65844070073</v>
      </c>
      <c r="X20" s="20">
        <f t="shared" si="8"/>
        <v>623764.9628804503</v>
      </c>
      <c r="Y20" s="20">
        <f t="shared" si="8"/>
        <v>580144.35400095023</v>
      </c>
      <c r="Z20" s="20">
        <f t="shared" si="8"/>
        <v>580144.35400095023</v>
      </c>
      <c r="AA20" s="20">
        <f t="shared" si="8"/>
        <v>580144.35400095023</v>
      </c>
      <c r="AB20" s="20">
        <f t="shared" si="8"/>
        <v>580144.35400095023</v>
      </c>
      <c r="AC20" s="20">
        <f t="shared" si="8"/>
        <v>580144.35400095023</v>
      </c>
      <c r="AD20" s="20">
        <f t="shared" si="8"/>
        <v>662165.36984355003</v>
      </c>
      <c r="AE20" s="20">
        <f t="shared" si="8"/>
        <v>498123.33815835044</v>
      </c>
      <c r="AF20" s="20">
        <f t="shared" si="8"/>
        <v>-67923.080973103177</v>
      </c>
      <c r="AG20" s="20">
        <f t="shared" si="8"/>
        <v>655782.97902689688</v>
      </c>
      <c r="AH20" s="20">
        <f t="shared" si="8"/>
        <v>655782.97902689688</v>
      </c>
      <c r="AI20" s="20">
        <f t="shared" ref="AI20:BN20" si="9">AI17+AI18+AI19</f>
        <v>655782.97902689734</v>
      </c>
      <c r="AJ20" s="20">
        <f t="shared" si="9"/>
        <v>874072.35859464714</v>
      </c>
      <c r="AK20" s="20">
        <f t="shared" si="9"/>
        <v>644745.95978576178</v>
      </c>
      <c r="AL20" s="20">
        <f t="shared" si="9"/>
        <v>903396.68094416196</v>
      </c>
      <c r="AM20" s="20">
        <f t="shared" si="9"/>
        <v>571227.08638544194</v>
      </c>
      <c r="AN20" s="20">
        <f t="shared" si="9"/>
        <v>571227.08638544194</v>
      </c>
      <c r="AO20" s="20">
        <f t="shared" si="9"/>
        <v>666606.15184809128</v>
      </c>
      <c r="AP20" s="20">
        <f t="shared" si="9"/>
        <v>619172.24492576346</v>
      </c>
      <c r="AQ20" s="20">
        <f t="shared" si="9"/>
        <v>619172.24492576346</v>
      </c>
      <c r="AR20" s="20">
        <f t="shared" si="9"/>
        <v>619172.24492576346</v>
      </c>
      <c r="AS20" s="20">
        <f t="shared" si="9"/>
        <v>727524.1449257629</v>
      </c>
      <c r="AT20" s="20">
        <f t="shared" si="9"/>
        <v>727524.1449257629</v>
      </c>
      <c r="AU20" s="20">
        <f t="shared" si="9"/>
        <v>1000009.7302792631</v>
      </c>
      <c r="AV20" s="20">
        <f t="shared" si="9"/>
        <v>554949.94086854625</v>
      </c>
      <c r="AW20" s="20">
        <f t="shared" si="9"/>
        <v>554949.94086854625</v>
      </c>
      <c r="AX20" s="20">
        <f t="shared" si="9"/>
        <v>554949.94086854719</v>
      </c>
      <c r="AY20" s="20">
        <f t="shared" si="9"/>
        <v>554949.94086854625</v>
      </c>
      <c r="AZ20" s="20">
        <f t="shared" si="9"/>
        <v>554949.94086854625</v>
      </c>
      <c r="BA20" s="20">
        <f t="shared" si="9"/>
        <v>645243.19086854625</v>
      </c>
      <c r="BB20" s="20">
        <f t="shared" si="9"/>
        <v>735536.44086854625</v>
      </c>
      <c r="BC20" s="20">
        <f t="shared" si="9"/>
        <v>554949.94086854625</v>
      </c>
      <c r="BD20" s="20">
        <f t="shared" si="9"/>
        <v>554949.94086854719</v>
      </c>
      <c r="BE20" s="20">
        <f t="shared" si="9"/>
        <v>753595.09086854663</v>
      </c>
      <c r="BF20" s="20">
        <f t="shared" si="9"/>
        <v>573008.59086854663</v>
      </c>
      <c r="BG20" s="20">
        <f t="shared" si="9"/>
        <v>663301.84086854663</v>
      </c>
      <c r="BH20" s="20">
        <f t="shared" si="9"/>
        <v>771653.74086854653</v>
      </c>
      <c r="BI20" s="20">
        <f t="shared" si="9"/>
        <v>894179.46592414659</v>
      </c>
      <c r="BJ20" s="20">
        <f t="shared" si="9"/>
        <v>487583.54999999981</v>
      </c>
      <c r="BK20" s="20">
        <f t="shared" si="9"/>
        <v>704287.35000000009</v>
      </c>
      <c r="BL20" s="20">
        <f t="shared" si="9"/>
        <v>487583.54999999981</v>
      </c>
      <c r="BM20" s="20">
        <f t="shared" si="9"/>
        <v>577876.79999999981</v>
      </c>
      <c r="BN20" s="20">
        <f t="shared" si="9"/>
        <v>577876.79999999981</v>
      </c>
      <c r="BO20" s="20">
        <f t="shared" ref="BO20:CT20" si="10">BO17+BO18+BO19</f>
        <v>686228.70000000019</v>
      </c>
      <c r="BP20" s="20">
        <f t="shared" si="10"/>
        <v>686228.70000000019</v>
      </c>
      <c r="BQ20" s="20">
        <f t="shared" si="10"/>
        <v>686228.70000000019</v>
      </c>
      <c r="BR20" s="20">
        <f t="shared" si="10"/>
        <v>686228.70000000019</v>
      </c>
      <c r="BS20" s="20">
        <f t="shared" si="10"/>
        <v>776521.95000000019</v>
      </c>
      <c r="BT20" s="20">
        <f t="shared" si="10"/>
        <v>595935.45000000019</v>
      </c>
      <c r="BU20" s="20">
        <f t="shared" si="10"/>
        <v>704287.34999999963</v>
      </c>
      <c r="BV20" s="20">
        <f t="shared" si="10"/>
        <v>704287.34999999963</v>
      </c>
      <c r="BW20" s="20">
        <f t="shared" si="10"/>
        <v>812639.25</v>
      </c>
      <c r="BX20" s="20">
        <f t="shared" si="10"/>
        <v>595935.45000000019</v>
      </c>
      <c r="BY20" s="20">
        <f t="shared" si="10"/>
        <v>686228.70000000019</v>
      </c>
      <c r="BZ20" s="20">
        <f t="shared" si="10"/>
        <v>505642.20000000019</v>
      </c>
      <c r="CA20" s="20">
        <f t="shared" si="10"/>
        <v>704287.35000000009</v>
      </c>
      <c r="CB20" s="20">
        <f t="shared" si="10"/>
        <v>523700.85000000009</v>
      </c>
      <c r="CC20" s="20">
        <f t="shared" si="10"/>
        <v>722346</v>
      </c>
      <c r="CD20" s="20">
        <f t="shared" si="10"/>
        <v>505642.20000000019</v>
      </c>
      <c r="CE20" s="20">
        <f t="shared" si="10"/>
        <v>686228.70000000019</v>
      </c>
      <c r="CF20" s="20">
        <f t="shared" si="10"/>
        <v>505642.20000000019</v>
      </c>
      <c r="CG20" s="20">
        <f t="shared" si="10"/>
        <v>722346</v>
      </c>
      <c r="CH20" s="20">
        <f t="shared" si="10"/>
        <v>505642.20000000019</v>
      </c>
      <c r="CI20" s="20">
        <f t="shared" si="10"/>
        <v>595935.45000000019</v>
      </c>
      <c r="CJ20" s="20">
        <f t="shared" si="10"/>
        <v>595935.45000000019</v>
      </c>
      <c r="CK20" s="20">
        <f t="shared" si="10"/>
        <v>595935.45000000019</v>
      </c>
      <c r="CL20" s="20">
        <f t="shared" si="10"/>
        <v>595935.45000000019</v>
      </c>
      <c r="CM20" s="20">
        <f t="shared" si="10"/>
        <v>704287.34999999963</v>
      </c>
      <c r="CN20" s="20">
        <f t="shared" si="10"/>
        <v>487583.54999999981</v>
      </c>
      <c r="CO20" s="20">
        <f t="shared" si="10"/>
        <v>487583.54999999981</v>
      </c>
      <c r="CP20" s="20">
        <f t="shared" si="10"/>
        <v>487583.54999999981</v>
      </c>
      <c r="CQ20" s="20">
        <f t="shared" si="10"/>
        <v>487583.54999999981</v>
      </c>
      <c r="CR20" s="20">
        <f t="shared" si="10"/>
        <v>487583.54999999981</v>
      </c>
      <c r="CS20" s="20">
        <f t="shared" si="10"/>
        <v>595935.45000000019</v>
      </c>
      <c r="CT20" s="20">
        <f t="shared" si="10"/>
        <v>379231.64999999991</v>
      </c>
      <c r="CU20" s="20">
        <f t="shared" ref="CU20:DZ20" si="11">CU17+CU18+CU19</f>
        <v>469524.89999999991</v>
      </c>
      <c r="CV20" s="20">
        <f t="shared" si="11"/>
        <v>288938.39999999991</v>
      </c>
      <c r="CW20" s="20">
        <f t="shared" si="11"/>
        <v>379231.64999999991</v>
      </c>
      <c r="CX20" s="20">
        <f t="shared" si="11"/>
        <v>198645.14999999991</v>
      </c>
      <c r="CY20" s="20">
        <f t="shared" si="11"/>
        <v>306997.05000000005</v>
      </c>
      <c r="CZ20" s="20">
        <f t="shared" si="11"/>
        <v>90293.25</v>
      </c>
      <c r="DA20" s="20">
        <f t="shared" si="11"/>
        <v>180586.5</v>
      </c>
      <c r="DB20" s="20">
        <f t="shared" si="11"/>
        <v>0</v>
      </c>
      <c r="DC20" s="20">
        <f t="shared" si="11"/>
        <v>0</v>
      </c>
      <c r="DD20" s="20">
        <f t="shared" si="11"/>
        <v>0</v>
      </c>
      <c r="DE20" s="20">
        <f t="shared" si="11"/>
        <v>0</v>
      </c>
      <c r="DF20" s="20">
        <f t="shared" si="11"/>
        <v>0</v>
      </c>
    </row>
    <row r="21" spans="1:110" ht="15" customHeight="1" x14ac:dyDescent="0.25">
      <c r="A21" s="302"/>
      <c r="B21" s="30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</row>
    <row r="22" spans="1:110" ht="15" customHeight="1" x14ac:dyDescent="0.25">
      <c r="A22" s="315" t="s">
        <v>22</v>
      </c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  <c r="AY22" s="316"/>
      <c r="AZ22" s="316"/>
      <c r="BA22" s="316"/>
      <c r="BB22" s="316"/>
      <c r="BC22" s="316"/>
      <c r="BD22" s="316"/>
      <c r="BE22" s="316"/>
      <c r="BF22" s="316"/>
      <c r="BG22" s="316"/>
      <c r="BH22" s="316"/>
      <c r="BI22" s="316"/>
      <c r="BJ22" s="316"/>
      <c r="BK22" s="316"/>
      <c r="BL22" s="316"/>
      <c r="BM22" s="316"/>
      <c r="BN22" s="316"/>
      <c r="BO22" s="316"/>
      <c r="BP22" s="316"/>
      <c r="BQ22" s="316"/>
      <c r="BR22" s="316"/>
      <c r="BS22" s="316"/>
      <c r="BT22" s="316"/>
      <c r="BU22" s="316"/>
      <c r="BV22" s="316"/>
      <c r="BW22" s="316"/>
      <c r="BX22" s="316"/>
      <c r="BY22" s="316"/>
      <c r="BZ22" s="316"/>
      <c r="CA22" s="316"/>
      <c r="CB22" s="316"/>
      <c r="CC22" s="316"/>
      <c r="CD22" s="316"/>
      <c r="CE22" s="316"/>
      <c r="CF22" s="316"/>
      <c r="CG22" s="316"/>
      <c r="CH22" s="316"/>
      <c r="CI22" s="316"/>
      <c r="CJ22" s="316"/>
      <c r="CK22" s="316"/>
      <c r="CL22" s="316"/>
      <c r="CM22" s="316"/>
      <c r="CN22" s="316"/>
      <c r="CO22" s="316"/>
      <c r="CP22" s="316"/>
      <c r="CQ22" s="316"/>
      <c r="CR22" s="316"/>
      <c r="CS22" s="316"/>
      <c r="CT22" s="316"/>
      <c r="CU22" s="316"/>
      <c r="CV22" s="316"/>
      <c r="CW22" s="316"/>
      <c r="CX22" s="316"/>
      <c r="CY22" s="316"/>
      <c r="CZ22" s="316"/>
      <c r="DA22" s="316"/>
      <c r="DB22" s="316"/>
      <c r="DC22" s="316"/>
      <c r="DD22" s="316"/>
      <c r="DE22" s="316"/>
      <c r="DF22" s="316"/>
    </row>
    <row r="23" spans="1:110" ht="15" customHeight="1" x14ac:dyDescent="0.25">
      <c r="A23" s="13" t="s">
        <v>63</v>
      </c>
      <c r="B23" s="302"/>
      <c r="C23" s="3">
        <f>IF(ISBLANK(Actuals!C20),0,Actuals!C20)</f>
        <v>-144550.9</v>
      </c>
      <c r="D23" s="3">
        <f>IF(ISBLANK(Actuals!D20),0,Actuals!D20)</f>
        <v>-150672.84</v>
      </c>
      <c r="E23" s="3">
        <f>IF(ISBLANK(Actuals!E20),0,Actuals!E20)</f>
        <v>-178867.86</v>
      </c>
      <c r="F23" s="3">
        <f>IF(ISBLANK(Actuals!F20),(-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))*Escalation!$B$2,Actuals!F20)</f>
        <v>-187693.63</v>
      </c>
      <c r="G23" s="3">
        <f>IF(ISBLANK(Actuals!G20),(-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))*Escalation!$B$3,Actuals!G20)</f>
        <v>-189375</v>
      </c>
      <c r="H23" s="3">
        <f>IF(ISBLANK(Actuals!H20),(-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))*Escalation!$B$4,Actuals!H20)</f>
        <v>-214374.99999999997</v>
      </c>
      <c r="I23" s="3">
        <f>IF(ISBLANK(Actuals!I20),(-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))*Escalation!$B$5,Actuals!I20)</f>
        <v>-225208.33333333331</v>
      </c>
      <c r="J23" s="3">
        <f>IF(ISBLANK(Actuals!J20),(-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))*Escalation!$B$6,Actuals!J20)</f>
        <v>-225208.33333333331</v>
      </c>
      <c r="K23" s="3">
        <f>IF(ISBLANK(Actuals!K20),(-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))*Escalation!$B$7,Actuals!K20)</f>
        <v>-225208.33333333331</v>
      </c>
      <c r="L23" s="3">
        <f>IF(ISBLANK(Actuals!L20),(-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))*Escalation!$B$8,Actuals!L20)</f>
        <v>-246041.66666666663</v>
      </c>
      <c r="M23" s="3">
        <f>IF(ISBLANK(Actuals!M20),(-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))*Escalation!$B$9,Actuals!M20)</f>
        <v>-276041.66666666657</v>
      </c>
      <c r="N23" s="3">
        <f>IF(ISBLANK(Actuals!N20),(-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))*Escalation!$B$10,Actuals!N20)</f>
        <v>-276041.66666666657</v>
      </c>
      <c r="O23" s="3">
        <f>IF(ISBLANK(Actuals!O20),(-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))*Escalation!$B$11,Actuals!O20)</f>
        <v>-276041.66666666657</v>
      </c>
      <c r="P23" s="3">
        <f>IF(ISBLANK(Actuals!P20),(-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))*Escalation!$B$12,Actuals!P20)</f>
        <v>-276041.66666666657</v>
      </c>
      <c r="Q23" s="3">
        <f>IF(ISBLANK(Actuals!Q20),(-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))*Escalation!$B$13,Actuals!Q20)</f>
        <v>-276041.66666666657</v>
      </c>
      <c r="R23" s="3">
        <f>IF(ISBLANK(Actuals!R20),(-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))*Escalation!$B$14,Actuals!R20)</f>
        <v>-295162.49999999994</v>
      </c>
      <c r="S23" s="3">
        <f>IF(ISBLANK(Actuals!S20),(-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))*Escalation!$B$15,Actuals!S20)</f>
        <v>-295162.49999999994</v>
      </c>
      <c r="T23" s="3">
        <f>IF(ISBLANK(Actuals!T20),(-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))*Escalation!$B$16,Actuals!T20)</f>
        <v>-295162.49999999994</v>
      </c>
      <c r="U23" s="3">
        <f>IF(ISBLANK(Actuals!U20),(-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))*Escalation!$B$17,Actuals!U20)</f>
        <v>-295162.49999999994</v>
      </c>
      <c r="V23" s="3">
        <f>IF(ISBLANK(Actuals!V20),(-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))*Escalation!$B$18,Actuals!V20)</f>
        <v>-295162.49999999994</v>
      </c>
      <c r="W23" s="3">
        <f>IF(ISBLANK(Actuals!W20),(-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))*Escalation!$B$19,Actuals!W20)</f>
        <v>-295162.49999999994</v>
      </c>
      <c r="X23" s="3">
        <f>IF(ISBLANK(Actuals!X20),(-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))*Escalation!$B$20,Actuals!X20)</f>
        <v>-295162.49999999994</v>
      </c>
      <c r="Y23" s="3">
        <f>IF(ISBLANK(Actuals!Y20),(-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))*Escalation!$B$21,Actuals!Y20)</f>
        <v>-295162.49999999994</v>
      </c>
      <c r="Z23" s="3">
        <f>IF(ISBLANK(Actuals!Z20),(-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))*Escalation!$B$22,Actuals!Z20)</f>
        <v>-295162.49999999994</v>
      </c>
      <c r="AA23" s="3">
        <f>IF(ISBLANK(Actuals!AA20),(-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))*Escalation!$B$23,Actuals!AA20)</f>
        <v>-295162.49999999994</v>
      </c>
      <c r="AB23" s="3">
        <f>IF(ISBLANK(Actuals!AB20),(-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))*Escalation!$B$24,Actuals!AB20)</f>
        <v>-295162.49999999994</v>
      </c>
      <c r="AC23" s="3">
        <f>IF(ISBLANK(Actuals!AC20),(-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))*Escalation!$B$25,Actuals!AC20)</f>
        <v>-295162.49999999994</v>
      </c>
      <c r="AD23" s="3">
        <f>IF(ISBLANK(Actuals!AD20),(-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))*Escalation!$B$26,Actuals!AD20)</f>
        <v>-301065.74999999994</v>
      </c>
      <c r="AE23" s="3">
        <f>IF(ISBLANK(Actuals!AE20),(-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))*Escalation!$B$27,Actuals!AE20)</f>
        <v>-301065.74999999994</v>
      </c>
      <c r="AF23" s="3">
        <f>IF(ISBLANK(Actuals!AF20),(-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))*Escalation!$B$28,Actuals!AF20)</f>
        <v>-301065.74999999994</v>
      </c>
      <c r="AG23" s="3">
        <f>IF(ISBLANK(Actuals!AG20),(-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))*Escalation!$B$29,Actuals!AG20)</f>
        <v>-301065.74999999994</v>
      </c>
      <c r="AH23" s="3">
        <f>IF(ISBLANK(Actuals!AH20),(-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))*Escalation!$B$30,Actuals!AH20)</f>
        <v>-301065.74999999994</v>
      </c>
      <c r="AI23" s="3">
        <f>IF(ISBLANK(Actuals!AI20),(-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))*Escalation!$B$31,Actuals!AI20)</f>
        <v>-301065.74999999994</v>
      </c>
      <c r="AJ23" s="3">
        <f>IF(ISBLANK(Actuals!AJ20),(-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))*Escalation!$B$32,Actuals!AJ20)</f>
        <v>-301065.74999999994</v>
      </c>
      <c r="AK23" s="3">
        <f>IF(ISBLANK(Actuals!AK20),(-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))*Escalation!$B$33,Actuals!AK20)</f>
        <v>-301065.74999999994</v>
      </c>
      <c r="AL23" s="3">
        <f>IF(ISBLANK(Actuals!AL20),(-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))*Escalation!$B$34,Actuals!AL20)</f>
        <v>-301065.74999999994</v>
      </c>
      <c r="AM23" s="3">
        <f>IF(ISBLANK(Actuals!AM20),(-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))*Escalation!$B$35,Actuals!AM20)</f>
        <v>-301065.74999999994</v>
      </c>
      <c r="AN23" s="3">
        <f>IF(ISBLANK(Actuals!AN20),(-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))*Escalation!$B$36,Actuals!AN20)</f>
        <v>-301065.74999999994</v>
      </c>
      <c r="AO23" s="3">
        <f>IF(ISBLANK(Actuals!AO20),(-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))*Escalation!$B$37,Actuals!AO20)</f>
        <v>-301065.74999999994</v>
      </c>
      <c r="AP23" s="3">
        <f>IF(ISBLANK(Actuals!AP20),(-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))*Escalation!$B$38,Actuals!AP20)</f>
        <v>-307087.06499999994</v>
      </c>
      <c r="AQ23" s="3">
        <f>IF(ISBLANK(Actuals!AQ20),(-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))*Escalation!$B$39,Actuals!AQ20)</f>
        <v>-307087.06499999994</v>
      </c>
      <c r="AR23" s="3">
        <f>IF(ISBLANK(Actuals!AR20),(-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))*Escalation!$B$40,Actuals!AR20)</f>
        <v>-307087.06499999994</v>
      </c>
      <c r="AS23" s="3">
        <f>IF(ISBLANK(Actuals!AS20),(-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))*Escalation!$B$41,Actuals!AS20)</f>
        <v>-307087.06499999994</v>
      </c>
      <c r="AT23" s="3">
        <f>IF(ISBLANK(Actuals!AT20),(-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))*Escalation!$B$42,Actuals!AT20)</f>
        <v>-307087.06499999994</v>
      </c>
      <c r="AU23" s="3">
        <f>IF(ISBLANK(Actuals!AU20),(-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))*Escalation!$B$43,Actuals!AU20)</f>
        <v>-307087.06499999994</v>
      </c>
      <c r="AV23" s="3">
        <f>IF(ISBLANK(Actuals!AV20),(-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))*Escalation!$B$44,Actuals!AV20)</f>
        <v>-307087.06499999994</v>
      </c>
      <c r="AW23" s="3">
        <f>IF(ISBLANK(Actuals!AW20),(-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))*Escalation!$B$45,Actuals!AW20)</f>
        <v>-307087.06499999994</v>
      </c>
      <c r="AX23" s="3">
        <f>IF(ISBLANK(Actuals!AX20),(-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))*Escalation!$B$46,Actuals!AX20)</f>
        <v>-307087.06499999994</v>
      </c>
      <c r="AY23" s="3">
        <f>IF(ISBLANK(Actuals!AY20),(-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))*Escalation!$B$47,Actuals!AY20)</f>
        <v>-307087.06499999994</v>
      </c>
      <c r="AZ23" s="3">
        <f>IF(ISBLANK(Actuals!AZ20),(-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))*Escalation!$B$48,Actuals!AZ20)</f>
        <v>-307087.06499999994</v>
      </c>
      <c r="BA23" s="3">
        <f>IF(ISBLANK(Actuals!BA20),(-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))*Escalation!$B$49,Actuals!BA20)</f>
        <v>-307087.06499999994</v>
      </c>
      <c r="BB23" s="3">
        <f>IF(ISBLANK(Actuals!BB20),(-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))*Escalation!$B$50,Actuals!BB20)</f>
        <v>-313228.80629999994</v>
      </c>
      <c r="BC23" s="3">
        <f>IF(ISBLANK(Actuals!BC20),(-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))*Escalation!$B$51,Actuals!BC20)</f>
        <v>-313228.80629999994</v>
      </c>
      <c r="BD23" s="3">
        <f>IF(ISBLANK(Actuals!BD20),(-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))*Escalation!$B$52,Actuals!BD20)</f>
        <v>-313228.80629999994</v>
      </c>
      <c r="BE23" s="3">
        <f>IF(ISBLANK(Actuals!BE20),(-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))*Escalation!$B$53,Actuals!BE20)</f>
        <v>-313228.80629999994</v>
      </c>
      <c r="BF23" s="3">
        <f>IF(ISBLANK(Actuals!BF20),(-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))*Escalation!$B$54,Actuals!BF20)</f>
        <v>-313228.80629999994</v>
      </c>
      <c r="BG23" s="3">
        <f>IF(ISBLANK(Actuals!BG20),(-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))*Escalation!$B$55,Actuals!BG20)</f>
        <v>-313228.80629999994</v>
      </c>
      <c r="BH23" s="3">
        <f>IF(ISBLANK(Actuals!BH20),(-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))*Escalation!$B$56,Actuals!BH20)</f>
        <v>-313228.80629999994</v>
      </c>
      <c r="BI23" s="3">
        <f>IF(ISBLANK(Actuals!BI20),(-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))*Escalation!$B$57,Actuals!BI20)</f>
        <v>-313228.80629999994</v>
      </c>
      <c r="BJ23" s="3">
        <f>IF(ISBLANK(Actuals!BJ20),(-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))*Escalation!$B$58,Actuals!BJ20)</f>
        <v>-313228.80629999994</v>
      </c>
      <c r="BK23" s="3">
        <f>IF(ISBLANK(Actuals!BK20),(-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))*Escalation!$B$59,Actuals!BK20)</f>
        <v>-313228.80629999994</v>
      </c>
      <c r="BL23" s="3">
        <f>IF(ISBLANK(Actuals!BL20),(-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))*Escalation!$B$60,Actuals!BL20)</f>
        <v>-313228.80629999994</v>
      </c>
      <c r="BM23" s="3">
        <f>IF(ISBLANK(Actuals!BM20),(-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))*Escalation!$B$61,Actuals!BM20)</f>
        <v>-313228.80629999994</v>
      </c>
      <c r="BN23" s="3">
        <f>IF(ISBLANK(Actuals!BN20),(-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))*Escalation!$B$62,Actuals!BN20)</f>
        <v>-319493.38242599997</v>
      </c>
      <c r="BO23" s="3">
        <f>IF(ISBLANK(Actuals!BO20),(-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))*Escalation!$B$63,Actuals!BO20)</f>
        <v>-319493.38242599997</v>
      </c>
      <c r="BP23" s="3">
        <f>IF(ISBLANK(Actuals!BP20),(-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))*Escalation!$B$64,Actuals!BP20)</f>
        <v>-319493.38242599997</v>
      </c>
      <c r="BQ23" s="3">
        <f>IF(ISBLANK(Actuals!BQ20),(-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))*Escalation!$B$65,Actuals!BQ20)</f>
        <v>-319493.38242599997</v>
      </c>
      <c r="BR23" s="3">
        <f>IF(ISBLANK(Actuals!BR20),(-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))*Escalation!$B$66,Actuals!BR20)</f>
        <v>-319493.38242599997</v>
      </c>
      <c r="BS23" s="3">
        <f>IF(ISBLANK(Actuals!BS20),(-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))*Escalation!$B$67,Actuals!BS20)</f>
        <v>-319493.38242599997</v>
      </c>
      <c r="BT23" s="3">
        <f>IF(ISBLANK(Actuals!BT20),(-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))*Escalation!$B$68,Actuals!BT20)</f>
        <v>-319493.38242599997</v>
      </c>
      <c r="BU23" s="3">
        <f>IF(ISBLANK(Actuals!BU20),(-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))*Escalation!$B$69,Actuals!BU20)</f>
        <v>-319493.38242599997</v>
      </c>
      <c r="BV23" s="3">
        <f>IF(ISBLANK(Actuals!BV20),(-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))*Escalation!$B$70,Actuals!BV20)</f>
        <v>-319493.38242599997</v>
      </c>
      <c r="BW23" s="3">
        <f>IF(ISBLANK(Actuals!BW20),(-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))*Escalation!$B$71,Actuals!BW20)</f>
        <v>-319493.38242599997</v>
      </c>
      <c r="BX23" s="3">
        <f>IF(ISBLANK(Actuals!BX20),(-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))*Escalation!$B$72,Actuals!BX20)</f>
        <v>-319493.38242599997</v>
      </c>
      <c r="BY23" s="3">
        <f>IF(ISBLANK(Actuals!BY20),(-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))*Escalation!$B$73,Actuals!BY20)</f>
        <v>-319493.38242599997</v>
      </c>
      <c r="BZ23" s="3">
        <f>IF(ISBLANK(Actuals!BZ20),(-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))*Escalation!$B$74,Actuals!BZ20)</f>
        <v>-325883.25007451995</v>
      </c>
      <c r="CA23" s="3">
        <f>IF(ISBLANK(Actuals!CA20),(-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))*Escalation!$B$75,Actuals!CA20)</f>
        <v>-325883.25007451995</v>
      </c>
      <c r="CB23" s="3">
        <f>IF(ISBLANK(Actuals!CB20),(-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))*Escalation!$B$76,Actuals!CB20)</f>
        <v>-325883.25007451995</v>
      </c>
      <c r="CC23" s="3">
        <f>IF(ISBLANK(Actuals!CC20),(-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))*Escalation!$B$77,Actuals!CC20)</f>
        <v>-325883.25007451995</v>
      </c>
      <c r="CD23" s="3">
        <f>IF(ISBLANK(Actuals!CD20),(-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))*Escalation!$B$78,Actuals!CD20)</f>
        <v>-325883.25007451995</v>
      </c>
      <c r="CE23" s="3">
        <f>IF(ISBLANK(Actuals!CE20),(-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))*Escalation!$B$79,Actuals!CE20)</f>
        <v>-325883.25007451995</v>
      </c>
      <c r="CF23" s="3">
        <f>IF(ISBLANK(Actuals!CF20),(-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))*Escalation!$B$80,Actuals!CF20)</f>
        <v>-325883.25007451995</v>
      </c>
      <c r="CG23" s="3">
        <f>IF(ISBLANK(Actuals!CG20),(-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))*Escalation!$B$81,Actuals!CG20)</f>
        <v>-325883.25007451995</v>
      </c>
      <c r="CH23" s="3">
        <f>IF(ISBLANK(Actuals!CH20),(-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))*Escalation!$B$82,Actuals!CH20)</f>
        <v>-325883.25007451995</v>
      </c>
      <c r="CI23" s="3">
        <f>IF(ISBLANK(Actuals!CI20),(-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))*Escalation!$B$83,Actuals!CI20)</f>
        <v>-325883.25007451995</v>
      </c>
      <c r="CJ23" s="3">
        <f>IF(ISBLANK(Actuals!CJ20),(-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))*Escalation!$B$84,Actuals!CJ20)</f>
        <v>-325883.25007451995</v>
      </c>
      <c r="CK23" s="3">
        <f>IF(ISBLANK(Actuals!CK20),(-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))*Escalation!$B$85,Actuals!CK20)</f>
        <v>-325883.25007451995</v>
      </c>
      <c r="CL23" s="3">
        <f>IF(ISBLANK(Actuals!CL20),(-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))*Escalation!$B$86,Actuals!CL20)</f>
        <v>-332400.91507601028</v>
      </c>
      <c r="CM23" s="3">
        <f>IF(ISBLANK(Actuals!CM20),(-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))*Escalation!$B$87,Actuals!CM20)</f>
        <v>-332400.91507601028</v>
      </c>
      <c r="CN23" s="3">
        <f>IF(ISBLANK(Actuals!CN20),(-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))*Escalation!$B$88,Actuals!CN20)</f>
        <v>-332400.91507601028</v>
      </c>
      <c r="CO23" s="3">
        <f>IF(ISBLANK(Actuals!CO20),(-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))*Escalation!$B$89,Actuals!CO20)</f>
        <v>-332400.91507601028</v>
      </c>
      <c r="CP23" s="3">
        <f>IF(ISBLANK(Actuals!CP20),(-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))*Escalation!$B$90,Actuals!CP20)</f>
        <v>-332400.91507601028</v>
      </c>
      <c r="CQ23" s="3">
        <f>IF(ISBLANK(Actuals!CQ20),(-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))*Escalation!$B$91,Actuals!CQ20)</f>
        <v>-332400.91507601028</v>
      </c>
      <c r="CR23" s="3">
        <f>IF(ISBLANK(Actuals!CR20),(-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))*Escalation!$B$92,Actuals!CR20)</f>
        <v>-332400.91507601028</v>
      </c>
      <c r="CS23" s="3">
        <f>IF(ISBLANK(Actuals!CS20),(-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))*Escalation!$B$93,Actuals!CS20)</f>
        <v>-332400.91507601028</v>
      </c>
      <c r="CT23" s="3">
        <f>IF(ISBLANK(Actuals!CT20),(-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))*Escalation!$B$94,Actuals!CT20)</f>
        <v>-332400.91507601028</v>
      </c>
      <c r="CU23" s="3">
        <f>IF(ISBLANK(Actuals!CU20),(-(IF(AND(94&gt;=Personnel!$E$2,Personnel!$G$2="Yes"),Personnel!$D$2*(1-Personnel!$H$2),0)+IF(AND(94&gt;=Personnel!$E$3,Personnel!$G$3="Yes"),Personnel!$D$3*(1-Personnel!$H$3),0)+IF(AND(94&gt;=Personnel!$E$4,Personnel!$G$4="Yes"),Personnel!$D$4*(1-Personnel!$H$4),0)+IF(AND(94&gt;=Personnel!$E$5,Personnel!$G$5="Yes"),Personnel!$D$5*(1-Personnel!$H$5),0)+IF(AND(94&gt;=Personnel!$E$6,Personnel!$G$6="Yes"),Personnel!$D$6*(1-Personnel!$H$6),0)+IF(AND(94&gt;=Personnel!$E$7,Personnel!$G$7="Yes"),Personnel!$D$7*(1-Personnel!$H$7),0)+IF(AND(94&gt;=Personnel!$E$8,Personnel!$G$8="Yes"),Personnel!$D$8*(1-Personnel!$H$8),0)+IF(AND(94&gt;=Personnel!$E$9,Personnel!$G$9="Yes"),Personnel!$D$9*(1-Personnel!$H$9),0)+IF(AND(94&gt;=Personnel!$E$10,Personnel!$G$10="Yes"),Personnel!$D$10*(1-Personnel!$H$10),0)+IF(AND(94&gt;=Personnel!$E$11,Personnel!$G$11="Yes"),Personnel!$D$11*(1-Personnel!$H$11),0)+IF(AND(94&gt;=Personnel!$E$12,Personnel!$G$12="Yes"),Personnel!$D$12*(1-Personnel!$H$12),0)+IF(AND(94&gt;=Personnel!$E$13,Personnel!$G$13="Yes"),Personnel!$D$13*(1-Personnel!$H$13),0)+IF(AND(94&gt;=Personnel!$E$14,Personnel!$G$14="Yes"),Personnel!$D$14*(1-Personnel!$H$14),0)+IF(AND(94&gt;=Personnel!$E$15,Personnel!$G$15="Yes"),Personnel!$D$15*(1-Personnel!$H$15),0)+IF(AND(94&gt;=Personnel!$E$16,Personnel!$G$16="Yes"),Personnel!$D$16*(1-Personnel!$H$16),0)+IF(AND(94&gt;=Personnel!$E$17,Personnel!$G$17="Yes"),Personnel!$D$17*(1-Personnel!$H$17),0)+IF(AND(94&gt;=Personnel!$E$18,Personnel!$G$18="Yes"),Personnel!$D$18*(1-Personnel!$H$18),0)+IF(AND(94&gt;=Personnel!$E$19,Personnel!$G$19="Yes"),Personnel!$D$19*(1-Personnel!$H$19),0)+IF(AND(94&gt;=Personnel!$E$20,Personnel!$G$20="Yes"),Personnel!$D$20*(1-Personnel!$H$20),0)+IF(AND(94&gt;=Personnel!$E$21,Personnel!$G$21="Yes"),Personnel!$D$21*(1-Personnel!$H$21),0)+IF(AND(94&gt;=Personnel!$E$22,Personnel!$G$22="Yes"),Personnel!$D$22*(1-Personnel!$H$22),0)+IF(AND(94&gt;=Personnel!$E$23,Personnel!$G$23="Yes"),Personnel!$D$23*(1-Personnel!$H$23),0)+IF(AND(94&gt;=Personnel!$E$24,Personnel!$G$24="Yes"),Personnel!$D$24*(1-Personnel!$H$24),0)+IF(AND(94&gt;=Personnel!$E$25,Personnel!$G$25="Yes"),Personnel!$D$25*(1-Personnel!$H$25),0)+IF(AND(94&gt;=Personnel!$E$26,Personnel!$G$26="Yes"),Personnel!$D$26*(1-Personnel!$H$26),0)+IF(AND(94&gt;=Personnel!$E$27,Personnel!$G$27="Yes"),Personnel!$D$27*(1-Personnel!$H$27),0)+IF(AND(94&gt;=Personnel!$E$28,Personnel!$G$28="Yes"),Personnel!$D$28*(1-Personnel!$H$28),0)+IF(AND(94&gt;=Personnel!$E$29,Personnel!$G$29="Yes"),Personnel!$D$29*(1-Personnel!$H$29),0)+IF(AND(94&gt;=Personnel!$E$30,Personnel!$G$30="Yes"),Personnel!$D$30*(1-Personnel!$H$30),0)+IF(AND(94&gt;=Personnel!$E$31,Personnel!$G$31="Yes"),Personnel!$D$31*(1-Personnel!$H$31),0)+IF(AND(94&gt;=Personnel!$E$32,Personnel!$G$32="Yes"),Personnel!$D$32*(1-Personnel!$H$32),0)+IF(AND(94&gt;=Personnel!$E$33,Personnel!$G$33="Yes"),Personnel!$D$33*(1-Personnel!$H$33),0)))*Escalation!$B$95,Actuals!CU20)</f>
        <v>-332400.91507601028</v>
      </c>
      <c r="CV23" s="3">
        <f>IF(ISBLANK(Actuals!CV20),(-(IF(AND(95&gt;=Personnel!$E$2,Personnel!$G$2="Yes"),Personnel!$D$2*(1-Personnel!$H$2),0)+IF(AND(95&gt;=Personnel!$E$3,Personnel!$G$3="Yes"),Personnel!$D$3*(1-Personnel!$H$3),0)+IF(AND(95&gt;=Personnel!$E$4,Personnel!$G$4="Yes"),Personnel!$D$4*(1-Personnel!$H$4),0)+IF(AND(95&gt;=Personnel!$E$5,Personnel!$G$5="Yes"),Personnel!$D$5*(1-Personnel!$H$5),0)+IF(AND(95&gt;=Personnel!$E$6,Personnel!$G$6="Yes"),Personnel!$D$6*(1-Personnel!$H$6),0)+IF(AND(95&gt;=Personnel!$E$7,Personnel!$G$7="Yes"),Personnel!$D$7*(1-Personnel!$H$7),0)+IF(AND(95&gt;=Personnel!$E$8,Personnel!$G$8="Yes"),Personnel!$D$8*(1-Personnel!$H$8),0)+IF(AND(95&gt;=Personnel!$E$9,Personnel!$G$9="Yes"),Personnel!$D$9*(1-Personnel!$H$9),0)+IF(AND(95&gt;=Personnel!$E$10,Personnel!$G$10="Yes"),Personnel!$D$10*(1-Personnel!$H$10),0)+IF(AND(95&gt;=Personnel!$E$11,Personnel!$G$11="Yes"),Personnel!$D$11*(1-Personnel!$H$11),0)+IF(AND(95&gt;=Personnel!$E$12,Personnel!$G$12="Yes"),Personnel!$D$12*(1-Personnel!$H$12),0)+IF(AND(95&gt;=Personnel!$E$13,Personnel!$G$13="Yes"),Personnel!$D$13*(1-Personnel!$H$13),0)+IF(AND(95&gt;=Personnel!$E$14,Personnel!$G$14="Yes"),Personnel!$D$14*(1-Personnel!$H$14),0)+IF(AND(95&gt;=Personnel!$E$15,Personnel!$G$15="Yes"),Personnel!$D$15*(1-Personnel!$H$15),0)+IF(AND(95&gt;=Personnel!$E$16,Personnel!$G$16="Yes"),Personnel!$D$16*(1-Personnel!$H$16),0)+IF(AND(95&gt;=Personnel!$E$17,Personnel!$G$17="Yes"),Personnel!$D$17*(1-Personnel!$H$17),0)+IF(AND(95&gt;=Personnel!$E$18,Personnel!$G$18="Yes"),Personnel!$D$18*(1-Personnel!$H$18),0)+IF(AND(95&gt;=Personnel!$E$19,Personnel!$G$19="Yes"),Personnel!$D$19*(1-Personnel!$H$19),0)+IF(AND(95&gt;=Personnel!$E$20,Personnel!$G$20="Yes"),Personnel!$D$20*(1-Personnel!$H$20),0)+IF(AND(95&gt;=Personnel!$E$21,Personnel!$G$21="Yes"),Personnel!$D$21*(1-Personnel!$H$21),0)+IF(AND(95&gt;=Personnel!$E$22,Personnel!$G$22="Yes"),Personnel!$D$22*(1-Personnel!$H$22),0)+IF(AND(95&gt;=Personnel!$E$23,Personnel!$G$23="Yes"),Personnel!$D$23*(1-Personnel!$H$23),0)+IF(AND(95&gt;=Personnel!$E$24,Personnel!$G$24="Yes"),Personnel!$D$24*(1-Personnel!$H$24),0)+IF(AND(95&gt;=Personnel!$E$25,Personnel!$G$25="Yes"),Personnel!$D$25*(1-Personnel!$H$25),0)+IF(AND(95&gt;=Personnel!$E$26,Personnel!$G$26="Yes"),Personnel!$D$26*(1-Personnel!$H$26),0)+IF(AND(95&gt;=Personnel!$E$27,Personnel!$G$27="Yes"),Personnel!$D$27*(1-Personnel!$H$27),0)+IF(AND(95&gt;=Personnel!$E$28,Personnel!$G$28="Yes"),Personnel!$D$28*(1-Personnel!$H$28),0)+IF(AND(95&gt;=Personnel!$E$29,Personnel!$G$29="Yes"),Personnel!$D$29*(1-Personnel!$H$29),0)+IF(AND(95&gt;=Personnel!$E$30,Personnel!$G$30="Yes"),Personnel!$D$30*(1-Personnel!$H$30),0)+IF(AND(95&gt;=Personnel!$E$31,Personnel!$G$31="Yes"),Personnel!$D$31*(1-Personnel!$H$31),0)+IF(AND(95&gt;=Personnel!$E$32,Personnel!$G$32="Yes"),Personnel!$D$32*(1-Personnel!$H$32),0)+IF(AND(95&gt;=Personnel!$E$33,Personnel!$G$33="Yes"),Personnel!$D$33*(1-Personnel!$H$33),0)))*Escalation!$B$96,Actuals!CV20)</f>
        <v>-332400.91507601028</v>
      </c>
      <c r="CW23" s="3">
        <f>IF(ISBLANK(Actuals!CW20),(-(IF(AND(96&gt;=Personnel!$E$2,Personnel!$G$2="Yes"),Personnel!$D$2*(1-Personnel!$H$2),0)+IF(AND(96&gt;=Personnel!$E$3,Personnel!$G$3="Yes"),Personnel!$D$3*(1-Personnel!$H$3),0)+IF(AND(96&gt;=Personnel!$E$4,Personnel!$G$4="Yes"),Personnel!$D$4*(1-Personnel!$H$4),0)+IF(AND(96&gt;=Personnel!$E$5,Personnel!$G$5="Yes"),Personnel!$D$5*(1-Personnel!$H$5),0)+IF(AND(96&gt;=Personnel!$E$6,Personnel!$G$6="Yes"),Personnel!$D$6*(1-Personnel!$H$6),0)+IF(AND(96&gt;=Personnel!$E$7,Personnel!$G$7="Yes"),Personnel!$D$7*(1-Personnel!$H$7),0)+IF(AND(96&gt;=Personnel!$E$8,Personnel!$G$8="Yes"),Personnel!$D$8*(1-Personnel!$H$8),0)+IF(AND(96&gt;=Personnel!$E$9,Personnel!$G$9="Yes"),Personnel!$D$9*(1-Personnel!$H$9),0)+IF(AND(96&gt;=Personnel!$E$10,Personnel!$G$10="Yes"),Personnel!$D$10*(1-Personnel!$H$10),0)+IF(AND(96&gt;=Personnel!$E$11,Personnel!$G$11="Yes"),Personnel!$D$11*(1-Personnel!$H$11),0)+IF(AND(96&gt;=Personnel!$E$12,Personnel!$G$12="Yes"),Personnel!$D$12*(1-Personnel!$H$12),0)+IF(AND(96&gt;=Personnel!$E$13,Personnel!$G$13="Yes"),Personnel!$D$13*(1-Personnel!$H$13),0)+IF(AND(96&gt;=Personnel!$E$14,Personnel!$G$14="Yes"),Personnel!$D$14*(1-Personnel!$H$14),0)+IF(AND(96&gt;=Personnel!$E$15,Personnel!$G$15="Yes"),Personnel!$D$15*(1-Personnel!$H$15),0)+IF(AND(96&gt;=Personnel!$E$16,Personnel!$G$16="Yes"),Personnel!$D$16*(1-Personnel!$H$16),0)+IF(AND(96&gt;=Personnel!$E$17,Personnel!$G$17="Yes"),Personnel!$D$17*(1-Personnel!$H$17),0)+IF(AND(96&gt;=Personnel!$E$18,Personnel!$G$18="Yes"),Personnel!$D$18*(1-Personnel!$H$18),0)+IF(AND(96&gt;=Personnel!$E$19,Personnel!$G$19="Yes"),Personnel!$D$19*(1-Personnel!$H$19),0)+IF(AND(96&gt;=Personnel!$E$20,Personnel!$G$20="Yes"),Personnel!$D$20*(1-Personnel!$H$20),0)+IF(AND(96&gt;=Personnel!$E$21,Personnel!$G$21="Yes"),Personnel!$D$21*(1-Personnel!$H$21),0)+IF(AND(96&gt;=Personnel!$E$22,Personnel!$G$22="Yes"),Personnel!$D$22*(1-Personnel!$H$22),0)+IF(AND(96&gt;=Personnel!$E$23,Personnel!$G$23="Yes"),Personnel!$D$23*(1-Personnel!$H$23),0)+IF(AND(96&gt;=Personnel!$E$24,Personnel!$G$24="Yes"),Personnel!$D$24*(1-Personnel!$H$24),0)+IF(AND(96&gt;=Personnel!$E$25,Personnel!$G$25="Yes"),Personnel!$D$25*(1-Personnel!$H$25),0)+IF(AND(96&gt;=Personnel!$E$26,Personnel!$G$26="Yes"),Personnel!$D$26*(1-Personnel!$H$26),0)+IF(AND(96&gt;=Personnel!$E$27,Personnel!$G$27="Yes"),Personnel!$D$27*(1-Personnel!$H$27),0)+IF(AND(96&gt;=Personnel!$E$28,Personnel!$G$28="Yes"),Personnel!$D$28*(1-Personnel!$H$28),0)+IF(AND(96&gt;=Personnel!$E$29,Personnel!$G$29="Yes"),Personnel!$D$29*(1-Personnel!$H$29),0)+IF(AND(96&gt;=Personnel!$E$30,Personnel!$G$30="Yes"),Personnel!$D$30*(1-Personnel!$H$30),0)+IF(AND(96&gt;=Personnel!$E$31,Personnel!$G$31="Yes"),Personnel!$D$31*(1-Personnel!$H$31),0)+IF(AND(96&gt;=Personnel!$E$32,Personnel!$G$32="Yes"),Personnel!$D$32*(1-Personnel!$H$32),0)+IF(AND(96&gt;=Personnel!$E$33,Personnel!$G$33="Yes"),Personnel!$D$33*(1-Personnel!$H$33),0)))*Escalation!$B$97,Actuals!CW20)</f>
        <v>-332400.91507601028</v>
      </c>
      <c r="CX23" s="3">
        <f>IF(ISBLANK(Actuals!CX20),(-(IF(AND(97&gt;=Personnel!$E$2,Personnel!$G$2="Yes"),Personnel!$D$2*(1-Personnel!$H$2),0)+IF(AND(97&gt;=Personnel!$E$3,Personnel!$G$3="Yes"),Personnel!$D$3*(1-Personnel!$H$3),0)+IF(AND(97&gt;=Personnel!$E$4,Personnel!$G$4="Yes"),Personnel!$D$4*(1-Personnel!$H$4),0)+IF(AND(97&gt;=Personnel!$E$5,Personnel!$G$5="Yes"),Personnel!$D$5*(1-Personnel!$H$5),0)+IF(AND(97&gt;=Personnel!$E$6,Personnel!$G$6="Yes"),Personnel!$D$6*(1-Personnel!$H$6),0)+IF(AND(97&gt;=Personnel!$E$7,Personnel!$G$7="Yes"),Personnel!$D$7*(1-Personnel!$H$7),0)+IF(AND(97&gt;=Personnel!$E$8,Personnel!$G$8="Yes"),Personnel!$D$8*(1-Personnel!$H$8),0)+IF(AND(97&gt;=Personnel!$E$9,Personnel!$G$9="Yes"),Personnel!$D$9*(1-Personnel!$H$9),0)+IF(AND(97&gt;=Personnel!$E$10,Personnel!$G$10="Yes"),Personnel!$D$10*(1-Personnel!$H$10),0)+IF(AND(97&gt;=Personnel!$E$11,Personnel!$G$11="Yes"),Personnel!$D$11*(1-Personnel!$H$11),0)+IF(AND(97&gt;=Personnel!$E$12,Personnel!$G$12="Yes"),Personnel!$D$12*(1-Personnel!$H$12),0)+IF(AND(97&gt;=Personnel!$E$13,Personnel!$G$13="Yes"),Personnel!$D$13*(1-Personnel!$H$13),0)+IF(AND(97&gt;=Personnel!$E$14,Personnel!$G$14="Yes"),Personnel!$D$14*(1-Personnel!$H$14),0)+IF(AND(97&gt;=Personnel!$E$15,Personnel!$G$15="Yes"),Personnel!$D$15*(1-Personnel!$H$15),0)+IF(AND(97&gt;=Personnel!$E$16,Personnel!$G$16="Yes"),Personnel!$D$16*(1-Personnel!$H$16),0)+IF(AND(97&gt;=Personnel!$E$17,Personnel!$G$17="Yes"),Personnel!$D$17*(1-Personnel!$H$17),0)+IF(AND(97&gt;=Personnel!$E$18,Personnel!$G$18="Yes"),Personnel!$D$18*(1-Personnel!$H$18),0)+IF(AND(97&gt;=Personnel!$E$19,Personnel!$G$19="Yes"),Personnel!$D$19*(1-Personnel!$H$19),0)+IF(AND(97&gt;=Personnel!$E$20,Personnel!$G$20="Yes"),Personnel!$D$20*(1-Personnel!$H$20),0)+IF(AND(97&gt;=Personnel!$E$21,Personnel!$G$21="Yes"),Personnel!$D$21*(1-Personnel!$H$21),0)+IF(AND(97&gt;=Personnel!$E$22,Personnel!$G$22="Yes"),Personnel!$D$22*(1-Personnel!$H$22),0)+IF(AND(97&gt;=Personnel!$E$23,Personnel!$G$23="Yes"),Personnel!$D$23*(1-Personnel!$H$23),0)+IF(AND(97&gt;=Personnel!$E$24,Personnel!$G$24="Yes"),Personnel!$D$24*(1-Personnel!$H$24),0)+IF(AND(97&gt;=Personnel!$E$25,Personnel!$G$25="Yes"),Personnel!$D$25*(1-Personnel!$H$25),0)+IF(AND(97&gt;=Personnel!$E$26,Personnel!$G$26="Yes"),Personnel!$D$26*(1-Personnel!$H$26),0)+IF(AND(97&gt;=Personnel!$E$27,Personnel!$G$27="Yes"),Personnel!$D$27*(1-Personnel!$H$27),0)+IF(AND(97&gt;=Personnel!$E$28,Personnel!$G$28="Yes"),Personnel!$D$28*(1-Personnel!$H$28),0)+IF(AND(97&gt;=Personnel!$E$29,Personnel!$G$29="Yes"),Personnel!$D$29*(1-Personnel!$H$29),0)+IF(AND(97&gt;=Personnel!$E$30,Personnel!$G$30="Yes"),Personnel!$D$30*(1-Personnel!$H$30),0)+IF(AND(97&gt;=Personnel!$E$31,Personnel!$G$31="Yes"),Personnel!$D$31*(1-Personnel!$H$31),0)+IF(AND(97&gt;=Personnel!$E$32,Personnel!$G$32="Yes"),Personnel!$D$32*(1-Personnel!$H$32),0)+IF(AND(97&gt;=Personnel!$E$33,Personnel!$G$33="Yes"),Personnel!$D$33*(1-Personnel!$H$33),0)))*Escalation!$B$98,Actuals!CX20)</f>
        <v>-339048.93337753054</v>
      </c>
      <c r="CY23" s="3">
        <f>IF(ISBLANK(Actuals!CY20),(-(IF(AND(98&gt;=Personnel!$E$2,Personnel!$G$2="Yes"),Personnel!$D$2*(1-Personnel!$H$2),0)+IF(AND(98&gt;=Personnel!$E$3,Personnel!$G$3="Yes"),Personnel!$D$3*(1-Personnel!$H$3),0)+IF(AND(98&gt;=Personnel!$E$4,Personnel!$G$4="Yes"),Personnel!$D$4*(1-Personnel!$H$4),0)+IF(AND(98&gt;=Personnel!$E$5,Personnel!$G$5="Yes"),Personnel!$D$5*(1-Personnel!$H$5),0)+IF(AND(98&gt;=Personnel!$E$6,Personnel!$G$6="Yes"),Personnel!$D$6*(1-Personnel!$H$6),0)+IF(AND(98&gt;=Personnel!$E$7,Personnel!$G$7="Yes"),Personnel!$D$7*(1-Personnel!$H$7),0)+IF(AND(98&gt;=Personnel!$E$8,Personnel!$G$8="Yes"),Personnel!$D$8*(1-Personnel!$H$8),0)+IF(AND(98&gt;=Personnel!$E$9,Personnel!$G$9="Yes"),Personnel!$D$9*(1-Personnel!$H$9),0)+IF(AND(98&gt;=Personnel!$E$10,Personnel!$G$10="Yes"),Personnel!$D$10*(1-Personnel!$H$10),0)+IF(AND(98&gt;=Personnel!$E$11,Personnel!$G$11="Yes"),Personnel!$D$11*(1-Personnel!$H$11),0)+IF(AND(98&gt;=Personnel!$E$12,Personnel!$G$12="Yes"),Personnel!$D$12*(1-Personnel!$H$12),0)+IF(AND(98&gt;=Personnel!$E$13,Personnel!$G$13="Yes"),Personnel!$D$13*(1-Personnel!$H$13),0)+IF(AND(98&gt;=Personnel!$E$14,Personnel!$G$14="Yes"),Personnel!$D$14*(1-Personnel!$H$14),0)+IF(AND(98&gt;=Personnel!$E$15,Personnel!$G$15="Yes"),Personnel!$D$15*(1-Personnel!$H$15),0)+IF(AND(98&gt;=Personnel!$E$16,Personnel!$G$16="Yes"),Personnel!$D$16*(1-Personnel!$H$16),0)+IF(AND(98&gt;=Personnel!$E$17,Personnel!$G$17="Yes"),Personnel!$D$17*(1-Personnel!$H$17),0)+IF(AND(98&gt;=Personnel!$E$18,Personnel!$G$18="Yes"),Personnel!$D$18*(1-Personnel!$H$18),0)+IF(AND(98&gt;=Personnel!$E$19,Personnel!$G$19="Yes"),Personnel!$D$19*(1-Personnel!$H$19),0)+IF(AND(98&gt;=Personnel!$E$20,Personnel!$G$20="Yes"),Personnel!$D$20*(1-Personnel!$H$20),0)+IF(AND(98&gt;=Personnel!$E$21,Personnel!$G$21="Yes"),Personnel!$D$21*(1-Personnel!$H$21),0)+IF(AND(98&gt;=Personnel!$E$22,Personnel!$G$22="Yes"),Personnel!$D$22*(1-Personnel!$H$22),0)+IF(AND(98&gt;=Personnel!$E$23,Personnel!$G$23="Yes"),Personnel!$D$23*(1-Personnel!$H$23),0)+IF(AND(98&gt;=Personnel!$E$24,Personnel!$G$24="Yes"),Personnel!$D$24*(1-Personnel!$H$24),0)+IF(AND(98&gt;=Personnel!$E$25,Personnel!$G$25="Yes"),Personnel!$D$25*(1-Personnel!$H$25),0)+IF(AND(98&gt;=Personnel!$E$26,Personnel!$G$26="Yes"),Personnel!$D$26*(1-Personnel!$H$26),0)+IF(AND(98&gt;=Personnel!$E$27,Personnel!$G$27="Yes"),Personnel!$D$27*(1-Personnel!$H$27),0)+IF(AND(98&gt;=Personnel!$E$28,Personnel!$G$28="Yes"),Personnel!$D$28*(1-Personnel!$H$28),0)+IF(AND(98&gt;=Personnel!$E$29,Personnel!$G$29="Yes"),Personnel!$D$29*(1-Personnel!$H$29),0)+IF(AND(98&gt;=Personnel!$E$30,Personnel!$G$30="Yes"),Personnel!$D$30*(1-Personnel!$H$30),0)+IF(AND(98&gt;=Personnel!$E$31,Personnel!$G$31="Yes"),Personnel!$D$31*(1-Personnel!$H$31),0)+IF(AND(98&gt;=Personnel!$E$32,Personnel!$G$32="Yes"),Personnel!$D$32*(1-Personnel!$H$32),0)+IF(AND(98&gt;=Personnel!$E$33,Personnel!$G$33="Yes"),Personnel!$D$33*(1-Personnel!$H$33),0)))*Escalation!$B$99,Actuals!CY20)</f>
        <v>-339048.93337753054</v>
      </c>
      <c r="CZ23" s="3">
        <f>IF(ISBLANK(Actuals!CZ20),(-(IF(AND(99&gt;=Personnel!$E$2,Personnel!$G$2="Yes"),Personnel!$D$2*(1-Personnel!$H$2),0)+IF(AND(99&gt;=Personnel!$E$3,Personnel!$G$3="Yes"),Personnel!$D$3*(1-Personnel!$H$3),0)+IF(AND(99&gt;=Personnel!$E$4,Personnel!$G$4="Yes"),Personnel!$D$4*(1-Personnel!$H$4),0)+IF(AND(99&gt;=Personnel!$E$5,Personnel!$G$5="Yes"),Personnel!$D$5*(1-Personnel!$H$5),0)+IF(AND(99&gt;=Personnel!$E$6,Personnel!$G$6="Yes"),Personnel!$D$6*(1-Personnel!$H$6),0)+IF(AND(99&gt;=Personnel!$E$7,Personnel!$G$7="Yes"),Personnel!$D$7*(1-Personnel!$H$7),0)+IF(AND(99&gt;=Personnel!$E$8,Personnel!$G$8="Yes"),Personnel!$D$8*(1-Personnel!$H$8),0)+IF(AND(99&gt;=Personnel!$E$9,Personnel!$G$9="Yes"),Personnel!$D$9*(1-Personnel!$H$9),0)+IF(AND(99&gt;=Personnel!$E$10,Personnel!$G$10="Yes"),Personnel!$D$10*(1-Personnel!$H$10),0)+IF(AND(99&gt;=Personnel!$E$11,Personnel!$G$11="Yes"),Personnel!$D$11*(1-Personnel!$H$11),0)+IF(AND(99&gt;=Personnel!$E$12,Personnel!$G$12="Yes"),Personnel!$D$12*(1-Personnel!$H$12),0)+IF(AND(99&gt;=Personnel!$E$13,Personnel!$G$13="Yes"),Personnel!$D$13*(1-Personnel!$H$13),0)+IF(AND(99&gt;=Personnel!$E$14,Personnel!$G$14="Yes"),Personnel!$D$14*(1-Personnel!$H$14),0)+IF(AND(99&gt;=Personnel!$E$15,Personnel!$G$15="Yes"),Personnel!$D$15*(1-Personnel!$H$15),0)+IF(AND(99&gt;=Personnel!$E$16,Personnel!$G$16="Yes"),Personnel!$D$16*(1-Personnel!$H$16),0)+IF(AND(99&gt;=Personnel!$E$17,Personnel!$G$17="Yes"),Personnel!$D$17*(1-Personnel!$H$17),0)+IF(AND(99&gt;=Personnel!$E$18,Personnel!$G$18="Yes"),Personnel!$D$18*(1-Personnel!$H$18),0)+IF(AND(99&gt;=Personnel!$E$19,Personnel!$G$19="Yes"),Personnel!$D$19*(1-Personnel!$H$19),0)+IF(AND(99&gt;=Personnel!$E$20,Personnel!$G$20="Yes"),Personnel!$D$20*(1-Personnel!$H$20),0)+IF(AND(99&gt;=Personnel!$E$21,Personnel!$G$21="Yes"),Personnel!$D$21*(1-Personnel!$H$21),0)+IF(AND(99&gt;=Personnel!$E$22,Personnel!$G$22="Yes"),Personnel!$D$22*(1-Personnel!$H$22),0)+IF(AND(99&gt;=Personnel!$E$23,Personnel!$G$23="Yes"),Personnel!$D$23*(1-Personnel!$H$23),0)+IF(AND(99&gt;=Personnel!$E$24,Personnel!$G$24="Yes"),Personnel!$D$24*(1-Personnel!$H$24),0)+IF(AND(99&gt;=Personnel!$E$25,Personnel!$G$25="Yes"),Personnel!$D$25*(1-Personnel!$H$25),0)+IF(AND(99&gt;=Personnel!$E$26,Personnel!$G$26="Yes"),Personnel!$D$26*(1-Personnel!$H$26),0)+IF(AND(99&gt;=Personnel!$E$27,Personnel!$G$27="Yes"),Personnel!$D$27*(1-Personnel!$H$27),0)+IF(AND(99&gt;=Personnel!$E$28,Personnel!$G$28="Yes"),Personnel!$D$28*(1-Personnel!$H$28),0)+IF(AND(99&gt;=Personnel!$E$29,Personnel!$G$29="Yes"),Personnel!$D$29*(1-Personnel!$H$29),0)+IF(AND(99&gt;=Personnel!$E$30,Personnel!$G$30="Yes"),Personnel!$D$30*(1-Personnel!$H$30),0)+IF(AND(99&gt;=Personnel!$E$31,Personnel!$G$31="Yes"),Personnel!$D$31*(1-Personnel!$H$31),0)+IF(AND(99&gt;=Personnel!$E$32,Personnel!$G$32="Yes"),Personnel!$D$32*(1-Personnel!$H$32),0)+IF(AND(99&gt;=Personnel!$E$33,Personnel!$G$33="Yes"),Personnel!$D$33*(1-Personnel!$H$33),0)))*Escalation!$B$100,Actuals!CZ20)</f>
        <v>-339048.93337753054</v>
      </c>
      <c r="DA23" s="3">
        <f>IF(ISBLANK(Actuals!DA20),(-(IF(AND(100&gt;=Personnel!$E$2,Personnel!$G$2="Yes"),Personnel!$D$2*(1-Personnel!$H$2),0)+IF(AND(100&gt;=Personnel!$E$3,Personnel!$G$3="Yes"),Personnel!$D$3*(1-Personnel!$H$3),0)+IF(AND(100&gt;=Personnel!$E$4,Personnel!$G$4="Yes"),Personnel!$D$4*(1-Personnel!$H$4),0)+IF(AND(100&gt;=Personnel!$E$5,Personnel!$G$5="Yes"),Personnel!$D$5*(1-Personnel!$H$5),0)+IF(AND(100&gt;=Personnel!$E$6,Personnel!$G$6="Yes"),Personnel!$D$6*(1-Personnel!$H$6),0)+IF(AND(100&gt;=Personnel!$E$7,Personnel!$G$7="Yes"),Personnel!$D$7*(1-Personnel!$H$7),0)+IF(AND(100&gt;=Personnel!$E$8,Personnel!$G$8="Yes"),Personnel!$D$8*(1-Personnel!$H$8),0)+IF(AND(100&gt;=Personnel!$E$9,Personnel!$G$9="Yes"),Personnel!$D$9*(1-Personnel!$H$9),0)+IF(AND(100&gt;=Personnel!$E$10,Personnel!$G$10="Yes"),Personnel!$D$10*(1-Personnel!$H$10),0)+IF(AND(100&gt;=Personnel!$E$11,Personnel!$G$11="Yes"),Personnel!$D$11*(1-Personnel!$H$11),0)+IF(AND(100&gt;=Personnel!$E$12,Personnel!$G$12="Yes"),Personnel!$D$12*(1-Personnel!$H$12),0)+IF(AND(100&gt;=Personnel!$E$13,Personnel!$G$13="Yes"),Personnel!$D$13*(1-Personnel!$H$13),0)+IF(AND(100&gt;=Personnel!$E$14,Personnel!$G$14="Yes"),Personnel!$D$14*(1-Personnel!$H$14),0)+IF(AND(100&gt;=Personnel!$E$15,Personnel!$G$15="Yes"),Personnel!$D$15*(1-Personnel!$H$15),0)+IF(AND(100&gt;=Personnel!$E$16,Personnel!$G$16="Yes"),Personnel!$D$16*(1-Personnel!$H$16),0)+IF(AND(100&gt;=Personnel!$E$17,Personnel!$G$17="Yes"),Personnel!$D$17*(1-Personnel!$H$17),0)+IF(AND(100&gt;=Personnel!$E$18,Personnel!$G$18="Yes"),Personnel!$D$18*(1-Personnel!$H$18),0)+IF(AND(100&gt;=Personnel!$E$19,Personnel!$G$19="Yes"),Personnel!$D$19*(1-Personnel!$H$19),0)+IF(AND(100&gt;=Personnel!$E$20,Personnel!$G$20="Yes"),Personnel!$D$20*(1-Personnel!$H$20),0)+IF(AND(100&gt;=Personnel!$E$21,Personnel!$G$21="Yes"),Personnel!$D$21*(1-Personnel!$H$21),0)+IF(AND(100&gt;=Personnel!$E$22,Personnel!$G$22="Yes"),Personnel!$D$22*(1-Personnel!$H$22),0)+IF(AND(100&gt;=Personnel!$E$23,Personnel!$G$23="Yes"),Personnel!$D$23*(1-Personnel!$H$23),0)+IF(AND(100&gt;=Personnel!$E$24,Personnel!$G$24="Yes"),Personnel!$D$24*(1-Personnel!$H$24),0)+IF(AND(100&gt;=Personnel!$E$25,Personnel!$G$25="Yes"),Personnel!$D$25*(1-Personnel!$H$25),0)+IF(AND(100&gt;=Personnel!$E$26,Personnel!$G$26="Yes"),Personnel!$D$26*(1-Personnel!$H$26),0)+IF(AND(100&gt;=Personnel!$E$27,Personnel!$G$27="Yes"),Personnel!$D$27*(1-Personnel!$H$27),0)+IF(AND(100&gt;=Personnel!$E$28,Personnel!$G$28="Yes"),Personnel!$D$28*(1-Personnel!$H$28),0)+IF(AND(100&gt;=Personnel!$E$29,Personnel!$G$29="Yes"),Personnel!$D$29*(1-Personnel!$H$29),0)+IF(AND(100&gt;=Personnel!$E$30,Personnel!$G$30="Yes"),Personnel!$D$30*(1-Personnel!$H$30),0)+IF(AND(100&gt;=Personnel!$E$31,Personnel!$G$31="Yes"),Personnel!$D$31*(1-Personnel!$H$31),0)+IF(AND(100&gt;=Personnel!$E$32,Personnel!$G$32="Yes"),Personnel!$D$32*(1-Personnel!$H$32),0)+IF(AND(100&gt;=Personnel!$E$33,Personnel!$G$33="Yes"),Personnel!$D$33*(1-Personnel!$H$33),0)))*Escalation!$B$101,Actuals!DA20)</f>
        <v>-339048.93337753054</v>
      </c>
      <c r="DB23" s="3">
        <f>IF(ISBLANK(Actuals!DB20),(-(IF(AND(101&gt;=Personnel!$E$2,Personnel!$G$2="Yes"),Personnel!$D$2*(1-Personnel!$H$2),0)+IF(AND(101&gt;=Personnel!$E$3,Personnel!$G$3="Yes"),Personnel!$D$3*(1-Personnel!$H$3),0)+IF(AND(101&gt;=Personnel!$E$4,Personnel!$G$4="Yes"),Personnel!$D$4*(1-Personnel!$H$4),0)+IF(AND(101&gt;=Personnel!$E$5,Personnel!$G$5="Yes"),Personnel!$D$5*(1-Personnel!$H$5),0)+IF(AND(101&gt;=Personnel!$E$6,Personnel!$G$6="Yes"),Personnel!$D$6*(1-Personnel!$H$6),0)+IF(AND(101&gt;=Personnel!$E$7,Personnel!$G$7="Yes"),Personnel!$D$7*(1-Personnel!$H$7),0)+IF(AND(101&gt;=Personnel!$E$8,Personnel!$G$8="Yes"),Personnel!$D$8*(1-Personnel!$H$8),0)+IF(AND(101&gt;=Personnel!$E$9,Personnel!$G$9="Yes"),Personnel!$D$9*(1-Personnel!$H$9),0)+IF(AND(101&gt;=Personnel!$E$10,Personnel!$G$10="Yes"),Personnel!$D$10*(1-Personnel!$H$10),0)+IF(AND(101&gt;=Personnel!$E$11,Personnel!$G$11="Yes"),Personnel!$D$11*(1-Personnel!$H$11),0)+IF(AND(101&gt;=Personnel!$E$12,Personnel!$G$12="Yes"),Personnel!$D$12*(1-Personnel!$H$12),0)+IF(AND(101&gt;=Personnel!$E$13,Personnel!$G$13="Yes"),Personnel!$D$13*(1-Personnel!$H$13),0)+IF(AND(101&gt;=Personnel!$E$14,Personnel!$G$14="Yes"),Personnel!$D$14*(1-Personnel!$H$14),0)+IF(AND(101&gt;=Personnel!$E$15,Personnel!$G$15="Yes"),Personnel!$D$15*(1-Personnel!$H$15),0)+IF(AND(101&gt;=Personnel!$E$16,Personnel!$G$16="Yes"),Personnel!$D$16*(1-Personnel!$H$16),0)+IF(AND(101&gt;=Personnel!$E$17,Personnel!$G$17="Yes"),Personnel!$D$17*(1-Personnel!$H$17),0)+IF(AND(101&gt;=Personnel!$E$18,Personnel!$G$18="Yes"),Personnel!$D$18*(1-Personnel!$H$18),0)+IF(AND(101&gt;=Personnel!$E$19,Personnel!$G$19="Yes"),Personnel!$D$19*(1-Personnel!$H$19),0)+IF(AND(101&gt;=Personnel!$E$20,Personnel!$G$20="Yes"),Personnel!$D$20*(1-Personnel!$H$20),0)+IF(AND(101&gt;=Personnel!$E$21,Personnel!$G$21="Yes"),Personnel!$D$21*(1-Personnel!$H$21),0)+IF(AND(101&gt;=Personnel!$E$22,Personnel!$G$22="Yes"),Personnel!$D$22*(1-Personnel!$H$22),0)+IF(AND(101&gt;=Personnel!$E$23,Personnel!$G$23="Yes"),Personnel!$D$23*(1-Personnel!$H$23),0)+IF(AND(101&gt;=Personnel!$E$24,Personnel!$G$24="Yes"),Personnel!$D$24*(1-Personnel!$H$24),0)+IF(AND(101&gt;=Personnel!$E$25,Personnel!$G$25="Yes"),Personnel!$D$25*(1-Personnel!$H$25),0)+IF(AND(101&gt;=Personnel!$E$26,Personnel!$G$26="Yes"),Personnel!$D$26*(1-Personnel!$H$26),0)+IF(AND(101&gt;=Personnel!$E$27,Personnel!$G$27="Yes"),Personnel!$D$27*(1-Personnel!$H$27),0)+IF(AND(101&gt;=Personnel!$E$28,Personnel!$G$28="Yes"),Personnel!$D$28*(1-Personnel!$H$28),0)+IF(AND(101&gt;=Personnel!$E$29,Personnel!$G$29="Yes"),Personnel!$D$29*(1-Personnel!$H$29),0)+IF(AND(101&gt;=Personnel!$E$30,Personnel!$G$30="Yes"),Personnel!$D$30*(1-Personnel!$H$30),0)+IF(AND(101&gt;=Personnel!$E$31,Personnel!$G$31="Yes"),Personnel!$D$31*(1-Personnel!$H$31),0)+IF(AND(101&gt;=Personnel!$E$32,Personnel!$G$32="Yes"),Personnel!$D$32*(1-Personnel!$H$32),0)+IF(AND(101&gt;=Personnel!$E$33,Personnel!$G$33="Yes"),Personnel!$D$33*(1-Personnel!$H$33),0)))*Escalation!$B$102,Actuals!DB20)</f>
        <v>-339048.93337753054</v>
      </c>
      <c r="DC23" s="3">
        <f>IF(ISBLANK(Actuals!DC20),(-(IF(AND(102&gt;=Personnel!$E$2,Personnel!$G$2="Yes"),Personnel!$D$2*(1-Personnel!$H$2),0)+IF(AND(102&gt;=Personnel!$E$3,Personnel!$G$3="Yes"),Personnel!$D$3*(1-Personnel!$H$3),0)+IF(AND(102&gt;=Personnel!$E$4,Personnel!$G$4="Yes"),Personnel!$D$4*(1-Personnel!$H$4),0)+IF(AND(102&gt;=Personnel!$E$5,Personnel!$G$5="Yes"),Personnel!$D$5*(1-Personnel!$H$5),0)+IF(AND(102&gt;=Personnel!$E$6,Personnel!$G$6="Yes"),Personnel!$D$6*(1-Personnel!$H$6),0)+IF(AND(102&gt;=Personnel!$E$7,Personnel!$G$7="Yes"),Personnel!$D$7*(1-Personnel!$H$7),0)+IF(AND(102&gt;=Personnel!$E$8,Personnel!$G$8="Yes"),Personnel!$D$8*(1-Personnel!$H$8),0)+IF(AND(102&gt;=Personnel!$E$9,Personnel!$G$9="Yes"),Personnel!$D$9*(1-Personnel!$H$9),0)+IF(AND(102&gt;=Personnel!$E$10,Personnel!$G$10="Yes"),Personnel!$D$10*(1-Personnel!$H$10),0)+IF(AND(102&gt;=Personnel!$E$11,Personnel!$G$11="Yes"),Personnel!$D$11*(1-Personnel!$H$11),0)+IF(AND(102&gt;=Personnel!$E$12,Personnel!$G$12="Yes"),Personnel!$D$12*(1-Personnel!$H$12),0)+IF(AND(102&gt;=Personnel!$E$13,Personnel!$G$13="Yes"),Personnel!$D$13*(1-Personnel!$H$13),0)+IF(AND(102&gt;=Personnel!$E$14,Personnel!$G$14="Yes"),Personnel!$D$14*(1-Personnel!$H$14),0)+IF(AND(102&gt;=Personnel!$E$15,Personnel!$G$15="Yes"),Personnel!$D$15*(1-Personnel!$H$15),0)+IF(AND(102&gt;=Personnel!$E$16,Personnel!$G$16="Yes"),Personnel!$D$16*(1-Personnel!$H$16),0)+IF(AND(102&gt;=Personnel!$E$17,Personnel!$G$17="Yes"),Personnel!$D$17*(1-Personnel!$H$17),0)+IF(AND(102&gt;=Personnel!$E$18,Personnel!$G$18="Yes"),Personnel!$D$18*(1-Personnel!$H$18),0)+IF(AND(102&gt;=Personnel!$E$19,Personnel!$G$19="Yes"),Personnel!$D$19*(1-Personnel!$H$19),0)+IF(AND(102&gt;=Personnel!$E$20,Personnel!$G$20="Yes"),Personnel!$D$20*(1-Personnel!$H$20),0)+IF(AND(102&gt;=Personnel!$E$21,Personnel!$G$21="Yes"),Personnel!$D$21*(1-Personnel!$H$21),0)+IF(AND(102&gt;=Personnel!$E$22,Personnel!$G$22="Yes"),Personnel!$D$22*(1-Personnel!$H$22),0)+IF(AND(102&gt;=Personnel!$E$23,Personnel!$G$23="Yes"),Personnel!$D$23*(1-Personnel!$H$23),0)+IF(AND(102&gt;=Personnel!$E$24,Personnel!$G$24="Yes"),Personnel!$D$24*(1-Personnel!$H$24),0)+IF(AND(102&gt;=Personnel!$E$25,Personnel!$G$25="Yes"),Personnel!$D$25*(1-Personnel!$H$25),0)+IF(AND(102&gt;=Personnel!$E$26,Personnel!$G$26="Yes"),Personnel!$D$26*(1-Personnel!$H$26),0)+IF(AND(102&gt;=Personnel!$E$27,Personnel!$G$27="Yes"),Personnel!$D$27*(1-Personnel!$H$27),0)+IF(AND(102&gt;=Personnel!$E$28,Personnel!$G$28="Yes"),Personnel!$D$28*(1-Personnel!$H$28),0)+IF(AND(102&gt;=Personnel!$E$29,Personnel!$G$29="Yes"),Personnel!$D$29*(1-Personnel!$H$29),0)+IF(AND(102&gt;=Personnel!$E$30,Personnel!$G$30="Yes"),Personnel!$D$30*(1-Personnel!$H$30),0)+IF(AND(102&gt;=Personnel!$E$31,Personnel!$G$31="Yes"),Personnel!$D$31*(1-Personnel!$H$31),0)+IF(AND(102&gt;=Personnel!$E$32,Personnel!$G$32="Yes"),Personnel!$D$32*(1-Personnel!$H$32),0)+IF(AND(102&gt;=Personnel!$E$33,Personnel!$G$33="Yes"),Personnel!$D$33*(1-Personnel!$H$33),0)))*Escalation!$B$103,Actuals!DC20)</f>
        <v>-339048.93337753054</v>
      </c>
      <c r="DD23" s="3">
        <f>IF(ISBLANK(Actuals!DD20),(-(IF(AND(103&gt;=Personnel!$E$2,Personnel!$G$2="Yes"),Personnel!$D$2*(1-Personnel!$H$2),0)+IF(AND(103&gt;=Personnel!$E$3,Personnel!$G$3="Yes"),Personnel!$D$3*(1-Personnel!$H$3),0)+IF(AND(103&gt;=Personnel!$E$4,Personnel!$G$4="Yes"),Personnel!$D$4*(1-Personnel!$H$4),0)+IF(AND(103&gt;=Personnel!$E$5,Personnel!$G$5="Yes"),Personnel!$D$5*(1-Personnel!$H$5),0)+IF(AND(103&gt;=Personnel!$E$6,Personnel!$G$6="Yes"),Personnel!$D$6*(1-Personnel!$H$6),0)+IF(AND(103&gt;=Personnel!$E$7,Personnel!$G$7="Yes"),Personnel!$D$7*(1-Personnel!$H$7),0)+IF(AND(103&gt;=Personnel!$E$8,Personnel!$G$8="Yes"),Personnel!$D$8*(1-Personnel!$H$8),0)+IF(AND(103&gt;=Personnel!$E$9,Personnel!$G$9="Yes"),Personnel!$D$9*(1-Personnel!$H$9),0)+IF(AND(103&gt;=Personnel!$E$10,Personnel!$G$10="Yes"),Personnel!$D$10*(1-Personnel!$H$10),0)+IF(AND(103&gt;=Personnel!$E$11,Personnel!$G$11="Yes"),Personnel!$D$11*(1-Personnel!$H$11),0)+IF(AND(103&gt;=Personnel!$E$12,Personnel!$G$12="Yes"),Personnel!$D$12*(1-Personnel!$H$12),0)+IF(AND(103&gt;=Personnel!$E$13,Personnel!$G$13="Yes"),Personnel!$D$13*(1-Personnel!$H$13),0)+IF(AND(103&gt;=Personnel!$E$14,Personnel!$G$14="Yes"),Personnel!$D$14*(1-Personnel!$H$14),0)+IF(AND(103&gt;=Personnel!$E$15,Personnel!$G$15="Yes"),Personnel!$D$15*(1-Personnel!$H$15),0)+IF(AND(103&gt;=Personnel!$E$16,Personnel!$G$16="Yes"),Personnel!$D$16*(1-Personnel!$H$16),0)+IF(AND(103&gt;=Personnel!$E$17,Personnel!$G$17="Yes"),Personnel!$D$17*(1-Personnel!$H$17),0)+IF(AND(103&gt;=Personnel!$E$18,Personnel!$G$18="Yes"),Personnel!$D$18*(1-Personnel!$H$18),0)+IF(AND(103&gt;=Personnel!$E$19,Personnel!$G$19="Yes"),Personnel!$D$19*(1-Personnel!$H$19),0)+IF(AND(103&gt;=Personnel!$E$20,Personnel!$G$20="Yes"),Personnel!$D$20*(1-Personnel!$H$20),0)+IF(AND(103&gt;=Personnel!$E$21,Personnel!$G$21="Yes"),Personnel!$D$21*(1-Personnel!$H$21),0)+IF(AND(103&gt;=Personnel!$E$22,Personnel!$G$22="Yes"),Personnel!$D$22*(1-Personnel!$H$22),0)+IF(AND(103&gt;=Personnel!$E$23,Personnel!$G$23="Yes"),Personnel!$D$23*(1-Personnel!$H$23),0)+IF(AND(103&gt;=Personnel!$E$24,Personnel!$G$24="Yes"),Personnel!$D$24*(1-Personnel!$H$24),0)+IF(AND(103&gt;=Personnel!$E$25,Personnel!$G$25="Yes"),Personnel!$D$25*(1-Personnel!$H$25),0)+IF(AND(103&gt;=Personnel!$E$26,Personnel!$G$26="Yes"),Personnel!$D$26*(1-Personnel!$H$26),0)+IF(AND(103&gt;=Personnel!$E$27,Personnel!$G$27="Yes"),Personnel!$D$27*(1-Personnel!$H$27),0)+IF(AND(103&gt;=Personnel!$E$28,Personnel!$G$28="Yes"),Personnel!$D$28*(1-Personnel!$H$28),0)+IF(AND(103&gt;=Personnel!$E$29,Personnel!$G$29="Yes"),Personnel!$D$29*(1-Personnel!$H$29),0)+IF(AND(103&gt;=Personnel!$E$30,Personnel!$G$30="Yes"),Personnel!$D$30*(1-Personnel!$H$30),0)+IF(AND(103&gt;=Personnel!$E$31,Personnel!$G$31="Yes"),Personnel!$D$31*(1-Personnel!$H$31),0)+IF(AND(103&gt;=Personnel!$E$32,Personnel!$G$32="Yes"),Personnel!$D$32*(1-Personnel!$H$32),0)+IF(AND(103&gt;=Personnel!$E$33,Personnel!$G$33="Yes"),Personnel!$D$33*(1-Personnel!$H$33),0)))*Escalation!$B$104,Actuals!DD20)</f>
        <v>-339048.93337753054</v>
      </c>
      <c r="DE23" s="3">
        <f>IF(ISBLANK(Actuals!DE20),(-(IF(AND(104&gt;=Personnel!$E$2,Personnel!$G$2="Yes"),Personnel!$D$2*(1-Personnel!$H$2),0)+IF(AND(104&gt;=Personnel!$E$3,Personnel!$G$3="Yes"),Personnel!$D$3*(1-Personnel!$H$3),0)+IF(AND(104&gt;=Personnel!$E$4,Personnel!$G$4="Yes"),Personnel!$D$4*(1-Personnel!$H$4),0)+IF(AND(104&gt;=Personnel!$E$5,Personnel!$G$5="Yes"),Personnel!$D$5*(1-Personnel!$H$5),0)+IF(AND(104&gt;=Personnel!$E$6,Personnel!$G$6="Yes"),Personnel!$D$6*(1-Personnel!$H$6),0)+IF(AND(104&gt;=Personnel!$E$7,Personnel!$G$7="Yes"),Personnel!$D$7*(1-Personnel!$H$7),0)+IF(AND(104&gt;=Personnel!$E$8,Personnel!$G$8="Yes"),Personnel!$D$8*(1-Personnel!$H$8),0)+IF(AND(104&gt;=Personnel!$E$9,Personnel!$G$9="Yes"),Personnel!$D$9*(1-Personnel!$H$9),0)+IF(AND(104&gt;=Personnel!$E$10,Personnel!$G$10="Yes"),Personnel!$D$10*(1-Personnel!$H$10),0)+IF(AND(104&gt;=Personnel!$E$11,Personnel!$G$11="Yes"),Personnel!$D$11*(1-Personnel!$H$11),0)+IF(AND(104&gt;=Personnel!$E$12,Personnel!$G$12="Yes"),Personnel!$D$12*(1-Personnel!$H$12),0)+IF(AND(104&gt;=Personnel!$E$13,Personnel!$G$13="Yes"),Personnel!$D$13*(1-Personnel!$H$13),0)+IF(AND(104&gt;=Personnel!$E$14,Personnel!$G$14="Yes"),Personnel!$D$14*(1-Personnel!$H$14),0)+IF(AND(104&gt;=Personnel!$E$15,Personnel!$G$15="Yes"),Personnel!$D$15*(1-Personnel!$H$15),0)+IF(AND(104&gt;=Personnel!$E$16,Personnel!$G$16="Yes"),Personnel!$D$16*(1-Personnel!$H$16),0)+IF(AND(104&gt;=Personnel!$E$17,Personnel!$G$17="Yes"),Personnel!$D$17*(1-Personnel!$H$17),0)+IF(AND(104&gt;=Personnel!$E$18,Personnel!$G$18="Yes"),Personnel!$D$18*(1-Personnel!$H$18),0)+IF(AND(104&gt;=Personnel!$E$19,Personnel!$G$19="Yes"),Personnel!$D$19*(1-Personnel!$H$19),0)+IF(AND(104&gt;=Personnel!$E$20,Personnel!$G$20="Yes"),Personnel!$D$20*(1-Personnel!$H$20),0)+IF(AND(104&gt;=Personnel!$E$21,Personnel!$G$21="Yes"),Personnel!$D$21*(1-Personnel!$H$21),0)+IF(AND(104&gt;=Personnel!$E$22,Personnel!$G$22="Yes"),Personnel!$D$22*(1-Personnel!$H$22),0)+IF(AND(104&gt;=Personnel!$E$23,Personnel!$G$23="Yes"),Personnel!$D$23*(1-Personnel!$H$23),0)+IF(AND(104&gt;=Personnel!$E$24,Personnel!$G$24="Yes"),Personnel!$D$24*(1-Personnel!$H$24),0)+IF(AND(104&gt;=Personnel!$E$25,Personnel!$G$25="Yes"),Personnel!$D$25*(1-Personnel!$H$25),0)+IF(AND(104&gt;=Personnel!$E$26,Personnel!$G$26="Yes"),Personnel!$D$26*(1-Personnel!$H$26),0)+IF(AND(104&gt;=Personnel!$E$27,Personnel!$G$27="Yes"),Personnel!$D$27*(1-Personnel!$H$27),0)+IF(AND(104&gt;=Personnel!$E$28,Personnel!$G$28="Yes"),Personnel!$D$28*(1-Personnel!$H$28),0)+IF(AND(104&gt;=Personnel!$E$29,Personnel!$G$29="Yes"),Personnel!$D$29*(1-Personnel!$H$29),0)+IF(AND(104&gt;=Personnel!$E$30,Personnel!$G$30="Yes"),Personnel!$D$30*(1-Personnel!$H$30),0)+IF(AND(104&gt;=Personnel!$E$31,Personnel!$G$31="Yes"),Personnel!$D$31*(1-Personnel!$H$31),0)+IF(AND(104&gt;=Personnel!$E$32,Personnel!$G$32="Yes"),Personnel!$D$32*(1-Personnel!$H$32),0)+IF(AND(104&gt;=Personnel!$E$33,Personnel!$G$33="Yes"),Personnel!$D$33*(1-Personnel!$H$33),0)))*Escalation!$B$105,Actuals!DE20)</f>
        <v>-339048.93337753054</v>
      </c>
      <c r="DF23" s="3">
        <f>IF(ISBLANK(Actuals!DF20),(-(IF(AND(105&gt;=Personnel!$E$2,Personnel!$G$2="Yes"),Personnel!$D$2*(1-Personnel!$H$2),0)+IF(AND(105&gt;=Personnel!$E$3,Personnel!$G$3="Yes"),Personnel!$D$3*(1-Personnel!$H$3),0)+IF(AND(105&gt;=Personnel!$E$4,Personnel!$G$4="Yes"),Personnel!$D$4*(1-Personnel!$H$4),0)+IF(AND(105&gt;=Personnel!$E$5,Personnel!$G$5="Yes"),Personnel!$D$5*(1-Personnel!$H$5),0)+IF(AND(105&gt;=Personnel!$E$6,Personnel!$G$6="Yes"),Personnel!$D$6*(1-Personnel!$H$6),0)+IF(AND(105&gt;=Personnel!$E$7,Personnel!$G$7="Yes"),Personnel!$D$7*(1-Personnel!$H$7),0)+IF(AND(105&gt;=Personnel!$E$8,Personnel!$G$8="Yes"),Personnel!$D$8*(1-Personnel!$H$8),0)+IF(AND(105&gt;=Personnel!$E$9,Personnel!$G$9="Yes"),Personnel!$D$9*(1-Personnel!$H$9),0)+IF(AND(105&gt;=Personnel!$E$10,Personnel!$G$10="Yes"),Personnel!$D$10*(1-Personnel!$H$10),0)+IF(AND(105&gt;=Personnel!$E$11,Personnel!$G$11="Yes"),Personnel!$D$11*(1-Personnel!$H$11),0)+IF(AND(105&gt;=Personnel!$E$12,Personnel!$G$12="Yes"),Personnel!$D$12*(1-Personnel!$H$12),0)+IF(AND(105&gt;=Personnel!$E$13,Personnel!$G$13="Yes"),Personnel!$D$13*(1-Personnel!$H$13),0)+IF(AND(105&gt;=Personnel!$E$14,Personnel!$G$14="Yes"),Personnel!$D$14*(1-Personnel!$H$14),0)+IF(AND(105&gt;=Personnel!$E$15,Personnel!$G$15="Yes"),Personnel!$D$15*(1-Personnel!$H$15),0)+IF(AND(105&gt;=Personnel!$E$16,Personnel!$G$16="Yes"),Personnel!$D$16*(1-Personnel!$H$16),0)+IF(AND(105&gt;=Personnel!$E$17,Personnel!$G$17="Yes"),Personnel!$D$17*(1-Personnel!$H$17),0)+IF(AND(105&gt;=Personnel!$E$18,Personnel!$G$18="Yes"),Personnel!$D$18*(1-Personnel!$H$18),0)+IF(AND(105&gt;=Personnel!$E$19,Personnel!$G$19="Yes"),Personnel!$D$19*(1-Personnel!$H$19),0)+IF(AND(105&gt;=Personnel!$E$20,Personnel!$G$20="Yes"),Personnel!$D$20*(1-Personnel!$H$20),0)+IF(AND(105&gt;=Personnel!$E$21,Personnel!$G$21="Yes"),Personnel!$D$21*(1-Personnel!$H$21),0)+IF(AND(105&gt;=Personnel!$E$22,Personnel!$G$22="Yes"),Personnel!$D$22*(1-Personnel!$H$22),0)+IF(AND(105&gt;=Personnel!$E$23,Personnel!$G$23="Yes"),Personnel!$D$23*(1-Personnel!$H$23),0)+IF(AND(105&gt;=Personnel!$E$24,Personnel!$G$24="Yes"),Personnel!$D$24*(1-Personnel!$H$24),0)+IF(AND(105&gt;=Personnel!$E$25,Personnel!$G$25="Yes"),Personnel!$D$25*(1-Personnel!$H$25),0)+IF(AND(105&gt;=Personnel!$E$26,Personnel!$G$26="Yes"),Personnel!$D$26*(1-Personnel!$H$26),0)+IF(AND(105&gt;=Personnel!$E$27,Personnel!$G$27="Yes"),Personnel!$D$27*(1-Personnel!$H$27),0)+IF(AND(105&gt;=Personnel!$E$28,Personnel!$G$28="Yes"),Personnel!$D$28*(1-Personnel!$H$28),0)+IF(AND(105&gt;=Personnel!$E$29,Personnel!$G$29="Yes"),Personnel!$D$29*(1-Personnel!$H$29),0)+IF(AND(105&gt;=Personnel!$E$30,Personnel!$G$30="Yes"),Personnel!$D$30*(1-Personnel!$H$30),0)+IF(AND(105&gt;=Personnel!$E$31,Personnel!$G$31="Yes"),Personnel!$D$31*(1-Personnel!$H$31),0)+IF(AND(105&gt;=Personnel!$E$32,Personnel!$G$32="Yes"),Personnel!$D$32*(1-Personnel!$H$32),0)+IF(AND(105&gt;=Personnel!$E$33,Personnel!$G$33="Yes"),Personnel!$D$33*(1-Personnel!$H$33),0)))*Escalation!$B$106,Actuals!DF20)</f>
        <v>-339048.93337753054</v>
      </c>
    </row>
    <row r="24" spans="1:110" ht="15" customHeight="1" x14ac:dyDescent="0.25">
      <c r="A24" s="13" t="s">
        <v>64</v>
      </c>
      <c r="B24" s="302"/>
      <c r="C24" s="3">
        <f>IF(ISBLANK(Actuals!C21),0,Actuals!C21)</f>
        <v>-7450.37</v>
      </c>
      <c r="D24" s="3">
        <f>IF(ISBLANK(Actuals!D21),0,Actuals!D21)</f>
        <v>-10567.2</v>
      </c>
      <c r="E24" s="3">
        <f>IF(ISBLANK(Actuals!E21),0,Actuals!E21)</f>
        <v>-17033.3</v>
      </c>
      <c r="F24" s="3">
        <f>IF(ISBLANK(Actuals!F21),-Helpers!C4*Assumptions!$B$20,Actuals!F21)</f>
        <v>-14599.57</v>
      </c>
      <c r="G24" s="3">
        <f>IF(ISBLANK(Actuals!G21),-Helpers!D4*Assumptions!$B$20,Actuals!G21)</f>
        <v>-17047.916666666668</v>
      </c>
      <c r="H24" s="3">
        <f>IF(ISBLANK(Actuals!H21),-Helpers!E4*Assumptions!$B$20,Actuals!H21)</f>
        <v>-18797.916666666664</v>
      </c>
      <c r="I24" s="3">
        <f>IF(ISBLANK(Actuals!I21),-Helpers!F4*Assumptions!$B$20,Actuals!I21)</f>
        <v>-19556.250000000004</v>
      </c>
      <c r="J24" s="3">
        <f>IF(ISBLANK(Actuals!J21),-Helpers!G4*Assumptions!$B$20,Actuals!J21)</f>
        <v>-19556.250000000004</v>
      </c>
      <c r="K24" s="3">
        <f>IF(ISBLANK(Actuals!K21),-Helpers!H4*Assumptions!$B$20,Actuals!K21)</f>
        <v>-19556.250000000004</v>
      </c>
      <c r="L24" s="3">
        <f>IF(ISBLANK(Actuals!L21),-Helpers!I4*Assumptions!$B$20,Actuals!L21)</f>
        <v>-21014.583333333328</v>
      </c>
      <c r="M24" s="3">
        <f>IF(ISBLANK(Actuals!M21),-Helpers!J4*Assumptions!$B$20,Actuals!M21)</f>
        <v>-23114.583333333325</v>
      </c>
      <c r="N24" s="3">
        <f>IF(ISBLANK(Actuals!N21),-Helpers!K4*Assumptions!$B$20,Actuals!N21)</f>
        <v>-23114.583333333325</v>
      </c>
      <c r="O24" s="3">
        <f>IF(ISBLANK(Actuals!O21),-Helpers!L4*Assumptions!$B$20,Actuals!O21)</f>
        <v>-23114.583333333325</v>
      </c>
      <c r="P24" s="3">
        <f>IF(ISBLANK(Actuals!P21),-Helpers!M4*Assumptions!$B$20,Actuals!P21)</f>
        <v>-23114.583333333325</v>
      </c>
      <c r="Q24" s="3">
        <f>IF(ISBLANK(Actuals!Q21),-Helpers!N4*Assumptions!$B$20,Actuals!Q21)</f>
        <v>-23114.583333333325</v>
      </c>
      <c r="R24" s="3">
        <f>IF(ISBLANK(Actuals!R21),-Helpers!O4*Assumptions!$B$20,Actuals!R21)</f>
        <v>-24528.874999999993</v>
      </c>
      <c r="S24" s="3">
        <f>IF(ISBLANK(Actuals!S21),-Helpers!P4*Assumptions!$B$20,Actuals!S21)</f>
        <v>-24528.874999999993</v>
      </c>
      <c r="T24" s="3">
        <f>IF(ISBLANK(Actuals!T21),-Helpers!Q4*Assumptions!$B$20,Actuals!T21)</f>
        <v>-24528.874999999993</v>
      </c>
      <c r="U24" s="3">
        <f>IF(ISBLANK(Actuals!U21),-Helpers!R4*Assumptions!$B$20,Actuals!U21)</f>
        <v>-24528.874999999993</v>
      </c>
      <c r="V24" s="3">
        <f>IF(ISBLANK(Actuals!V21),-Helpers!S4*Assumptions!$B$20,Actuals!V21)</f>
        <v>-24528.874999999993</v>
      </c>
      <c r="W24" s="3">
        <f>IF(ISBLANK(Actuals!W21),-Helpers!T4*Assumptions!$B$20,Actuals!W21)</f>
        <v>-24528.874999999993</v>
      </c>
      <c r="X24" s="3">
        <f>IF(ISBLANK(Actuals!X21),-Helpers!U4*Assumptions!$B$20,Actuals!X21)</f>
        <v>-24528.874999999993</v>
      </c>
      <c r="Y24" s="3">
        <f>IF(ISBLANK(Actuals!Y21),-Helpers!V4*Assumptions!$B$20,Actuals!Y21)</f>
        <v>-24528.874999999993</v>
      </c>
      <c r="Z24" s="3">
        <f>IF(ISBLANK(Actuals!Z21),-Helpers!W4*Assumptions!$B$20,Actuals!Z21)</f>
        <v>-24528.874999999993</v>
      </c>
      <c r="AA24" s="3">
        <f>IF(ISBLANK(Actuals!AA21),-Helpers!X4*Assumptions!$B$20,Actuals!AA21)</f>
        <v>-24528.874999999993</v>
      </c>
      <c r="AB24" s="3">
        <f>IF(ISBLANK(Actuals!AB21),-Helpers!Y4*Assumptions!$B$20,Actuals!AB21)</f>
        <v>-24528.874999999993</v>
      </c>
      <c r="AC24" s="3">
        <f>IF(ISBLANK(Actuals!AC21),-Helpers!Z4*Assumptions!$B$20,Actuals!AC21)</f>
        <v>-24528.874999999993</v>
      </c>
      <c r="AD24" s="3">
        <f>IF(ISBLANK(Actuals!AD21),-Helpers!AA4*Assumptions!$B$20,Actuals!AD21)</f>
        <v>-25019.452499999996</v>
      </c>
      <c r="AE24" s="3">
        <f>IF(ISBLANK(Actuals!AE21),-Helpers!AB4*Assumptions!$B$20,Actuals!AE21)</f>
        <v>-25019.452499999996</v>
      </c>
      <c r="AF24" s="3">
        <f>IF(ISBLANK(Actuals!AF21),-Helpers!AC4*Assumptions!$B$20,Actuals!AF21)</f>
        <v>-25019.452499999996</v>
      </c>
      <c r="AG24" s="3">
        <f>IF(ISBLANK(Actuals!AG21),-Helpers!AD4*Assumptions!$B$20,Actuals!AG21)</f>
        <v>-25019.452499999996</v>
      </c>
      <c r="AH24" s="3">
        <f>IF(ISBLANK(Actuals!AH21),-Helpers!AE4*Assumptions!$B$20,Actuals!AH21)</f>
        <v>-25019.452499999996</v>
      </c>
      <c r="AI24" s="3">
        <f>IF(ISBLANK(Actuals!AI21),-Helpers!AF4*Assumptions!$B$20,Actuals!AI21)</f>
        <v>-25019.452499999996</v>
      </c>
      <c r="AJ24" s="3">
        <f>IF(ISBLANK(Actuals!AJ21),-Helpers!AG4*Assumptions!$B$20,Actuals!AJ21)</f>
        <v>-25019.452499999996</v>
      </c>
      <c r="AK24" s="3">
        <f>IF(ISBLANK(Actuals!AK21),-Helpers!AH4*Assumptions!$B$20,Actuals!AK21)</f>
        <v>-25019.452499999996</v>
      </c>
      <c r="AL24" s="3">
        <f>IF(ISBLANK(Actuals!AL21),-Helpers!AI4*Assumptions!$B$20,Actuals!AL21)</f>
        <v>-25019.452499999996</v>
      </c>
      <c r="AM24" s="3">
        <f>IF(ISBLANK(Actuals!AM21),-Helpers!AJ4*Assumptions!$B$20,Actuals!AM21)</f>
        <v>-25019.452499999996</v>
      </c>
      <c r="AN24" s="3">
        <f>IF(ISBLANK(Actuals!AN21),-Helpers!AK4*Assumptions!$B$20,Actuals!AN21)</f>
        <v>-25019.452499999996</v>
      </c>
      <c r="AO24" s="3">
        <f>IF(ISBLANK(Actuals!AO21),-Helpers!AL4*Assumptions!$B$20,Actuals!AO21)</f>
        <v>-25019.452499999996</v>
      </c>
      <c r="AP24" s="3">
        <f>IF(ISBLANK(Actuals!AP21),-Helpers!AM4*Assumptions!$B$20,Actuals!AP21)</f>
        <v>-25519.841549999994</v>
      </c>
      <c r="AQ24" s="3">
        <f>IF(ISBLANK(Actuals!AQ21),-Helpers!AN4*Assumptions!$B$20,Actuals!AQ21)</f>
        <v>-25519.841549999994</v>
      </c>
      <c r="AR24" s="3">
        <f>IF(ISBLANK(Actuals!AR21),-Helpers!AO4*Assumptions!$B$20,Actuals!AR21)</f>
        <v>-25519.841549999994</v>
      </c>
      <c r="AS24" s="3">
        <f>IF(ISBLANK(Actuals!AS21),-Helpers!AP4*Assumptions!$B$20,Actuals!AS21)</f>
        <v>-25519.841549999994</v>
      </c>
      <c r="AT24" s="3">
        <f>IF(ISBLANK(Actuals!AT21),-Helpers!AQ4*Assumptions!$B$20,Actuals!AT21)</f>
        <v>-25519.841549999994</v>
      </c>
      <c r="AU24" s="3">
        <f>IF(ISBLANK(Actuals!AU21),-Helpers!AR4*Assumptions!$B$20,Actuals!AU21)</f>
        <v>-25519.841549999994</v>
      </c>
      <c r="AV24" s="3">
        <f>IF(ISBLANK(Actuals!AV21),-Helpers!AS4*Assumptions!$B$20,Actuals!AV21)</f>
        <v>-25519.841549999994</v>
      </c>
      <c r="AW24" s="3">
        <f>IF(ISBLANK(Actuals!AW21),-Helpers!AT4*Assumptions!$B$20,Actuals!AW21)</f>
        <v>-25519.841549999994</v>
      </c>
      <c r="AX24" s="3">
        <f>IF(ISBLANK(Actuals!AX21),-Helpers!AU4*Assumptions!$B$20,Actuals!AX21)</f>
        <v>-25519.841549999994</v>
      </c>
      <c r="AY24" s="3">
        <f>IF(ISBLANK(Actuals!AY21),-Helpers!AV4*Assumptions!$B$20,Actuals!AY21)</f>
        <v>-25519.841549999994</v>
      </c>
      <c r="AZ24" s="3">
        <f>IF(ISBLANK(Actuals!AZ21),-Helpers!AW4*Assumptions!$B$20,Actuals!AZ21)</f>
        <v>-25519.841549999994</v>
      </c>
      <c r="BA24" s="3">
        <f>IF(ISBLANK(Actuals!BA21),-Helpers!AX4*Assumptions!$B$20,Actuals!BA21)</f>
        <v>-25519.841549999994</v>
      </c>
      <c r="BB24" s="3">
        <f>IF(ISBLANK(Actuals!BB21),-Helpers!AY4*Assumptions!$B$20,Actuals!BB21)</f>
        <v>-26030.238380999996</v>
      </c>
      <c r="BC24" s="3">
        <f>IF(ISBLANK(Actuals!BC21),-Helpers!AZ4*Assumptions!$B$20,Actuals!BC21)</f>
        <v>-26030.238380999996</v>
      </c>
      <c r="BD24" s="3">
        <f>IF(ISBLANK(Actuals!BD21),-Helpers!BA4*Assumptions!$B$20,Actuals!BD21)</f>
        <v>-26030.238380999996</v>
      </c>
      <c r="BE24" s="3">
        <f>IF(ISBLANK(Actuals!BE21),-Helpers!BB4*Assumptions!$B$20,Actuals!BE21)</f>
        <v>-26030.238380999996</v>
      </c>
      <c r="BF24" s="3">
        <f>IF(ISBLANK(Actuals!BF21),-Helpers!BC4*Assumptions!$B$20,Actuals!BF21)</f>
        <v>-26030.238380999996</v>
      </c>
      <c r="BG24" s="3">
        <f>IF(ISBLANK(Actuals!BG21),-Helpers!BD4*Assumptions!$B$20,Actuals!BG21)</f>
        <v>-26030.238380999996</v>
      </c>
      <c r="BH24" s="3">
        <f>IF(ISBLANK(Actuals!BH21),-Helpers!BE4*Assumptions!$B$20,Actuals!BH21)</f>
        <v>-26030.238380999996</v>
      </c>
      <c r="BI24" s="3">
        <f>IF(ISBLANK(Actuals!BI21),-Helpers!BF4*Assumptions!$B$20,Actuals!BI21)</f>
        <v>-26030.238380999996</v>
      </c>
      <c r="BJ24" s="3">
        <f>IF(ISBLANK(Actuals!BJ21),-Helpers!BG4*Assumptions!$B$20,Actuals!BJ21)</f>
        <v>-26030.238380999996</v>
      </c>
      <c r="BK24" s="3">
        <f>IF(ISBLANK(Actuals!BK21),-Helpers!BH4*Assumptions!$B$20,Actuals!BK21)</f>
        <v>-26030.238380999996</v>
      </c>
      <c r="BL24" s="3">
        <f>IF(ISBLANK(Actuals!BL21),-Helpers!BI4*Assumptions!$B$20,Actuals!BL21)</f>
        <v>-26030.238380999996</v>
      </c>
      <c r="BM24" s="3">
        <f>IF(ISBLANK(Actuals!BM21),-Helpers!BJ4*Assumptions!$B$20,Actuals!BM21)</f>
        <v>-26030.238380999996</v>
      </c>
      <c r="BN24" s="3">
        <f>IF(ISBLANK(Actuals!BN21),-Helpers!BK4*Assumptions!$B$20,Actuals!BN21)</f>
        <v>-26550.843148619995</v>
      </c>
      <c r="BO24" s="3">
        <f>IF(ISBLANK(Actuals!BO21),-Helpers!BL4*Assumptions!$B$20,Actuals!BO21)</f>
        <v>-26550.843148619995</v>
      </c>
      <c r="BP24" s="3">
        <f>IF(ISBLANK(Actuals!BP21),-Helpers!BM4*Assumptions!$B$20,Actuals!BP21)</f>
        <v>-26550.843148619995</v>
      </c>
      <c r="BQ24" s="3">
        <f>IF(ISBLANK(Actuals!BQ21),-Helpers!BN4*Assumptions!$B$20,Actuals!BQ21)</f>
        <v>-26550.843148619995</v>
      </c>
      <c r="BR24" s="3">
        <f>IF(ISBLANK(Actuals!BR21),-Helpers!BO4*Assumptions!$B$20,Actuals!BR21)</f>
        <v>-26550.843148619995</v>
      </c>
      <c r="BS24" s="3">
        <f>IF(ISBLANK(Actuals!BS21),-Helpers!BP4*Assumptions!$B$20,Actuals!BS21)</f>
        <v>-26550.843148619995</v>
      </c>
      <c r="BT24" s="3">
        <f>IF(ISBLANK(Actuals!BT21),-Helpers!BQ4*Assumptions!$B$20,Actuals!BT21)</f>
        <v>-26550.843148619995</v>
      </c>
      <c r="BU24" s="3">
        <f>IF(ISBLANK(Actuals!BU21),-Helpers!BR4*Assumptions!$B$20,Actuals!BU21)</f>
        <v>-26550.843148619995</v>
      </c>
      <c r="BV24" s="3">
        <f>IF(ISBLANK(Actuals!BV21),-Helpers!BS4*Assumptions!$B$20,Actuals!BV21)</f>
        <v>-26550.843148619995</v>
      </c>
      <c r="BW24" s="3">
        <f>IF(ISBLANK(Actuals!BW21),-Helpers!BT4*Assumptions!$B$20,Actuals!BW21)</f>
        <v>-26550.843148619995</v>
      </c>
      <c r="BX24" s="3">
        <f>IF(ISBLANK(Actuals!BX21),-Helpers!BU4*Assumptions!$B$20,Actuals!BX21)</f>
        <v>-26550.843148619995</v>
      </c>
      <c r="BY24" s="3">
        <f>IF(ISBLANK(Actuals!BY21),-Helpers!BV4*Assumptions!$B$20,Actuals!BY21)</f>
        <v>-26550.843148619995</v>
      </c>
      <c r="BZ24" s="3">
        <f>IF(ISBLANK(Actuals!BZ21),-Helpers!BW4*Assumptions!$B$20,Actuals!BZ21)</f>
        <v>-27081.860011592395</v>
      </c>
      <c r="CA24" s="3">
        <f>IF(ISBLANK(Actuals!CA21),-Helpers!BX4*Assumptions!$B$20,Actuals!CA21)</f>
        <v>-27081.860011592395</v>
      </c>
      <c r="CB24" s="3">
        <f>IF(ISBLANK(Actuals!CB21),-Helpers!BY4*Assumptions!$B$20,Actuals!CB21)</f>
        <v>-27081.860011592395</v>
      </c>
      <c r="CC24" s="3">
        <f>IF(ISBLANK(Actuals!CC21),-Helpers!BZ4*Assumptions!$B$20,Actuals!CC21)</f>
        <v>-27081.860011592395</v>
      </c>
      <c r="CD24" s="3">
        <f>IF(ISBLANK(Actuals!CD21),-Helpers!CA4*Assumptions!$B$20,Actuals!CD21)</f>
        <v>-27081.860011592395</v>
      </c>
      <c r="CE24" s="3">
        <f>IF(ISBLANK(Actuals!CE21),-Helpers!CB4*Assumptions!$B$20,Actuals!CE21)</f>
        <v>-27081.860011592395</v>
      </c>
      <c r="CF24" s="3">
        <f>IF(ISBLANK(Actuals!CF21),-Helpers!CC4*Assumptions!$B$20,Actuals!CF21)</f>
        <v>-27081.860011592395</v>
      </c>
      <c r="CG24" s="3">
        <f>IF(ISBLANK(Actuals!CG21),-Helpers!CD4*Assumptions!$B$20,Actuals!CG21)</f>
        <v>-27081.860011592395</v>
      </c>
      <c r="CH24" s="3">
        <f>IF(ISBLANK(Actuals!CH21),-Helpers!CE4*Assumptions!$B$20,Actuals!CH21)</f>
        <v>-27081.860011592395</v>
      </c>
      <c r="CI24" s="3">
        <f>IF(ISBLANK(Actuals!CI21),-Helpers!CF4*Assumptions!$B$20,Actuals!CI21)</f>
        <v>-27081.860011592395</v>
      </c>
      <c r="CJ24" s="3">
        <f>IF(ISBLANK(Actuals!CJ21),-Helpers!CG4*Assumptions!$B$20,Actuals!CJ21)</f>
        <v>-27081.860011592395</v>
      </c>
      <c r="CK24" s="3">
        <f>IF(ISBLANK(Actuals!CK21),-Helpers!CH4*Assumptions!$B$20,Actuals!CK21)</f>
        <v>-27081.860011592395</v>
      </c>
      <c r="CL24" s="3">
        <f>IF(ISBLANK(Actuals!CL21),-Helpers!CI4*Assumptions!$B$20,Actuals!CL21)</f>
        <v>-27623.49721182424</v>
      </c>
      <c r="CM24" s="3">
        <f>IF(ISBLANK(Actuals!CM21),-Helpers!CJ4*Assumptions!$B$20,Actuals!CM21)</f>
        <v>-27623.49721182424</v>
      </c>
      <c r="CN24" s="3">
        <f>IF(ISBLANK(Actuals!CN21),-Helpers!CK4*Assumptions!$B$20,Actuals!CN21)</f>
        <v>-27623.49721182424</v>
      </c>
      <c r="CO24" s="3">
        <f>IF(ISBLANK(Actuals!CO21),-Helpers!CL4*Assumptions!$B$20,Actuals!CO21)</f>
        <v>-27623.49721182424</v>
      </c>
      <c r="CP24" s="3">
        <f>IF(ISBLANK(Actuals!CP21),-Helpers!CM4*Assumptions!$B$20,Actuals!CP21)</f>
        <v>-27623.49721182424</v>
      </c>
      <c r="CQ24" s="3">
        <f>IF(ISBLANK(Actuals!CQ21),-Helpers!CN4*Assumptions!$B$20,Actuals!CQ21)</f>
        <v>-27623.49721182424</v>
      </c>
      <c r="CR24" s="3">
        <f>IF(ISBLANK(Actuals!CR21),-Helpers!CO4*Assumptions!$B$20,Actuals!CR21)</f>
        <v>-27623.49721182424</v>
      </c>
      <c r="CS24" s="3">
        <f>IF(ISBLANK(Actuals!CS21),-Helpers!CP4*Assumptions!$B$20,Actuals!CS21)</f>
        <v>-27623.49721182424</v>
      </c>
      <c r="CT24" s="3">
        <f>IF(ISBLANK(Actuals!CT21),-Helpers!CQ4*Assumptions!$B$20,Actuals!CT21)</f>
        <v>-27623.49721182424</v>
      </c>
      <c r="CU24" s="3">
        <f>IF(ISBLANK(Actuals!CU21),-Helpers!CR4*Assumptions!$B$20,Actuals!CU21)</f>
        <v>0</v>
      </c>
      <c r="CV24" s="3">
        <f>IF(ISBLANK(Actuals!CV21),-Helpers!CS4*Assumptions!$B$20,Actuals!CV21)</f>
        <v>0</v>
      </c>
      <c r="CW24" s="3">
        <f>IF(ISBLANK(Actuals!CW21),-Helpers!CT4*Assumptions!$B$20,Actuals!CW21)</f>
        <v>0</v>
      </c>
      <c r="CX24" s="3">
        <f>IF(ISBLANK(Actuals!CX21),-Helpers!CU4*Assumptions!$B$20,Actuals!CX21)</f>
        <v>0</v>
      </c>
      <c r="CY24" s="3">
        <f>IF(ISBLANK(Actuals!CY21),-Helpers!CV4*Assumptions!$B$20,Actuals!CY21)</f>
        <v>0</v>
      </c>
      <c r="CZ24" s="3">
        <f>IF(ISBLANK(Actuals!CZ21),-Helpers!CW4*Assumptions!$B$20,Actuals!CZ21)</f>
        <v>0</v>
      </c>
      <c r="DA24" s="3">
        <f>IF(ISBLANK(Actuals!DA21),-Helpers!CX4*Assumptions!$B$20,Actuals!DA21)</f>
        <v>0</v>
      </c>
      <c r="DB24" s="3">
        <f>IF(ISBLANK(Actuals!DB21),-Helpers!CY4*Assumptions!$B$20,Actuals!DB21)</f>
        <v>0</v>
      </c>
      <c r="DC24" s="3">
        <f>IF(ISBLANK(Actuals!DC21),-Helpers!CZ4*Assumptions!$B$20,Actuals!DC21)</f>
        <v>0</v>
      </c>
      <c r="DD24" s="3">
        <f>IF(ISBLANK(Actuals!DD21),-Helpers!DA4*Assumptions!$B$20,Actuals!DD21)</f>
        <v>0</v>
      </c>
      <c r="DE24" s="3">
        <f>IF(ISBLANK(Actuals!DE21),-Helpers!DB4*Assumptions!$B$20,Actuals!DE21)</f>
        <v>0</v>
      </c>
      <c r="DF24" s="3">
        <f>IF(ISBLANK(Actuals!DF21),-Helpers!DC4*Assumptions!$B$20,Actuals!DF21)</f>
        <v>0</v>
      </c>
    </row>
    <row r="25" spans="1:110" ht="15" customHeight="1" x14ac:dyDescent="0.25">
      <c r="A25" s="13" t="s">
        <v>65</v>
      </c>
      <c r="B25" s="302"/>
      <c r="C25" s="3">
        <f>IF(ISBLANK(Actuals!C22),0,Actuals!C22)</f>
        <v>0</v>
      </c>
      <c r="D25" s="3">
        <f>IF(ISBLANK(Actuals!D22),0,Actuals!D22)</f>
        <v>0</v>
      </c>
      <c r="E25" s="3">
        <f>IF(ISBLANK(Actuals!E22),0,Actuals!E22)</f>
        <v>0</v>
      </c>
      <c r="F25" s="3">
        <f>IF(ISBLANK(Actuals!F22),-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,Actuals!F22)</f>
        <v>0</v>
      </c>
      <c r="G25" s="3">
        <f>IF(ISBLANK(Actuals!G22),-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,Actuals!G22)</f>
        <v>-103833.33333333334</v>
      </c>
      <c r="H25" s="3">
        <f>IF(ISBLANK(Actuals!H22),-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,Actuals!H22)</f>
        <v>-103833.33333333334</v>
      </c>
      <c r="I25" s="3">
        <f>IF(ISBLANK(Actuals!I22),-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,Actuals!I22)</f>
        <v>-103833.33333333334</v>
      </c>
      <c r="J25" s="3">
        <f>IF(ISBLANK(Actuals!J22),-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,Actuals!J22)</f>
        <v>-103833.33333333334</v>
      </c>
      <c r="K25" s="3">
        <f>IF(ISBLANK(Actuals!K22),-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,Actuals!K22)</f>
        <v>-103833.33333333334</v>
      </c>
      <c r="L25" s="3">
        <f>IF(ISBLANK(Actuals!L22),-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,Actuals!L22)</f>
        <v>-103833.33333333334</v>
      </c>
      <c r="M25" s="3">
        <f>IF(ISBLANK(Actuals!M22),-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,Actuals!M22)</f>
        <v>-103833.33333333334</v>
      </c>
      <c r="N25" s="3">
        <f>IF(ISBLANK(Actuals!N22),-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,Actuals!N22)</f>
        <v>-103833.33333333334</v>
      </c>
      <c r="O25" s="3">
        <f>IF(ISBLANK(Actuals!O22),-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,Actuals!O22)</f>
        <v>-103833.33333333334</v>
      </c>
      <c r="P25" s="3">
        <f>IF(ISBLANK(Actuals!P22),-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,Actuals!P22)</f>
        <v>-103833.33333333334</v>
      </c>
      <c r="Q25" s="3">
        <f>IF(ISBLANK(Actuals!Q22),-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,Actuals!Q22)</f>
        <v>-103833.33333333334</v>
      </c>
      <c r="R25" s="3">
        <f>IF(ISBLANK(Actuals!R22),-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,Actuals!R22)</f>
        <v>-103833.33333333334</v>
      </c>
      <c r="S25" s="3">
        <f>IF(ISBLANK(Actuals!S22),-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,Actuals!S22)</f>
        <v>-103833.33333333334</v>
      </c>
      <c r="T25" s="3">
        <f>IF(ISBLANK(Actuals!T22),-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,Actuals!T22)</f>
        <v>-103833.33333333334</v>
      </c>
      <c r="U25" s="3">
        <f>IF(ISBLANK(Actuals!U22),-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,Actuals!U22)</f>
        <v>-103833.33333333334</v>
      </c>
      <c r="V25" s="3">
        <f>IF(ISBLANK(Actuals!V22),-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,Actuals!V22)</f>
        <v>-103833.33333333334</v>
      </c>
      <c r="W25" s="3">
        <f>IF(ISBLANK(Actuals!W22),-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,Actuals!W22)</f>
        <v>-103833.33333333334</v>
      </c>
      <c r="X25" s="3">
        <f>IF(ISBLANK(Actuals!X22),-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,Actuals!X22)</f>
        <v>-103833.33333333334</v>
      </c>
      <c r="Y25" s="3">
        <f>IF(ISBLANK(Actuals!Y22),-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,Actuals!Y22)</f>
        <v>-103833.33333333334</v>
      </c>
      <c r="Z25" s="3">
        <f>IF(ISBLANK(Actuals!Z22),-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,Actuals!Z22)</f>
        <v>-103833.33333333334</v>
      </c>
      <c r="AA25" s="3">
        <f>IF(ISBLANK(Actuals!AA22),-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,Actuals!AA22)</f>
        <v>-103833.33333333334</v>
      </c>
      <c r="AB25" s="3">
        <f>IF(ISBLANK(Actuals!AB22),-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,Actuals!AB22)</f>
        <v>-103833.33333333334</v>
      </c>
      <c r="AC25" s="3">
        <f>IF(ISBLANK(Actuals!AC22),-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,Actuals!AC22)</f>
        <v>-103833.33333333334</v>
      </c>
      <c r="AD25" s="3">
        <f>IF(ISBLANK(Actuals!AD22),-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,Actuals!AD22)</f>
        <v>-103833.33333333334</v>
      </c>
      <c r="AE25" s="3">
        <f>IF(ISBLANK(Actuals!AE22),-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,Actuals!AE22)</f>
        <v>-103833.33333333334</v>
      </c>
      <c r="AF25" s="3">
        <f>IF(ISBLANK(Actuals!AF22),-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,Actuals!AF22)</f>
        <v>-103833.33333333334</v>
      </c>
      <c r="AG25" s="3">
        <f>IF(ISBLANK(Actuals!AG22),-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,Actuals!AG22)</f>
        <v>-103833.33333333334</v>
      </c>
      <c r="AH25" s="3">
        <f>IF(ISBLANK(Actuals!AH22),-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,Actuals!AH22)</f>
        <v>-103833.33333333334</v>
      </c>
      <c r="AI25" s="3">
        <f>IF(ISBLANK(Actuals!AI22),-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,Actuals!AI22)</f>
        <v>-103833.33333333334</v>
      </c>
      <c r="AJ25" s="3">
        <f>IF(ISBLANK(Actuals!AJ22),-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,Actuals!AJ22)</f>
        <v>-103833.33333333334</v>
      </c>
      <c r="AK25" s="3">
        <f>IF(ISBLANK(Actuals!AK22),-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,Actuals!AK22)</f>
        <v>-103833.33333333334</v>
      </c>
      <c r="AL25" s="3">
        <f>IF(ISBLANK(Actuals!AL22),-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,Actuals!AL22)</f>
        <v>-103833.33333333334</v>
      </c>
      <c r="AM25" s="3">
        <f>IF(ISBLANK(Actuals!AM22),-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,Actuals!AM22)</f>
        <v>-103833.33333333334</v>
      </c>
      <c r="AN25" s="3">
        <f>IF(ISBLANK(Actuals!AN22),-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,Actuals!AN22)</f>
        <v>-103833.33333333334</v>
      </c>
      <c r="AO25" s="3">
        <f>IF(ISBLANK(Actuals!AO22),-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,Actuals!AO22)</f>
        <v>-103833.33333333334</v>
      </c>
      <c r="AP25" s="3">
        <f>IF(ISBLANK(Actuals!AP22),-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,Actuals!AP22)</f>
        <v>-103833.33333333334</v>
      </c>
      <c r="AQ25" s="3">
        <f>IF(ISBLANK(Actuals!AQ22),-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,Actuals!AQ22)</f>
        <v>-103833.33333333334</v>
      </c>
      <c r="AR25" s="3">
        <f>IF(ISBLANK(Actuals!AR22),-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,Actuals!AR22)</f>
        <v>-103833.33333333334</v>
      </c>
      <c r="AS25" s="3">
        <f>IF(ISBLANK(Actuals!AS22),-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,Actuals!AS22)</f>
        <v>-103833.33333333334</v>
      </c>
      <c r="AT25" s="3">
        <f>IF(ISBLANK(Actuals!AT22),-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,Actuals!AT22)</f>
        <v>-103833.33333333334</v>
      </c>
      <c r="AU25" s="3">
        <f>IF(ISBLANK(Actuals!AU22),-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,Actuals!AU22)</f>
        <v>-103833.33333333334</v>
      </c>
      <c r="AV25" s="3">
        <f>IF(ISBLANK(Actuals!AV22),-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,Actuals!AV22)</f>
        <v>-103833.33333333334</v>
      </c>
      <c r="AW25" s="3">
        <f>IF(ISBLANK(Actuals!AW22),-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,Actuals!AW22)</f>
        <v>-103833.33333333334</v>
      </c>
      <c r="AX25" s="3">
        <f>IF(ISBLANK(Actuals!AX22),-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,Actuals!AX22)</f>
        <v>-103833.33333333334</v>
      </c>
      <c r="AY25" s="3">
        <f>IF(ISBLANK(Actuals!AY22),-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,Actuals!AY22)</f>
        <v>-103833.33333333334</v>
      </c>
      <c r="AZ25" s="3">
        <f>IF(ISBLANK(Actuals!AZ22),-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,Actuals!AZ22)</f>
        <v>-103833.33333333334</v>
      </c>
      <c r="BA25" s="3">
        <f>IF(ISBLANK(Actuals!BA22),-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,Actuals!BA22)</f>
        <v>-103833.33333333334</v>
      </c>
      <c r="BB25" s="3">
        <f>IF(ISBLANK(Actuals!BB22),-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,Actuals!BB22)</f>
        <v>-103833.33333333334</v>
      </c>
      <c r="BC25" s="3">
        <f>IF(ISBLANK(Actuals!BC22),-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,Actuals!BC22)</f>
        <v>-103833.33333333334</v>
      </c>
      <c r="BD25" s="3">
        <f>IF(ISBLANK(Actuals!BD22),-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,Actuals!BD22)</f>
        <v>-103833.33333333334</v>
      </c>
      <c r="BE25" s="3">
        <f>IF(ISBLANK(Actuals!BE22),-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,Actuals!BE22)</f>
        <v>-103833.33333333334</v>
      </c>
      <c r="BF25" s="3">
        <f>IF(ISBLANK(Actuals!BF22),-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,Actuals!BF22)</f>
        <v>-103833.33333333334</v>
      </c>
      <c r="BG25" s="3">
        <f>IF(ISBLANK(Actuals!BG22),-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,Actuals!BG22)</f>
        <v>-103833.33333333334</v>
      </c>
      <c r="BH25" s="3">
        <f>IF(ISBLANK(Actuals!BH22),-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,Actuals!BH22)</f>
        <v>-103833.33333333334</v>
      </c>
      <c r="BI25" s="3">
        <f>IF(ISBLANK(Actuals!BI22),-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,Actuals!BI22)</f>
        <v>-103833.33333333334</v>
      </c>
      <c r="BJ25" s="3">
        <f>IF(ISBLANK(Actuals!BJ22),-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,Actuals!BJ22)</f>
        <v>-103833.33333333334</v>
      </c>
      <c r="BK25" s="3">
        <f>IF(ISBLANK(Actuals!BK22),-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,Actuals!BK22)</f>
        <v>-103833.33333333334</v>
      </c>
      <c r="BL25" s="3">
        <f>IF(ISBLANK(Actuals!BL22),-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,Actuals!BL22)</f>
        <v>-103833.33333333334</v>
      </c>
      <c r="BM25" s="3">
        <f>IF(ISBLANK(Actuals!BM22),-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,Actuals!BM22)</f>
        <v>-103833.33333333334</v>
      </c>
      <c r="BN25" s="3">
        <f>IF(ISBLANK(Actuals!BN22),-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,Actuals!BN22)</f>
        <v>-103833.33333333334</v>
      </c>
      <c r="BO25" s="3">
        <f>IF(ISBLANK(Actuals!BO22),-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,Actuals!BO22)</f>
        <v>-103833.33333333334</v>
      </c>
      <c r="BP25" s="3">
        <f>IF(ISBLANK(Actuals!BP22),-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,Actuals!BP22)</f>
        <v>-103833.33333333334</v>
      </c>
      <c r="BQ25" s="3">
        <f>IF(ISBLANK(Actuals!BQ22),-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,Actuals!BQ22)</f>
        <v>-103833.33333333334</v>
      </c>
      <c r="BR25" s="3">
        <f>IF(ISBLANK(Actuals!BR22),-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,Actuals!BR22)</f>
        <v>-103833.33333333334</v>
      </c>
      <c r="BS25" s="3">
        <f>IF(ISBLANK(Actuals!BS22),-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,Actuals!BS22)</f>
        <v>-103833.33333333334</v>
      </c>
      <c r="BT25" s="3">
        <f>IF(ISBLANK(Actuals!BT22),-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,Actuals!BT22)</f>
        <v>-103833.33333333334</v>
      </c>
      <c r="BU25" s="3">
        <f>IF(ISBLANK(Actuals!BU22),-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,Actuals!BU22)</f>
        <v>-103833.33333333334</v>
      </c>
      <c r="BV25" s="3">
        <f>IF(ISBLANK(Actuals!BV22),-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,Actuals!BV22)</f>
        <v>-103833.33333333334</v>
      </c>
      <c r="BW25" s="3">
        <f>IF(ISBLANK(Actuals!BW22),-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,Actuals!BW22)</f>
        <v>-103833.33333333334</v>
      </c>
      <c r="BX25" s="3">
        <f>IF(ISBLANK(Actuals!BX22),-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,Actuals!BX22)</f>
        <v>-103833.33333333334</v>
      </c>
      <c r="BY25" s="3">
        <f>IF(ISBLANK(Actuals!BY22),-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,Actuals!BY22)</f>
        <v>-103833.33333333334</v>
      </c>
      <c r="BZ25" s="3">
        <f>IF(ISBLANK(Actuals!BZ22),-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,Actuals!BZ22)</f>
        <v>-103833.33333333334</v>
      </c>
      <c r="CA25" s="3">
        <f>IF(ISBLANK(Actuals!CA22),-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,Actuals!CA22)</f>
        <v>-103833.33333333334</v>
      </c>
      <c r="CB25" s="3">
        <f>IF(ISBLANK(Actuals!CB22),-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,Actuals!CB22)</f>
        <v>-103833.33333333334</v>
      </c>
      <c r="CC25" s="3">
        <f>IF(ISBLANK(Actuals!CC22),-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,Actuals!CC22)</f>
        <v>-103833.33333333334</v>
      </c>
      <c r="CD25" s="3">
        <f>IF(ISBLANK(Actuals!CD22),-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,Actuals!CD22)</f>
        <v>-103833.33333333334</v>
      </c>
      <c r="CE25" s="3">
        <f>IF(ISBLANK(Actuals!CE22),-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,Actuals!CE22)</f>
        <v>-103833.33333333334</v>
      </c>
      <c r="CF25" s="3">
        <f>IF(ISBLANK(Actuals!CF22),-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,Actuals!CF22)</f>
        <v>-103833.33333333334</v>
      </c>
      <c r="CG25" s="3">
        <f>IF(ISBLANK(Actuals!CG22),-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,Actuals!CG22)</f>
        <v>-103833.33333333334</v>
      </c>
      <c r="CH25" s="3">
        <f>IF(ISBLANK(Actuals!CH22),-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,Actuals!CH22)</f>
        <v>-103833.33333333334</v>
      </c>
      <c r="CI25" s="3">
        <f>IF(ISBLANK(Actuals!CI22),-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,Actuals!CI22)</f>
        <v>-103833.33333333334</v>
      </c>
      <c r="CJ25" s="3">
        <f>IF(ISBLANK(Actuals!CJ22),-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,Actuals!CJ22)</f>
        <v>-103833.33333333334</v>
      </c>
      <c r="CK25" s="3">
        <f>IF(ISBLANK(Actuals!CK22),-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,Actuals!CK22)</f>
        <v>-103833.33333333334</v>
      </c>
      <c r="CL25" s="3">
        <f>IF(ISBLANK(Actuals!CL22),-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,Actuals!CL22)</f>
        <v>-103833.33333333334</v>
      </c>
      <c r="CM25" s="3">
        <f>IF(ISBLANK(Actuals!CM22),-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,Actuals!CM22)</f>
        <v>-103833.33333333334</v>
      </c>
      <c r="CN25" s="3">
        <f>IF(ISBLANK(Actuals!CN22),-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,Actuals!CN22)</f>
        <v>-103833.33333333334</v>
      </c>
      <c r="CO25" s="3">
        <f>IF(ISBLANK(Actuals!CO22),-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,Actuals!CO22)</f>
        <v>-103833.33333333334</v>
      </c>
      <c r="CP25" s="3">
        <f>IF(ISBLANK(Actuals!CP22),-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,Actuals!CP22)</f>
        <v>-103833.33333333334</v>
      </c>
      <c r="CQ25" s="3">
        <f>IF(ISBLANK(Actuals!CQ22),-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,Actuals!CQ22)</f>
        <v>-103833.33333333334</v>
      </c>
      <c r="CR25" s="3">
        <f>IF(ISBLANK(Actuals!CR22),-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,Actuals!CR22)</f>
        <v>-103833.33333333334</v>
      </c>
      <c r="CS25" s="3">
        <f>IF(ISBLANK(Actuals!CS22),-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,Actuals!CS22)</f>
        <v>-103833.33333333334</v>
      </c>
      <c r="CT25" s="3">
        <f>IF(ISBLANK(Actuals!CT22),-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,Actuals!CT22)</f>
        <v>-103833.33333333334</v>
      </c>
      <c r="CU25" s="3">
        <f>IF(ISBLANK(Actuals!CU22),-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,Actuals!CU22)</f>
        <v>-103833.33333333334</v>
      </c>
      <c r="CV25" s="3">
        <f>IF(ISBLANK(Actuals!CV22),-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,Actuals!CV22)</f>
        <v>-103833.33333333334</v>
      </c>
      <c r="CW25" s="3">
        <f>IF(ISBLANK(Actuals!CW22),-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,Actuals!CW22)</f>
        <v>-103833.33333333334</v>
      </c>
      <c r="CX25" s="3">
        <f>IF(ISBLANK(Actuals!CX22),-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,Actuals!CX22)</f>
        <v>-103833.33333333334</v>
      </c>
      <c r="CY25" s="3">
        <f>IF(ISBLANK(Actuals!CY22),-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,Actuals!CY22)</f>
        <v>-103833.33333333334</v>
      </c>
      <c r="CZ25" s="3">
        <f>IF(ISBLANK(Actuals!CZ22),-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,Actuals!CZ22)</f>
        <v>-103833.33333333334</v>
      </c>
      <c r="DA25" s="3">
        <f>IF(ISBLANK(Actuals!DA22),-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,Actuals!DA22)</f>
        <v>-103833.33333333334</v>
      </c>
      <c r="DB25" s="3">
        <f>IF(ISBLANK(Actuals!DB22),-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,Actuals!DB22)</f>
        <v>-103833.33333333334</v>
      </c>
      <c r="DC25" s="3">
        <f>IF(ISBLANK(Actuals!DC22),-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,Actuals!DC22)</f>
        <v>-103833.33333333334</v>
      </c>
      <c r="DD25" s="3">
        <f>IF(ISBLANK(Actuals!DD22),-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,Actuals!DD22)</f>
        <v>-103833.33333333334</v>
      </c>
      <c r="DE25" s="3">
        <f>IF(ISBLANK(Actuals!DE22),-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,Actuals!DE22)</f>
        <v>-103833.33333333334</v>
      </c>
      <c r="DF25" s="3">
        <f>IF(ISBLANK(Actuals!DF22),-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,Actuals!DF22)</f>
        <v>-103833.33333333334</v>
      </c>
    </row>
    <row r="26" spans="1:110" ht="15" customHeight="1" x14ac:dyDescent="0.25">
      <c r="A26" s="13" t="s">
        <v>66</v>
      </c>
      <c r="B26" s="302"/>
      <c r="C26" s="3">
        <f>IF(ISBLANK(Actuals!C23),0,Actuals!C23)</f>
        <v>-9482.9699999999993</v>
      </c>
      <c r="D26" s="3">
        <f>IF(ISBLANK(Actuals!D23),0,Actuals!D23)</f>
        <v>-10343.290000000001</v>
      </c>
      <c r="E26" s="3">
        <f>IF(ISBLANK(Actuals!E23),0,Actuals!E23)</f>
        <v>-3729.48</v>
      </c>
      <c r="F26" s="3">
        <f>IF(ISBLANK(Actuals!F23),-Helpers!C4*Assumptions!$B$22,Actuals!F23)</f>
        <v>-3206.79</v>
      </c>
      <c r="G26" s="3">
        <f>IF(ISBLANK(Actuals!G23),-Helpers!D4*Assumptions!$B$22,Actuals!G23)</f>
        <v>-12177.083333333336</v>
      </c>
      <c r="H26" s="3">
        <f>IF(ISBLANK(Actuals!H23),-Helpers!E4*Assumptions!$B$22,Actuals!H23)</f>
        <v>-13427.083333333332</v>
      </c>
      <c r="I26" s="3">
        <f>IF(ISBLANK(Actuals!I23),-Helpers!F4*Assumptions!$B$22,Actuals!I23)</f>
        <v>-13968.75</v>
      </c>
      <c r="J26" s="3">
        <f>IF(ISBLANK(Actuals!J23),-Helpers!G4*Assumptions!$B$22,Actuals!J23)</f>
        <v>-13968.75</v>
      </c>
      <c r="K26" s="3">
        <f>IF(ISBLANK(Actuals!K23),-Helpers!H4*Assumptions!$B$22,Actuals!K23)</f>
        <v>-13968.75</v>
      </c>
      <c r="L26" s="3">
        <f>IF(ISBLANK(Actuals!L23),-Helpers!I4*Assumptions!$B$22,Actuals!L23)</f>
        <v>-15010.416666666664</v>
      </c>
      <c r="M26" s="3">
        <f>IF(ISBLANK(Actuals!M23),-Helpers!J4*Assumptions!$B$22,Actuals!M23)</f>
        <v>-16510.416666666661</v>
      </c>
      <c r="N26" s="3">
        <f>IF(ISBLANK(Actuals!N23),-Helpers!K4*Assumptions!$B$22,Actuals!N23)</f>
        <v>-16510.416666666661</v>
      </c>
      <c r="O26" s="3">
        <f>IF(ISBLANK(Actuals!O23),-Helpers!L4*Assumptions!$B$22,Actuals!O23)</f>
        <v>-16510.416666666661</v>
      </c>
      <c r="P26" s="3">
        <f>IF(ISBLANK(Actuals!P23),-Helpers!M4*Assumptions!$B$22,Actuals!P23)</f>
        <v>-16510.416666666661</v>
      </c>
      <c r="Q26" s="3">
        <f>IF(ISBLANK(Actuals!Q23),-Helpers!N4*Assumptions!$B$22,Actuals!Q23)</f>
        <v>-16510.416666666661</v>
      </c>
      <c r="R26" s="3">
        <f>IF(ISBLANK(Actuals!R23),-Helpers!O4*Assumptions!$B$22,Actuals!R23)</f>
        <v>-17520.624999999996</v>
      </c>
      <c r="S26" s="3">
        <f>IF(ISBLANK(Actuals!S23),-Helpers!P4*Assumptions!$B$22,Actuals!S23)</f>
        <v>-17520.624999999996</v>
      </c>
      <c r="T26" s="3">
        <f>IF(ISBLANK(Actuals!T23),-Helpers!Q4*Assumptions!$B$22,Actuals!T23)</f>
        <v>-17520.624999999996</v>
      </c>
      <c r="U26" s="3">
        <f>IF(ISBLANK(Actuals!U23),-Helpers!R4*Assumptions!$B$22,Actuals!U23)</f>
        <v>-17520.624999999996</v>
      </c>
      <c r="V26" s="3">
        <f>IF(ISBLANK(Actuals!V23),-Helpers!S4*Assumptions!$B$22,Actuals!V23)</f>
        <v>-17520.624999999996</v>
      </c>
      <c r="W26" s="3">
        <f>IF(ISBLANK(Actuals!W23),-Helpers!T4*Assumptions!$B$22,Actuals!W23)</f>
        <v>-17520.624999999996</v>
      </c>
      <c r="X26" s="3">
        <f>IF(ISBLANK(Actuals!X23),-Helpers!U4*Assumptions!$B$22,Actuals!X23)</f>
        <v>-17520.624999999996</v>
      </c>
      <c r="Y26" s="3">
        <f>IF(ISBLANK(Actuals!Y23),-Helpers!V4*Assumptions!$B$22,Actuals!Y23)</f>
        <v>-17520.624999999996</v>
      </c>
      <c r="Z26" s="3">
        <f>IF(ISBLANK(Actuals!Z23),-Helpers!W4*Assumptions!$B$22,Actuals!Z23)</f>
        <v>-17520.624999999996</v>
      </c>
      <c r="AA26" s="3">
        <f>IF(ISBLANK(Actuals!AA23),-Helpers!X4*Assumptions!$B$22,Actuals!AA23)</f>
        <v>-17520.624999999996</v>
      </c>
      <c r="AB26" s="3">
        <f>IF(ISBLANK(Actuals!AB23),-Helpers!Y4*Assumptions!$B$22,Actuals!AB23)</f>
        <v>-17520.624999999996</v>
      </c>
      <c r="AC26" s="3">
        <f>IF(ISBLANK(Actuals!AC23),-Helpers!Z4*Assumptions!$B$22,Actuals!AC23)</f>
        <v>-17520.624999999996</v>
      </c>
      <c r="AD26" s="3">
        <f>IF(ISBLANK(Actuals!AD23),-Helpers!AA4*Assumptions!$B$22,Actuals!AD23)</f>
        <v>-17871.037499999995</v>
      </c>
      <c r="AE26" s="3">
        <f>IF(ISBLANK(Actuals!AE23),-Helpers!AB4*Assumptions!$B$22,Actuals!AE23)</f>
        <v>-17871.037499999995</v>
      </c>
      <c r="AF26" s="3">
        <f>IF(ISBLANK(Actuals!AF23),-Helpers!AC4*Assumptions!$B$22,Actuals!AF23)</f>
        <v>-17871.037499999995</v>
      </c>
      <c r="AG26" s="3">
        <f>IF(ISBLANK(Actuals!AG23),-Helpers!AD4*Assumptions!$B$22,Actuals!AG23)</f>
        <v>-17871.037499999995</v>
      </c>
      <c r="AH26" s="3">
        <f>IF(ISBLANK(Actuals!AH23),-Helpers!AE4*Assumptions!$B$22,Actuals!AH23)</f>
        <v>-17871.037499999995</v>
      </c>
      <c r="AI26" s="3">
        <f>IF(ISBLANK(Actuals!AI23),-Helpers!AF4*Assumptions!$B$22,Actuals!AI23)</f>
        <v>-17871.037499999995</v>
      </c>
      <c r="AJ26" s="3">
        <f>IF(ISBLANK(Actuals!AJ23),-Helpers!AG4*Assumptions!$B$22,Actuals!AJ23)</f>
        <v>-17871.037499999995</v>
      </c>
      <c r="AK26" s="3">
        <f>IF(ISBLANK(Actuals!AK23),-Helpers!AH4*Assumptions!$B$22,Actuals!AK23)</f>
        <v>-17871.037499999995</v>
      </c>
      <c r="AL26" s="3">
        <f>IF(ISBLANK(Actuals!AL23),-Helpers!AI4*Assumptions!$B$22,Actuals!AL23)</f>
        <v>-17871.037499999995</v>
      </c>
      <c r="AM26" s="3">
        <f>IF(ISBLANK(Actuals!AM23),-Helpers!AJ4*Assumptions!$B$22,Actuals!AM23)</f>
        <v>-17871.037499999995</v>
      </c>
      <c r="AN26" s="3">
        <f>IF(ISBLANK(Actuals!AN23),-Helpers!AK4*Assumptions!$B$22,Actuals!AN23)</f>
        <v>-17871.037499999995</v>
      </c>
      <c r="AO26" s="3">
        <f>IF(ISBLANK(Actuals!AO23),-Helpers!AL4*Assumptions!$B$22,Actuals!AO23)</f>
        <v>-17871.037499999995</v>
      </c>
      <c r="AP26" s="3">
        <f>IF(ISBLANK(Actuals!AP23),-Helpers!AM4*Assumptions!$B$22,Actuals!AP23)</f>
        <v>-18228.458249999992</v>
      </c>
      <c r="AQ26" s="3">
        <f>IF(ISBLANK(Actuals!AQ23),-Helpers!AN4*Assumptions!$B$22,Actuals!AQ23)</f>
        <v>-18228.458249999992</v>
      </c>
      <c r="AR26" s="3">
        <f>IF(ISBLANK(Actuals!AR23),-Helpers!AO4*Assumptions!$B$22,Actuals!AR23)</f>
        <v>-18228.458249999992</v>
      </c>
      <c r="AS26" s="3">
        <f>IF(ISBLANK(Actuals!AS23),-Helpers!AP4*Assumptions!$B$22,Actuals!AS23)</f>
        <v>-18228.458249999992</v>
      </c>
      <c r="AT26" s="3">
        <f>IF(ISBLANK(Actuals!AT23),-Helpers!AQ4*Assumptions!$B$22,Actuals!AT23)</f>
        <v>-18228.458249999992</v>
      </c>
      <c r="AU26" s="3">
        <f>IF(ISBLANK(Actuals!AU23),-Helpers!AR4*Assumptions!$B$22,Actuals!AU23)</f>
        <v>-18228.458249999992</v>
      </c>
      <c r="AV26" s="3">
        <f>IF(ISBLANK(Actuals!AV23),-Helpers!AS4*Assumptions!$B$22,Actuals!AV23)</f>
        <v>-18228.458249999992</v>
      </c>
      <c r="AW26" s="3">
        <f>IF(ISBLANK(Actuals!AW23),-Helpers!AT4*Assumptions!$B$22,Actuals!AW23)</f>
        <v>-18228.458249999992</v>
      </c>
      <c r="AX26" s="3">
        <f>IF(ISBLANK(Actuals!AX23),-Helpers!AU4*Assumptions!$B$22,Actuals!AX23)</f>
        <v>-18228.458249999992</v>
      </c>
      <c r="AY26" s="3">
        <f>IF(ISBLANK(Actuals!AY23),-Helpers!AV4*Assumptions!$B$22,Actuals!AY23)</f>
        <v>-18228.458249999992</v>
      </c>
      <c r="AZ26" s="3">
        <f>IF(ISBLANK(Actuals!AZ23),-Helpers!AW4*Assumptions!$B$22,Actuals!AZ23)</f>
        <v>-18228.458249999992</v>
      </c>
      <c r="BA26" s="3">
        <f>IF(ISBLANK(Actuals!BA23),-Helpers!AX4*Assumptions!$B$22,Actuals!BA23)</f>
        <v>-18228.458249999992</v>
      </c>
      <c r="BB26" s="3">
        <f>IF(ISBLANK(Actuals!BB23),-Helpers!AY4*Assumptions!$B$22,Actuals!BB23)</f>
        <v>-18593.027414999997</v>
      </c>
      <c r="BC26" s="3">
        <f>IF(ISBLANK(Actuals!BC23),-Helpers!AZ4*Assumptions!$B$22,Actuals!BC23)</f>
        <v>-18593.027414999997</v>
      </c>
      <c r="BD26" s="3">
        <f>IF(ISBLANK(Actuals!BD23),-Helpers!BA4*Assumptions!$B$22,Actuals!BD23)</f>
        <v>-18593.027414999997</v>
      </c>
      <c r="BE26" s="3">
        <f>IF(ISBLANK(Actuals!BE23),-Helpers!BB4*Assumptions!$B$22,Actuals!BE23)</f>
        <v>-18593.027414999997</v>
      </c>
      <c r="BF26" s="3">
        <f>IF(ISBLANK(Actuals!BF23),-Helpers!BC4*Assumptions!$B$22,Actuals!BF23)</f>
        <v>-18593.027414999997</v>
      </c>
      <c r="BG26" s="3">
        <f>IF(ISBLANK(Actuals!BG23),-Helpers!BD4*Assumptions!$B$22,Actuals!BG23)</f>
        <v>-18593.027414999997</v>
      </c>
      <c r="BH26" s="3">
        <f>IF(ISBLANK(Actuals!BH23),-Helpers!BE4*Assumptions!$B$22,Actuals!BH23)</f>
        <v>-18593.027414999997</v>
      </c>
      <c r="BI26" s="3">
        <f>IF(ISBLANK(Actuals!BI23),-Helpers!BF4*Assumptions!$B$22,Actuals!BI23)</f>
        <v>-18593.027414999997</v>
      </c>
      <c r="BJ26" s="3">
        <f>IF(ISBLANK(Actuals!BJ23),-Helpers!BG4*Assumptions!$B$22,Actuals!BJ23)</f>
        <v>-18593.027414999997</v>
      </c>
      <c r="BK26" s="3">
        <f>IF(ISBLANK(Actuals!BK23),-Helpers!BH4*Assumptions!$B$22,Actuals!BK23)</f>
        <v>-18593.027414999997</v>
      </c>
      <c r="BL26" s="3">
        <f>IF(ISBLANK(Actuals!BL23),-Helpers!BI4*Assumptions!$B$22,Actuals!BL23)</f>
        <v>-18593.027414999997</v>
      </c>
      <c r="BM26" s="3">
        <f>IF(ISBLANK(Actuals!BM23),-Helpers!BJ4*Assumptions!$B$22,Actuals!BM23)</f>
        <v>-18593.027414999997</v>
      </c>
      <c r="BN26" s="3">
        <f>IF(ISBLANK(Actuals!BN23),-Helpers!BK4*Assumptions!$B$22,Actuals!BN23)</f>
        <v>-18964.887963299996</v>
      </c>
      <c r="BO26" s="3">
        <f>IF(ISBLANK(Actuals!BO23),-Helpers!BL4*Assumptions!$B$22,Actuals!BO23)</f>
        <v>-18964.887963299996</v>
      </c>
      <c r="BP26" s="3">
        <f>IF(ISBLANK(Actuals!BP23),-Helpers!BM4*Assumptions!$B$22,Actuals!BP23)</f>
        <v>-18964.887963299996</v>
      </c>
      <c r="BQ26" s="3">
        <f>IF(ISBLANK(Actuals!BQ23),-Helpers!BN4*Assumptions!$B$22,Actuals!BQ23)</f>
        <v>-18964.887963299996</v>
      </c>
      <c r="BR26" s="3">
        <f>IF(ISBLANK(Actuals!BR23),-Helpers!BO4*Assumptions!$B$22,Actuals!BR23)</f>
        <v>-18964.887963299996</v>
      </c>
      <c r="BS26" s="3">
        <f>IF(ISBLANK(Actuals!BS23),-Helpers!BP4*Assumptions!$B$22,Actuals!BS23)</f>
        <v>-18964.887963299996</v>
      </c>
      <c r="BT26" s="3">
        <f>IF(ISBLANK(Actuals!BT23),-Helpers!BQ4*Assumptions!$B$22,Actuals!BT23)</f>
        <v>-18964.887963299996</v>
      </c>
      <c r="BU26" s="3">
        <f>IF(ISBLANK(Actuals!BU23),-Helpers!BR4*Assumptions!$B$22,Actuals!BU23)</f>
        <v>-18964.887963299996</v>
      </c>
      <c r="BV26" s="3">
        <f>IF(ISBLANK(Actuals!BV23),-Helpers!BS4*Assumptions!$B$22,Actuals!BV23)</f>
        <v>-18964.887963299996</v>
      </c>
      <c r="BW26" s="3">
        <f>IF(ISBLANK(Actuals!BW23),-Helpers!BT4*Assumptions!$B$22,Actuals!BW23)</f>
        <v>-18964.887963299996</v>
      </c>
      <c r="BX26" s="3">
        <f>IF(ISBLANK(Actuals!BX23),-Helpers!BU4*Assumptions!$B$22,Actuals!BX23)</f>
        <v>-18964.887963299996</v>
      </c>
      <c r="BY26" s="3">
        <f>IF(ISBLANK(Actuals!BY23),-Helpers!BV4*Assumptions!$B$22,Actuals!BY23)</f>
        <v>-18964.887963299996</v>
      </c>
      <c r="BZ26" s="3">
        <f>IF(ISBLANK(Actuals!BZ23),-Helpers!BW4*Assumptions!$B$22,Actuals!BZ23)</f>
        <v>-19344.185722565995</v>
      </c>
      <c r="CA26" s="3">
        <f>IF(ISBLANK(Actuals!CA23),-Helpers!BX4*Assumptions!$B$22,Actuals!CA23)</f>
        <v>-19344.185722565995</v>
      </c>
      <c r="CB26" s="3">
        <f>IF(ISBLANK(Actuals!CB23),-Helpers!BY4*Assumptions!$B$22,Actuals!CB23)</f>
        <v>-19344.185722565995</v>
      </c>
      <c r="CC26" s="3">
        <f>IF(ISBLANK(Actuals!CC23),-Helpers!BZ4*Assumptions!$B$22,Actuals!CC23)</f>
        <v>-19344.185722565995</v>
      </c>
      <c r="CD26" s="3">
        <f>IF(ISBLANK(Actuals!CD23),-Helpers!CA4*Assumptions!$B$22,Actuals!CD23)</f>
        <v>-19344.185722565995</v>
      </c>
      <c r="CE26" s="3">
        <f>IF(ISBLANK(Actuals!CE23),-Helpers!CB4*Assumptions!$B$22,Actuals!CE23)</f>
        <v>-19344.185722565995</v>
      </c>
      <c r="CF26" s="3">
        <f>IF(ISBLANK(Actuals!CF23),-Helpers!CC4*Assumptions!$B$22,Actuals!CF23)</f>
        <v>-19344.185722565995</v>
      </c>
      <c r="CG26" s="3">
        <f>IF(ISBLANK(Actuals!CG23),-Helpers!CD4*Assumptions!$B$22,Actuals!CG23)</f>
        <v>-19344.185722565995</v>
      </c>
      <c r="CH26" s="3">
        <f>IF(ISBLANK(Actuals!CH23),-Helpers!CE4*Assumptions!$B$22,Actuals!CH23)</f>
        <v>-19344.185722565995</v>
      </c>
      <c r="CI26" s="3">
        <f>IF(ISBLANK(Actuals!CI23),-Helpers!CF4*Assumptions!$B$22,Actuals!CI23)</f>
        <v>-19344.185722565995</v>
      </c>
      <c r="CJ26" s="3">
        <f>IF(ISBLANK(Actuals!CJ23),-Helpers!CG4*Assumptions!$B$22,Actuals!CJ23)</f>
        <v>-19344.185722565995</v>
      </c>
      <c r="CK26" s="3">
        <f>IF(ISBLANK(Actuals!CK23),-Helpers!CH4*Assumptions!$B$22,Actuals!CK23)</f>
        <v>-19344.185722565995</v>
      </c>
      <c r="CL26" s="3">
        <f>IF(ISBLANK(Actuals!CL23),-Helpers!CI4*Assumptions!$B$22,Actuals!CL23)</f>
        <v>-19731.069437017315</v>
      </c>
      <c r="CM26" s="3">
        <f>IF(ISBLANK(Actuals!CM23),-Helpers!CJ4*Assumptions!$B$22,Actuals!CM23)</f>
        <v>-19731.069437017315</v>
      </c>
      <c r="CN26" s="3">
        <f>IF(ISBLANK(Actuals!CN23),-Helpers!CK4*Assumptions!$B$22,Actuals!CN23)</f>
        <v>-19731.069437017315</v>
      </c>
      <c r="CO26" s="3">
        <f>IF(ISBLANK(Actuals!CO23),-Helpers!CL4*Assumptions!$B$22,Actuals!CO23)</f>
        <v>-19731.069437017315</v>
      </c>
      <c r="CP26" s="3">
        <f>IF(ISBLANK(Actuals!CP23),-Helpers!CM4*Assumptions!$B$22,Actuals!CP23)</f>
        <v>-19731.069437017315</v>
      </c>
      <c r="CQ26" s="3">
        <f>IF(ISBLANK(Actuals!CQ23),-Helpers!CN4*Assumptions!$B$22,Actuals!CQ23)</f>
        <v>-19731.069437017315</v>
      </c>
      <c r="CR26" s="3">
        <f>IF(ISBLANK(Actuals!CR23),-Helpers!CO4*Assumptions!$B$22,Actuals!CR23)</f>
        <v>-19731.069437017315</v>
      </c>
      <c r="CS26" s="3">
        <f>IF(ISBLANK(Actuals!CS23),-Helpers!CP4*Assumptions!$B$22,Actuals!CS23)</f>
        <v>-19731.069437017315</v>
      </c>
      <c r="CT26" s="3">
        <f>IF(ISBLANK(Actuals!CT23),-Helpers!CQ4*Assumptions!$B$22,Actuals!CT23)</f>
        <v>-19731.069437017315</v>
      </c>
      <c r="CU26" s="3">
        <f>IF(ISBLANK(Actuals!CU23),-Helpers!CR4*Assumptions!$B$22,Actuals!CU23)</f>
        <v>0</v>
      </c>
      <c r="CV26" s="3">
        <f>IF(ISBLANK(Actuals!CV23),-Helpers!CS4*Assumptions!$B$22,Actuals!CV23)</f>
        <v>0</v>
      </c>
      <c r="CW26" s="3">
        <f>IF(ISBLANK(Actuals!CW23),-Helpers!CT4*Assumptions!$B$22,Actuals!CW23)</f>
        <v>0</v>
      </c>
      <c r="CX26" s="3">
        <f>IF(ISBLANK(Actuals!CX23),-Helpers!CU4*Assumptions!$B$22,Actuals!CX23)</f>
        <v>0</v>
      </c>
      <c r="CY26" s="3">
        <f>IF(ISBLANK(Actuals!CY23),-Helpers!CV4*Assumptions!$B$22,Actuals!CY23)</f>
        <v>0</v>
      </c>
      <c r="CZ26" s="3">
        <f>IF(ISBLANK(Actuals!CZ23),-Helpers!CW4*Assumptions!$B$22,Actuals!CZ23)</f>
        <v>0</v>
      </c>
      <c r="DA26" s="3">
        <f>IF(ISBLANK(Actuals!DA23),-Helpers!CX4*Assumptions!$B$22,Actuals!DA23)</f>
        <v>0</v>
      </c>
      <c r="DB26" s="3">
        <f>IF(ISBLANK(Actuals!DB23),-Helpers!CY4*Assumptions!$B$22,Actuals!DB23)</f>
        <v>0</v>
      </c>
      <c r="DC26" s="3">
        <f>IF(ISBLANK(Actuals!DC23),-Helpers!CZ4*Assumptions!$B$22,Actuals!DC23)</f>
        <v>0</v>
      </c>
      <c r="DD26" s="3">
        <f>IF(ISBLANK(Actuals!DD23),-Helpers!DA4*Assumptions!$B$22,Actuals!DD23)</f>
        <v>0</v>
      </c>
      <c r="DE26" s="3">
        <f>IF(ISBLANK(Actuals!DE23),-Helpers!DB4*Assumptions!$B$22,Actuals!DE23)</f>
        <v>0</v>
      </c>
      <c r="DF26" s="3">
        <f>IF(ISBLANK(Actuals!DF23),-Helpers!DC4*Assumptions!$B$22,Actuals!DF23)</f>
        <v>0</v>
      </c>
    </row>
    <row r="27" spans="1:110" ht="15" customHeight="1" x14ac:dyDescent="0.25">
      <c r="A27" s="13" t="s">
        <v>67</v>
      </c>
      <c r="B27" s="302"/>
      <c r="C27" s="3">
        <f>IF(ISBLANK(Actuals!C24),0,Actuals!C24)</f>
        <v>-2542.4699999999998</v>
      </c>
      <c r="D27" s="3">
        <f>IF(ISBLANK(Actuals!D24),0,Actuals!D24)</f>
        <v>-1618.75</v>
      </c>
      <c r="E27" s="3">
        <f>IF(ISBLANK(Actuals!E24),0,Actuals!E24)</f>
        <v>3406.77</v>
      </c>
      <c r="F27" s="3">
        <f>IF(ISBLANK(Actuals!F24),-Helpers!C4*Assumptions!$B$23,Actuals!F24)</f>
        <v>2575.42</v>
      </c>
      <c r="G27" s="3">
        <f>IF(ISBLANK(Actuals!G24),-Helpers!D4*Assumptions!$B$23,Actuals!G24)</f>
        <v>-4870.8333333333339</v>
      </c>
      <c r="H27" s="3">
        <f>IF(ISBLANK(Actuals!H24),-Helpers!E4*Assumptions!$B$23,Actuals!H24)</f>
        <v>-5370.833333333333</v>
      </c>
      <c r="I27" s="3">
        <f>IF(ISBLANK(Actuals!I24),-Helpers!F4*Assumptions!$B$23,Actuals!I24)</f>
        <v>-5587.5</v>
      </c>
      <c r="J27" s="3">
        <f>IF(ISBLANK(Actuals!J24),-Helpers!G4*Assumptions!$B$23,Actuals!J24)</f>
        <v>-5587.5</v>
      </c>
      <c r="K27" s="3">
        <f>IF(ISBLANK(Actuals!K24),-Helpers!H4*Assumptions!$B$23,Actuals!K24)</f>
        <v>-5587.5</v>
      </c>
      <c r="L27" s="3">
        <f>IF(ISBLANK(Actuals!L24),-Helpers!I4*Assumptions!$B$23,Actuals!L24)</f>
        <v>-6004.1666666666652</v>
      </c>
      <c r="M27" s="3">
        <f>IF(ISBLANK(Actuals!M24),-Helpers!J4*Assumptions!$B$23,Actuals!M24)</f>
        <v>-6604.1666666666642</v>
      </c>
      <c r="N27" s="3">
        <f>IF(ISBLANK(Actuals!N24),-Helpers!K4*Assumptions!$B$23,Actuals!N24)</f>
        <v>-6604.1666666666642</v>
      </c>
      <c r="O27" s="3">
        <f>IF(ISBLANK(Actuals!O24),-Helpers!L4*Assumptions!$B$23,Actuals!O24)</f>
        <v>-6604.1666666666642</v>
      </c>
      <c r="P27" s="3">
        <f>IF(ISBLANK(Actuals!P24),-Helpers!M4*Assumptions!$B$23,Actuals!P24)</f>
        <v>-6604.1666666666642</v>
      </c>
      <c r="Q27" s="3">
        <f>IF(ISBLANK(Actuals!Q24),-Helpers!N4*Assumptions!$B$23,Actuals!Q24)</f>
        <v>-6604.1666666666642</v>
      </c>
      <c r="R27" s="3">
        <f>IF(ISBLANK(Actuals!R24),-Helpers!O4*Assumptions!$B$23,Actuals!R24)</f>
        <v>-7008.2499999999982</v>
      </c>
      <c r="S27" s="3">
        <f>IF(ISBLANK(Actuals!S24),-Helpers!P4*Assumptions!$B$23,Actuals!S24)</f>
        <v>-7008.2499999999982</v>
      </c>
      <c r="T27" s="3">
        <f>IF(ISBLANK(Actuals!T24),-Helpers!Q4*Assumptions!$B$23,Actuals!T24)</f>
        <v>-7008.2499999999982</v>
      </c>
      <c r="U27" s="3">
        <f>IF(ISBLANK(Actuals!U24),-Helpers!R4*Assumptions!$B$23,Actuals!U24)</f>
        <v>-7008.2499999999982</v>
      </c>
      <c r="V27" s="3">
        <f>IF(ISBLANK(Actuals!V24),-Helpers!S4*Assumptions!$B$23,Actuals!V24)</f>
        <v>-7008.2499999999982</v>
      </c>
      <c r="W27" s="3">
        <f>IF(ISBLANK(Actuals!W24),-Helpers!T4*Assumptions!$B$23,Actuals!W24)</f>
        <v>-7008.2499999999982</v>
      </c>
      <c r="X27" s="3">
        <f>IF(ISBLANK(Actuals!X24),-Helpers!U4*Assumptions!$B$23,Actuals!X24)</f>
        <v>-7008.2499999999982</v>
      </c>
      <c r="Y27" s="3">
        <f>IF(ISBLANK(Actuals!Y24),-Helpers!V4*Assumptions!$B$23,Actuals!Y24)</f>
        <v>-7008.2499999999982</v>
      </c>
      <c r="Z27" s="3">
        <f>IF(ISBLANK(Actuals!Z24),-Helpers!W4*Assumptions!$B$23,Actuals!Z24)</f>
        <v>-7008.2499999999982</v>
      </c>
      <c r="AA27" s="3">
        <f>IF(ISBLANK(Actuals!AA24),-Helpers!X4*Assumptions!$B$23,Actuals!AA24)</f>
        <v>-7008.2499999999982</v>
      </c>
      <c r="AB27" s="3">
        <f>IF(ISBLANK(Actuals!AB24),-Helpers!Y4*Assumptions!$B$23,Actuals!AB24)</f>
        <v>-7008.2499999999982</v>
      </c>
      <c r="AC27" s="3">
        <f>IF(ISBLANK(Actuals!AC24),-Helpers!Z4*Assumptions!$B$23,Actuals!AC24)</f>
        <v>-7008.2499999999982</v>
      </c>
      <c r="AD27" s="3">
        <f>IF(ISBLANK(Actuals!AD24),-Helpers!AA4*Assumptions!$B$23,Actuals!AD24)</f>
        <v>-7148.4149999999981</v>
      </c>
      <c r="AE27" s="3">
        <f>IF(ISBLANK(Actuals!AE24),-Helpers!AB4*Assumptions!$B$23,Actuals!AE24)</f>
        <v>-7148.4149999999981</v>
      </c>
      <c r="AF27" s="3">
        <f>IF(ISBLANK(Actuals!AF24),-Helpers!AC4*Assumptions!$B$23,Actuals!AF24)</f>
        <v>-7148.4149999999981</v>
      </c>
      <c r="AG27" s="3">
        <f>IF(ISBLANK(Actuals!AG24),-Helpers!AD4*Assumptions!$B$23,Actuals!AG24)</f>
        <v>-7148.4149999999981</v>
      </c>
      <c r="AH27" s="3">
        <f>IF(ISBLANK(Actuals!AH24),-Helpers!AE4*Assumptions!$B$23,Actuals!AH24)</f>
        <v>-7148.4149999999981</v>
      </c>
      <c r="AI27" s="3">
        <f>IF(ISBLANK(Actuals!AI24),-Helpers!AF4*Assumptions!$B$23,Actuals!AI24)</f>
        <v>-7148.4149999999981</v>
      </c>
      <c r="AJ27" s="3">
        <f>IF(ISBLANK(Actuals!AJ24),-Helpers!AG4*Assumptions!$B$23,Actuals!AJ24)</f>
        <v>-7148.4149999999981</v>
      </c>
      <c r="AK27" s="3">
        <f>IF(ISBLANK(Actuals!AK24),-Helpers!AH4*Assumptions!$B$23,Actuals!AK24)</f>
        <v>-7148.4149999999981</v>
      </c>
      <c r="AL27" s="3">
        <f>IF(ISBLANK(Actuals!AL24),-Helpers!AI4*Assumptions!$B$23,Actuals!AL24)</f>
        <v>-7148.4149999999981</v>
      </c>
      <c r="AM27" s="3">
        <f>IF(ISBLANK(Actuals!AM24),-Helpers!AJ4*Assumptions!$B$23,Actuals!AM24)</f>
        <v>-7148.4149999999981</v>
      </c>
      <c r="AN27" s="3">
        <f>IF(ISBLANK(Actuals!AN24),-Helpers!AK4*Assumptions!$B$23,Actuals!AN24)</f>
        <v>-7148.4149999999981</v>
      </c>
      <c r="AO27" s="3">
        <f>IF(ISBLANK(Actuals!AO24),-Helpers!AL4*Assumptions!$B$23,Actuals!AO24)</f>
        <v>-7148.4149999999981</v>
      </c>
      <c r="AP27" s="3">
        <f>IF(ISBLANK(Actuals!AP24),-Helpers!AM4*Assumptions!$B$23,Actuals!AP24)</f>
        <v>-7291.3832999999977</v>
      </c>
      <c r="AQ27" s="3">
        <f>IF(ISBLANK(Actuals!AQ24),-Helpers!AN4*Assumptions!$B$23,Actuals!AQ24)</f>
        <v>-7291.3832999999977</v>
      </c>
      <c r="AR27" s="3">
        <f>IF(ISBLANK(Actuals!AR24),-Helpers!AO4*Assumptions!$B$23,Actuals!AR24)</f>
        <v>-7291.3832999999977</v>
      </c>
      <c r="AS27" s="3">
        <f>IF(ISBLANK(Actuals!AS24),-Helpers!AP4*Assumptions!$B$23,Actuals!AS24)</f>
        <v>-7291.3832999999977</v>
      </c>
      <c r="AT27" s="3">
        <f>IF(ISBLANK(Actuals!AT24),-Helpers!AQ4*Assumptions!$B$23,Actuals!AT24)</f>
        <v>-7291.3832999999977</v>
      </c>
      <c r="AU27" s="3">
        <f>IF(ISBLANK(Actuals!AU24),-Helpers!AR4*Assumptions!$B$23,Actuals!AU24)</f>
        <v>-7291.3832999999977</v>
      </c>
      <c r="AV27" s="3">
        <f>IF(ISBLANK(Actuals!AV24),-Helpers!AS4*Assumptions!$B$23,Actuals!AV24)</f>
        <v>-7291.3832999999977</v>
      </c>
      <c r="AW27" s="3">
        <f>IF(ISBLANK(Actuals!AW24),-Helpers!AT4*Assumptions!$B$23,Actuals!AW24)</f>
        <v>-7291.3832999999977</v>
      </c>
      <c r="AX27" s="3">
        <f>IF(ISBLANK(Actuals!AX24),-Helpers!AU4*Assumptions!$B$23,Actuals!AX24)</f>
        <v>-7291.3832999999977</v>
      </c>
      <c r="AY27" s="3">
        <f>IF(ISBLANK(Actuals!AY24),-Helpers!AV4*Assumptions!$B$23,Actuals!AY24)</f>
        <v>-7291.3832999999977</v>
      </c>
      <c r="AZ27" s="3">
        <f>IF(ISBLANK(Actuals!AZ24),-Helpers!AW4*Assumptions!$B$23,Actuals!AZ24)</f>
        <v>-7291.3832999999977</v>
      </c>
      <c r="BA27" s="3">
        <f>IF(ISBLANK(Actuals!BA24),-Helpers!AX4*Assumptions!$B$23,Actuals!BA24)</f>
        <v>-7291.3832999999977</v>
      </c>
      <c r="BB27" s="3">
        <f>IF(ISBLANK(Actuals!BB24),-Helpers!AY4*Assumptions!$B$23,Actuals!BB24)</f>
        <v>-7437.2109659999987</v>
      </c>
      <c r="BC27" s="3">
        <f>IF(ISBLANK(Actuals!BC24),-Helpers!AZ4*Assumptions!$B$23,Actuals!BC24)</f>
        <v>-7437.2109659999987</v>
      </c>
      <c r="BD27" s="3">
        <f>IF(ISBLANK(Actuals!BD24),-Helpers!BA4*Assumptions!$B$23,Actuals!BD24)</f>
        <v>-7437.2109659999987</v>
      </c>
      <c r="BE27" s="3">
        <f>IF(ISBLANK(Actuals!BE24),-Helpers!BB4*Assumptions!$B$23,Actuals!BE24)</f>
        <v>-7437.2109659999987</v>
      </c>
      <c r="BF27" s="3">
        <f>IF(ISBLANK(Actuals!BF24),-Helpers!BC4*Assumptions!$B$23,Actuals!BF24)</f>
        <v>-7437.2109659999987</v>
      </c>
      <c r="BG27" s="3">
        <f>IF(ISBLANK(Actuals!BG24),-Helpers!BD4*Assumptions!$B$23,Actuals!BG24)</f>
        <v>-7437.2109659999987</v>
      </c>
      <c r="BH27" s="3">
        <f>IF(ISBLANK(Actuals!BH24),-Helpers!BE4*Assumptions!$B$23,Actuals!BH24)</f>
        <v>-7437.2109659999987</v>
      </c>
      <c r="BI27" s="3">
        <f>IF(ISBLANK(Actuals!BI24),-Helpers!BF4*Assumptions!$B$23,Actuals!BI24)</f>
        <v>-7437.2109659999987</v>
      </c>
      <c r="BJ27" s="3">
        <f>IF(ISBLANK(Actuals!BJ24),-Helpers!BG4*Assumptions!$B$23,Actuals!BJ24)</f>
        <v>-7437.2109659999987</v>
      </c>
      <c r="BK27" s="3">
        <f>IF(ISBLANK(Actuals!BK24),-Helpers!BH4*Assumptions!$B$23,Actuals!BK24)</f>
        <v>-7437.2109659999987</v>
      </c>
      <c r="BL27" s="3">
        <f>IF(ISBLANK(Actuals!BL24),-Helpers!BI4*Assumptions!$B$23,Actuals!BL24)</f>
        <v>-7437.2109659999987</v>
      </c>
      <c r="BM27" s="3">
        <f>IF(ISBLANK(Actuals!BM24),-Helpers!BJ4*Assumptions!$B$23,Actuals!BM24)</f>
        <v>-7437.2109659999987</v>
      </c>
      <c r="BN27" s="3">
        <f>IF(ISBLANK(Actuals!BN24),-Helpers!BK4*Assumptions!$B$23,Actuals!BN24)</f>
        <v>-7585.9551853199982</v>
      </c>
      <c r="BO27" s="3">
        <f>IF(ISBLANK(Actuals!BO24),-Helpers!BL4*Assumptions!$B$23,Actuals!BO24)</f>
        <v>-7585.9551853199982</v>
      </c>
      <c r="BP27" s="3">
        <f>IF(ISBLANK(Actuals!BP24),-Helpers!BM4*Assumptions!$B$23,Actuals!BP24)</f>
        <v>-7585.9551853199982</v>
      </c>
      <c r="BQ27" s="3">
        <f>IF(ISBLANK(Actuals!BQ24),-Helpers!BN4*Assumptions!$B$23,Actuals!BQ24)</f>
        <v>-7585.9551853199982</v>
      </c>
      <c r="BR27" s="3">
        <f>IF(ISBLANK(Actuals!BR24),-Helpers!BO4*Assumptions!$B$23,Actuals!BR24)</f>
        <v>-7585.9551853199982</v>
      </c>
      <c r="BS27" s="3">
        <f>IF(ISBLANK(Actuals!BS24),-Helpers!BP4*Assumptions!$B$23,Actuals!BS24)</f>
        <v>-7585.9551853199982</v>
      </c>
      <c r="BT27" s="3">
        <f>IF(ISBLANK(Actuals!BT24),-Helpers!BQ4*Assumptions!$B$23,Actuals!BT24)</f>
        <v>-7585.9551853199982</v>
      </c>
      <c r="BU27" s="3">
        <f>IF(ISBLANK(Actuals!BU24),-Helpers!BR4*Assumptions!$B$23,Actuals!BU24)</f>
        <v>-7585.9551853199982</v>
      </c>
      <c r="BV27" s="3">
        <f>IF(ISBLANK(Actuals!BV24),-Helpers!BS4*Assumptions!$B$23,Actuals!BV24)</f>
        <v>-7585.9551853199982</v>
      </c>
      <c r="BW27" s="3">
        <f>IF(ISBLANK(Actuals!BW24),-Helpers!BT4*Assumptions!$B$23,Actuals!BW24)</f>
        <v>-7585.9551853199982</v>
      </c>
      <c r="BX27" s="3">
        <f>IF(ISBLANK(Actuals!BX24),-Helpers!BU4*Assumptions!$B$23,Actuals!BX24)</f>
        <v>-7585.9551853199982</v>
      </c>
      <c r="BY27" s="3">
        <f>IF(ISBLANK(Actuals!BY24),-Helpers!BV4*Assumptions!$B$23,Actuals!BY24)</f>
        <v>-7585.9551853199982</v>
      </c>
      <c r="BZ27" s="3">
        <f>IF(ISBLANK(Actuals!BZ24),-Helpers!BW4*Assumptions!$B$23,Actuals!BZ24)</f>
        <v>-7737.6742890263977</v>
      </c>
      <c r="CA27" s="3">
        <f>IF(ISBLANK(Actuals!CA24),-Helpers!BX4*Assumptions!$B$23,Actuals!CA24)</f>
        <v>-7737.6742890263977</v>
      </c>
      <c r="CB27" s="3">
        <f>IF(ISBLANK(Actuals!CB24),-Helpers!BY4*Assumptions!$B$23,Actuals!CB24)</f>
        <v>-7737.6742890263977</v>
      </c>
      <c r="CC27" s="3">
        <f>IF(ISBLANK(Actuals!CC24),-Helpers!BZ4*Assumptions!$B$23,Actuals!CC24)</f>
        <v>-7737.6742890263977</v>
      </c>
      <c r="CD27" s="3">
        <f>IF(ISBLANK(Actuals!CD24),-Helpers!CA4*Assumptions!$B$23,Actuals!CD24)</f>
        <v>-7737.6742890263977</v>
      </c>
      <c r="CE27" s="3">
        <f>IF(ISBLANK(Actuals!CE24),-Helpers!CB4*Assumptions!$B$23,Actuals!CE24)</f>
        <v>-7737.6742890263977</v>
      </c>
      <c r="CF27" s="3">
        <f>IF(ISBLANK(Actuals!CF24),-Helpers!CC4*Assumptions!$B$23,Actuals!CF24)</f>
        <v>-7737.6742890263977</v>
      </c>
      <c r="CG27" s="3">
        <f>IF(ISBLANK(Actuals!CG24),-Helpers!CD4*Assumptions!$B$23,Actuals!CG24)</f>
        <v>-7737.6742890263977</v>
      </c>
      <c r="CH27" s="3">
        <f>IF(ISBLANK(Actuals!CH24),-Helpers!CE4*Assumptions!$B$23,Actuals!CH24)</f>
        <v>-7737.6742890263977</v>
      </c>
      <c r="CI27" s="3">
        <f>IF(ISBLANK(Actuals!CI24),-Helpers!CF4*Assumptions!$B$23,Actuals!CI24)</f>
        <v>-7737.6742890263977</v>
      </c>
      <c r="CJ27" s="3">
        <f>IF(ISBLANK(Actuals!CJ24),-Helpers!CG4*Assumptions!$B$23,Actuals!CJ24)</f>
        <v>-7737.6742890263977</v>
      </c>
      <c r="CK27" s="3">
        <f>IF(ISBLANK(Actuals!CK24),-Helpers!CH4*Assumptions!$B$23,Actuals!CK24)</f>
        <v>-7737.6742890263977</v>
      </c>
      <c r="CL27" s="3">
        <f>IF(ISBLANK(Actuals!CL24),-Helpers!CI4*Assumptions!$B$23,Actuals!CL24)</f>
        <v>-7892.4277748069253</v>
      </c>
      <c r="CM27" s="3">
        <f>IF(ISBLANK(Actuals!CM24),-Helpers!CJ4*Assumptions!$B$23,Actuals!CM24)</f>
        <v>-7892.4277748069253</v>
      </c>
      <c r="CN27" s="3">
        <f>IF(ISBLANK(Actuals!CN24),-Helpers!CK4*Assumptions!$B$23,Actuals!CN24)</f>
        <v>-7892.4277748069253</v>
      </c>
      <c r="CO27" s="3">
        <f>IF(ISBLANK(Actuals!CO24),-Helpers!CL4*Assumptions!$B$23,Actuals!CO24)</f>
        <v>-7892.4277748069253</v>
      </c>
      <c r="CP27" s="3">
        <f>IF(ISBLANK(Actuals!CP24),-Helpers!CM4*Assumptions!$B$23,Actuals!CP24)</f>
        <v>-7892.4277748069253</v>
      </c>
      <c r="CQ27" s="3">
        <f>IF(ISBLANK(Actuals!CQ24),-Helpers!CN4*Assumptions!$B$23,Actuals!CQ24)</f>
        <v>-7892.4277748069253</v>
      </c>
      <c r="CR27" s="3">
        <f>IF(ISBLANK(Actuals!CR24),-Helpers!CO4*Assumptions!$B$23,Actuals!CR24)</f>
        <v>-7892.4277748069253</v>
      </c>
      <c r="CS27" s="3">
        <f>IF(ISBLANK(Actuals!CS24),-Helpers!CP4*Assumptions!$B$23,Actuals!CS24)</f>
        <v>-7892.4277748069253</v>
      </c>
      <c r="CT27" s="3">
        <f>IF(ISBLANK(Actuals!CT24),-Helpers!CQ4*Assumptions!$B$23,Actuals!CT24)</f>
        <v>-7892.4277748069253</v>
      </c>
      <c r="CU27" s="3">
        <f>IF(ISBLANK(Actuals!CU24),-Helpers!CR4*Assumptions!$B$23,Actuals!CU24)</f>
        <v>0</v>
      </c>
      <c r="CV27" s="3">
        <f>IF(ISBLANK(Actuals!CV24),-Helpers!CS4*Assumptions!$B$23,Actuals!CV24)</f>
        <v>0</v>
      </c>
      <c r="CW27" s="3">
        <f>IF(ISBLANK(Actuals!CW24),-Helpers!CT4*Assumptions!$B$23,Actuals!CW24)</f>
        <v>0</v>
      </c>
      <c r="CX27" s="3">
        <f>IF(ISBLANK(Actuals!CX24),-Helpers!CU4*Assumptions!$B$23,Actuals!CX24)</f>
        <v>0</v>
      </c>
      <c r="CY27" s="3">
        <f>IF(ISBLANK(Actuals!CY24),-Helpers!CV4*Assumptions!$B$23,Actuals!CY24)</f>
        <v>0</v>
      </c>
      <c r="CZ27" s="3">
        <f>IF(ISBLANK(Actuals!CZ24),-Helpers!CW4*Assumptions!$B$23,Actuals!CZ24)</f>
        <v>0</v>
      </c>
      <c r="DA27" s="3">
        <f>IF(ISBLANK(Actuals!DA24),-Helpers!CX4*Assumptions!$B$23,Actuals!DA24)</f>
        <v>0</v>
      </c>
      <c r="DB27" s="3">
        <f>IF(ISBLANK(Actuals!DB24),-Helpers!CY4*Assumptions!$B$23,Actuals!DB24)</f>
        <v>0</v>
      </c>
      <c r="DC27" s="3">
        <f>IF(ISBLANK(Actuals!DC24),-Helpers!CZ4*Assumptions!$B$23,Actuals!DC24)</f>
        <v>0</v>
      </c>
      <c r="DD27" s="3">
        <f>IF(ISBLANK(Actuals!DD24),-Helpers!DA4*Assumptions!$B$23,Actuals!DD24)</f>
        <v>0</v>
      </c>
      <c r="DE27" s="3">
        <f>IF(ISBLANK(Actuals!DE24),-Helpers!DB4*Assumptions!$B$23,Actuals!DE24)</f>
        <v>0</v>
      </c>
      <c r="DF27" s="3">
        <f>IF(ISBLANK(Actuals!DF24),-Helpers!DC4*Assumptions!$B$23,Actuals!DF24)</f>
        <v>0</v>
      </c>
    </row>
    <row r="28" spans="1:110" ht="15" customHeight="1" x14ac:dyDescent="0.25">
      <c r="A28" s="13" t="s">
        <v>68</v>
      </c>
      <c r="B28" s="302"/>
      <c r="C28" s="3">
        <f>IF(ISBLANK(Actuals!C25),0,Actuals!C25)</f>
        <v>-195</v>
      </c>
      <c r="D28" s="3">
        <f>IF(ISBLANK(Actuals!D25),0,Actuals!D25)</f>
        <v>-200</v>
      </c>
      <c r="E28" s="3">
        <f>IF(ISBLANK(Actuals!E25),0,Actuals!E25)</f>
        <v>0</v>
      </c>
      <c r="F28" s="3">
        <f>IF(ISBLANK(Actuals!F25),-Helpers!C4*Assumptions!$B$21,Actuals!F25)</f>
        <v>0</v>
      </c>
      <c r="G28" s="3">
        <f>IF(ISBLANK(Actuals!G25),-Helpers!D4*Assumptions!$B$21,Actuals!G25)</f>
        <v>-1217.7083333333335</v>
      </c>
      <c r="H28" s="3">
        <f>IF(ISBLANK(Actuals!H25),-Helpers!E4*Assumptions!$B$21,Actuals!H25)</f>
        <v>-1342.7083333333333</v>
      </c>
      <c r="I28" s="3">
        <f>IF(ISBLANK(Actuals!I25),-Helpers!F4*Assumptions!$B$21,Actuals!I25)</f>
        <v>-1396.875</v>
      </c>
      <c r="J28" s="3">
        <f>IF(ISBLANK(Actuals!J25),-Helpers!G4*Assumptions!$B$21,Actuals!J25)</f>
        <v>-1396.875</v>
      </c>
      <c r="K28" s="3">
        <f>IF(ISBLANK(Actuals!K25),-Helpers!H4*Assumptions!$B$21,Actuals!K25)</f>
        <v>-1396.875</v>
      </c>
      <c r="L28" s="3">
        <f>IF(ISBLANK(Actuals!L25),-Helpers!I4*Assumptions!$B$21,Actuals!L25)</f>
        <v>-1501.0416666666663</v>
      </c>
      <c r="M28" s="3">
        <f>IF(ISBLANK(Actuals!M25),-Helpers!J4*Assumptions!$B$21,Actuals!M25)</f>
        <v>-1651.0416666666661</v>
      </c>
      <c r="N28" s="3">
        <f>IF(ISBLANK(Actuals!N25),-Helpers!K4*Assumptions!$B$21,Actuals!N25)</f>
        <v>-1651.0416666666661</v>
      </c>
      <c r="O28" s="3">
        <f>IF(ISBLANK(Actuals!O25),-Helpers!L4*Assumptions!$B$21,Actuals!O25)</f>
        <v>-1651.0416666666661</v>
      </c>
      <c r="P28" s="3">
        <f>IF(ISBLANK(Actuals!P25),-Helpers!M4*Assumptions!$B$21,Actuals!P25)</f>
        <v>-1651.0416666666661</v>
      </c>
      <c r="Q28" s="3">
        <f>IF(ISBLANK(Actuals!Q25),-Helpers!N4*Assumptions!$B$21,Actuals!Q25)</f>
        <v>-1651.0416666666661</v>
      </c>
      <c r="R28" s="3">
        <f>IF(ISBLANK(Actuals!R25),-Helpers!O4*Assumptions!$B$21,Actuals!R25)</f>
        <v>-1752.0624999999995</v>
      </c>
      <c r="S28" s="3">
        <f>IF(ISBLANK(Actuals!S25),-Helpers!P4*Assumptions!$B$21,Actuals!S25)</f>
        <v>-1752.0624999999995</v>
      </c>
      <c r="T28" s="3">
        <f>IF(ISBLANK(Actuals!T25),-Helpers!Q4*Assumptions!$B$21,Actuals!T25)</f>
        <v>-1752.0624999999995</v>
      </c>
      <c r="U28" s="3">
        <f>IF(ISBLANK(Actuals!U25),-Helpers!R4*Assumptions!$B$21,Actuals!U25)</f>
        <v>-1752.0624999999995</v>
      </c>
      <c r="V28" s="3">
        <f>IF(ISBLANK(Actuals!V25),-Helpers!S4*Assumptions!$B$21,Actuals!V25)</f>
        <v>-1752.0624999999995</v>
      </c>
      <c r="W28" s="3">
        <f>IF(ISBLANK(Actuals!W25),-Helpers!T4*Assumptions!$B$21,Actuals!W25)</f>
        <v>-1752.0624999999995</v>
      </c>
      <c r="X28" s="3">
        <f>IF(ISBLANK(Actuals!X25),-Helpers!U4*Assumptions!$B$21,Actuals!X25)</f>
        <v>-1752.0624999999995</v>
      </c>
      <c r="Y28" s="3">
        <f>IF(ISBLANK(Actuals!Y25),-Helpers!V4*Assumptions!$B$21,Actuals!Y25)</f>
        <v>-1752.0624999999995</v>
      </c>
      <c r="Z28" s="3">
        <f>IF(ISBLANK(Actuals!Z25),-Helpers!W4*Assumptions!$B$21,Actuals!Z25)</f>
        <v>-1752.0624999999995</v>
      </c>
      <c r="AA28" s="3">
        <f>IF(ISBLANK(Actuals!AA25),-Helpers!X4*Assumptions!$B$21,Actuals!AA25)</f>
        <v>-1752.0624999999995</v>
      </c>
      <c r="AB28" s="3">
        <f>IF(ISBLANK(Actuals!AB25),-Helpers!Y4*Assumptions!$B$21,Actuals!AB25)</f>
        <v>-1752.0624999999995</v>
      </c>
      <c r="AC28" s="3">
        <f>IF(ISBLANK(Actuals!AC25),-Helpers!Z4*Assumptions!$B$21,Actuals!AC25)</f>
        <v>-1752.0624999999995</v>
      </c>
      <c r="AD28" s="3">
        <f>IF(ISBLANK(Actuals!AD25),-Helpers!AA4*Assumptions!$B$21,Actuals!AD25)</f>
        <v>-1787.1037499999995</v>
      </c>
      <c r="AE28" s="3">
        <f>IF(ISBLANK(Actuals!AE25),-Helpers!AB4*Assumptions!$B$21,Actuals!AE25)</f>
        <v>-1787.1037499999995</v>
      </c>
      <c r="AF28" s="3">
        <f>IF(ISBLANK(Actuals!AF25),-Helpers!AC4*Assumptions!$B$21,Actuals!AF25)</f>
        <v>-1787.1037499999995</v>
      </c>
      <c r="AG28" s="3">
        <f>IF(ISBLANK(Actuals!AG25),-Helpers!AD4*Assumptions!$B$21,Actuals!AG25)</f>
        <v>-1787.1037499999995</v>
      </c>
      <c r="AH28" s="3">
        <f>IF(ISBLANK(Actuals!AH25),-Helpers!AE4*Assumptions!$B$21,Actuals!AH25)</f>
        <v>-1787.1037499999995</v>
      </c>
      <c r="AI28" s="3">
        <f>IF(ISBLANK(Actuals!AI25),-Helpers!AF4*Assumptions!$B$21,Actuals!AI25)</f>
        <v>-1787.1037499999995</v>
      </c>
      <c r="AJ28" s="3">
        <f>IF(ISBLANK(Actuals!AJ25),-Helpers!AG4*Assumptions!$B$21,Actuals!AJ25)</f>
        <v>-1787.1037499999995</v>
      </c>
      <c r="AK28" s="3">
        <f>IF(ISBLANK(Actuals!AK25),-Helpers!AH4*Assumptions!$B$21,Actuals!AK25)</f>
        <v>-1787.1037499999995</v>
      </c>
      <c r="AL28" s="3">
        <f>IF(ISBLANK(Actuals!AL25),-Helpers!AI4*Assumptions!$B$21,Actuals!AL25)</f>
        <v>-1787.1037499999995</v>
      </c>
      <c r="AM28" s="3">
        <f>IF(ISBLANK(Actuals!AM25),-Helpers!AJ4*Assumptions!$B$21,Actuals!AM25)</f>
        <v>-1787.1037499999995</v>
      </c>
      <c r="AN28" s="3">
        <f>IF(ISBLANK(Actuals!AN25),-Helpers!AK4*Assumptions!$B$21,Actuals!AN25)</f>
        <v>-1787.1037499999995</v>
      </c>
      <c r="AO28" s="3">
        <f>IF(ISBLANK(Actuals!AO25),-Helpers!AL4*Assumptions!$B$21,Actuals!AO25)</f>
        <v>-1787.1037499999995</v>
      </c>
      <c r="AP28" s="3">
        <f>IF(ISBLANK(Actuals!AP25),-Helpers!AM4*Assumptions!$B$21,Actuals!AP25)</f>
        <v>-1822.8458249999994</v>
      </c>
      <c r="AQ28" s="3">
        <f>IF(ISBLANK(Actuals!AQ25),-Helpers!AN4*Assumptions!$B$21,Actuals!AQ25)</f>
        <v>-1822.8458249999994</v>
      </c>
      <c r="AR28" s="3">
        <f>IF(ISBLANK(Actuals!AR25),-Helpers!AO4*Assumptions!$B$21,Actuals!AR25)</f>
        <v>-1822.8458249999994</v>
      </c>
      <c r="AS28" s="3">
        <f>IF(ISBLANK(Actuals!AS25),-Helpers!AP4*Assumptions!$B$21,Actuals!AS25)</f>
        <v>-1822.8458249999994</v>
      </c>
      <c r="AT28" s="3">
        <f>IF(ISBLANK(Actuals!AT25),-Helpers!AQ4*Assumptions!$B$21,Actuals!AT25)</f>
        <v>-1822.8458249999994</v>
      </c>
      <c r="AU28" s="3">
        <f>IF(ISBLANK(Actuals!AU25),-Helpers!AR4*Assumptions!$B$21,Actuals!AU25)</f>
        <v>-1822.8458249999994</v>
      </c>
      <c r="AV28" s="3">
        <f>IF(ISBLANK(Actuals!AV25),-Helpers!AS4*Assumptions!$B$21,Actuals!AV25)</f>
        <v>-1822.8458249999994</v>
      </c>
      <c r="AW28" s="3">
        <f>IF(ISBLANK(Actuals!AW25),-Helpers!AT4*Assumptions!$B$21,Actuals!AW25)</f>
        <v>-1822.8458249999994</v>
      </c>
      <c r="AX28" s="3">
        <f>IF(ISBLANK(Actuals!AX25),-Helpers!AU4*Assumptions!$B$21,Actuals!AX25)</f>
        <v>-1822.8458249999994</v>
      </c>
      <c r="AY28" s="3">
        <f>IF(ISBLANK(Actuals!AY25),-Helpers!AV4*Assumptions!$B$21,Actuals!AY25)</f>
        <v>-1822.8458249999994</v>
      </c>
      <c r="AZ28" s="3">
        <f>IF(ISBLANK(Actuals!AZ25),-Helpers!AW4*Assumptions!$B$21,Actuals!AZ25)</f>
        <v>-1822.8458249999994</v>
      </c>
      <c r="BA28" s="3">
        <f>IF(ISBLANK(Actuals!BA25),-Helpers!AX4*Assumptions!$B$21,Actuals!BA25)</f>
        <v>-1822.8458249999994</v>
      </c>
      <c r="BB28" s="3">
        <f>IF(ISBLANK(Actuals!BB25),-Helpers!AY4*Assumptions!$B$21,Actuals!BB25)</f>
        <v>-1859.3027414999997</v>
      </c>
      <c r="BC28" s="3">
        <f>IF(ISBLANK(Actuals!BC25),-Helpers!AZ4*Assumptions!$B$21,Actuals!BC25)</f>
        <v>-1859.3027414999997</v>
      </c>
      <c r="BD28" s="3">
        <f>IF(ISBLANK(Actuals!BD25),-Helpers!BA4*Assumptions!$B$21,Actuals!BD25)</f>
        <v>-1859.3027414999997</v>
      </c>
      <c r="BE28" s="3">
        <f>IF(ISBLANK(Actuals!BE25),-Helpers!BB4*Assumptions!$B$21,Actuals!BE25)</f>
        <v>-1859.3027414999997</v>
      </c>
      <c r="BF28" s="3">
        <f>IF(ISBLANK(Actuals!BF25),-Helpers!BC4*Assumptions!$B$21,Actuals!BF25)</f>
        <v>-1859.3027414999997</v>
      </c>
      <c r="BG28" s="3">
        <f>IF(ISBLANK(Actuals!BG25),-Helpers!BD4*Assumptions!$B$21,Actuals!BG25)</f>
        <v>-1859.3027414999997</v>
      </c>
      <c r="BH28" s="3">
        <f>IF(ISBLANK(Actuals!BH25),-Helpers!BE4*Assumptions!$B$21,Actuals!BH25)</f>
        <v>-1859.3027414999997</v>
      </c>
      <c r="BI28" s="3">
        <f>IF(ISBLANK(Actuals!BI25),-Helpers!BF4*Assumptions!$B$21,Actuals!BI25)</f>
        <v>-1859.3027414999997</v>
      </c>
      <c r="BJ28" s="3">
        <f>IF(ISBLANK(Actuals!BJ25),-Helpers!BG4*Assumptions!$B$21,Actuals!BJ25)</f>
        <v>-1859.3027414999997</v>
      </c>
      <c r="BK28" s="3">
        <f>IF(ISBLANK(Actuals!BK25),-Helpers!BH4*Assumptions!$B$21,Actuals!BK25)</f>
        <v>-1859.3027414999997</v>
      </c>
      <c r="BL28" s="3">
        <f>IF(ISBLANK(Actuals!BL25),-Helpers!BI4*Assumptions!$B$21,Actuals!BL25)</f>
        <v>-1859.3027414999997</v>
      </c>
      <c r="BM28" s="3">
        <f>IF(ISBLANK(Actuals!BM25),-Helpers!BJ4*Assumptions!$B$21,Actuals!BM25)</f>
        <v>-1859.3027414999997</v>
      </c>
      <c r="BN28" s="3">
        <f>IF(ISBLANK(Actuals!BN25),-Helpers!BK4*Assumptions!$B$21,Actuals!BN25)</f>
        <v>-1896.4887963299996</v>
      </c>
      <c r="BO28" s="3">
        <f>IF(ISBLANK(Actuals!BO25),-Helpers!BL4*Assumptions!$B$21,Actuals!BO25)</f>
        <v>-1896.4887963299996</v>
      </c>
      <c r="BP28" s="3">
        <f>IF(ISBLANK(Actuals!BP25),-Helpers!BM4*Assumptions!$B$21,Actuals!BP25)</f>
        <v>-1896.4887963299996</v>
      </c>
      <c r="BQ28" s="3">
        <f>IF(ISBLANK(Actuals!BQ25),-Helpers!BN4*Assumptions!$B$21,Actuals!BQ25)</f>
        <v>-1896.4887963299996</v>
      </c>
      <c r="BR28" s="3">
        <f>IF(ISBLANK(Actuals!BR25),-Helpers!BO4*Assumptions!$B$21,Actuals!BR25)</f>
        <v>-1896.4887963299996</v>
      </c>
      <c r="BS28" s="3">
        <f>IF(ISBLANK(Actuals!BS25),-Helpers!BP4*Assumptions!$B$21,Actuals!BS25)</f>
        <v>-1896.4887963299996</v>
      </c>
      <c r="BT28" s="3">
        <f>IF(ISBLANK(Actuals!BT25),-Helpers!BQ4*Assumptions!$B$21,Actuals!BT25)</f>
        <v>-1896.4887963299996</v>
      </c>
      <c r="BU28" s="3">
        <f>IF(ISBLANK(Actuals!BU25),-Helpers!BR4*Assumptions!$B$21,Actuals!BU25)</f>
        <v>-1896.4887963299996</v>
      </c>
      <c r="BV28" s="3">
        <f>IF(ISBLANK(Actuals!BV25),-Helpers!BS4*Assumptions!$B$21,Actuals!BV25)</f>
        <v>-1896.4887963299996</v>
      </c>
      <c r="BW28" s="3">
        <f>IF(ISBLANK(Actuals!BW25),-Helpers!BT4*Assumptions!$B$21,Actuals!BW25)</f>
        <v>-1896.4887963299996</v>
      </c>
      <c r="BX28" s="3">
        <f>IF(ISBLANK(Actuals!BX25),-Helpers!BU4*Assumptions!$B$21,Actuals!BX25)</f>
        <v>-1896.4887963299996</v>
      </c>
      <c r="BY28" s="3">
        <f>IF(ISBLANK(Actuals!BY25),-Helpers!BV4*Assumptions!$B$21,Actuals!BY25)</f>
        <v>-1896.4887963299996</v>
      </c>
      <c r="BZ28" s="3">
        <f>IF(ISBLANK(Actuals!BZ25),-Helpers!BW4*Assumptions!$B$21,Actuals!BZ25)</f>
        <v>-1934.4185722565994</v>
      </c>
      <c r="CA28" s="3">
        <f>IF(ISBLANK(Actuals!CA25),-Helpers!BX4*Assumptions!$B$21,Actuals!CA25)</f>
        <v>-1934.4185722565994</v>
      </c>
      <c r="CB28" s="3">
        <f>IF(ISBLANK(Actuals!CB25),-Helpers!BY4*Assumptions!$B$21,Actuals!CB25)</f>
        <v>-1934.4185722565994</v>
      </c>
      <c r="CC28" s="3">
        <f>IF(ISBLANK(Actuals!CC25),-Helpers!BZ4*Assumptions!$B$21,Actuals!CC25)</f>
        <v>-1934.4185722565994</v>
      </c>
      <c r="CD28" s="3">
        <f>IF(ISBLANK(Actuals!CD25),-Helpers!CA4*Assumptions!$B$21,Actuals!CD25)</f>
        <v>-1934.4185722565994</v>
      </c>
      <c r="CE28" s="3">
        <f>IF(ISBLANK(Actuals!CE25),-Helpers!CB4*Assumptions!$B$21,Actuals!CE25)</f>
        <v>-1934.4185722565994</v>
      </c>
      <c r="CF28" s="3">
        <f>IF(ISBLANK(Actuals!CF25),-Helpers!CC4*Assumptions!$B$21,Actuals!CF25)</f>
        <v>-1934.4185722565994</v>
      </c>
      <c r="CG28" s="3">
        <f>IF(ISBLANK(Actuals!CG25),-Helpers!CD4*Assumptions!$B$21,Actuals!CG25)</f>
        <v>-1934.4185722565994</v>
      </c>
      <c r="CH28" s="3">
        <f>IF(ISBLANK(Actuals!CH25),-Helpers!CE4*Assumptions!$B$21,Actuals!CH25)</f>
        <v>-1934.4185722565994</v>
      </c>
      <c r="CI28" s="3">
        <f>IF(ISBLANK(Actuals!CI25),-Helpers!CF4*Assumptions!$B$21,Actuals!CI25)</f>
        <v>-1934.4185722565994</v>
      </c>
      <c r="CJ28" s="3">
        <f>IF(ISBLANK(Actuals!CJ25),-Helpers!CG4*Assumptions!$B$21,Actuals!CJ25)</f>
        <v>-1934.4185722565994</v>
      </c>
      <c r="CK28" s="3">
        <f>IF(ISBLANK(Actuals!CK25),-Helpers!CH4*Assumptions!$B$21,Actuals!CK25)</f>
        <v>-1934.4185722565994</v>
      </c>
      <c r="CL28" s="3">
        <f>IF(ISBLANK(Actuals!CL25),-Helpers!CI4*Assumptions!$B$21,Actuals!CL25)</f>
        <v>-1973.1069437017313</v>
      </c>
      <c r="CM28" s="3">
        <f>IF(ISBLANK(Actuals!CM25),-Helpers!CJ4*Assumptions!$B$21,Actuals!CM25)</f>
        <v>-1973.1069437017313</v>
      </c>
      <c r="CN28" s="3">
        <f>IF(ISBLANK(Actuals!CN25),-Helpers!CK4*Assumptions!$B$21,Actuals!CN25)</f>
        <v>-1973.1069437017313</v>
      </c>
      <c r="CO28" s="3">
        <f>IF(ISBLANK(Actuals!CO25),-Helpers!CL4*Assumptions!$B$21,Actuals!CO25)</f>
        <v>-1973.1069437017313</v>
      </c>
      <c r="CP28" s="3">
        <f>IF(ISBLANK(Actuals!CP25),-Helpers!CM4*Assumptions!$B$21,Actuals!CP25)</f>
        <v>-1973.1069437017313</v>
      </c>
      <c r="CQ28" s="3">
        <f>IF(ISBLANK(Actuals!CQ25),-Helpers!CN4*Assumptions!$B$21,Actuals!CQ25)</f>
        <v>-1973.1069437017313</v>
      </c>
      <c r="CR28" s="3">
        <f>IF(ISBLANK(Actuals!CR25),-Helpers!CO4*Assumptions!$B$21,Actuals!CR25)</f>
        <v>-1973.1069437017313</v>
      </c>
      <c r="CS28" s="3">
        <f>IF(ISBLANK(Actuals!CS25),-Helpers!CP4*Assumptions!$B$21,Actuals!CS25)</f>
        <v>-1973.1069437017313</v>
      </c>
      <c r="CT28" s="3">
        <f>IF(ISBLANK(Actuals!CT25),-Helpers!CQ4*Assumptions!$B$21,Actuals!CT25)</f>
        <v>-1973.1069437017313</v>
      </c>
      <c r="CU28" s="3">
        <f>IF(ISBLANK(Actuals!CU25),-Helpers!CR4*Assumptions!$B$21,Actuals!CU25)</f>
        <v>0</v>
      </c>
      <c r="CV28" s="3">
        <f>IF(ISBLANK(Actuals!CV25),-Helpers!CS4*Assumptions!$B$21,Actuals!CV25)</f>
        <v>0</v>
      </c>
      <c r="CW28" s="3">
        <f>IF(ISBLANK(Actuals!CW25),-Helpers!CT4*Assumptions!$B$21,Actuals!CW25)</f>
        <v>0</v>
      </c>
      <c r="CX28" s="3">
        <f>IF(ISBLANK(Actuals!CX25),-Helpers!CU4*Assumptions!$B$21,Actuals!CX25)</f>
        <v>0</v>
      </c>
      <c r="CY28" s="3">
        <f>IF(ISBLANK(Actuals!CY25),-Helpers!CV4*Assumptions!$B$21,Actuals!CY25)</f>
        <v>0</v>
      </c>
      <c r="CZ28" s="3">
        <f>IF(ISBLANK(Actuals!CZ25),-Helpers!CW4*Assumptions!$B$21,Actuals!CZ25)</f>
        <v>0</v>
      </c>
      <c r="DA28" s="3">
        <f>IF(ISBLANK(Actuals!DA25),-Helpers!CX4*Assumptions!$B$21,Actuals!DA25)</f>
        <v>0</v>
      </c>
      <c r="DB28" s="3">
        <f>IF(ISBLANK(Actuals!DB25),-Helpers!CY4*Assumptions!$B$21,Actuals!DB25)</f>
        <v>0</v>
      </c>
      <c r="DC28" s="3">
        <f>IF(ISBLANK(Actuals!DC25),-Helpers!CZ4*Assumptions!$B$21,Actuals!DC25)</f>
        <v>0</v>
      </c>
      <c r="DD28" s="3">
        <f>IF(ISBLANK(Actuals!DD25),-Helpers!DA4*Assumptions!$B$21,Actuals!DD25)</f>
        <v>0</v>
      </c>
      <c r="DE28" s="3">
        <f>IF(ISBLANK(Actuals!DE25),-Helpers!DB4*Assumptions!$B$21,Actuals!DE25)</f>
        <v>0</v>
      </c>
      <c r="DF28" s="3">
        <f>IF(ISBLANK(Actuals!DF25),-Helpers!DC4*Assumptions!$B$21,Actuals!DF25)</f>
        <v>0</v>
      </c>
    </row>
    <row r="29" spans="1:110" ht="15" customHeight="1" x14ac:dyDescent="0.25">
      <c r="A29" s="13" t="s">
        <v>69</v>
      </c>
      <c r="B29" s="302"/>
      <c r="C29" s="3">
        <f>IF(ISBLANK(Actuals!C26),0,Actuals!C26)</f>
        <v>-33002.28</v>
      </c>
      <c r="D29" s="3">
        <f>IF(ISBLANK(Actuals!D26),0,Actuals!D26)</f>
        <v>-29166.66</v>
      </c>
      <c r="E29" s="3">
        <f>IF(ISBLANK(Actuals!E26),0,Actuals!E26)</f>
        <v>-41666.660000000003</v>
      </c>
      <c r="F29" s="3">
        <f>IF(ISBLANK(Actuals!F26),-29166.66*Escalation!$B$2,Actuals!F26)</f>
        <v>-29166.66</v>
      </c>
      <c r="G29" s="3">
        <f>IF(ISBLANK(Actuals!G26),-29166.66*Escalation!$B$3,Actuals!G26)</f>
        <v>-29166.66</v>
      </c>
      <c r="H29" s="3">
        <f>IF(ISBLANK(Actuals!H26),-29166.66*Escalation!$B$4,Actuals!H26)</f>
        <v>-29166.66</v>
      </c>
      <c r="I29" s="3">
        <f>IF(ISBLANK(Actuals!I26),-29166.66*Escalation!$B$5,Actuals!I26)</f>
        <v>-29166.66</v>
      </c>
      <c r="J29" s="3">
        <f>IF(ISBLANK(Actuals!J26),-29166.66*Escalation!$B$6,Actuals!J26)</f>
        <v>-29166.66</v>
      </c>
      <c r="K29" s="3">
        <f>IF(ISBLANK(Actuals!K26),-29166.66*Escalation!$B$7,Actuals!K26)</f>
        <v>-29166.66</v>
      </c>
      <c r="L29" s="3">
        <f>IF(ISBLANK(Actuals!L26),-29166.66*Escalation!$B$8,Actuals!L26)</f>
        <v>-29166.66</v>
      </c>
      <c r="M29" s="3">
        <f>IF(ISBLANK(Actuals!M26),-29166.66*Escalation!$B$9,Actuals!M26)</f>
        <v>-29166.66</v>
      </c>
      <c r="N29" s="3">
        <f>IF(ISBLANK(Actuals!N26),-29166.66*Escalation!$B$10,Actuals!N26)</f>
        <v>-29166.66</v>
      </c>
      <c r="O29" s="3">
        <f>IF(ISBLANK(Actuals!O26),-29166.66*Escalation!$B$11,Actuals!O26)</f>
        <v>-29166.66</v>
      </c>
      <c r="P29" s="3">
        <f>IF(ISBLANK(Actuals!P26),-29166.66*Escalation!$B$12,Actuals!P26)</f>
        <v>-29166.66</v>
      </c>
      <c r="Q29" s="3">
        <f>IF(ISBLANK(Actuals!Q26),-29166.66*Escalation!$B$13,Actuals!Q26)</f>
        <v>-29166.66</v>
      </c>
      <c r="R29" s="3">
        <f>IF(ISBLANK(Actuals!R26),-29166.66*Escalation!$B$14,Actuals!R26)</f>
        <v>-29749.993200000001</v>
      </c>
      <c r="S29" s="3">
        <f>IF(ISBLANK(Actuals!S26),-29166.66*Escalation!$B$15,Actuals!S26)</f>
        <v>-29749.993200000001</v>
      </c>
      <c r="T29" s="3">
        <f>IF(ISBLANK(Actuals!T26),-29166.66*Escalation!$B$16,Actuals!T26)</f>
        <v>-29749.993200000001</v>
      </c>
      <c r="U29" s="3">
        <f>IF(ISBLANK(Actuals!U26),-29166.66*Escalation!$B$17,Actuals!U26)</f>
        <v>-29749.993200000001</v>
      </c>
      <c r="V29" s="3">
        <f>IF(ISBLANK(Actuals!V26),-29166.66*Escalation!$B$18,Actuals!V26)</f>
        <v>-29749.993200000001</v>
      </c>
      <c r="W29" s="3">
        <f>IF(ISBLANK(Actuals!W26),-29166.66*Escalation!$B$19,Actuals!W26)</f>
        <v>-29749.993200000001</v>
      </c>
      <c r="X29" s="3">
        <f>IF(ISBLANK(Actuals!X26),-29166.66*Escalation!$B$20,Actuals!X26)</f>
        <v>-29749.993200000001</v>
      </c>
      <c r="Y29" s="3">
        <f>IF(ISBLANK(Actuals!Y26),-29166.66*Escalation!$B$21,Actuals!Y26)</f>
        <v>-29749.993200000001</v>
      </c>
      <c r="Z29" s="3">
        <f>IF(ISBLANK(Actuals!Z26),-29166.66*Escalation!$B$22,Actuals!Z26)</f>
        <v>-29749.993200000001</v>
      </c>
      <c r="AA29" s="3">
        <f>IF(ISBLANK(Actuals!AA26),-29166.66*Escalation!$B$23,Actuals!AA26)</f>
        <v>-29749.993200000001</v>
      </c>
      <c r="AB29" s="3">
        <f>IF(ISBLANK(Actuals!AB26),-29166.66*Escalation!$B$24,Actuals!AB26)</f>
        <v>-29749.993200000001</v>
      </c>
      <c r="AC29" s="3">
        <f>IF(ISBLANK(Actuals!AC26),-29166.66*Escalation!$B$25,Actuals!AC26)</f>
        <v>-29749.993200000001</v>
      </c>
      <c r="AD29" s="3">
        <f>IF(ISBLANK(Actuals!AD26),-29166.66*Escalation!$B$26,Actuals!AD26)</f>
        <v>-30344.993063999998</v>
      </c>
      <c r="AE29" s="3">
        <f>IF(ISBLANK(Actuals!AE26),-29166.66*Escalation!$B$27,Actuals!AE26)</f>
        <v>-30344.993063999998</v>
      </c>
      <c r="AF29" s="3">
        <f>IF(ISBLANK(Actuals!AF26),-29166.66*Escalation!$B$28,Actuals!AF26)</f>
        <v>-30344.993063999998</v>
      </c>
      <c r="AG29" s="3">
        <f>IF(ISBLANK(Actuals!AG26),-29166.66*Escalation!$B$29,Actuals!AG26)</f>
        <v>-30344.993063999998</v>
      </c>
      <c r="AH29" s="3">
        <f>IF(ISBLANK(Actuals!AH26),-29166.66*Escalation!$B$30,Actuals!AH26)</f>
        <v>-30344.993063999998</v>
      </c>
      <c r="AI29" s="3">
        <f>IF(ISBLANK(Actuals!AI26),-29166.66*Escalation!$B$31,Actuals!AI26)</f>
        <v>-30344.993063999998</v>
      </c>
      <c r="AJ29" s="3">
        <f>IF(ISBLANK(Actuals!AJ26),-29166.66*Escalation!$B$32,Actuals!AJ26)</f>
        <v>-30344.993063999998</v>
      </c>
      <c r="AK29" s="3">
        <f>IF(ISBLANK(Actuals!AK26),-29166.66*Escalation!$B$33,Actuals!AK26)</f>
        <v>-30344.993063999998</v>
      </c>
      <c r="AL29" s="3">
        <f>IF(ISBLANK(Actuals!AL26),-29166.66*Escalation!$B$34,Actuals!AL26)</f>
        <v>-30344.993063999998</v>
      </c>
      <c r="AM29" s="3">
        <f>IF(ISBLANK(Actuals!AM26),-29166.66*Escalation!$B$35,Actuals!AM26)</f>
        <v>-30344.993063999998</v>
      </c>
      <c r="AN29" s="3">
        <f>IF(ISBLANK(Actuals!AN26),-29166.66*Escalation!$B$36,Actuals!AN26)</f>
        <v>-30344.993063999998</v>
      </c>
      <c r="AO29" s="3">
        <f>IF(ISBLANK(Actuals!AO26),-29166.66*Escalation!$B$37,Actuals!AO26)</f>
        <v>-30344.993063999998</v>
      </c>
      <c r="AP29" s="3">
        <f>IF(ISBLANK(Actuals!AP26),-29166.66*Escalation!$B$38,Actuals!AP26)</f>
        <v>-30951.892925279997</v>
      </c>
      <c r="AQ29" s="3">
        <f>IF(ISBLANK(Actuals!AQ26),-29166.66*Escalation!$B$39,Actuals!AQ26)</f>
        <v>-30951.892925279997</v>
      </c>
      <c r="AR29" s="3">
        <f>IF(ISBLANK(Actuals!AR26),-29166.66*Escalation!$B$40,Actuals!AR26)</f>
        <v>-30951.892925279997</v>
      </c>
      <c r="AS29" s="3">
        <f>IF(ISBLANK(Actuals!AS26),-29166.66*Escalation!$B$41,Actuals!AS26)</f>
        <v>-30951.892925279997</v>
      </c>
      <c r="AT29" s="3">
        <f>IF(ISBLANK(Actuals!AT26),-29166.66*Escalation!$B$42,Actuals!AT26)</f>
        <v>-30951.892925279997</v>
      </c>
      <c r="AU29" s="3">
        <f>IF(ISBLANK(Actuals!AU26),-29166.66*Escalation!$B$43,Actuals!AU26)</f>
        <v>-30951.892925279997</v>
      </c>
      <c r="AV29" s="3">
        <f>IF(ISBLANK(Actuals!AV26),-29166.66*Escalation!$B$44,Actuals!AV26)</f>
        <v>-30951.892925279997</v>
      </c>
      <c r="AW29" s="3">
        <f>IF(ISBLANK(Actuals!AW26),-29166.66*Escalation!$B$45,Actuals!AW26)</f>
        <v>-30951.892925279997</v>
      </c>
      <c r="AX29" s="3">
        <f>IF(ISBLANK(Actuals!AX26),-29166.66*Escalation!$B$46,Actuals!AX26)</f>
        <v>-30951.892925279997</v>
      </c>
      <c r="AY29" s="3">
        <f>IF(ISBLANK(Actuals!AY26),-29166.66*Escalation!$B$47,Actuals!AY26)</f>
        <v>-30951.892925279997</v>
      </c>
      <c r="AZ29" s="3">
        <f>IF(ISBLANK(Actuals!AZ26),-29166.66*Escalation!$B$48,Actuals!AZ26)</f>
        <v>-30951.892925279997</v>
      </c>
      <c r="BA29" s="3">
        <f>IF(ISBLANK(Actuals!BA26),-29166.66*Escalation!$B$49,Actuals!BA26)</f>
        <v>-30951.892925279997</v>
      </c>
      <c r="BB29" s="3">
        <f>IF(ISBLANK(Actuals!BB26),-29166.66*Escalation!$B$50,Actuals!BB26)</f>
        <v>-31570.930783785599</v>
      </c>
      <c r="BC29" s="3">
        <f>IF(ISBLANK(Actuals!BC26),-29166.66*Escalation!$B$51,Actuals!BC26)</f>
        <v>-31570.930783785599</v>
      </c>
      <c r="BD29" s="3">
        <f>IF(ISBLANK(Actuals!BD26),-29166.66*Escalation!$B$52,Actuals!BD26)</f>
        <v>-31570.930783785599</v>
      </c>
      <c r="BE29" s="3">
        <f>IF(ISBLANK(Actuals!BE26),-29166.66*Escalation!$B$53,Actuals!BE26)</f>
        <v>-31570.930783785599</v>
      </c>
      <c r="BF29" s="3">
        <f>IF(ISBLANK(Actuals!BF26),-29166.66*Escalation!$B$54,Actuals!BF26)</f>
        <v>-31570.930783785599</v>
      </c>
      <c r="BG29" s="3">
        <f>IF(ISBLANK(Actuals!BG26),-29166.66*Escalation!$B$55,Actuals!BG26)</f>
        <v>-31570.930783785599</v>
      </c>
      <c r="BH29" s="3">
        <f>IF(ISBLANK(Actuals!BH26),-29166.66*Escalation!$B$56,Actuals!BH26)</f>
        <v>-31570.930783785599</v>
      </c>
      <c r="BI29" s="3">
        <f>IF(ISBLANK(Actuals!BI26),-29166.66*Escalation!$B$57,Actuals!BI26)</f>
        <v>-31570.930783785599</v>
      </c>
      <c r="BJ29" s="3">
        <f>IF(ISBLANK(Actuals!BJ26),-29166.66*Escalation!$B$58,Actuals!BJ26)</f>
        <v>-31570.930783785599</v>
      </c>
      <c r="BK29" s="3">
        <f>IF(ISBLANK(Actuals!BK26),-29166.66*Escalation!$B$59,Actuals!BK26)</f>
        <v>-31570.930783785599</v>
      </c>
      <c r="BL29" s="3">
        <f>IF(ISBLANK(Actuals!BL26),-29166.66*Escalation!$B$60,Actuals!BL26)</f>
        <v>-31570.930783785599</v>
      </c>
      <c r="BM29" s="3">
        <f>IF(ISBLANK(Actuals!BM26),-29166.66*Escalation!$B$61,Actuals!BM26)</f>
        <v>-31570.930783785599</v>
      </c>
      <c r="BN29" s="3">
        <f>IF(ISBLANK(Actuals!BN26),-29166.66*Escalation!$B$62,Actuals!BN26)</f>
        <v>-32202.349399461313</v>
      </c>
      <c r="BO29" s="3">
        <f>IF(ISBLANK(Actuals!BO26),-29166.66*Escalation!$B$63,Actuals!BO26)</f>
        <v>-32202.349399461313</v>
      </c>
      <c r="BP29" s="3">
        <f>IF(ISBLANK(Actuals!BP26),-29166.66*Escalation!$B$64,Actuals!BP26)</f>
        <v>-32202.349399461313</v>
      </c>
      <c r="BQ29" s="3">
        <f>IF(ISBLANK(Actuals!BQ26),-29166.66*Escalation!$B$65,Actuals!BQ26)</f>
        <v>-32202.349399461313</v>
      </c>
      <c r="BR29" s="3">
        <f>IF(ISBLANK(Actuals!BR26),-29166.66*Escalation!$B$66,Actuals!BR26)</f>
        <v>-32202.349399461313</v>
      </c>
      <c r="BS29" s="3">
        <f>IF(ISBLANK(Actuals!BS26),-29166.66*Escalation!$B$67,Actuals!BS26)</f>
        <v>-32202.349399461313</v>
      </c>
      <c r="BT29" s="3">
        <f>IF(ISBLANK(Actuals!BT26),-29166.66*Escalation!$B$68,Actuals!BT26)</f>
        <v>-32202.349399461313</v>
      </c>
      <c r="BU29" s="3">
        <f>IF(ISBLANK(Actuals!BU26),-29166.66*Escalation!$B$69,Actuals!BU26)</f>
        <v>-32202.349399461313</v>
      </c>
      <c r="BV29" s="3">
        <f>IF(ISBLANK(Actuals!BV26),-29166.66*Escalation!$B$70,Actuals!BV26)</f>
        <v>-32202.349399461313</v>
      </c>
      <c r="BW29" s="3">
        <f>IF(ISBLANK(Actuals!BW26),-29166.66*Escalation!$B$71,Actuals!BW26)</f>
        <v>-32202.349399461313</v>
      </c>
      <c r="BX29" s="3">
        <f>IF(ISBLANK(Actuals!BX26),-29166.66*Escalation!$B$72,Actuals!BX26)</f>
        <v>-32202.349399461313</v>
      </c>
      <c r="BY29" s="3">
        <f>IF(ISBLANK(Actuals!BY26),-29166.66*Escalation!$B$73,Actuals!BY26)</f>
        <v>-32202.349399461313</v>
      </c>
      <c r="BZ29" s="3">
        <f>IF(ISBLANK(Actuals!BZ26),-29166.66*Escalation!$B$74,Actuals!BZ26)</f>
        <v>-32846.396387450543</v>
      </c>
      <c r="CA29" s="3">
        <f>IF(ISBLANK(Actuals!CA26),-29166.66*Escalation!$B$75,Actuals!CA26)</f>
        <v>-32846.396387450543</v>
      </c>
      <c r="CB29" s="3">
        <f>IF(ISBLANK(Actuals!CB26),-29166.66*Escalation!$B$76,Actuals!CB26)</f>
        <v>-32846.396387450543</v>
      </c>
      <c r="CC29" s="3">
        <f>IF(ISBLANK(Actuals!CC26),-29166.66*Escalation!$B$77,Actuals!CC26)</f>
        <v>-32846.396387450543</v>
      </c>
      <c r="CD29" s="3">
        <f>IF(ISBLANK(Actuals!CD26),-29166.66*Escalation!$B$78,Actuals!CD26)</f>
        <v>-32846.396387450543</v>
      </c>
      <c r="CE29" s="3">
        <f>IF(ISBLANK(Actuals!CE26),-29166.66*Escalation!$B$79,Actuals!CE26)</f>
        <v>-32846.396387450543</v>
      </c>
      <c r="CF29" s="3">
        <f>IF(ISBLANK(Actuals!CF26),-29166.66*Escalation!$B$80,Actuals!CF26)</f>
        <v>-32846.396387450543</v>
      </c>
      <c r="CG29" s="3">
        <f>IF(ISBLANK(Actuals!CG26),-29166.66*Escalation!$B$81,Actuals!CG26)</f>
        <v>-32846.396387450543</v>
      </c>
      <c r="CH29" s="3">
        <f>IF(ISBLANK(Actuals!CH26),-29166.66*Escalation!$B$82,Actuals!CH26)</f>
        <v>-32846.396387450543</v>
      </c>
      <c r="CI29" s="3">
        <f>IF(ISBLANK(Actuals!CI26),-29166.66*Escalation!$B$83,Actuals!CI26)</f>
        <v>-32846.396387450543</v>
      </c>
      <c r="CJ29" s="3">
        <f>IF(ISBLANK(Actuals!CJ26),-29166.66*Escalation!$B$84,Actuals!CJ26)</f>
        <v>-32846.396387450543</v>
      </c>
      <c r="CK29" s="3">
        <f>IF(ISBLANK(Actuals!CK26),-29166.66*Escalation!$B$85,Actuals!CK26)</f>
        <v>-32846.396387450543</v>
      </c>
      <c r="CL29" s="3">
        <f>IF(ISBLANK(Actuals!CL26),-29166.66*Escalation!$B$86,Actuals!CL26)</f>
        <v>-33503.324315199541</v>
      </c>
      <c r="CM29" s="3">
        <f>IF(ISBLANK(Actuals!CM26),-29166.66*Escalation!$B$87,Actuals!CM26)</f>
        <v>-33503.324315199541</v>
      </c>
      <c r="CN29" s="3">
        <f>IF(ISBLANK(Actuals!CN26),-29166.66*Escalation!$B$88,Actuals!CN26)</f>
        <v>-33503.324315199541</v>
      </c>
      <c r="CO29" s="3">
        <f>IF(ISBLANK(Actuals!CO26),-29166.66*Escalation!$B$89,Actuals!CO26)</f>
        <v>-33503.324315199541</v>
      </c>
      <c r="CP29" s="3">
        <f>IF(ISBLANK(Actuals!CP26),-29166.66*Escalation!$B$90,Actuals!CP26)</f>
        <v>-33503.324315199541</v>
      </c>
      <c r="CQ29" s="3">
        <f>IF(ISBLANK(Actuals!CQ26),-29166.66*Escalation!$B$91,Actuals!CQ26)</f>
        <v>-33503.324315199541</v>
      </c>
      <c r="CR29" s="3">
        <f>IF(ISBLANK(Actuals!CR26),-29166.66*Escalation!$B$92,Actuals!CR26)</f>
        <v>-33503.324315199541</v>
      </c>
      <c r="CS29" s="3">
        <f>IF(ISBLANK(Actuals!CS26),-29166.66*Escalation!$B$93,Actuals!CS26)</f>
        <v>-33503.324315199541</v>
      </c>
      <c r="CT29" s="3">
        <f>IF(ISBLANK(Actuals!CT26),-29166.66*Escalation!$B$94,Actuals!CT26)</f>
        <v>-33503.324315199541</v>
      </c>
      <c r="CU29" s="3">
        <f>IF(ISBLANK(Actuals!CU26),-29166.66*Escalation!$B$95,Actuals!CU26)</f>
        <v>-33503.324315199541</v>
      </c>
      <c r="CV29" s="3">
        <f>IF(ISBLANK(Actuals!CV26),-29166.66*Escalation!$B$96,Actuals!CV26)</f>
        <v>-33503.324315199541</v>
      </c>
      <c r="CW29" s="3">
        <f>IF(ISBLANK(Actuals!CW26),-29166.66*Escalation!$B$97,Actuals!CW26)</f>
        <v>-33503.324315199541</v>
      </c>
      <c r="CX29" s="3">
        <f>IF(ISBLANK(Actuals!CX26),-29166.66*Escalation!$B$98,Actuals!CX26)</f>
        <v>-34173.390801503534</v>
      </c>
      <c r="CY29" s="3">
        <f>IF(ISBLANK(Actuals!CY26),-29166.66*Escalation!$B$99,Actuals!CY26)</f>
        <v>-34173.390801503534</v>
      </c>
      <c r="CZ29" s="3">
        <f>IF(ISBLANK(Actuals!CZ26),-29166.66*Escalation!$B$100,Actuals!CZ26)</f>
        <v>-34173.390801503534</v>
      </c>
      <c r="DA29" s="3">
        <f>IF(ISBLANK(Actuals!DA26),-29166.66*Escalation!$B$101,Actuals!DA26)</f>
        <v>-34173.390801503534</v>
      </c>
      <c r="DB29" s="3">
        <f>IF(ISBLANK(Actuals!DB26),-29166.66*Escalation!$B$102,Actuals!DB26)</f>
        <v>-34173.390801503534</v>
      </c>
      <c r="DC29" s="3">
        <f>IF(ISBLANK(Actuals!DC26),-29166.66*Escalation!$B$103,Actuals!DC26)</f>
        <v>-34173.390801503534</v>
      </c>
      <c r="DD29" s="3">
        <f>IF(ISBLANK(Actuals!DD26),-29166.66*Escalation!$B$104,Actuals!DD26)</f>
        <v>-34173.390801503534</v>
      </c>
      <c r="DE29" s="3">
        <f>IF(ISBLANK(Actuals!DE26),-29166.66*Escalation!$B$105,Actuals!DE26)</f>
        <v>-34173.390801503534</v>
      </c>
      <c r="DF29" s="3">
        <f>IF(ISBLANK(Actuals!DF26),-29166.66*Escalation!$B$106,Actuals!DF26)</f>
        <v>-34173.390801503534</v>
      </c>
    </row>
    <row r="30" spans="1:110" ht="15" customHeight="1" x14ac:dyDescent="0.25">
      <c r="A30" s="13" t="s">
        <v>70</v>
      </c>
      <c r="B30" s="302"/>
      <c r="C30" s="3">
        <f>IF(ISBLANK(Actuals!C27),0,Actuals!C27)</f>
        <v>0</v>
      </c>
      <c r="D30" s="3">
        <f>IF(ISBLANK(Actuals!D27),0,Actuals!D27)</f>
        <v>0</v>
      </c>
      <c r="E30" s="3">
        <f>IF(ISBLANK(Actuals!E27),0,Actuals!E27)</f>
        <v>0</v>
      </c>
      <c r="F30" s="3">
        <f>IF(ISBLANK(Actuals!F27),0*Escalation!$B$2,Actuals!F27)</f>
        <v>251304.48</v>
      </c>
      <c r="G30" s="3">
        <f>IF(ISBLANK(Actuals!G27),0*Escalation!$B$3,Actuals!G27)</f>
        <v>0</v>
      </c>
      <c r="H30" s="3">
        <f>IF(ISBLANK(Actuals!H27),0*Escalation!$B$4,Actuals!H27)</f>
        <v>0</v>
      </c>
      <c r="I30" s="3">
        <f>IF(ISBLANK(Actuals!I27),0*Escalation!$B$5,Actuals!I27)</f>
        <v>0</v>
      </c>
      <c r="J30" s="3">
        <f>IF(ISBLANK(Actuals!J27),0*Escalation!$B$6,Actuals!J27)</f>
        <v>0</v>
      </c>
      <c r="K30" s="3">
        <f>IF(ISBLANK(Actuals!K27),0*Escalation!$B$7,Actuals!K27)</f>
        <v>0</v>
      </c>
      <c r="L30" s="3">
        <f>IF(ISBLANK(Actuals!L27),0*Escalation!$B$8,Actuals!L27)</f>
        <v>0</v>
      </c>
      <c r="M30" s="3">
        <f>IF(ISBLANK(Actuals!M27),0*Escalation!$B$9,Actuals!M27)</f>
        <v>0</v>
      </c>
      <c r="N30" s="3">
        <f>IF(ISBLANK(Actuals!N27),0*Escalation!$B$10,Actuals!N27)</f>
        <v>0</v>
      </c>
      <c r="O30" s="3">
        <f>IF(ISBLANK(Actuals!O27),0*Escalation!$B$11,Actuals!O27)</f>
        <v>0</v>
      </c>
      <c r="P30" s="3">
        <f>IF(ISBLANK(Actuals!P27),0*Escalation!$B$12,Actuals!P27)</f>
        <v>0</v>
      </c>
      <c r="Q30" s="3">
        <f>IF(ISBLANK(Actuals!Q27),0*Escalation!$B$13,Actuals!Q27)</f>
        <v>0</v>
      </c>
      <c r="R30" s="3">
        <f>IF(ISBLANK(Actuals!R27),0*Escalation!$B$14,Actuals!R27)</f>
        <v>0</v>
      </c>
      <c r="S30" s="3">
        <f>IF(ISBLANK(Actuals!S27),0*Escalation!$B$15,Actuals!S27)</f>
        <v>0</v>
      </c>
      <c r="T30" s="3">
        <f>IF(ISBLANK(Actuals!T27),0*Escalation!$B$16,Actuals!T27)</f>
        <v>0</v>
      </c>
      <c r="U30" s="3">
        <f>IF(ISBLANK(Actuals!U27),0*Escalation!$B$17,Actuals!U27)</f>
        <v>0</v>
      </c>
      <c r="V30" s="3">
        <f>IF(ISBLANK(Actuals!V27),0*Escalation!$B$18,Actuals!V27)</f>
        <v>0</v>
      </c>
      <c r="W30" s="3">
        <f>IF(ISBLANK(Actuals!W27),0*Escalation!$B$19,Actuals!W27)</f>
        <v>0</v>
      </c>
      <c r="X30" s="3">
        <f>IF(ISBLANK(Actuals!X27),0*Escalation!$B$20,Actuals!X27)</f>
        <v>0</v>
      </c>
      <c r="Y30" s="3">
        <f>IF(ISBLANK(Actuals!Y27),0*Escalation!$B$21,Actuals!Y27)</f>
        <v>0</v>
      </c>
      <c r="Z30" s="3">
        <f>IF(ISBLANK(Actuals!Z27),0*Escalation!$B$22,Actuals!Z27)</f>
        <v>0</v>
      </c>
      <c r="AA30" s="3">
        <f>IF(ISBLANK(Actuals!AA27),0*Escalation!$B$23,Actuals!AA27)</f>
        <v>0</v>
      </c>
      <c r="AB30" s="3">
        <f>IF(ISBLANK(Actuals!AB27),0*Escalation!$B$24,Actuals!AB27)</f>
        <v>0</v>
      </c>
      <c r="AC30" s="3">
        <f>IF(ISBLANK(Actuals!AC27),0*Escalation!$B$25,Actuals!AC27)</f>
        <v>0</v>
      </c>
      <c r="AD30" s="3">
        <f>IF(ISBLANK(Actuals!AD27),0*Escalation!$B$26,Actuals!AD27)</f>
        <v>0</v>
      </c>
      <c r="AE30" s="3">
        <f>IF(ISBLANK(Actuals!AE27),0*Escalation!$B$27,Actuals!AE27)</f>
        <v>0</v>
      </c>
      <c r="AF30" s="3">
        <f>IF(ISBLANK(Actuals!AF27),0*Escalation!$B$28,Actuals!AF27)</f>
        <v>0</v>
      </c>
      <c r="AG30" s="3">
        <f>IF(ISBLANK(Actuals!AG27),0*Escalation!$B$29,Actuals!AG27)</f>
        <v>0</v>
      </c>
      <c r="AH30" s="3">
        <f>IF(ISBLANK(Actuals!AH27),0*Escalation!$B$30,Actuals!AH27)</f>
        <v>0</v>
      </c>
      <c r="AI30" s="3">
        <f>IF(ISBLANK(Actuals!AI27),0*Escalation!$B$31,Actuals!AI27)</f>
        <v>0</v>
      </c>
      <c r="AJ30" s="3">
        <f>IF(ISBLANK(Actuals!AJ27),0*Escalation!$B$32,Actuals!AJ27)</f>
        <v>0</v>
      </c>
      <c r="AK30" s="3">
        <f>IF(ISBLANK(Actuals!AK27),0*Escalation!$B$33,Actuals!AK27)</f>
        <v>0</v>
      </c>
      <c r="AL30" s="3">
        <f>IF(ISBLANK(Actuals!AL27),0*Escalation!$B$34,Actuals!AL27)</f>
        <v>0</v>
      </c>
      <c r="AM30" s="3">
        <f>IF(ISBLANK(Actuals!AM27),0*Escalation!$B$35,Actuals!AM27)</f>
        <v>0</v>
      </c>
      <c r="AN30" s="3">
        <f>IF(ISBLANK(Actuals!AN27),0*Escalation!$B$36,Actuals!AN27)</f>
        <v>0</v>
      </c>
      <c r="AO30" s="3">
        <f>IF(ISBLANK(Actuals!AO27),0*Escalation!$B$37,Actuals!AO27)</f>
        <v>0</v>
      </c>
      <c r="AP30" s="3">
        <f>IF(ISBLANK(Actuals!AP27),0*Escalation!$B$38,Actuals!AP27)</f>
        <v>0</v>
      </c>
      <c r="AQ30" s="3">
        <f>IF(ISBLANK(Actuals!AQ27),0*Escalation!$B$39,Actuals!AQ27)</f>
        <v>0</v>
      </c>
      <c r="AR30" s="3">
        <f>IF(ISBLANK(Actuals!AR27),0*Escalation!$B$40,Actuals!AR27)</f>
        <v>0</v>
      </c>
      <c r="AS30" s="3">
        <f>IF(ISBLANK(Actuals!AS27),0*Escalation!$B$41,Actuals!AS27)</f>
        <v>0</v>
      </c>
      <c r="AT30" s="3">
        <f>IF(ISBLANK(Actuals!AT27),0*Escalation!$B$42,Actuals!AT27)</f>
        <v>0</v>
      </c>
      <c r="AU30" s="3">
        <f>IF(ISBLANK(Actuals!AU27),0*Escalation!$B$43,Actuals!AU27)</f>
        <v>0</v>
      </c>
      <c r="AV30" s="3">
        <f>IF(ISBLANK(Actuals!AV27),0*Escalation!$B$44,Actuals!AV27)</f>
        <v>0</v>
      </c>
      <c r="AW30" s="3">
        <f>IF(ISBLANK(Actuals!AW27),0*Escalation!$B$45,Actuals!AW27)</f>
        <v>0</v>
      </c>
      <c r="AX30" s="3">
        <f>IF(ISBLANK(Actuals!AX27),0*Escalation!$B$46,Actuals!AX27)</f>
        <v>0</v>
      </c>
      <c r="AY30" s="3">
        <f>IF(ISBLANK(Actuals!AY27),0*Escalation!$B$47,Actuals!AY27)</f>
        <v>0</v>
      </c>
      <c r="AZ30" s="3">
        <f>IF(ISBLANK(Actuals!AZ27),0*Escalation!$B$48,Actuals!AZ27)</f>
        <v>0</v>
      </c>
      <c r="BA30" s="3">
        <f>IF(ISBLANK(Actuals!BA27),0*Escalation!$B$49,Actuals!BA27)</f>
        <v>0</v>
      </c>
      <c r="BB30" s="3">
        <f>IF(ISBLANK(Actuals!BB27),0*Escalation!$B$50,Actuals!BB27)</f>
        <v>0</v>
      </c>
      <c r="BC30" s="3">
        <f>IF(ISBLANK(Actuals!BC27),0*Escalation!$B$51,Actuals!BC27)</f>
        <v>0</v>
      </c>
      <c r="BD30" s="3">
        <f>IF(ISBLANK(Actuals!BD27),0*Escalation!$B$52,Actuals!BD27)</f>
        <v>0</v>
      </c>
      <c r="BE30" s="3">
        <f>IF(ISBLANK(Actuals!BE27),0*Escalation!$B$53,Actuals!BE27)</f>
        <v>0</v>
      </c>
      <c r="BF30" s="3">
        <f>IF(ISBLANK(Actuals!BF27),0*Escalation!$B$54,Actuals!BF27)</f>
        <v>0</v>
      </c>
      <c r="BG30" s="3">
        <f>IF(ISBLANK(Actuals!BG27),0*Escalation!$B$55,Actuals!BG27)</f>
        <v>0</v>
      </c>
      <c r="BH30" s="3">
        <f>IF(ISBLANK(Actuals!BH27),0*Escalation!$B$56,Actuals!BH27)</f>
        <v>0</v>
      </c>
      <c r="BI30" s="3">
        <f>IF(ISBLANK(Actuals!BI27),0*Escalation!$B$57,Actuals!BI27)</f>
        <v>0</v>
      </c>
      <c r="BJ30" s="3">
        <f>IF(ISBLANK(Actuals!BJ27),0*Escalation!$B$58,Actuals!BJ27)</f>
        <v>0</v>
      </c>
      <c r="BK30" s="3">
        <f>IF(ISBLANK(Actuals!BK27),0*Escalation!$B$59,Actuals!BK27)</f>
        <v>0</v>
      </c>
      <c r="BL30" s="3">
        <f>IF(ISBLANK(Actuals!BL27),0*Escalation!$B$60,Actuals!BL27)</f>
        <v>0</v>
      </c>
      <c r="BM30" s="3">
        <f>IF(ISBLANK(Actuals!BM27),0*Escalation!$B$61,Actuals!BM27)</f>
        <v>0</v>
      </c>
      <c r="BN30" s="3">
        <f>IF(ISBLANK(Actuals!BN27),0*Escalation!$B$62,Actuals!BN27)</f>
        <v>0</v>
      </c>
      <c r="BO30" s="3">
        <f>IF(ISBLANK(Actuals!BO27),0*Escalation!$B$63,Actuals!BO27)</f>
        <v>0</v>
      </c>
      <c r="BP30" s="3">
        <f>IF(ISBLANK(Actuals!BP27),0*Escalation!$B$64,Actuals!BP27)</f>
        <v>0</v>
      </c>
      <c r="BQ30" s="3">
        <f>IF(ISBLANK(Actuals!BQ27),0*Escalation!$B$65,Actuals!BQ27)</f>
        <v>0</v>
      </c>
      <c r="BR30" s="3">
        <f>IF(ISBLANK(Actuals!BR27),0*Escalation!$B$66,Actuals!BR27)</f>
        <v>0</v>
      </c>
      <c r="BS30" s="3">
        <f>IF(ISBLANK(Actuals!BS27),0*Escalation!$B$67,Actuals!BS27)</f>
        <v>0</v>
      </c>
      <c r="BT30" s="3">
        <f>IF(ISBLANK(Actuals!BT27),0*Escalation!$B$68,Actuals!BT27)</f>
        <v>0</v>
      </c>
      <c r="BU30" s="3">
        <f>IF(ISBLANK(Actuals!BU27),0*Escalation!$B$69,Actuals!BU27)</f>
        <v>0</v>
      </c>
      <c r="BV30" s="3">
        <f>IF(ISBLANK(Actuals!BV27),0*Escalation!$B$70,Actuals!BV27)</f>
        <v>0</v>
      </c>
      <c r="BW30" s="3">
        <f>IF(ISBLANK(Actuals!BW27),0*Escalation!$B$71,Actuals!BW27)</f>
        <v>0</v>
      </c>
      <c r="BX30" s="3">
        <f>IF(ISBLANK(Actuals!BX27),0*Escalation!$B$72,Actuals!BX27)</f>
        <v>0</v>
      </c>
      <c r="BY30" s="3">
        <f>IF(ISBLANK(Actuals!BY27),0*Escalation!$B$73,Actuals!BY27)</f>
        <v>0</v>
      </c>
      <c r="BZ30" s="3">
        <f>IF(ISBLANK(Actuals!BZ27),0*Escalation!$B$74,Actuals!BZ27)</f>
        <v>0</v>
      </c>
      <c r="CA30" s="3">
        <f>IF(ISBLANK(Actuals!CA27),0*Escalation!$B$75,Actuals!CA27)</f>
        <v>0</v>
      </c>
      <c r="CB30" s="3">
        <f>IF(ISBLANK(Actuals!CB27),0*Escalation!$B$76,Actuals!CB27)</f>
        <v>0</v>
      </c>
      <c r="CC30" s="3">
        <f>IF(ISBLANK(Actuals!CC27),0*Escalation!$B$77,Actuals!CC27)</f>
        <v>0</v>
      </c>
      <c r="CD30" s="3">
        <f>IF(ISBLANK(Actuals!CD27),0*Escalation!$B$78,Actuals!CD27)</f>
        <v>0</v>
      </c>
      <c r="CE30" s="3">
        <f>IF(ISBLANK(Actuals!CE27),0*Escalation!$B$79,Actuals!CE27)</f>
        <v>0</v>
      </c>
      <c r="CF30" s="3">
        <f>IF(ISBLANK(Actuals!CF27),0*Escalation!$B$80,Actuals!CF27)</f>
        <v>0</v>
      </c>
      <c r="CG30" s="3">
        <f>IF(ISBLANK(Actuals!CG27),0*Escalation!$B$81,Actuals!CG27)</f>
        <v>0</v>
      </c>
      <c r="CH30" s="3">
        <f>IF(ISBLANK(Actuals!CH27),0*Escalation!$B$82,Actuals!CH27)</f>
        <v>0</v>
      </c>
      <c r="CI30" s="3">
        <f>IF(ISBLANK(Actuals!CI27),0*Escalation!$B$83,Actuals!CI27)</f>
        <v>0</v>
      </c>
      <c r="CJ30" s="3">
        <f>IF(ISBLANK(Actuals!CJ27),0*Escalation!$B$84,Actuals!CJ27)</f>
        <v>0</v>
      </c>
      <c r="CK30" s="3">
        <f>IF(ISBLANK(Actuals!CK27),0*Escalation!$B$85,Actuals!CK27)</f>
        <v>0</v>
      </c>
      <c r="CL30" s="3">
        <f>IF(ISBLANK(Actuals!CL27),0*Escalation!$B$86,Actuals!CL27)</f>
        <v>0</v>
      </c>
      <c r="CM30" s="3">
        <f>IF(ISBLANK(Actuals!CM27),0*Escalation!$B$87,Actuals!CM27)</f>
        <v>0</v>
      </c>
      <c r="CN30" s="3">
        <f>IF(ISBLANK(Actuals!CN27),0*Escalation!$B$88,Actuals!CN27)</f>
        <v>0</v>
      </c>
      <c r="CO30" s="3">
        <f>IF(ISBLANK(Actuals!CO27),0*Escalation!$B$89,Actuals!CO27)</f>
        <v>0</v>
      </c>
      <c r="CP30" s="3">
        <f>IF(ISBLANK(Actuals!CP27),0*Escalation!$B$90,Actuals!CP27)</f>
        <v>0</v>
      </c>
      <c r="CQ30" s="3">
        <f>IF(ISBLANK(Actuals!CQ27),0*Escalation!$B$91,Actuals!CQ27)</f>
        <v>0</v>
      </c>
      <c r="CR30" s="3">
        <f>IF(ISBLANK(Actuals!CR27),0*Escalation!$B$92,Actuals!CR27)</f>
        <v>0</v>
      </c>
      <c r="CS30" s="3">
        <f>IF(ISBLANK(Actuals!CS27),0*Escalation!$B$93,Actuals!CS27)</f>
        <v>0</v>
      </c>
      <c r="CT30" s="3">
        <f>IF(ISBLANK(Actuals!CT27),0*Escalation!$B$94,Actuals!CT27)</f>
        <v>0</v>
      </c>
      <c r="CU30" s="3">
        <f>IF(ISBLANK(Actuals!CU27),0*Escalation!$B$95,Actuals!CU27)</f>
        <v>0</v>
      </c>
      <c r="CV30" s="3">
        <f>IF(ISBLANK(Actuals!CV27),0*Escalation!$B$96,Actuals!CV27)</f>
        <v>0</v>
      </c>
      <c r="CW30" s="3">
        <f>IF(ISBLANK(Actuals!CW27),0*Escalation!$B$97,Actuals!CW27)</f>
        <v>0</v>
      </c>
      <c r="CX30" s="3">
        <f>IF(ISBLANK(Actuals!CX27),0*Escalation!$B$98,Actuals!CX27)</f>
        <v>0</v>
      </c>
      <c r="CY30" s="3">
        <f>IF(ISBLANK(Actuals!CY27),0*Escalation!$B$99,Actuals!CY27)</f>
        <v>0</v>
      </c>
      <c r="CZ30" s="3">
        <f>IF(ISBLANK(Actuals!CZ27),0*Escalation!$B$100,Actuals!CZ27)</f>
        <v>0</v>
      </c>
      <c r="DA30" s="3">
        <f>IF(ISBLANK(Actuals!DA27),0*Escalation!$B$101,Actuals!DA27)</f>
        <v>0</v>
      </c>
      <c r="DB30" s="3">
        <f>IF(ISBLANK(Actuals!DB27),0*Escalation!$B$102,Actuals!DB27)</f>
        <v>0</v>
      </c>
      <c r="DC30" s="3">
        <f>IF(ISBLANK(Actuals!DC27),0*Escalation!$B$103,Actuals!DC27)</f>
        <v>0</v>
      </c>
      <c r="DD30" s="3">
        <f>IF(ISBLANK(Actuals!DD27),0*Escalation!$B$104,Actuals!DD27)</f>
        <v>0</v>
      </c>
      <c r="DE30" s="3">
        <f>IF(ISBLANK(Actuals!DE27),0*Escalation!$B$105,Actuals!DE27)</f>
        <v>0</v>
      </c>
      <c r="DF30" s="3">
        <f>IF(ISBLANK(Actuals!DF27),0*Escalation!$B$106,Actuals!DF27)</f>
        <v>0</v>
      </c>
    </row>
    <row r="31" spans="1:110" ht="15" customHeight="1" x14ac:dyDescent="0.25">
      <c r="A31" s="13" t="s">
        <v>71</v>
      </c>
      <c r="B31" s="302"/>
      <c r="C31" s="3">
        <f>IF(ISBLANK(Actuals!C28),0,Actuals!C28)</f>
        <v>-10400</v>
      </c>
      <c r="D31" s="3">
        <f>IF(ISBLANK(Actuals!D28),0,Actuals!D28)</f>
        <v>-10400</v>
      </c>
      <c r="E31" s="3">
        <f>IF(ISBLANK(Actuals!E28),0,Actuals!E28)</f>
        <v>-400</v>
      </c>
      <c r="F31" s="3">
        <f>IF(ISBLANK(Actuals!F28),-10400*Escalation!$B$2,Actuals!F28)</f>
        <v>-10400</v>
      </c>
      <c r="G31" s="3">
        <f>IF(ISBLANK(Actuals!G28),-10400*Escalation!$B$3,Actuals!G28)</f>
        <v>-10400</v>
      </c>
      <c r="H31" s="3">
        <f>IF(ISBLANK(Actuals!H28),-10400*Escalation!$B$4,Actuals!H28)</f>
        <v>-10400</v>
      </c>
      <c r="I31" s="3">
        <f>IF(ISBLANK(Actuals!I28),-10400*Escalation!$B$5,Actuals!I28)</f>
        <v>-10400</v>
      </c>
      <c r="J31" s="3">
        <f>IF(ISBLANK(Actuals!J28),-10400*Escalation!$B$6,Actuals!J28)</f>
        <v>-10400</v>
      </c>
      <c r="K31" s="3">
        <f>IF(ISBLANK(Actuals!K28),-10400*Escalation!$B$7,Actuals!K28)</f>
        <v>-10400</v>
      </c>
      <c r="L31" s="3">
        <f>IF(ISBLANK(Actuals!L28),-10400*Escalation!$B$8,Actuals!L28)</f>
        <v>-10400</v>
      </c>
      <c r="M31" s="3">
        <f>IF(ISBLANK(Actuals!M28),-10400*Escalation!$B$9,Actuals!M28)</f>
        <v>-10400</v>
      </c>
      <c r="N31" s="3">
        <f>IF(ISBLANK(Actuals!N28),-10400*Escalation!$B$10,Actuals!N28)</f>
        <v>-10400</v>
      </c>
      <c r="O31" s="3">
        <f>IF(ISBLANK(Actuals!O28),-10400*Escalation!$B$11,Actuals!O28)</f>
        <v>-10400</v>
      </c>
      <c r="P31" s="3">
        <f>IF(ISBLANK(Actuals!P28),-10400*Escalation!$B$12,Actuals!P28)</f>
        <v>-10400</v>
      </c>
      <c r="Q31" s="3">
        <f>IF(ISBLANK(Actuals!Q28),-10400*Escalation!$B$13,Actuals!Q28)</f>
        <v>-10400</v>
      </c>
      <c r="R31" s="3">
        <f>IF(ISBLANK(Actuals!R28),-10400*Escalation!$B$14,Actuals!R28)</f>
        <v>-10608</v>
      </c>
      <c r="S31" s="3">
        <f>IF(ISBLANK(Actuals!S28),-10400*Escalation!$B$15,Actuals!S28)</f>
        <v>-10608</v>
      </c>
      <c r="T31" s="3">
        <f>IF(ISBLANK(Actuals!T28),-10400*Escalation!$B$16,Actuals!T28)</f>
        <v>-10608</v>
      </c>
      <c r="U31" s="3">
        <f>IF(ISBLANK(Actuals!U28),-10400*Escalation!$B$17,Actuals!U28)</f>
        <v>-10608</v>
      </c>
      <c r="V31" s="3">
        <f>IF(ISBLANK(Actuals!V28),-10400*Escalation!$B$18,Actuals!V28)</f>
        <v>-10608</v>
      </c>
      <c r="W31" s="3">
        <f>IF(ISBLANK(Actuals!W28),-10400*Escalation!$B$19,Actuals!W28)</f>
        <v>-10608</v>
      </c>
      <c r="X31" s="3">
        <f>IF(ISBLANK(Actuals!X28),-10400*Escalation!$B$20,Actuals!X28)</f>
        <v>-10608</v>
      </c>
      <c r="Y31" s="3">
        <f>IF(ISBLANK(Actuals!Y28),-10400*Escalation!$B$21,Actuals!Y28)</f>
        <v>-10608</v>
      </c>
      <c r="Z31" s="3">
        <f>IF(ISBLANK(Actuals!Z28),-10400*Escalation!$B$22,Actuals!Z28)</f>
        <v>-10608</v>
      </c>
      <c r="AA31" s="3">
        <f>IF(ISBLANK(Actuals!AA28),-10400*Escalation!$B$23,Actuals!AA28)</f>
        <v>-10608</v>
      </c>
      <c r="AB31" s="3">
        <f>IF(ISBLANK(Actuals!AB28),-10400*Escalation!$B$24,Actuals!AB28)</f>
        <v>-10608</v>
      </c>
      <c r="AC31" s="3">
        <f>IF(ISBLANK(Actuals!AC28),-10400*Escalation!$B$25,Actuals!AC28)</f>
        <v>-10608</v>
      </c>
      <c r="AD31" s="3">
        <f>IF(ISBLANK(Actuals!AD28),-10400*Escalation!$B$26,Actuals!AD28)</f>
        <v>-10820.16</v>
      </c>
      <c r="AE31" s="3">
        <f>IF(ISBLANK(Actuals!AE28),-10400*Escalation!$B$27,Actuals!AE28)</f>
        <v>-10820.16</v>
      </c>
      <c r="AF31" s="3">
        <f>IF(ISBLANK(Actuals!AF28),-10400*Escalation!$B$28,Actuals!AF28)</f>
        <v>-10820.16</v>
      </c>
      <c r="AG31" s="3">
        <f>IF(ISBLANK(Actuals!AG28),-10400*Escalation!$B$29,Actuals!AG28)</f>
        <v>-10820.16</v>
      </c>
      <c r="AH31" s="3">
        <f>IF(ISBLANK(Actuals!AH28),-10400*Escalation!$B$30,Actuals!AH28)</f>
        <v>-10820.16</v>
      </c>
      <c r="AI31" s="3">
        <f>IF(ISBLANK(Actuals!AI28),-10400*Escalation!$B$31,Actuals!AI28)</f>
        <v>-10820.16</v>
      </c>
      <c r="AJ31" s="3">
        <f>IF(ISBLANK(Actuals!AJ28),-10400*Escalation!$B$32,Actuals!AJ28)</f>
        <v>-10820.16</v>
      </c>
      <c r="AK31" s="3">
        <f>IF(ISBLANK(Actuals!AK28),-10400*Escalation!$B$33,Actuals!AK28)</f>
        <v>-10820.16</v>
      </c>
      <c r="AL31" s="3">
        <f>IF(ISBLANK(Actuals!AL28),-10400*Escalation!$B$34,Actuals!AL28)</f>
        <v>-10820.16</v>
      </c>
      <c r="AM31" s="3">
        <f>IF(ISBLANK(Actuals!AM28),-10400*Escalation!$B$35,Actuals!AM28)</f>
        <v>-10820.16</v>
      </c>
      <c r="AN31" s="3">
        <f>IF(ISBLANK(Actuals!AN28),-10400*Escalation!$B$36,Actuals!AN28)</f>
        <v>-10820.16</v>
      </c>
      <c r="AO31" s="3">
        <f>IF(ISBLANK(Actuals!AO28),-10400*Escalation!$B$37,Actuals!AO28)</f>
        <v>-10820.16</v>
      </c>
      <c r="AP31" s="3">
        <f>IF(ISBLANK(Actuals!AP28),-10400*Escalation!$B$38,Actuals!AP28)</f>
        <v>-11036.563199999999</v>
      </c>
      <c r="AQ31" s="3">
        <f>IF(ISBLANK(Actuals!AQ28),-10400*Escalation!$B$39,Actuals!AQ28)</f>
        <v>-11036.563199999999</v>
      </c>
      <c r="AR31" s="3">
        <f>IF(ISBLANK(Actuals!AR28),-10400*Escalation!$B$40,Actuals!AR28)</f>
        <v>-11036.563199999999</v>
      </c>
      <c r="AS31" s="3">
        <f>IF(ISBLANK(Actuals!AS28),-10400*Escalation!$B$41,Actuals!AS28)</f>
        <v>-11036.563199999999</v>
      </c>
      <c r="AT31" s="3">
        <f>IF(ISBLANK(Actuals!AT28),-10400*Escalation!$B$42,Actuals!AT28)</f>
        <v>-11036.563199999999</v>
      </c>
      <c r="AU31" s="3">
        <f>IF(ISBLANK(Actuals!AU28),-10400*Escalation!$B$43,Actuals!AU28)</f>
        <v>-11036.563199999999</v>
      </c>
      <c r="AV31" s="3">
        <f>IF(ISBLANK(Actuals!AV28),-10400*Escalation!$B$44,Actuals!AV28)</f>
        <v>-11036.563199999999</v>
      </c>
      <c r="AW31" s="3">
        <f>IF(ISBLANK(Actuals!AW28),-10400*Escalation!$B$45,Actuals!AW28)</f>
        <v>-11036.563199999999</v>
      </c>
      <c r="AX31" s="3">
        <f>IF(ISBLANK(Actuals!AX28),-10400*Escalation!$B$46,Actuals!AX28)</f>
        <v>-11036.563199999999</v>
      </c>
      <c r="AY31" s="3">
        <f>IF(ISBLANK(Actuals!AY28),-10400*Escalation!$B$47,Actuals!AY28)</f>
        <v>-11036.563199999999</v>
      </c>
      <c r="AZ31" s="3">
        <f>IF(ISBLANK(Actuals!AZ28),-10400*Escalation!$B$48,Actuals!AZ28)</f>
        <v>-11036.563199999999</v>
      </c>
      <c r="BA31" s="3">
        <f>IF(ISBLANK(Actuals!BA28),-10400*Escalation!$B$49,Actuals!BA28)</f>
        <v>-11036.563199999999</v>
      </c>
      <c r="BB31" s="3">
        <f>IF(ISBLANK(Actuals!BB28),-10400*Escalation!$B$50,Actuals!BB28)</f>
        <v>-11257.294464000001</v>
      </c>
      <c r="BC31" s="3">
        <f>IF(ISBLANK(Actuals!BC28),-10400*Escalation!$B$51,Actuals!BC28)</f>
        <v>-11257.294464000001</v>
      </c>
      <c r="BD31" s="3">
        <f>IF(ISBLANK(Actuals!BD28),-10400*Escalation!$B$52,Actuals!BD28)</f>
        <v>-11257.294464000001</v>
      </c>
      <c r="BE31" s="3">
        <f>IF(ISBLANK(Actuals!BE28),-10400*Escalation!$B$53,Actuals!BE28)</f>
        <v>-11257.294464000001</v>
      </c>
      <c r="BF31" s="3">
        <f>IF(ISBLANK(Actuals!BF28),-10400*Escalation!$B$54,Actuals!BF28)</f>
        <v>-11257.294464000001</v>
      </c>
      <c r="BG31" s="3">
        <f>IF(ISBLANK(Actuals!BG28),-10400*Escalation!$B$55,Actuals!BG28)</f>
        <v>-11257.294464000001</v>
      </c>
      <c r="BH31" s="3">
        <f>IF(ISBLANK(Actuals!BH28),-10400*Escalation!$B$56,Actuals!BH28)</f>
        <v>-11257.294464000001</v>
      </c>
      <c r="BI31" s="3">
        <f>IF(ISBLANK(Actuals!BI28),-10400*Escalation!$B$57,Actuals!BI28)</f>
        <v>-11257.294464000001</v>
      </c>
      <c r="BJ31" s="3">
        <f>IF(ISBLANK(Actuals!BJ28),-10400*Escalation!$B$58,Actuals!BJ28)</f>
        <v>-11257.294464000001</v>
      </c>
      <c r="BK31" s="3">
        <f>IF(ISBLANK(Actuals!BK28),-10400*Escalation!$B$59,Actuals!BK28)</f>
        <v>-11257.294464000001</v>
      </c>
      <c r="BL31" s="3">
        <f>IF(ISBLANK(Actuals!BL28),-10400*Escalation!$B$60,Actuals!BL28)</f>
        <v>-11257.294464000001</v>
      </c>
      <c r="BM31" s="3">
        <f>IF(ISBLANK(Actuals!BM28),-10400*Escalation!$B$61,Actuals!BM28)</f>
        <v>-11257.294464000001</v>
      </c>
      <c r="BN31" s="3">
        <f>IF(ISBLANK(Actuals!BN28),-10400*Escalation!$B$62,Actuals!BN28)</f>
        <v>-11482.440353280001</v>
      </c>
      <c r="BO31" s="3">
        <f>IF(ISBLANK(Actuals!BO28),-10400*Escalation!$B$63,Actuals!BO28)</f>
        <v>-11482.440353280001</v>
      </c>
      <c r="BP31" s="3">
        <f>IF(ISBLANK(Actuals!BP28),-10400*Escalation!$B$64,Actuals!BP28)</f>
        <v>-11482.440353280001</v>
      </c>
      <c r="BQ31" s="3">
        <f>IF(ISBLANK(Actuals!BQ28),-10400*Escalation!$B$65,Actuals!BQ28)</f>
        <v>-11482.440353280001</v>
      </c>
      <c r="BR31" s="3">
        <f>IF(ISBLANK(Actuals!BR28),-10400*Escalation!$B$66,Actuals!BR28)</f>
        <v>-11482.440353280001</v>
      </c>
      <c r="BS31" s="3">
        <f>IF(ISBLANK(Actuals!BS28),-10400*Escalation!$B$67,Actuals!BS28)</f>
        <v>-11482.440353280001</v>
      </c>
      <c r="BT31" s="3">
        <f>IF(ISBLANK(Actuals!BT28),-10400*Escalation!$B$68,Actuals!BT28)</f>
        <v>-11482.440353280001</v>
      </c>
      <c r="BU31" s="3">
        <f>IF(ISBLANK(Actuals!BU28),-10400*Escalation!$B$69,Actuals!BU28)</f>
        <v>-11482.440353280001</v>
      </c>
      <c r="BV31" s="3">
        <f>IF(ISBLANK(Actuals!BV28),-10400*Escalation!$B$70,Actuals!BV28)</f>
        <v>-11482.440353280001</v>
      </c>
      <c r="BW31" s="3">
        <f>IF(ISBLANK(Actuals!BW28),-10400*Escalation!$B$71,Actuals!BW28)</f>
        <v>-11482.440353280001</v>
      </c>
      <c r="BX31" s="3">
        <f>IF(ISBLANK(Actuals!BX28),-10400*Escalation!$B$72,Actuals!BX28)</f>
        <v>-11482.440353280001</v>
      </c>
      <c r="BY31" s="3">
        <f>IF(ISBLANK(Actuals!BY28),-10400*Escalation!$B$73,Actuals!BY28)</f>
        <v>-11482.440353280001</v>
      </c>
      <c r="BZ31" s="3">
        <f>IF(ISBLANK(Actuals!BZ28),-10400*Escalation!$B$74,Actuals!BZ28)</f>
        <v>-11712.0891603456</v>
      </c>
      <c r="CA31" s="3">
        <f>IF(ISBLANK(Actuals!CA28),-10400*Escalation!$B$75,Actuals!CA28)</f>
        <v>-11712.0891603456</v>
      </c>
      <c r="CB31" s="3">
        <f>IF(ISBLANK(Actuals!CB28),-10400*Escalation!$B$76,Actuals!CB28)</f>
        <v>-11712.0891603456</v>
      </c>
      <c r="CC31" s="3">
        <f>IF(ISBLANK(Actuals!CC28),-10400*Escalation!$B$77,Actuals!CC28)</f>
        <v>-11712.0891603456</v>
      </c>
      <c r="CD31" s="3">
        <f>IF(ISBLANK(Actuals!CD28),-10400*Escalation!$B$78,Actuals!CD28)</f>
        <v>-11712.0891603456</v>
      </c>
      <c r="CE31" s="3">
        <f>IF(ISBLANK(Actuals!CE28),-10400*Escalation!$B$79,Actuals!CE28)</f>
        <v>-11712.0891603456</v>
      </c>
      <c r="CF31" s="3">
        <f>IF(ISBLANK(Actuals!CF28),-10400*Escalation!$B$80,Actuals!CF28)</f>
        <v>-11712.0891603456</v>
      </c>
      <c r="CG31" s="3">
        <f>IF(ISBLANK(Actuals!CG28),-10400*Escalation!$B$81,Actuals!CG28)</f>
        <v>-11712.0891603456</v>
      </c>
      <c r="CH31" s="3">
        <f>IF(ISBLANK(Actuals!CH28),-10400*Escalation!$B$82,Actuals!CH28)</f>
        <v>-11712.0891603456</v>
      </c>
      <c r="CI31" s="3">
        <f>IF(ISBLANK(Actuals!CI28),-10400*Escalation!$B$83,Actuals!CI28)</f>
        <v>-11712.0891603456</v>
      </c>
      <c r="CJ31" s="3">
        <f>IF(ISBLANK(Actuals!CJ28),-10400*Escalation!$B$84,Actuals!CJ28)</f>
        <v>-11712.0891603456</v>
      </c>
      <c r="CK31" s="3">
        <f>IF(ISBLANK(Actuals!CK28),-10400*Escalation!$B$85,Actuals!CK28)</f>
        <v>-11712.0891603456</v>
      </c>
      <c r="CL31" s="3">
        <f>IF(ISBLANK(Actuals!CL28),-10400*Escalation!$B$86,Actuals!CL28)</f>
        <v>-11946.33094355251</v>
      </c>
      <c r="CM31" s="3">
        <f>IF(ISBLANK(Actuals!CM28),-10400*Escalation!$B$87,Actuals!CM28)</f>
        <v>-11946.33094355251</v>
      </c>
      <c r="CN31" s="3">
        <f>IF(ISBLANK(Actuals!CN28),-10400*Escalation!$B$88,Actuals!CN28)</f>
        <v>-11946.33094355251</v>
      </c>
      <c r="CO31" s="3">
        <f>IF(ISBLANK(Actuals!CO28),-10400*Escalation!$B$89,Actuals!CO28)</f>
        <v>-11946.33094355251</v>
      </c>
      <c r="CP31" s="3">
        <f>IF(ISBLANK(Actuals!CP28),-10400*Escalation!$B$90,Actuals!CP28)</f>
        <v>-11946.33094355251</v>
      </c>
      <c r="CQ31" s="3">
        <f>IF(ISBLANK(Actuals!CQ28),-10400*Escalation!$B$91,Actuals!CQ28)</f>
        <v>-11946.33094355251</v>
      </c>
      <c r="CR31" s="3">
        <f>IF(ISBLANK(Actuals!CR28),-10400*Escalation!$B$92,Actuals!CR28)</f>
        <v>-11946.33094355251</v>
      </c>
      <c r="CS31" s="3">
        <f>IF(ISBLANK(Actuals!CS28),-10400*Escalation!$B$93,Actuals!CS28)</f>
        <v>-11946.33094355251</v>
      </c>
      <c r="CT31" s="3">
        <f>IF(ISBLANK(Actuals!CT28),-10400*Escalation!$B$94,Actuals!CT28)</f>
        <v>-11946.33094355251</v>
      </c>
      <c r="CU31" s="3">
        <f>IF(ISBLANK(Actuals!CU28),-10400*Escalation!$B$95,Actuals!CU28)</f>
        <v>-11946.33094355251</v>
      </c>
      <c r="CV31" s="3">
        <f>IF(ISBLANK(Actuals!CV28),-10400*Escalation!$B$96,Actuals!CV28)</f>
        <v>-11946.33094355251</v>
      </c>
      <c r="CW31" s="3">
        <f>IF(ISBLANK(Actuals!CW28),-10400*Escalation!$B$97,Actuals!CW28)</f>
        <v>-11946.33094355251</v>
      </c>
      <c r="CX31" s="3">
        <f>IF(ISBLANK(Actuals!CX28),-10400*Escalation!$B$98,Actuals!CX28)</f>
        <v>-12185.257562423561</v>
      </c>
      <c r="CY31" s="3">
        <f>IF(ISBLANK(Actuals!CY28),-10400*Escalation!$B$99,Actuals!CY28)</f>
        <v>-12185.257562423561</v>
      </c>
      <c r="CZ31" s="3">
        <f>IF(ISBLANK(Actuals!CZ28),-10400*Escalation!$B$100,Actuals!CZ28)</f>
        <v>-12185.257562423561</v>
      </c>
      <c r="DA31" s="3">
        <f>IF(ISBLANK(Actuals!DA28),-10400*Escalation!$B$101,Actuals!DA28)</f>
        <v>-12185.257562423561</v>
      </c>
      <c r="DB31" s="3">
        <f>IF(ISBLANK(Actuals!DB28),-10400*Escalation!$B$102,Actuals!DB28)</f>
        <v>-12185.257562423561</v>
      </c>
      <c r="DC31" s="3">
        <f>IF(ISBLANK(Actuals!DC28),-10400*Escalation!$B$103,Actuals!DC28)</f>
        <v>-12185.257562423561</v>
      </c>
      <c r="DD31" s="3">
        <f>IF(ISBLANK(Actuals!DD28),-10400*Escalation!$B$104,Actuals!DD28)</f>
        <v>-12185.257562423561</v>
      </c>
      <c r="DE31" s="3">
        <f>IF(ISBLANK(Actuals!DE28),-10400*Escalation!$B$105,Actuals!DE28)</f>
        <v>-12185.257562423561</v>
      </c>
      <c r="DF31" s="3">
        <f>IF(ISBLANK(Actuals!DF28),-10400*Escalation!$B$106,Actuals!DF28)</f>
        <v>-12185.257562423561</v>
      </c>
    </row>
    <row r="32" spans="1:110" ht="15" customHeight="1" x14ac:dyDescent="0.25">
      <c r="A32" s="13" t="s">
        <v>72</v>
      </c>
      <c r="B32" s="302"/>
      <c r="C32" s="3">
        <f>IF(ISBLANK(Actuals!C29),0,Actuals!C29)</f>
        <v>-1988</v>
      </c>
      <c r="D32" s="3">
        <f>IF(ISBLANK(Actuals!D29),0,Actuals!D29)</f>
        <v>-955.32</v>
      </c>
      <c r="E32" s="3">
        <f>IF(ISBLANK(Actuals!E29),0,Actuals!E29)</f>
        <v>-9130.61</v>
      </c>
      <c r="F32" s="3">
        <f>IF(ISBLANK(Actuals!F29),-4024.64*Escalation!$B$2,Actuals!F29)</f>
        <v>-1028.8900000000001</v>
      </c>
      <c r="G32" s="3">
        <f>IF(ISBLANK(Actuals!G29),-4024.64*Escalation!$B$3,Actuals!G29)</f>
        <v>-4024.64</v>
      </c>
      <c r="H32" s="3">
        <f>IF(ISBLANK(Actuals!H29),-4024.64*Escalation!$B$4,Actuals!H29)</f>
        <v>-4024.64</v>
      </c>
      <c r="I32" s="3">
        <f>IF(ISBLANK(Actuals!I29),-4024.64*Escalation!$B$5,Actuals!I29)</f>
        <v>-4024.64</v>
      </c>
      <c r="J32" s="3">
        <f>IF(ISBLANK(Actuals!J29),-4024.64*Escalation!$B$6,Actuals!J29)</f>
        <v>-4024.64</v>
      </c>
      <c r="K32" s="3">
        <f>IF(ISBLANK(Actuals!K29),-4024.64*Escalation!$B$7,Actuals!K29)</f>
        <v>-4024.64</v>
      </c>
      <c r="L32" s="3">
        <f>IF(ISBLANK(Actuals!L29),-4024.64*Escalation!$B$8,Actuals!L29)</f>
        <v>-4024.64</v>
      </c>
      <c r="M32" s="3">
        <f>IF(ISBLANK(Actuals!M29),-4024.64*Escalation!$B$9,Actuals!M29)</f>
        <v>-4024.64</v>
      </c>
      <c r="N32" s="3">
        <f>IF(ISBLANK(Actuals!N29),-4024.64*Escalation!$B$10,Actuals!N29)</f>
        <v>-4024.64</v>
      </c>
      <c r="O32" s="3">
        <f>IF(ISBLANK(Actuals!O29),-4024.64*Escalation!$B$11,Actuals!O29)</f>
        <v>-4024.64</v>
      </c>
      <c r="P32" s="3">
        <f>IF(ISBLANK(Actuals!P29),-4024.64*Escalation!$B$12,Actuals!P29)</f>
        <v>-4024.64</v>
      </c>
      <c r="Q32" s="3">
        <f>IF(ISBLANK(Actuals!Q29),-4024.64*Escalation!$B$13,Actuals!Q29)</f>
        <v>-4024.64</v>
      </c>
      <c r="R32" s="3">
        <f>IF(ISBLANK(Actuals!R29),-4024.64*Escalation!$B$14,Actuals!R29)</f>
        <v>-4105.1328000000003</v>
      </c>
      <c r="S32" s="3">
        <f>IF(ISBLANK(Actuals!S29),-4024.64*Escalation!$B$15,Actuals!S29)</f>
        <v>-4105.1328000000003</v>
      </c>
      <c r="T32" s="3">
        <f>IF(ISBLANK(Actuals!T29),-4024.64*Escalation!$B$16,Actuals!T29)</f>
        <v>-4105.1328000000003</v>
      </c>
      <c r="U32" s="3">
        <f>IF(ISBLANK(Actuals!U29),-4024.64*Escalation!$B$17,Actuals!U29)</f>
        <v>-4105.1328000000003</v>
      </c>
      <c r="V32" s="3">
        <f>IF(ISBLANK(Actuals!V29),-4024.64*Escalation!$B$18,Actuals!V29)</f>
        <v>-4105.1328000000003</v>
      </c>
      <c r="W32" s="3">
        <f>IF(ISBLANK(Actuals!W29),-4024.64*Escalation!$B$19,Actuals!W29)</f>
        <v>-4105.1328000000003</v>
      </c>
      <c r="X32" s="3">
        <f>IF(ISBLANK(Actuals!X29),-4024.64*Escalation!$B$20,Actuals!X29)</f>
        <v>-4105.1328000000003</v>
      </c>
      <c r="Y32" s="3">
        <f>IF(ISBLANK(Actuals!Y29),-4024.64*Escalation!$B$21,Actuals!Y29)</f>
        <v>-4105.1328000000003</v>
      </c>
      <c r="Z32" s="3">
        <f>IF(ISBLANK(Actuals!Z29),-4024.64*Escalation!$B$22,Actuals!Z29)</f>
        <v>-4105.1328000000003</v>
      </c>
      <c r="AA32" s="3">
        <f>IF(ISBLANK(Actuals!AA29),-4024.64*Escalation!$B$23,Actuals!AA29)</f>
        <v>-4105.1328000000003</v>
      </c>
      <c r="AB32" s="3">
        <f>IF(ISBLANK(Actuals!AB29),-4024.64*Escalation!$B$24,Actuals!AB29)</f>
        <v>-4105.1328000000003</v>
      </c>
      <c r="AC32" s="3">
        <f>IF(ISBLANK(Actuals!AC29),-4024.64*Escalation!$B$25,Actuals!AC29)</f>
        <v>-4105.1328000000003</v>
      </c>
      <c r="AD32" s="3">
        <f>IF(ISBLANK(Actuals!AD29),-4024.64*Escalation!$B$26,Actuals!AD29)</f>
        <v>-4187.2354559999994</v>
      </c>
      <c r="AE32" s="3">
        <f>IF(ISBLANK(Actuals!AE29),-4024.64*Escalation!$B$27,Actuals!AE29)</f>
        <v>-4187.2354559999994</v>
      </c>
      <c r="AF32" s="3">
        <f>IF(ISBLANK(Actuals!AF29),-4024.64*Escalation!$B$28,Actuals!AF29)</f>
        <v>-4187.2354559999994</v>
      </c>
      <c r="AG32" s="3">
        <f>IF(ISBLANK(Actuals!AG29),-4024.64*Escalation!$B$29,Actuals!AG29)</f>
        <v>-4187.2354559999994</v>
      </c>
      <c r="AH32" s="3">
        <f>IF(ISBLANK(Actuals!AH29),-4024.64*Escalation!$B$30,Actuals!AH29)</f>
        <v>-4187.2354559999994</v>
      </c>
      <c r="AI32" s="3">
        <f>IF(ISBLANK(Actuals!AI29),-4024.64*Escalation!$B$31,Actuals!AI29)</f>
        <v>-4187.2354559999994</v>
      </c>
      <c r="AJ32" s="3">
        <f>IF(ISBLANK(Actuals!AJ29),-4024.64*Escalation!$B$32,Actuals!AJ29)</f>
        <v>-4187.2354559999994</v>
      </c>
      <c r="AK32" s="3">
        <f>IF(ISBLANK(Actuals!AK29),-4024.64*Escalation!$B$33,Actuals!AK29)</f>
        <v>-4187.2354559999994</v>
      </c>
      <c r="AL32" s="3">
        <f>IF(ISBLANK(Actuals!AL29),-4024.64*Escalation!$B$34,Actuals!AL29)</f>
        <v>-4187.2354559999994</v>
      </c>
      <c r="AM32" s="3">
        <f>IF(ISBLANK(Actuals!AM29),-4024.64*Escalation!$B$35,Actuals!AM29)</f>
        <v>-4187.2354559999994</v>
      </c>
      <c r="AN32" s="3">
        <f>IF(ISBLANK(Actuals!AN29),-4024.64*Escalation!$B$36,Actuals!AN29)</f>
        <v>-4187.2354559999994</v>
      </c>
      <c r="AO32" s="3">
        <f>IF(ISBLANK(Actuals!AO29),-4024.64*Escalation!$B$37,Actuals!AO29)</f>
        <v>-4187.2354559999994</v>
      </c>
      <c r="AP32" s="3">
        <f>IF(ISBLANK(Actuals!AP29),-4024.64*Escalation!$B$38,Actuals!AP29)</f>
        <v>-4270.9801651199996</v>
      </c>
      <c r="AQ32" s="3">
        <f>IF(ISBLANK(Actuals!AQ29),-4024.64*Escalation!$B$39,Actuals!AQ29)</f>
        <v>-4270.9801651199996</v>
      </c>
      <c r="AR32" s="3">
        <f>IF(ISBLANK(Actuals!AR29),-4024.64*Escalation!$B$40,Actuals!AR29)</f>
        <v>-4270.9801651199996</v>
      </c>
      <c r="AS32" s="3">
        <f>IF(ISBLANK(Actuals!AS29),-4024.64*Escalation!$B$41,Actuals!AS29)</f>
        <v>-4270.9801651199996</v>
      </c>
      <c r="AT32" s="3">
        <f>IF(ISBLANK(Actuals!AT29),-4024.64*Escalation!$B$42,Actuals!AT29)</f>
        <v>-4270.9801651199996</v>
      </c>
      <c r="AU32" s="3">
        <f>IF(ISBLANK(Actuals!AU29),-4024.64*Escalation!$B$43,Actuals!AU29)</f>
        <v>-4270.9801651199996</v>
      </c>
      <c r="AV32" s="3">
        <f>IF(ISBLANK(Actuals!AV29),-4024.64*Escalation!$B$44,Actuals!AV29)</f>
        <v>-4270.9801651199996</v>
      </c>
      <c r="AW32" s="3">
        <f>IF(ISBLANK(Actuals!AW29),-4024.64*Escalation!$B$45,Actuals!AW29)</f>
        <v>-4270.9801651199996</v>
      </c>
      <c r="AX32" s="3">
        <f>IF(ISBLANK(Actuals!AX29),-4024.64*Escalation!$B$46,Actuals!AX29)</f>
        <v>-4270.9801651199996</v>
      </c>
      <c r="AY32" s="3">
        <f>IF(ISBLANK(Actuals!AY29),-4024.64*Escalation!$B$47,Actuals!AY29)</f>
        <v>-4270.9801651199996</v>
      </c>
      <c r="AZ32" s="3">
        <f>IF(ISBLANK(Actuals!AZ29),-4024.64*Escalation!$B$48,Actuals!AZ29)</f>
        <v>-4270.9801651199996</v>
      </c>
      <c r="BA32" s="3">
        <f>IF(ISBLANK(Actuals!BA29),-4024.64*Escalation!$B$49,Actuals!BA29)</f>
        <v>-4270.9801651199996</v>
      </c>
      <c r="BB32" s="3">
        <f>IF(ISBLANK(Actuals!BB29),-4024.64*Escalation!$B$50,Actuals!BB29)</f>
        <v>-4356.3997684223996</v>
      </c>
      <c r="BC32" s="3">
        <f>IF(ISBLANK(Actuals!BC29),-4024.64*Escalation!$B$51,Actuals!BC29)</f>
        <v>-4356.3997684223996</v>
      </c>
      <c r="BD32" s="3">
        <f>IF(ISBLANK(Actuals!BD29),-4024.64*Escalation!$B$52,Actuals!BD29)</f>
        <v>-4356.3997684223996</v>
      </c>
      <c r="BE32" s="3">
        <f>IF(ISBLANK(Actuals!BE29),-4024.64*Escalation!$B$53,Actuals!BE29)</f>
        <v>-4356.3997684223996</v>
      </c>
      <c r="BF32" s="3">
        <f>IF(ISBLANK(Actuals!BF29),-4024.64*Escalation!$B$54,Actuals!BF29)</f>
        <v>-4356.3997684223996</v>
      </c>
      <c r="BG32" s="3">
        <f>IF(ISBLANK(Actuals!BG29),-4024.64*Escalation!$B$55,Actuals!BG29)</f>
        <v>-4356.3997684223996</v>
      </c>
      <c r="BH32" s="3">
        <f>IF(ISBLANK(Actuals!BH29),-4024.64*Escalation!$B$56,Actuals!BH29)</f>
        <v>-4356.3997684223996</v>
      </c>
      <c r="BI32" s="3">
        <f>IF(ISBLANK(Actuals!BI29),-4024.64*Escalation!$B$57,Actuals!BI29)</f>
        <v>-4356.3997684223996</v>
      </c>
      <c r="BJ32" s="3">
        <f>IF(ISBLANK(Actuals!BJ29),-4024.64*Escalation!$B$58,Actuals!BJ29)</f>
        <v>-4356.3997684223996</v>
      </c>
      <c r="BK32" s="3">
        <f>IF(ISBLANK(Actuals!BK29),-4024.64*Escalation!$B$59,Actuals!BK29)</f>
        <v>-4356.3997684223996</v>
      </c>
      <c r="BL32" s="3">
        <f>IF(ISBLANK(Actuals!BL29),-4024.64*Escalation!$B$60,Actuals!BL29)</f>
        <v>-4356.3997684223996</v>
      </c>
      <c r="BM32" s="3">
        <f>IF(ISBLANK(Actuals!BM29),-4024.64*Escalation!$B$61,Actuals!BM29)</f>
        <v>-4356.3997684223996</v>
      </c>
      <c r="BN32" s="3">
        <f>IF(ISBLANK(Actuals!BN29),-4024.64*Escalation!$B$62,Actuals!BN29)</f>
        <v>-4443.5277637908475</v>
      </c>
      <c r="BO32" s="3">
        <f>IF(ISBLANK(Actuals!BO29),-4024.64*Escalation!$B$63,Actuals!BO29)</f>
        <v>-4443.5277637908475</v>
      </c>
      <c r="BP32" s="3">
        <f>IF(ISBLANK(Actuals!BP29),-4024.64*Escalation!$B$64,Actuals!BP29)</f>
        <v>-4443.5277637908475</v>
      </c>
      <c r="BQ32" s="3">
        <f>IF(ISBLANK(Actuals!BQ29),-4024.64*Escalation!$B$65,Actuals!BQ29)</f>
        <v>-4443.5277637908475</v>
      </c>
      <c r="BR32" s="3">
        <f>IF(ISBLANK(Actuals!BR29),-4024.64*Escalation!$B$66,Actuals!BR29)</f>
        <v>-4443.5277637908475</v>
      </c>
      <c r="BS32" s="3">
        <f>IF(ISBLANK(Actuals!BS29),-4024.64*Escalation!$B$67,Actuals!BS29)</f>
        <v>-4443.5277637908475</v>
      </c>
      <c r="BT32" s="3">
        <f>IF(ISBLANK(Actuals!BT29),-4024.64*Escalation!$B$68,Actuals!BT29)</f>
        <v>-4443.5277637908475</v>
      </c>
      <c r="BU32" s="3">
        <f>IF(ISBLANK(Actuals!BU29),-4024.64*Escalation!$B$69,Actuals!BU29)</f>
        <v>-4443.5277637908475</v>
      </c>
      <c r="BV32" s="3">
        <f>IF(ISBLANK(Actuals!BV29),-4024.64*Escalation!$B$70,Actuals!BV29)</f>
        <v>-4443.5277637908475</v>
      </c>
      <c r="BW32" s="3">
        <f>IF(ISBLANK(Actuals!BW29),-4024.64*Escalation!$B$71,Actuals!BW29)</f>
        <v>-4443.5277637908475</v>
      </c>
      <c r="BX32" s="3">
        <f>IF(ISBLANK(Actuals!BX29),-4024.64*Escalation!$B$72,Actuals!BX29)</f>
        <v>-4443.5277637908475</v>
      </c>
      <c r="BY32" s="3">
        <f>IF(ISBLANK(Actuals!BY29),-4024.64*Escalation!$B$73,Actuals!BY29)</f>
        <v>-4443.5277637908475</v>
      </c>
      <c r="BZ32" s="3">
        <f>IF(ISBLANK(Actuals!BZ29),-4024.64*Escalation!$B$74,Actuals!BZ29)</f>
        <v>-4532.398319066665</v>
      </c>
      <c r="CA32" s="3">
        <f>IF(ISBLANK(Actuals!CA29),-4024.64*Escalation!$B$75,Actuals!CA29)</f>
        <v>-4532.398319066665</v>
      </c>
      <c r="CB32" s="3">
        <f>IF(ISBLANK(Actuals!CB29),-4024.64*Escalation!$B$76,Actuals!CB29)</f>
        <v>-4532.398319066665</v>
      </c>
      <c r="CC32" s="3">
        <f>IF(ISBLANK(Actuals!CC29),-4024.64*Escalation!$B$77,Actuals!CC29)</f>
        <v>-4532.398319066665</v>
      </c>
      <c r="CD32" s="3">
        <f>IF(ISBLANK(Actuals!CD29),-4024.64*Escalation!$B$78,Actuals!CD29)</f>
        <v>-4532.398319066665</v>
      </c>
      <c r="CE32" s="3">
        <f>IF(ISBLANK(Actuals!CE29),-4024.64*Escalation!$B$79,Actuals!CE29)</f>
        <v>-4532.398319066665</v>
      </c>
      <c r="CF32" s="3">
        <f>IF(ISBLANK(Actuals!CF29),-4024.64*Escalation!$B$80,Actuals!CF29)</f>
        <v>-4532.398319066665</v>
      </c>
      <c r="CG32" s="3">
        <f>IF(ISBLANK(Actuals!CG29),-4024.64*Escalation!$B$81,Actuals!CG29)</f>
        <v>-4532.398319066665</v>
      </c>
      <c r="CH32" s="3">
        <f>IF(ISBLANK(Actuals!CH29),-4024.64*Escalation!$B$82,Actuals!CH29)</f>
        <v>-4532.398319066665</v>
      </c>
      <c r="CI32" s="3">
        <f>IF(ISBLANK(Actuals!CI29),-4024.64*Escalation!$B$83,Actuals!CI29)</f>
        <v>-4532.398319066665</v>
      </c>
      <c r="CJ32" s="3">
        <f>IF(ISBLANK(Actuals!CJ29),-4024.64*Escalation!$B$84,Actuals!CJ29)</f>
        <v>-4532.398319066665</v>
      </c>
      <c r="CK32" s="3">
        <f>IF(ISBLANK(Actuals!CK29),-4024.64*Escalation!$B$85,Actuals!CK29)</f>
        <v>-4532.398319066665</v>
      </c>
      <c r="CL32" s="3">
        <f>IF(ISBLANK(Actuals!CL29),-4024.64*Escalation!$B$86,Actuals!CL29)</f>
        <v>-4623.0462854479974</v>
      </c>
      <c r="CM32" s="3">
        <f>IF(ISBLANK(Actuals!CM29),-4024.64*Escalation!$B$87,Actuals!CM29)</f>
        <v>-4623.0462854479974</v>
      </c>
      <c r="CN32" s="3">
        <f>IF(ISBLANK(Actuals!CN29),-4024.64*Escalation!$B$88,Actuals!CN29)</f>
        <v>-4623.0462854479974</v>
      </c>
      <c r="CO32" s="3">
        <f>IF(ISBLANK(Actuals!CO29),-4024.64*Escalation!$B$89,Actuals!CO29)</f>
        <v>-4623.0462854479974</v>
      </c>
      <c r="CP32" s="3">
        <f>IF(ISBLANK(Actuals!CP29),-4024.64*Escalation!$B$90,Actuals!CP29)</f>
        <v>-4623.0462854479974</v>
      </c>
      <c r="CQ32" s="3">
        <f>IF(ISBLANK(Actuals!CQ29),-4024.64*Escalation!$B$91,Actuals!CQ29)</f>
        <v>-4623.0462854479974</v>
      </c>
      <c r="CR32" s="3">
        <f>IF(ISBLANK(Actuals!CR29),-4024.64*Escalation!$B$92,Actuals!CR29)</f>
        <v>-4623.0462854479974</v>
      </c>
      <c r="CS32" s="3">
        <f>IF(ISBLANK(Actuals!CS29),-4024.64*Escalation!$B$93,Actuals!CS29)</f>
        <v>-4623.0462854479974</v>
      </c>
      <c r="CT32" s="3">
        <f>IF(ISBLANK(Actuals!CT29),-4024.64*Escalation!$B$94,Actuals!CT29)</f>
        <v>-4623.0462854479974</v>
      </c>
      <c r="CU32" s="3">
        <f>IF(ISBLANK(Actuals!CU29),-4024.64*Escalation!$B$95,Actuals!CU29)</f>
        <v>-4623.0462854479974</v>
      </c>
      <c r="CV32" s="3">
        <f>IF(ISBLANK(Actuals!CV29),-4024.64*Escalation!$B$96,Actuals!CV29)</f>
        <v>-4623.0462854479974</v>
      </c>
      <c r="CW32" s="3">
        <f>IF(ISBLANK(Actuals!CW29),-4024.64*Escalation!$B$97,Actuals!CW29)</f>
        <v>-4623.0462854479974</v>
      </c>
      <c r="CX32" s="3">
        <f>IF(ISBLANK(Actuals!CX29),-4024.64*Escalation!$B$98,Actuals!CX29)</f>
        <v>-4715.507211156958</v>
      </c>
      <c r="CY32" s="3">
        <f>IF(ISBLANK(Actuals!CY29),-4024.64*Escalation!$B$99,Actuals!CY29)</f>
        <v>-4715.507211156958</v>
      </c>
      <c r="CZ32" s="3">
        <f>IF(ISBLANK(Actuals!CZ29),-4024.64*Escalation!$B$100,Actuals!CZ29)</f>
        <v>-4715.507211156958</v>
      </c>
      <c r="DA32" s="3">
        <f>IF(ISBLANK(Actuals!DA29),-4024.64*Escalation!$B$101,Actuals!DA29)</f>
        <v>-4715.507211156958</v>
      </c>
      <c r="DB32" s="3">
        <f>IF(ISBLANK(Actuals!DB29),-4024.64*Escalation!$B$102,Actuals!DB29)</f>
        <v>-4715.507211156958</v>
      </c>
      <c r="DC32" s="3">
        <f>IF(ISBLANK(Actuals!DC29),-4024.64*Escalation!$B$103,Actuals!DC29)</f>
        <v>-4715.507211156958</v>
      </c>
      <c r="DD32" s="3">
        <f>IF(ISBLANK(Actuals!DD29),-4024.64*Escalation!$B$104,Actuals!DD29)</f>
        <v>-4715.507211156958</v>
      </c>
      <c r="DE32" s="3">
        <f>IF(ISBLANK(Actuals!DE29),-4024.64*Escalation!$B$105,Actuals!DE29)</f>
        <v>-4715.507211156958</v>
      </c>
      <c r="DF32" s="3">
        <f>IF(ISBLANK(Actuals!DF29),-4024.64*Escalation!$B$106,Actuals!DF29)</f>
        <v>-4715.507211156958</v>
      </c>
    </row>
    <row r="33" spans="1:110" ht="15" customHeight="1" x14ac:dyDescent="0.25">
      <c r="A33" s="13" t="s">
        <v>73</v>
      </c>
      <c r="B33" s="302"/>
      <c r="C33" s="3">
        <f>IF(ISBLANK(Actuals!C30),0,Actuals!C30)</f>
        <v>0</v>
      </c>
      <c r="D33" s="3">
        <f>IF(ISBLANK(Actuals!D30),0,Actuals!D30)</f>
        <v>0</v>
      </c>
      <c r="E33" s="3">
        <f>IF(ISBLANK(Actuals!E30),0,Actuals!E30)</f>
        <v>-1077.3800000000001</v>
      </c>
      <c r="F33" s="3">
        <f>IF(ISBLANK(Actuals!F30),-359.13*Escalation!$B$2,Actuals!F30)</f>
        <v>-211.28</v>
      </c>
      <c r="G33" s="3">
        <f>IF(ISBLANK(Actuals!G30),-359.13*Escalation!$B$3,Actuals!G30)</f>
        <v>-359.13</v>
      </c>
      <c r="H33" s="3">
        <f>IF(ISBLANK(Actuals!H30),-359.13*Escalation!$B$4,Actuals!H30)</f>
        <v>-359.13</v>
      </c>
      <c r="I33" s="3">
        <f>IF(ISBLANK(Actuals!I30),-359.13*Escalation!$B$5,Actuals!I30)</f>
        <v>-359.13</v>
      </c>
      <c r="J33" s="3">
        <f>IF(ISBLANK(Actuals!J30),-359.13*Escalation!$B$6,Actuals!J30)</f>
        <v>-359.13</v>
      </c>
      <c r="K33" s="3">
        <f>IF(ISBLANK(Actuals!K30),-359.13*Escalation!$B$7,Actuals!K30)</f>
        <v>-359.13</v>
      </c>
      <c r="L33" s="3">
        <f>IF(ISBLANK(Actuals!L30),-359.13*Escalation!$B$8,Actuals!L30)</f>
        <v>-359.13</v>
      </c>
      <c r="M33" s="3">
        <f>IF(ISBLANK(Actuals!M30),-359.13*Escalation!$B$9,Actuals!M30)</f>
        <v>-359.13</v>
      </c>
      <c r="N33" s="3">
        <f>IF(ISBLANK(Actuals!N30),-359.13*Escalation!$B$10,Actuals!N30)</f>
        <v>-359.13</v>
      </c>
      <c r="O33" s="3">
        <f>IF(ISBLANK(Actuals!O30),-359.13*Escalation!$B$11,Actuals!O30)</f>
        <v>-359.13</v>
      </c>
      <c r="P33" s="3">
        <f>IF(ISBLANK(Actuals!P30),-359.13*Escalation!$B$12,Actuals!P30)</f>
        <v>-359.13</v>
      </c>
      <c r="Q33" s="3">
        <f>IF(ISBLANK(Actuals!Q30),-359.13*Escalation!$B$13,Actuals!Q30)</f>
        <v>-359.13</v>
      </c>
      <c r="R33" s="3">
        <f>IF(ISBLANK(Actuals!R30),-359.13*Escalation!$B$14,Actuals!R30)</f>
        <v>-366.31259999999997</v>
      </c>
      <c r="S33" s="3">
        <f>IF(ISBLANK(Actuals!S30),-359.13*Escalation!$B$15,Actuals!S30)</f>
        <v>-366.31259999999997</v>
      </c>
      <c r="T33" s="3">
        <f>IF(ISBLANK(Actuals!T30),-359.13*Escalation!$B$16,Actuals!T30)</f>
        <v>-366.31259999999997</v>
      </c>
      <c r="U33" s="3">
        <f>IF(ISBLANK(Actuals!U30),-359.13*Escalation!$B$17,Actuals!U30)</f>
        <v>-366.31259999999997</v>
      </c>
      <c r="V33" s="3">
        <f>IF(ISBLANK(Actuals!V30),-359.13*Escalation!$B$18,Actuals!V30)</f>
        <v>-366.31259999999997</v>
      </c>
      <c r="W33" s="3">
        <f>IF(ISBLANK(Actuals!W30),-359.13*Escalation!$B$19,Actuals!W30)</f>
        <v>-366.31259999999997</v>
      </c>
      <c r="X33" s="3">
        <f>IF(ISBLANK(Actuals!X30),-359.13*Escalation!$B$20,Actuals!X30)</f>
        <v>-366.31259999999997</v>
      </c>
      <c r="Y33" s="3">
        <f>IF(ISBLANK(Actuals!Y30),-359.13*Escalation!$B$21,Actuals!Y30)</f>
        <v>-366.31259999999997</v>
      </c>
      <c r="Z33" s="3">
        <f>IF(ISBLANK(Actuals!Z30),-359.13*Escalation!$B$22,Actuals!Z30)</f>
        <v>-366.31259999999997</v>
      </c>
      <c r="AA33" s="3">
        <f>IF(ISBLANK(Actuals!AA30),-359.13*Escalation!$B$23,Actuals!AA30)</f>
        <v>-366.31259999999997</v>
      </c>
      <c r="AB33" s="3">
        <f>IF(ISBLANK(Actuals!AB30),-359.13*Escalation!$B$24,Actuals!AB30)</f>
        <v>-366.31259999999997</v>
      </c>
      <c r="AC33" s="3">
        <f>IF(ISBLANK(Actuals!AC30),-359.13*Escalation!$B$25,Actuals!AC30)</f>
        <v>-366.31259999999997</v>
      </c>
      <c r="AD33" s="3">
        <f>IF(ISBLANK(Actuals!AD30),-359.13*Escalation!$B$26,Actuals!AD30)</f>
        <v>-373.63885199999999</v>
      </c>
      <c r="AE33" s="3">
        <f>IF(ISBLANK(Actuals!AE30),-359.13*Escalation!$B$27,Actuals!AE30)</f>
        <v>-373.63885199999999</v>
      </c>
      <c r="AF33" s="3">
        <f>IF(ISBLANK(Actuals!AF30),-359.13*Escalation!$B$28,Actuals!AF30)</f>
        <v>-373.63885199999999</v>
      </c>
      <c r="AG33" s="3">
        <f>IF(ISBLANK(Actuals!AG30),-359.13*Escalation!$B$29,Actuals!AG30)</f>
        <v>-373.63885199999999</v>
      </c>
      <c r="AH33" s="3">
        <f>IF(ISBLANK(Actuals!AH30),-359.13*Escalation!$B$30,Actuals!AH30)</f>
        <v>-373.63885199999999</v>
      </c>
      <c r="AI33" s="3">
        <f>IF(ISBLANK(Actuals!AI30),-359.13*Escalation!$B$31,Actuals!AI30)</f>
        <v>-373.63885199999999</v>
      </c>
      <c r="AJ33" s="3">
        <f>IF(ISBLANK(Actuals!AJ30),-359.13*Escalation!$B$32,Actuals!AJ30)</f>
        <v>-373.63885199999999</v>
      </c>
      <c r="AK33" s="3">
        <f>IF(ISBLANK(Actuals!AK30),-359.13*Escalation!$B$33,Actuals!AK30)</f>
        <v>-373.63885199999999</v>
      </c>
      <c r="AL33" s="3">
        <f>IF(ISBLANK(Actuals!AL30),-359.13*Escalation!$B$34,Actuals!AL30)</f>
        <v>-373.63885199999999</v>
      </c>
      <c r="AM33" s="3">
        <f>IF(ISBLANK(Actuals!AM30),-359.13*Escalation!$B$35,Actuals!AM30)</f>
        <v>-373.63885199999999</v>
      </c>
      <c r="AN33" s="3">
        <f>IF(ISBLANK(Actuals!AN30),-359.13*Escalation!$B$36,Actuals!AN30)</f>
        <v>-373.63885199999999</v>
      </c>
      <c r="AO33" s="3">
        <f>IF(ISBLANK(Actuals!AO30),-359.13*Escalation!$B$37,Actuals!AO30)</f>
        <v>-373.63885199999999</v>
      </c>
      <c r="AP33" s="3">
        <f>IF(ISBLANK(Actuals!AP30),-359.13*Escalation!$B$38,Actuals!AP30)</f>
        <v>-381.11162903999997</v>
      </c>
      <c r="AQ33" s="3">
        <f>IF(ISBLANK(Actuals!AQ30),-359.13*Escalation!$B$39,Actuals!AQ30)</f>
        <v>-381.11162903999997</v>
      </c>
      <c r="AR33" s="3">
        <f>IF(ISBLANK(Actuals!AR30),-359.13*Escalation!$B$40,Actuals!AR30)</f>
        <v>-381.11162903999997</v>
      </c>
      <c r="AS33" s="3">
        <f>IF(ISBLANK(Actuals!AS30),-359.13*Escalation!$B$41,Actuals!AS30)</f>
        <v>-381.11162903999997</v>
      </c>
      <c r="AT33" s="3">
        <f>IF(ISBLANK(Actuals!AT30),-359.13*Escalation!$B$42,Actuals!AT30)</f>
        <v>-381.11162903999997</v>
      </c>
      <c r="AU33" s="3">
        <f>IF(ISBLANK(Actuals!AU30),-359.13*Escalation!$B$43,Actuals!AU30)</f>
        <v>-381.11162903999997</v>
      </c>
      <c r="AV33" s="3">
        <f>IF(ISBLANK(Actuals!AV30),-359.13*Escalation!$B$44,Actuals!AV30)</f>
        <v>-381.11162903999997</v>
      </c>
      <c r="AW33" s="3">
        <f>IF(ISBLANK(Actuals!AW30),-359.13*Escalation!$B$45,Actuals!AW30)</f>
        <v>-381.11162903999997</v>
      </c>
      <c r="AX33" s="3">
        <f>IF(ISBLANK(Actuals!AX30),-359.13*Escalation!$B$46,Actuals!AX30)</f>
        <v>-381.11162903999997</v>
      </c>
      <c r="AY33" s="3">
        <f>IF(ISBLANK(Actuals!AY30),-359.13*Escalation!$B$47,Actuals!AY30)</f>
        <v>-381.11162903999997</v>
      </c>
      <c r="AZ33" s="3">
        <f>IF(ISBLANK(Actuals!AZ30),-359.13*Escalation!$B$48,Actuals!AZ30)</f>
        <v>-381.11162903999997</v>
      </c>
      <c r="BA33" s="3">
        <f>IF(ISBLANK(Actuals!BA30),-359.13*Escalation!$B$49,Actuals!BA30)</f>
        <v>-381.11162903999997</v>
      </c>
      <c r="BB33" s="3">
        <f>IF(ISBLANK(Actuals!BB30),-359.13*Escalation!$B$50,Actuals!BB30)</f>
        <v>-388.73386162079998</v>
      </c>
      <c r="BC33" s="3">
        <f>IF(ISBLANK(Actuals!BC30),-359.13*Escalation!$B$51,Actuals!BC30)</f>
        <v>-388.73386162079998</v>
      </c>
      <c r="BD33" s="3">
        <f>IF(ISBLANK(Actuals!BD30),-359.13*Escalation!$B$52,Actuals!BD30)</f>
        <v>-388.73386162079998</v>
      </c>
      <c r="BE33" s="3">
        <f>IF(ISBLANK(Actuals!BE30),-359.13*Escalation!$B$53,Actuals!BE30)</f>
        <v>-388.73386162079998</v>
      </c>
      <c r="BF33" s="3">
        <f>IF(ISBLANK(Actuals!BF30),-359.13*Escalation!$B$54,Actuals!BF30)</f>
        <v>-388.73386162079998</v>
      </c>
      <c r="BG33" s="3">
        <f>IF(ISBLANK(Actuals!BG30),-359.13*Escalation!$B$55,Actuals!BG30)</f>
        <v>-388.73386162079998</v>
      </c>
      <c r="BH33" s="3">
        <f>IF(ISBLANK(Actuals!BH30),-359.13*Escalation!$B$56,Actuals!BH30)</f>
        <v>-388.73386162079998</v>
      </c>
      <c r="BI33" s="3">
        <f>IF(ISBLANK(Actuals!BI30),-359.13*Escalation!$B$57,Actuals!BI30)</f>
        <v>-388.73386162079998</v>
      </c>
      <c r="BJ33" s="3">
        <f>IF(ISBLANK(Actuals!BJ30),-359.13*Escalation!$B$58,Actuals!BJ30)</f>
        <v>-388.73386162079998</v>
      </c>
      <c r="BK33" s="3">
        <f>IF(ISBLANK(Actuals!BK30),-359.13*Escalation!$B$59,Actuals!BK30)</f>
        <v>-388.73386162079998</v>
      </c>
      <c r="BL33" s="3">
        <f>IF(ISBLANK(Actuals!BL30),-359.13*Escalation!$B$60,Actuals!BL30)</f>
        <v>-388.73386162079998</v>
      </c>
      <c r="BM33" s="3">
        <f>IF(ISBLANK(Actuals!BM30),-359.13*Escalation!$B$61,Actuals!BM30)</f>
        <v>-388.73386162079998</v>
      </c>
      <c r="BN33" s="3">
        <f>IF(ISBLANK(Actuals!BN30),-359.13*Escalation!$B$62,Actuals!BN30)</f>
        <v>-396.50853885321601</v>
      </c>
      <c r="BO33" s="3">
        <f>IF(ISBLANK(Actuals!BO30),-359.13*Escalation!$B$63,Actuals!BO30)</f>
        <v>-396.50853885321601</v>
      </c>
      <c r="BP33" s="3">
        <f>IF(ISBLANK(Actuals!BP30),-359.13*Escalation!$B$64,Actuals!BP30)</f>
        <v>-396.50853885321601</v>
      </c>
      <c r="BQ33" s="3">
        <f>IF(ISBLANK(Actuals!BQ30),-359.13*Escalation!$B$65,Actuals!BQ30)</f>
        <v>-396.50853885321601</v>
      </c>
      <c r="BR33" s="3">
        <f>IF(ISBLANK(Actuals!BR30),-359.13*Escalation!$B$66,Actuals!BR30)</f>
        <v>-396.50853885321601</v>
      </c>
      <c r="BS33" s="3">
        <f>IF(ISBLANK(Actuals!BS30),-359.13*Escalation!$B$67,Actuals!BS30)</f>
        <v>-396.50853885321601</v>
      </c>
      <c r="BT33" s="3">
        <f>IF(ISBLANK(Actuals!BT30),-359.13*Escalation!$B$68,Actuals!BT30)</f>
        <v>-396.50853885321601</v>
      </c>
      <c r="BU33" s="3">
        <f>IF(ISBLANK(Actuals!BU30),-359.13*Escalation!$B$69,Actuals!BU30)</f>
        <v>-396.50853885321601</v>
      </c>
      <c r="BV33" s="3">
        <f>IF(ISBLANK(Actuals!BV30),-359.13*Escalation!$B$70,Actuals!BV30)</f>
        <v>-396.50853885321601</v>
      </c>
      <c r="BW33" s="3">
        <f>IF(ISBLANK(Actuals!BW30),-359.13*Escalation!$B$71,Actuals!BW30)</f>
        <v>-396.50853885321601</v>
      </c>
      <c r="BX33" s="3">
        <f>IF(ISBLANK(Actuals!BX30),-359.13*Escalation!$B$72,Actuals!BX30)</f>
        <v>-396.50853885321601</v>
      </c>
      <c r="BY33" s="3">
        <f>IF(ISBLANK(Actuals!BY30),-359.13*Escalation!$B$73,Actuals!BY30)</f>
        <v>-396.50853885321601</v>
      </c>
      <c r="BZ33" s="3">
        <f>IF(ISBLANK(Actuals!BZ30),-359.13*Escalation!$B$74,Actuals!BZ30)</f>
        <v>-404.43870963028036</v>
      </c>
      <c r="CA33" s="3">
        <f>IF(ISBLANK(Actuals!CA30),-359.13*Escalation!$B$75,Actuals!CA30)</f>
        <v>-404.43870963028036</v>
      </c>
      <c r="CB33" s="3">
        <f>IF(ISBLANK(Actuals!CB30),-359.13*Escalation!$B$76,Actuals!CB30)</f>
        <v>-404.43870963028036</v>
      </c>
      <c r="CC33" s="3">
        <f>IF(ISBLANK(Actuals!CC30),-359.13*Escalation!$B$77,Actuals!CC30)</f>
        <v>-404.43870963028036</v>
      </c>
      <c r="CD33" s="3">
        <f>IF(ISBLANK(Actuals!CD30),-359.13*Escalation!$B$78,Actuals!CD30)</f>
        <v>-404.43870963028036</v>
      </c>
      <c r="CE33" s="3">
        <f>IF(ISBLANK(Actuals!CE30),-359.13*Escalation!$B$79,Actuals!CE30)</f>
        <v>-404.43870963028036</v>
      </c>
      <c r="CF33" s="3">
        <f>IF(ISBLANK(Actuals!CF30),-359.13*Escalation!$B$80,Actuals!CF30)</f>
        <v>-404.43870963028036</v>
      </c>
      <c r="CG33" s="3">
        <f>IF(ISBLANK(Actuals!CG30),-359.13*Escalation!$B$81,Actuals!CG30)</f>
        <v>-404.43870963028036</v>
      </c>
      <c r="CH33" s="3">
        <f>IF(ISBLANK(Actuals!CH30),-359.13*Escalation!$B$82,Actuals!CH30)</f>
        <v>-404.43870963028036</v>
      </c>
      <c r="CI33" s="3">
        <f>IF(ISBLANK(Actuals!CI30),-359.13*Escalation!$B$83,Actuals!CI30)</f>
        <v>-404.43870963028036</v>
      </c>
      <c r="CJ33" s="3">
        <f>IF(ISBLANK(Actuals!CJ30),-359.13*Escalation!$B$84,Actuals!CJ30)</f>
        <v>-404.43870963028036</v>
      </c>
      <c r="CK33" s="3">
        <f>IF(ISBLANK(Actuals!CK30),-359.13*Escalation!$B$85,Actuals!CK30)</f>
        <v>-404.43870963028036</v>
      </c>
      <c r="CL33" s="3">
        <f>IF(ISBLANK(Actuals!CL30),-359.13*Escalation!$B$86,Actuals!CL30)</f>
        <v>-412.52748382288587</v>
      </c>
      <c r="CM33" s="3">
        <f>IF(ISBLANK(Actuals!CM30),-359.13*Escalation!$B$87,Actuals!CM30)</f>
        <v>-412.52748382288587</v>
      </c>
      <c r="CN33" s="3">
        <f>IF(ISBLANK(Actuals!CN30),-359.13*Escalation!$B$88,Actuals!CN30)</f>
        <v>-412.52748382288587</v>
      </c>
      <c r="CO33" s="3">
        <f>IF(ISBLANK(Actuals!CO30),-359.13*Escalation!$B$89,Actuals!CO30)</f>
        <v>-412.52748382288587</v>
      </c>
      <c r="CP33" s="3">
        <f>IF(ISBLANK(Actuals!CP30),-359.13*Escalation!$B$90,Actuals!CP30)</f>
        <v>-412.52748382288587</v>
      </c>
      <c r="CQ33" s="3">
        <f>IF(ISBLANK(Actuals!CQ30),-359.13*Escalation!$B$91,Actuals!CQ30)</f>
        <v>-412.52748382288587</v>
      </c>
      <c r="CR33" s="3">
        <f>IF(ISBLANK(Actuals!CR30),-359.13*Escalation!$B$92,Actuals!CR30)</f>
        <v>-412.52748382288587</v>
      </c>
      <c r="CS33" s="3">
        <f>IF(ISBLANK(Actuals!CS30),-359.13*Escalation!$B$93,Actuals!CS30)</f>
        <v>-412.52748382288587</v>
      </c>
      <c r="CT33" s="3">
        <f>IF(ISBLANK(Actuals!CT30),-359.13*Escalation!$B$94,Actuals!CT30)</f>
        <v>-412.52748382288587</v>
      </c>
      <c r="CU33" s="3">
        <f>IF(ISBLANK(Actuals!CU30),-359.13*Escalation!$B$95,Actuals!CU30)</f>
        <v>-412.52748382288587</v>
      </c>
      <c r="CV33" s="3">
        <f>IF(ISBLANK(Actuals!CV30),-359.13*Escalation!$B$96,Actuals!CV30)</f>
        <v>-412.52748382288587</v>
      </c>
      <c r="CW33" s="3">
        <f>IF(ISBLANK(Actuals!CW30),-359.13*Escalation!$B$97,Actuals!CW30)</f>
        <v>-412.52748382288587</v>
      </c>
      <c r="CX33" s="3">
        <f>IF(ISBLANK(Actuals!CX30),-359.13*Escalation!$B$98,Actuals!CX30)</f>
        <v>-420.77803349934362</v>
      </c>
      <c r="CY33" s="3">
        <f>IF(ISBLANK(Actuals!CY30),-359.13*Escalation!$B$99,Actuals!CY30)</f>
        <v>-420.77803349934362</v>
      </c>
      <c r="CZ33" s="3">
        <f>IF(ISBLANK(Actuals!CZ30),-359.13*Escalation!$B$100,Actuals!CZ30)</f>
        <v>-420.77803349934362</v>
      </c>
      <c r="DA33" s="3">
        <f>IF(ISBLANK(Actuals!DA30),-359.13*Escalation!$B$101,Actuals!DA30)</f>
        <v>-420.77803349934362</v>
      </c>
      <c r="DB33" s="3">
        <f>IF(ISBLANK(Actuals!DB30),-359.13*Escalation!$B$102,Actuals!DB30)</f>
        <v>-420.77803349934362</v>
      </c>
      <c r="DC33" s="3">
        <f>IF(ISBLANK(Actuals!DC30),-359.13*Escalation!$B$103,Actuals!DC30)</f>
        <v>-420.77803349934362</v>
      </c>
      <c r="DD33" s="3">
        <f>IF(ISBLANK(Actuals!DD30),-359.13*Escalation!$B$104,Actuals!DD30)</f>
        <v>-420.77803349934362</v>
      </c>
      <c r="DE33" s="3">
        <f>IF(ISBLANK(Actuals!DE30),-359.13*Escalation!$B$105,Actuals!DE30)</f>
        <v>-420.77803349934362</v>
      </c>
      <c r="DF33" s="3">
        <f>IF(ISBLANK(Actuals!DF30),-359.13*Escalation!$B$106,Actuals!DF30)</f>
        <v>-420.77803349934362</v>
      </c>
    </row>
    <row r="34" spans="1:110" ht="15" customHeight="1" x14ac:dyDescent="0.25">
      <c r="A34" s="13" t="s">
        <v>74</v>
      </c>
      <c r="B34" s="302"/>
      <c r="C34" s="3">
        <f>IF(ISBLANK(Actuals!C31),0,Actuals!C31)</f>
        <v>-79</v>
      </c>
      <c r="D34" s="3">
        <f>IF(ISBLANK(Actuals!D31),0,Actuals!D31)</f>
        <v>0</v>
      </c>
      <c r="E34" s="3">
        <f>IF(ISBLANK(Actuals!E31),0,Actuals!E31)</f>
        <v>0</v>
      </c>
      <c r="F34" s="3">
        <f>IF(ISBLANK(Actuals!F31),-26.33*Escalation!$B$2,Actuals!F31)</f>
        <v>0</v>
      </c>
      <c r="G34" s="3">
        <f>IF(ISBLANK(Actuals!G31),-26.33*Escalation!$B$3,Actuals!G31)</f>
        <v>-26.33</v>
      </c>
      <c r="H34" s="3">
        <f>IF(ISBLANK(Actuals!H31),-26.33*Escalation!$B$4,Actuals!H31)</f>
        <v>-26.33</v>
      </c>
      <c r="I34" s="3">
        <f>IF(ISBLANK(Actuals!I31),-26.33*Escalation!$B$5,Actuals!I31)</f>
        <v>-26.33</v>
      </c>
      <c r="J34" s="3">
        <f>IF(ISBLANK(Actuals!J31),-26.33*Escalation!$B$6,Actuals!J31)</f>
        <v>-26.33</v>
      </c>
      <c r="K34" s="3">
        <f>IF(ISBLANK(Actuals!K31),-26.33*Escalation!$B$7,Actuals!K31)</f>
        <v>-26.33</v>
      </c>
      <c r="L34" s="3">
        <f>IF(ISBLANK(Actuals!L31),-26.33*Escalation!$B$8,Actuals!L31)</f>
        <v>-26.33</v>
      </c>
      <c r="M34" s="3">
        <f>IF(ISBLANK(Actuals!M31),-26.33*Escalation!$B$9,Actuals!M31)</f>
        <v>-26.33</v>
      </c>
      <c r="N34" s="3">
        <f>IF(ISBLANK(Actuals!N31),-26.33*Escalation!$B$10,Actuals!N31)</f>
        <v>-26.33</v>
      </c>
      <c r="O34" s="3">
        <f>IF(ISBLANK(Actuals!O31),-26.33*Escalation!$B$11,Actuals!O31)</f>
        <v>-26.33</v>
      </c>
      <c r="P34" s="3">
        <f>IF(ISBLANK(Actuals!P31),-26.33*Escalation!$B$12,Actuals!P31)</f>
        <v>-26.33</v>
      </c>
      <c r="Q34" s="3">
        <f>IF(ISBLANK(Actuals!Q31),-26.33*Escalation!$B$13,Actuals!Q31)</f>
        <v>-26.33</v>
      </c>
      <c r="R34" s="3">
        <f>IF(ISBLANK(Actuals!R31),-26.33*Escalation!$B$14,Actuals!R31)</f>
        <v>-26.8566</v>
      </c>
      <c r="S34" s="3">
        <f>IF(ISBLANK(Actuals!S31),-26.33*Escalation!$B$15,Actuals!S31)</f>
        <v>-26.8566</v>
      </c>
      <c r="T34" s="3">
        <f>IF(ISBLANK(Actuals!T31),-26.33*Escalation!$B$16,Actuals!T31)</f>
        <v>-26.8566</v>
      </c>
      <c r="U34" s="3">
        <f>IF(ISBLANK(Actuals!U31),-26.33*Escalation!$B$17,Actuals!U31)</f>
        <v>-26.8566</v>
      </c>
      <c r="V34" s="3">
        <f>IF(ISBLANK(Actuals!V31),-26.33*Escalation!$B$18,Actuals!V31)</f>
        <v>-26.8566</v>
      </c>
      <c r="W34" s="3">
        <f>IF(ISBLANK(Actuals!W31),-26.33*Escalation!$B$19,Actuals!W31)</f>
        <v>-26.8566</v>
      </c>
      <c r="X34" s="3">
        <f>IF(ISBLANK(Actuals!X31),-26.33*Escalation!$B$20,Actuals!X31)</f>
        <v>-26.8566</v>
      </c>
      <c r="Y34" s="3">
        <f>IF(ISBLANK(Actuals!Y31),-26.33*Escalation!$B$21,Actuals!Y31)</f>
        <v>-26.8566</v>
      </c>
      <c r="Z34" s="3">
        <f>IF(ISBLANK(Actuals!Z31),-26.33*Escalation!$B$22,Actuals!Z31)</f>
        <v>-26.8566</v>
      </c>
      <c r="AA34" s="3">
        <f>IF(ISBLANK(Actuals!AA31),-26.33*Escalation!$B$23,Actuals!AA31)</f>
        <v>-26.8566</v>
      </c>
      <c r="AB34" s="3">
        <f>IF(ISBLANK(Actuals!AB31),-26.33*Escalation!$B$24,Actuals!AB31)</f>
        <v>-26.8566</v>
      </c>
      <c r="AC34" s="3">
        <f>IF(ISBLANK(Actuals!AC31),-26.33*Escalation!$B$25,Actuals!AC31)</f>
        <v>-26.8566</v>
      </c>
      <c r="AD34" s="3">
        <f>IF(ISBLANK(Actuals!AD31),-26.33*Escalation!$B$26,Actuals!AD31)</f>
        <v>-27.393731999999996</v>
      </c>
      <c r="AE34" s="3">
        <f>IF(ISBLANK(Actuals!AE31),-26.33*Escalation!$B$27,Actuals!AE31)</f>
        <v>-27.393731999999996</v>
      </c>
      <c r="AF34" s="3">
        <f>IF(ISBLANK(Actuals!AF31),-26.33*Escalation!$B$28,Actuals!AF31)</f>
        <v>-27.393731999999996</v>
      </c>
      <c r="AG34" s="3">
        <f>IF(ISBLANK(Actuals!AG31),-26.33*Escalation!$B$29,Actuals!AG31)</f>
        <v>-27.393731999999996</v>
      </c>
      <c r="AH34" s="3">
        <f>IF(ISBLANK(Actuals!AH31),-26.33*Escalation!$B$30,Actuals!AH31)</f>
        <v>-27.393731999999996</v>
      </c>
      <c r="AI34" s="3">
        <f>IF(ISBLANK(Actuals!AI31),-26.33*Escalation!$B$31,Actuals!AI31)</f>
        <v>-27.393731999999996</v>
      </c>
      <c r="AJ34" s="3">
        <f>IF(ISBLANK(Actuals!AJ31),-26.33*Escalation!$B$32,Actuals!AJ31)</f>
        <v>-27.393731999999996</v>
      </c>
      <c r="AK34" s="3">
        <f>IF(ISBLANK(Actuals!AK31),-26.33*Escalation!$B$33,Actuals!AK31)</f>
        <v>-27.393731999999996</v>
      </c>
      <c r="AL34" s="3">
        <f>IF(ISBLANK(Actuals!AL31),-26.33*Escalation!$B$34,Actuals!AL31)</f>
        <v>-27.393731999999996</v>
      </c>
      <c r="AM34" s="3">
        <f>IF(ISBLANK(Actuals!AM31),-26.33*Escalation!$B$35,Actuals!AM31)</f>
        <v>-27.393731999999996</v>
      </c>
      <c r="AN34" s="3">
        <f>IF(ISBLANK(Actuals!AN31),-26.33*Escalation!$B$36,Actuals!AN31)</f>
        <v>-27.393731999999996</v>
      </c>
      <c r="AO34" s="3">
        <f>IF(ISBLANK(Actuals!AO31),-26.33*Escalation!$B$37,Actuals!AO31)</f>
        <v>-27.393731999999996</v>
      </c>
      <c r="AP34" s="3">
        <f>IF(ISBLANK(Actuals!AP31),-26.33*Escalation!$B$38,Actuals!AP31)</f>
        <v>-27.941606639999996</v>
      </c>
      <c r="AQ34" s="3">
        <f>IF(ISBLANK(Actuals!AQ31),-26.33*Escalation!$B$39,Actuals!AQ31)</f>
        <v>-27.941606639999996</v>
      </c>
      <c r="AR34" s="3">
        <f>IF(ISBLANK(Actuals!AR31),-26.33*Escalation!$B$40,Actuals!AR31)</f>
        <v>-27.941606639999996</v>
      </c>
      <c r="AS34" s="3">
        <f>IF(ISBLANK(Actuals!AS31),-26.33*Escalation!$B$41,Actuals!AS31)</f>
        <v>-27.941606639999996</v>
      </c>
      <c r="AT34" s="3">
        <f>IF(ISBLANK(Actuals!AT31),-26.33*Escalation!$B$42,Actuals!AT31)</f>
        <v>-27.941606639999996</v>
      </c>
      <c r="AU34" s="3">
        <f>IF(ISBLANK(Actuals!AU31),-26.33*Escalation!$B$43,Actuals!AU31)</f>
        <v>-27.941606639999996</v>
      </c>
      <c r="AV34" s="3">
        <f>IF(ISBLANK(Actuals!AV31),-26.33*Escalation!$B$44,Actuals!AV31)</f>
        <v>-27.941606639999996</v>
      </c>
      <c r="AW34" s="3">
        <f>IF(ISBLANK(Actuals!AW31),-26.33*Escalation!$B$45,Actuals!AW31)</f>
        <v>-27.941606639999996</v>
      </c>
      <c r="AX34" s="3">
        <f>IF(ISBLANK(Actuals!AX31),-26.33*Escalation!$B$46,Actuals!AX31)</f>
        <v>-27.941606639999996</v>
      </c>
      <c r="AY34" s="3">
        <f>IF(ISBLANK(Actuals!AY31),-26.33*Escalation!$B$47,Actuals!AY31)</f>
        <v>-27.941606639999996</v>
      </c>
      <c r="AZ34" s="3">
        <f>IF(ISBLANK(Actuals!AZ31),-26.33*Escalation!$B$48,Actuals!AZ31)</f>
        <v>-27.941606639999996</v>
      </c>
      <c r="BA34" s="3">
        <f>IF(ISBLANK(Actuals!BA31),-26.33*Escalation!$B$49,Actuals!BA31)</f>
        <v>-27.941606639999996</v>
      </c>
      <c r="BB34" s="3">
        <f>IF(ISBLANK(Actuals!BB31),-26.33*Escalation!$B$50,Actuals!BB31)</f>
        <v>-28.500438772799999</v>
      </c>
      <c r="BC34" s="3">
        <f>IF(ISBLANK(Actuals!BC31),-26.33*Escalation!$B$51,Actuals!BC31)</f>
        <v>-28.500438772799999</v>
      </c>
      <c r="BD34" s="3">
        <f>IF(ISBLANK(Actuals!BD31),-26.33*Escalation!$B$52,Actuals!BD31)</f>
        <v>-28.500438772799999</v>
      </c>
      <c r="BE34" s="3">
        <f>IF(ISBLANK(Actuals!BE31),-26.33*Escalation!$B$53,Actuals!BE31)</f>
        <v>-28.500438772799999</v>
      </c>
      <c r="BF34" s="3">
        <f>IF(ISBLANK(Actuals!BF31),-26.33*Escalation!$B$54,Actuals!BF31)</f>
        <v>-28.500438772799999</v>
      </c>
      <c r="BG34" s="3">
        <f>IF(ISBLANK(Actuals!BG31),-26.33*Escalation!$B$55,Actuals!BG31)</f>
        <v>-28.500438772799999</v>
      </c>
      <c r="BH34" s="3">
        <f>IF(ISBLANK(Actuals!BH31),-26.33*Escalation!$B$56,Actuals!BH31)</f>
        <v>-28.500438772799999</v>
      </c>
      <c r="BI34" s="3">
        <f>IF(ISBLANK(Actuals!BI31),-26.33*Escalation!$B$57,Actuals!BI31)</f>
        <v>-28.500438772799999</v>
      </c>
      <c r="BJ34" s="3">
        <f>IF(ISBLANK(Actuals!BJ31),-26.33*Escalation!$B$58,Actuals!BJ31)</f>
        <v>-28.500438772799999</v>
      </c>
      <c r="BK34" s="3">
        <f>IF(ISBLANK(Actuals!BK31),-26.33*Escalation!$B$59,Actuals!BK31)</f>
        <v>-28.500438772799999</v>
      </c>
      <c r="BL34" s="3">
        <f>IF(ISBLANK(Actuals!BL31),-26.33*Escalation!$B$60,Actuals!BL31)</f>
        <v>-28.500438772799999</v>
      </c>
      <c r="BM34" s="3">
        <f>IF(ISBLANK(Actuals!BM31),-26.33*Escalation!$B$61,Actuals!BM31)</f>
        <v>-28.500438772799999</v>
      </c>
      <c r="BN34" s="3">
        <f>IF(ISBLANK(Actuals!BN31),-26.33*Escalation!$B$62,Actuals!BN31)</f>
        <v>-29.070447548255999</v>
      </c>
      <c r="BO34" s="3">
        <f>IF(ISBLANK(Actuals!BO31),-26.33*Escalation!$B$63,Actuals!BO31)</f>
        <v>-29.070447548255999</v>
      </c>
      <c r="BP34" s="3">
        <f>IF(ISBLANK(Actuals!BP31),-26.33*Escalation!$B$64,Actuals!BP31)</f>
        <v>-29.070447548255999</v>
      </c>
      <c r="BQ34" s="3">
        <f>IF(ISBLANK(Actuals!BQ31),-26.33*Escalation!$B$65,Actuals!BQ31)</f>
        <v>-29.070447548255999</v>
      </c>
      <c r="BR34" s="3">
        <f>IF(ISBLANK(Actuals!BR31),-26.33*Escalation!$B$66,Actuals!BR31)</f>
        <v>-29.070447548255999</v>
      </c>
      <c r="BS34" s="3">
        <f>IF(ISBLANK(Actuals!BS31),-26.33*Escalation!$B$67,Actuals!BS31)</f>
        <v>-29.070447548255999</v>
      </c>
      <c r="BT34" s="3">
        <f>IF(ISBLANK(Actuals!BT31),-26.33*Escalation!$B$68,Actuals!BT31)</f>
        <v>-29.070447548255999</v>
      </c>
      <c r="BU34" s="3">
        <f>IF(ISBLANK(Actuals!BU31),-26.33*Escalation!$B$69,Actuals!BU31)</f>
        <v>-29.070447548255999</v>
      </c>
      <c r="BV34" s="3">
        <f>IF(ISBLANK(Actuals!BV31),-26.33*Escalation!$B$70,Actuals!BV31)</f>
        <v>-29.070447548255999</v>
      </c>
      <c r="BW34" s="3">
        <f>IF(ISBLANK(Actuals!BW31),-26.33*Escalation!$B$71,Actuals!BW31)</f>
        <v>-29.070447548255999</v>
      </c>
      <c r="BX34" s="3">
        <f>IF(ISBLANK(Actuals!BX31),-26.33*Escalation!$B$72,Actuals!BX31)</f>
        <v>-29.070447548255999</v>
      </c>
      <c r="BY34" s="3">
        <f>IF(ISBLANK(Actuals!BY31),-26.33*Escalation!$B$73,Actuals!BY31)</f>
        <v>-29.070447548255999</v>
      </c>
      <c r="BZ34" s="3">
        <f>IF(ISBLANK(Actuals!BZ31),-26.33*Escalation!$B$74,Actuals!BZ31)</f>
        <v>-29.651856499221118</v>
      </c>
      <c r="CA34" s="3">
        <f>IF(ISBLANK(Actuals!CA31),-26.33*Escalation!$B$75,Actuals!CA31)</f>
        <v>-29.651856499221118</v>
      </c>
      <c r="CB34" s="3">
        <f>IF(ISBLANK(Actuals!CB31),-26.33*Escalation!$B$76,Actuals!CB31)</f>
        <v>-29.651856499221118</v>
      </c>
      <c r="CC34" s="3">
        <f>IF(ISBLANK(Actuals!CC31),-26.33*Escalation!$B$77,Actuals!CC31)</f>
        <v>-29.651856499221118</v>
      </c>
      <c r="CD34" s="3">
        <f>IF(ISBLANK(Actuals!CD31),-26.33*Escalation!$B$78,Actuals!CD31)</f>
        <v>-29.651856499221118</v>
      </c>
      <c r="CE34" s="3">
        <f>IF(ISBLANK(Actuals!CE31),-26.33*Escalation!$B$79,Actuals!CE31)</f>
        <v>-29.651856499221118</v>
      </c>
      <c r="CF34" s="3">
        <f>IF(ISBLANK(Actuals!CF31),-26.33*Escalation!$B$80,Actuals!CF31)</f>
        <v>-29.651856499221118</v>
      </c>
      <c r="CG34" s="3">
        <f>IF(ISBLANK(Actuals!CG31),-26.33*Escalation!$B$81,Actuals!CG31)</f>
        <v>-29.651856499221118</v>
      </c>
      <c r="CH34" s="3">
        <f>IF(ISBLANK(Actuals!CH31),-26.33*Escalation!$B$82,Actuals!CH31)</f>
        <v>-29.651856499221118</v>
      </c>
      <c r="CI34" s="3">
        <f>IF(ISBLANK(Actuals!CI31),-26.33*Escalation!$B$83,Actuals!CI31)</f>
        <v>-29.651856499221118</v>
      </c>
      <c r="CJ34" s="3">
        <f>IF(ISBLANK(Actuals!CJ31),-26.33*Escalation!$B$84,Actuals!CJ31)</f>
        <v>-29.651856499221118</v>
      </c>
      <c r="CK34" s="3">
        <f>IF(ISBLANK(Actuals!CK31),-26.33*Escalation!$B$85,Actuals!CK31)</f>
        <v>-29.651856499221118</v>
      </c>
      <c r="CL34" s="3">
        <f>IF(ISBLANK(Actuals!CL31),-26.33*Escalation!$B$86,Actuals!CL31)</f>
        <v>-30.244893629205535</v>
      </c>
      <c r="CM34" s="3">
        <f>IF(ISBLANK(Actuals!CM31),-26.33*Escalation!$B$87,Actuals!CM31)</f>
        <v>-30.244893629205535</v>
      </c>
      <c r="CN34" s="3">
        <f>IF(ISBLANK(Actuals!CN31),-26.33*Escalation!$B$88,Actuals!CN31)</f>
        <v>-30.244893629205535</v>
      </c>
      <c r="CO34" s="3">
        <f>IF(ISBLANK(Actuals!CO31),-26.33*Escalation!$B$89,Actuals!CO31)</f>
        <v>-30.244893629205535</v>
      </c>
      <c r="CP34" s="3">
        <f>IF(ISBLANK(Actuals!CP31),-26.33*Escalation!$B$90,Actuals!CP31)</f>
        <v>-30.244893629205535</v>
      </c>
      <c r="CQ34" s="3">
        <f>IF(ISBLANK(Actuals!CQ31),-26.33*Escalation!$B$91,Actuals!CQ31)</f>
        <v>-30.244893629205535</v>
      </c>
      <c r="CR34" s="3">
        <f>IF(ISBLANK(Actuals!CR31),-26.33*Escalation!$B$92,Actuals!CR31)</f>
        <v>-30.244893629205535</v>
      </c>
      <c r="CS34" s="3">
        <f>IF(ISBLANK(Actuals!CS31),-26.33*Escalation!$B$93,Actuals!CS31)</f>
        <v>-30.244893629205535</v>
      </c>
      <c r="CT34" s="3">
        <f>IF(ISBLANK(Actuals!CT31),-26.33*Escalation!$B$94,Actuals!CT31)</f>
        <v>-30.244893629205535</v>
      </c>
      <c r="CU34" s="3">
        <f>IF(ISBLANK(Actuals!CU31),-26.33*Escalation!$B$95,Actuals!CU31)</f>
        <v>-30.244893629205535</v>
      </c>
      <c r="CV34" s="3">
        <f>IF(ISBLANK(Actuals!CV31),-26.33*Escalation!$B$96,Actuals!CV31)</f>
        <v>-30.244893629205535</v>
      </c>
      <c r="CW34" s="3">
        <f>IF(ISBLANK(Actuals!CW31),-26.33*Escalation!$B$97,Actuals!CW31)</f>
        <v>-30.244893629205535</v>
      </c>
      <c r="CX34" s="3">
        <f>IF(ISBLANK(Actuals!CX31),-26.33*Escalation!$B$98,Actuals!CX31)</f>
        <v>-30.84979150178965</v>
      </c>
      <c r="CY34" s="3">
        <f>IF(ISBLANK(Actuals!CY31),-26.33*Escalation!$B$99,Actuals!CY31)</f>
        <v>-30.84979150178965</v>
      </c>
      <c r="CZ34" s="3">
        <f>IF(ISBLANK(Actuals!CZ31),-26.33*Escalation!$B$100,Actuals!CZ31)</f>
        <v>-30.84979150178965</v>
      </c>
      <c r="DA34" s="3">
        <f>IF(ISBLANK(Actuals!DA31),-26.33*Escalation!$B$101,Actuals!DA31)</f>
        <v>-30.84979150178965</v>
      </c>
      <c r="DB34" s="3">
        <f>IF(ISBLANK(Actuals!DB31),-26.33*Escalation!$B$102,Actuals!DB31)</f>
        <v>-30.84979150178965</v>
      </c>
      <c r="DC34" s="3">
        <f>IF(ISBLANK(Actuals!DC31),-26.33*Escalation!$B$103,Actuals!DC31)</f>
        <v>-30.84979150178965</v>
      </c>
      <c r="DD34" s="3">
        <f>IF(ISBLANK(Actuals!DD31),-26.33*Escalation!$B$104,Actuals!DD31)</f>
        <v>-30.84979150178965</v>
      </c>
      <c r="DE34" s="3">
        <f>IF(ISBLANK(Actuals!DE31),-26.33*Escalation!$B$105,Actuals!DE31)</f>
        <v>-30.84979150178965</v>
      </c>
      <c r="DF34" s="3">
        <f>IF(ISBLANK(Actuals!DF31),-26.33*Escalation!$B$106,Actuals!DF31)</f>
        <v>-30.84979150178965</v>
      </c>
    </row>
    <row r="35" spans="1:110" ht="15" customHeight="1" x14ac:dyDescent="0.25">
      <c r="A35" s="13" t="s">
        <v>75</v>
      </c>
      <c r="B35" s="302"/>
      <c r="C35" s="3">
        <f>IF(ISBLANK(Actuals!C32),0,Actuals!C32)</f>
        <v>-3405.64</v>
      </c>
      <c r="D35" s="3">
        <f>IF(ISBLANK(Actuals!D32),0,Actuals!D32)</f>
        <v>-5015.38</v>
      </c>
      <c r="E35" s="3">
        <f>IF(ISBLANK(Actuals!E32),0,Actuals!E32)</f>
        <v>-7481.39</v>
      </c>
      <c r="F35" s="3">
        <f>IF(ISBLANK(Actuals!F32),-5300.8*Escalation!$B$2,Actuals!F32)</f>
        <v>-5111.12</v>
      </c>
      <c r="G35" s="3">
        <f>IF(ISBLANK(Actuals!G32),-5300.8*Escalation!$B$3,Actuals!G32)</f>
        <v>-5300.8</v>
      </c>
      <c r="H35" s="3">
        <f>IF(ISBLANK(Actuals!H32),-5300.8*Escalation!$B$4,Actuals!H32)</f>
        <v>-5300.8</v>
      </c>
      <c r="I35" s="3">
        <f>IF(ISBLANK(Actuals!I32),-5300.8*Escalation!$B$5,Actuals!I32)</f>
        <v>-5300.8</v>
      </c>
      <c r="J35" s="3">
        <f>IF(ISBLANK(Actuals!J32),-5300.8*Escalation!$B$6,Actuals!J32)</f>
        <v>-5300.8</v>
      </c>
      <c r="K35" s="3">
        <f>IF(ISBLANK(Actuals!K32),-5300.8*Escalation!$B$7,Actuals!K32)</f>
        <v>-5300.8</v>
      </c>
      <c r="L35" s="3">
        <f>IF(ISBLANK(Actuals!L32),-5300.8*Escalation!$B$8,Actuals!L32)</f>
        <v>-5300.8</v>
      </c>
      <c r="M35" s="3">
        <f>IF(ISBLANK(Actuals!M32),-5300.8*Escalation!$B$9,Actuals!M32)</f>
        <v>-5300.8</v>
      </c>
      <c r="N35" s="3">
        <f>IF(ISBLANK(Actuals!N32),-5300.8*Escalation!$B$10,Actuals!N32)</f>
        <v>-5300.8</v>
      </c>
      <c r="O35" s="3">
        <f>IF(ISBLANK(Actuals!O32),-5300.8*Escalation!$B$11,Actuals!O32)</f>
        <v>-5300.8</v>
      </c>
      <c r="P35" s="3">
        <f>IF(ISBLANK(Actuals!P32),-5300.8*Escalation!$B$12,Actuals!P32)</f>
        <v>-5300.8</v>
      </c>
      <c r="Q35" s="3">
        <f>IF(ISBLANK(Actuals!Q32),-5300.8*Escalation!$B$13,Actuals!Q32)</f>
        <v>-5300.8</v>
      </c>
      <c r="R35" s="3">
        <f>IF(ISBLANK(Actuals!R32),-5300.8*Escalation!$B$14,Actuals!R32)</f>
        <v>-5406.8160000000007</v>
      </c>
      <c r="S35" s="3">
        <f>IF(ISBLANK(Actuals!S32),-5300.8*Escalation!$B$15,Actuals!S32)</f>
        <v>-5406.8160000000007</v>
      </c>
      <c r="T35" s="3">
        <f>IF(ISBLANK(Actuals!T32),-5300.8*Escalation!$B$16,Actuals!T32)</f>
        <v>-5406.8160000000007</v>
      </c>
      <c r="U35" s="3">
        <f>IF(ISBLANK(Actuals!U32),-5300.8*Escalation!$B$17,Actuals!U32)</f>
        <v>-5406.8160000000007</v>
      </c>
      <c r="V35" s="3">
        <f>IF(ISBLANK(Actuals!V32),-5300.8*Escalation!$B$18,Actuals!V32)</f>
        <v>-5406.8160000000007</v>
      </c>
      <c r="W35" s="3">
        <f>IF(ISBLANK(Actuals!W32),-5300.8*Escalation!$B$19,Actuals!W32)</f>
        <v>-5406.8160000000007</v>
      </c>
      <c r="X35" s="3">
        <f>IF(ISBLANK(Actuals!X32),-5300.8*Escalation!$B$20,Actuals!X32)</f>
        <v>-5406.8160000000007</v>
      </c>
      <c r="Y35" s="3">
        <f>IF(ISBLANK(Actuals!Y32),-5300.8*Escalation!$B$21,Actuals!Y32)</f>
        <v>-5406.8160000000007</v>
      </c>
      <c r="Z35" s="3">
        <f>IF(ISBLANK(Actuals!Z32),-5300.8*Escalation!$B$22,Actuals!Z32)</f>
        <v>-5406.8160000000007</v>
      </c>
      <c r="AA35" s="3">
        <f>IF(ISBLANK(Actuals!AA32),-5300.8*Escalation!$B$23,Actuals!AA32)</f>
        <v>-5406.8160000000007</v>
      </c>
      <c r="AB35" s="3">
        <f>IF(ISBLANK(Actuals!AB32),-5300.8*Escalation!$B$24,Actuals!AB32)</f>
        <v>-5406.8160000000007</v>
      </c>
      <c r="AC35" s="3">
        <f>IF(ISBLANK(Actuals!AC32),-5300.8*Escalation!$B$25,Actuals!AC32)</f>
        <v>-5406.8160000000007</v>
      </c>
      <c r="AD35" s="3">
        <f>IF(ISBLANK(Actuals!AD32),-5300.8*Escalation!$B$26,Actuals!AD32)</f>
        <v>-5514.9523200000003</v>
      </c>
      <c r="AE35" s="3">
        <f>IF(ISBLANK(Actuals!AE32),-5300.8*Escalation!$B$27,Actuals!AE32)</f>
        <v>-5514.9523200000003</v>
      </c>
      <c r="AF35" s="3">
        <f>IF(ISBLANK(Actuals!AF32),-5300.8*Escalation!$B$28,Actuals!AF32)</f>
        <v>-5514.9523200000003</v>
      </c>
      <c r="AG35" s="3">
        <f>IF(ISBLANK(Actuals!AG32),-5300.8*Escalation!$B$29,Actuals!AG32)</f>
        <v>-5514.9523200000003</v>
      </c>
      <c r="AH35" s="3">
        <f>IF(ISBLANK(Actuals!AH32),-5300.8*Escalation!$B$30,Actuals!AH32)</f>
        <v>-5514.9523200000003</v>
      </c>
      <c r="AI35" s="3">
        <f>IF(ISBLANK(Actuals!AI32),-5300.8*Escalation!$B$31,Actuals!AI32)</f>
        <v>-5514.9523200000003</v>
      </c>
      <c r="AJ35" s="3">
        <f>IF(ISBLANK(Actuals!AJ32),-5300.8*Escalation!$B$32,Actuals!AJ32)</f>
        <v>-5514.9523200000003</v>
      </c>
      <c r="AK35" s="3">
        <f>IF(ISBLANK(Actuals!AK32),-5300.8*Escalation!$B$33,Actuals!AK32)</f>
        <v>-5514.9523200000003</v>
      </c>
      <c r="AL35" s="3">
        <f>IF(ISBLANK(Actuals!AL32),-5300.8*Escalation!$B$34,Actuals!AL32)</f>
        <v>-5514.9523200000003</v>
      </c>
      <c r="AM35" s="3">
        <f>IF(ISBLANK(Actuals!AM32),-5300.8*Escalation!$B$35,Actuals!AM32)</f>
        <v>-5514.9523200000003</v>
      </c>
      <c r="AN35" s="3">
        <f>IF(ISBLANK(Actuals!AN32),-5300.8*Escalation!$B$36,Actuals!AN32)</f>
        <v>-5514.9523200000003</v>
      </c>
      <c r="AO35" s="3">
        <f>IF(ISBLANK(Actuals!AO32),-5300.8*Escalation!$B$37,Actuals!AO32)</f>
        <v>-5514.9523200000003</v>
      </c>
      <c r="AP35" s="3">
        <f>IF(ISBLANK(Actuals!AP32),-5300.8*Escalation!$B$38,Actuals!AP32)</f>
        <v>-5625.2513663999998</v>
      </c>
      <c r="AQ35" s="3">
        <f>IF(ISBLANK(Actuals!AQ32),-5300.8*Escalation!$B$39,Actuals!AQ32)</f>
        <v>-5625.2513663999998</v>
      </c>
      <c r="AR35" s="3">
        <f>IF(ISBLANK(Actuals!AR32),-5300.8*Escalation!$B$40,Actuals!AR32)</f>
        <v>-5625.2513663999998</v>
      </c>
      <c r="AS35" s="3">
        <f>IF(ISBLANK(Actuals!AS32),-5300.8*Escalation!$B$41,Actuals!AS32)</f>
        <v>-5625.2513663999998</v>
      </c>
      <c r="AT35" s="3">
        <f>IF(ISBLANK(Actuals!AT32),-5300.8*Escalation!$B$42,Actuals!AT32)</f>
        <v>-5625.2513663999998</v>
      </c>
      <c r="AU35" s="3">
        <f>IF(ISBLANK(Actuals!AU32),-5300.8*Escalation!$B$43,Actuals!AU32)</f>
        <v>-5625.2513663999998</v>
      </c>
      <c r="AV35" s="3">
        <f>IF(ISBLANK(Actuals!AV32),-5300.8*Escalation!$B$44,Actuals!AV32)</f>
        <v>-5625.2513663999998</v>
      </c>
      <c r="AW35" s="3">
        <f>IF(ISBLANK(Actuals!AW32),-5300.8*Escalation!$B$45,Actuals!AW32)</f>
        <v>-5625.2513663999998</v>
      </c>
      <c r="AX35" s="3">
        <f>IF(ISBLANK(Actuals!AX32),-5300.8*Escalation!$B$46,Actuals!AX32)</f>
        <v>-5625.2513663999998</v>
      </c>
      <c r="AY35" s="3">
        <f>IF(ISBLANK(Actuals!AY32),-5300.8*Escalation!$B$47,Actuals!AY32)</f>
        <v>-5625.2513663999998</v>
      </c>
      <c r="AZ35" s="3">
        <f>IF(ISBLANK(Actuals!AZ32),-5300.8*Escalation!$B$48,Actuals!AZ32)</f>
        <v>-5625.2513663999998</v>
      </c>
      <c r="BA35" s="3">
        <f>IF(ISBLANK(Actuals!BA32),-5300.8*Escalation!$B$49,Actuals!BA32)</f>
        <v>-5625.2513663999998</v>
      </c>
      <c r="BB35" s="3">
        <f>IF(ISBLANK(Actuals!BB32),-5300.8*Escalation!$B$50,Actuals!BB32)</f>
        <v>-5737.7563937280001</v>
      </c>
      <c r="BC35" s="3">
        <f>IF(ISBLANK(Actuals!BC32),-5300.8*Escalation!$B$51,Actuals!BC32)</f>
        <v>-5737.7563937280001</v>
      </c>
      <c r="BD35" s="3">
        <f>IF(ISBLANK(Actuals!BD32),-5300.8*Escalation!$B$52,Actuals!BD32)</f>
        <v>-5737.7563937280001</v>
      </c>
      <c r="BE35" s="3">
        <f>IF(ISBLANK(Actuals!BE32),-5300.8*Escalation!$B$53,Actuals!BE32)</f>
        <v>-5737.7563937280001</v>
      </c>
      <c r="BF35" s="3">
        <f>IF(ISBLANK(Actuals!BF32),-5300.8*Escalation!$B$54,Actuals!BF32)</f>
        <v>-5737.7563937280001</v>
      </c>
      <c r="BG35" s="3">
        <f>IF(ISBLANK(Actuals!BG32),-5300.8*Escalation!$B$55,Actuals!BG32)</f>
        <v>-5737.7563937280001</v>
      </c>
      <c r="BH35" s="3">
        <f>IF(ISBLANK(Actuals!BH32),-5300.8*Escalation!$B$56,Actuals!BH32)</f>
        <v>-5737.7563937280001</v>
      </c>
      <c r="BI35" s="3">
        <f>IF(ISBLANK(Actuals!BI32),-5300.8*Escalation!$B$57,Actuals!BI32)</f>
        <v>-5737.7563937280001</v>
      </c>
      <c r="BJ35" s="3">
        <f>IF(ISBLANK(Actuals!BJ32),-5300.8*Escalation!$B$58,Actuals!BJ32)</f>
        <v>-5737.7563937280001</v>
      </c>
      <c r="BK35" s="3">
        <f>IF(ISBLANK(Actuals!BK32),-5300.8*Escalation!$B$59,Actuals!BK32)</f>
        <v>-5737.7563937280001</v>
      </c>
      <c r="BL35" s="3">
        <f>IF(ISBLANK(Actuals!BL32),-5300.8*Escalation!$B$60,Actuals!BL32)</f>
        <v>-5737.7563937280001</v>
      </c>
      <c r="BM35" s="3">
        <f>IF(ISBLANK(Actuals!BM32),-5300.8*Escalation!$B$61,Actuals!BM32)</f>
        <v>-5737.7563937280001</v>
      </c>
      <c r="BN35" s="3">
        <f>IF(ISBLANK(Actuals!BN32),-5300.8*Escalation!$B$62,Actuals!BN32)</f>
        <v>-5852.5115216025606</v>
      </c>
      <c r="BO35" s="3">
        <f>IF(ISBLANK(Actuals!BO32),-5300.8*Escalation!$B$63,Actuals!BO32)</f>
        <v>-5852.5115216025606</v>
      </c>
      <c r="BP35" s="3">
        <f>IF(ISBLANK(Actuals!BP32),-5300.8*Escalation!$B$64,Actuals!BP32)</f>
        <v>-5852.5115216025606</v>
      </c>
      <c r="BQ35" s="3">
        <f>IF(ISBLANK(Actuals!BQ32),-5300.8*Escalation!$B$65,Actuals!BQ32)</f>
        <v>-5852.5115216025606</v>
      </c>
      <c r="BR35" s="3">
        <f>IF(ISBLANK(Actuals!BR32),-5300.8*Escalation!$B$66,Actuals!BR32)</f>
        <v>-5852.5115216025606</v>
      </c>
      <c r="BS35" s="3">
        <f>IF(ISBLANK(Actuals!BS32),-5300.8*Escalation!$B$67,Actuals!BS32)</f>
        <v>-5852.5115216025606</v>
      </c>
      <c r="BT35" s="3">
        <f>IF(ISBLANK(Actuals!BT32),-5300.8*Escalation!$B$68,Actuals!BT32)</f>
        <v>-5852.5115216025606</v>
      </c>
      <c r="BU35" s="3">
        <f>IF(ISBLANK(Actuals!BU32),-5300.8*Escalation!$B$69,Actuals!BU32)</f>
        <v>-5852.5115216025606</v>
      </c>
      <c r="BV35" s="3">
        <f>IF(ISBLANK(Actuals!BV32),-5300.8*Escalation!$B$70,Actuals!BV32)</f>
        <v>-5852.5115216025606</v>
      </c>
      <c r="BW35" s="3">
        <f>IF(ISBLANK(Actuals!BW32),-5300.8*Escalation!$B$71,Actuals!BW32)</f>
        <v>-5852.5115216025606</v>
      </c>
      <c r="BX35" s="3">
        <f>IF(ISBLANK(Actuals!BX32),-5300.8*Escalation!$B$72,Actuals!BX32)</f>
        <v>-5852.5115216025606</v>
      </c>
      <c r="BY35" s="3">
        <f>IF(ISBLANK(Actuals!BY32),-5300.8*Escalation!$B$73,Actuals!BY32)</f>
        <v>-5852.5115216025606</v>
      </c>
      <c r="BZ35" s="3">
        <f>IF(ISBLANK(Actuals!BZ32),-5300.8*Escalation!$B$74,Actuals!BZ32)</f>
        <v>-5969.5617520346113</v>
      </c>
      <c r="CA35" s="3">
        <f>IF(ISBLANK(Actuals!CA32),-5300.8*Escalation!$B$75,Actuals!CA32)</f>
        <v>-5969.5617520346113</v>
      </c>
      <c r="CB35" s="3">
        <f>IF(ISBLANK(Actuals!CB32),-5300.8*Escalation!$B$76,Actuals!CB32)</f>
        <v>-5969.5617520346113</v>
      </c>
      <c r="CC35" s="3">
        <f>IF(ISBLANK(Actuals!CC32),-5300.8*Escalation!$B$77,Actuals!CC32)</f>
        <v>-5969.5617520346113</v>
      </c>
      <c r="CD35" s="3">
        <f>IF(ISBLANK(Actuals!CD32),-5300.8*Escalation!$B$78,Actuals!CD32)</f>
        <v>-5969.5617520346113</v>
      </c>
      <c r="CE35" s="3">
        <f>IF(ISBLANK(Actuals!CE32),-5300.8*Escalation!$B$79,Actuals!CE32)</f>
        <v>-5969.5617520346113</v>
      </c>
      <c r="CF35" s="3">
        <f>IF(ISBLANK(Actuals!CF32),-5300.8*Escalation!$B$80,Actuals!CF32)</f>
        <v>-5969.5617520346113</v>
      </c>
      <c r="CG35" s="3">
        <f>IF(ISBLANK(Actuals!CG32),-5300.8*Escalation!$B$81,Actuals!CG32)</f>
        <v>-5969.5617520346113</v>
      </c>
      <c r="CH35" s="3">
        <f>IF(ISBLANK(Actuals!CH32),-5300.8*Escalation!$B$82,Actuals!CH32)</f>
        <v>-5969.5617520346113</v>
      </c>
      <c r="CI35" s="3">
        <f>IF(ISBLANK(Actuals!CI32),-5300.8*Escalation!$B$83,Actuals!CI32)</f>
        <v>-5969.5617520346113</v>
      </c>
      <c r="CJ35" s="3">
        <f>IF(ISBLANK(Actuals!CJ32),-5300.8*Escalation!$B$84,Actuals!CJ32)</f>
        <v>-5969.5617520346113</v>
      </c>
      <c r="CK35" s="3">
        <f>IF(ISBLANK(Actuals!CK32),-5300.8*Escalation!$B$85,Actuals!CK32)</f>
        <v>-5969.5617520346113</v>
      </c>
      <c r="CL35" s="3">
        <f>IF(ISBLANK(Actuals!CL32),-5300.8*Escalation!$B$86,Actuals!CL32)</f>
        <v>-6088.9529870753031</v>
      </c>
      <c r="CM35" s="3">
        <f>IF(ISBLANK(Actuals!CM32),-5300.8*Escalation!$B$87,Actuals!CM32)</f>
        <v>-6088.9529870753031</v>
      </c>
      <c r="CN35" s="3">
        <f>IF(ISBLANK(Actuals!CN32),-5300.8*Escalation!$B$88,Actuals!CN32)</f>
        <v>-6088.9529870753031</v>
      </c>
      <c r="CO35" s="3">
        <f>IF(ISBLANK(Actuals!CO32),-5300.8*Escalation!$B$89,Actuals!CO32)</f>
        <v>-6088.9529870753031</v>
      </c>
      <c r="CP35" s="3">
        <f>IF(ISBLANK(Actuals!CP32),-5300.8*Escalation!$B$90,Actuals!CP32)</f>
        <v>-6088.9529870753031</v>
      </c>
      <c r="CQ35" s="3">
        <f>IF(ISBLANK(Actuals!CQ32),-5300.8*Escalation!$B$91,Actuals!CQ32)</f>
        <v>-6088.9529870753031</v>
      </c>
      <c r="CR35" s="3">
        <f>IF(ISBLANK(Actuals!CR32),-5300.8*Escalation!$B$92,Actuals!CR32)</f>
        <v>-6088.9529870753031</v>
      </c>
      <c r="CS35" s="3">
        <f>IF(ISBLANK(Actuals!CS32),-5300.8*Escalation!$B$93,Actuals!CS32)</f>
        <v>-6088.9529870753031</v>
      </c>
      <c r="CT35" s="3">
        <f>IF(ISBLANK(Actuals!CT32),-5300.8*Escalation!$B$94,Actuals!CT32)</f>
        <v>-6088.9529870753031</v>
      </c>
      <c r="CU35" s="3">
        <f>IF(ISBLANK(Actuals!CU32),-5300.8*Escalation!$B$95,Actuals!CU32)</f>
        <v>-6088.9529870753031</v>
      </c>
      <c r="CV35" s="3">
        <f>IF(ISBLANK(Actuals!CV32),-5300.8*Escalation!$B$96,Actuals!CV32)</f>
        <v>-6088.9529870753031</v>
      </c>
      <c r="CW35" s="3">
        <f>IF(ISBLANK(Actuals!CW32),-5300.8*Escalation!$B$97,Actuals!CW32)</f>
        <v>-6088.9529870753031</v>
      </c>
      <c r="CX35" s="3">
        <f>IF(ISBLANK(Actuals!CX32),-5300.8*Escalation!$B$98,Actuals!CX32)</f>
        <v>-6210.7320468168091</v>
      </c>
      <c r="CY35" s="3">
        <f>IF(ISBLANK(Actuals!CY32),-5300.8*Escalation!$B$99,Actuals!CY32)</f>
        <v>-6210.7320468168091</v>
      </c>
      <c r="CZ35" s="3">
        <f>IF(ISBLANK(Actuals!CZ32),-5300.8*Escalation!$B$100,Actuals!CZ32)</f>
        <v>-6210.7320468168091</v>
      </c>
      <c r="DA35" s="3">
        <f>IF(ISBLANK(Actuals!DA32),-5300.8*Escalation!$B$101,Actuals!DA32)</f>
        <v>-6210.7320468168091</v>
      </c>
      <c r="DB35" s="3">
        <f>IF(ISBLANK(Actuals!DB32),-5300.8*Escalation!$B$102,Actuals!DB32)</f>
        <v>-6210.7320468168091</v>
      </c>
      <c r="DC35" s="3">
        <f>IF(ISBLANK(Actuals!DC32),-5300.8*Escalation!$B$103,Actuals!DC32)</f>
        <v>-6210.7320468168091</v>
      </c>
      <c r="DD35" s="3">
        <f>IF(ISBLANK(Actuals!DD32),-5300.8*Escalation!$B$104,Actuals!DD32)</f>
        <v>-6210.7320468168091</v>
      </c>
      <c r="DE35" s="3">
        <f>IF(ISBLANK(Actuals!DE32),-5300.8*Escalation!$B$105,Actuals!DE32)</f>
        <v>-6210.7320468168091</v>
      </c>
      <c r="DF35" s="3">
        <f>IF(ISBLANK(Actuals!DF32),-5300.8*Escalation!$B$106,Actuals!DF32)</f>
        <v>-6210.7320468168091</v>
      </c>
    </row>
    <row r="36" spans="1:110" ht="15" customHeight="1" x14ac:dyDescent="0.25">
      <c r="A36" s="13" t="s">
        <v>76</v>
      </c>
      <c r="B36" s="302"/>
      <c r="C36" s="3">
        <f>IF(ISBLANK(Actuals!C33),0,Actuals!C33)</f>
        <v>0</v>
      </c>
      <c r="D36" s="3">
        <f>IF(ISBLANK(Actuals!D33),0,Actuals!D33)</f>
        <v>-1766.48</v>
      </c>
      <c r="E36" s="3">
        <f>IF(ISBLANK(Actuals!E33),0,Actuals!E33)</f>
        <v>-441.62</v>
      </c>
      <c r="F36" s="3">
        <f>IF(ISBLANK(Actuals!F33),-736.03*Escalation!$B$2,Actuals!F33)</f>
        <v>-441.62</v>
      </c>
      <c r="G36" s="3">
        <f>IF(ISBLANK(Actuals!G33),-736.03*Escalation!$B$3,Actuals!G33)</f>
        <v>-736.03</v>
      </c>
      <c r="H36" s="3">
        <f>IF(ISBLANK(Actuals!H33),-736.03*Escalation!$B$4,Actuals!H33)</f>
        <v>-736.03</v>
      </c>
      <c r="I36" s="3">
        <f>IF(ISBLANK(Actuals!I33),-736.03*Escalation!$B$5,Actuals!I33)</f>
        <v>-736.03</v>
      </c>
      <c r="J36" s="3">
        <f>IF(ISBLANK(Actuals!J33),-736.03*Escalation!$B$6,Actuals!J33)</f>
        <v>-736.03</v>
      </c>
      <c r="K36" s="3">
        <f>IF(ISBLANK(Actuals!K33),-736.03*Escalation!$B$7,Actuals!K33)</f>
        <v>-736.03</v>
      </c>
      <c r="L36" s="3">
        <f>IF(ISBLANK(Actuals!L33),-736.03*Escalation!$B$8,Actuals!L33)</f>
        <v>-736.03</v>
      </c>
      <c r="M36" s="3">
        <f>IF(ISBLANK(Actuals!M33),-736.03*Escalation!$B$9,Actuals!M33)</f>
        <v>-736.03</v>
      </c>
      <c r="N36" s="3">
        <f>IF(ISBLANK(Actuals!N33),-736.03*Escalation!$B$10,Actuals!N33)</f>
        <v>-736.03</v>
      </c>
      <c r="O36" s="3">
        <f>IF(ISBLANK(Actuals!O33),-736.03*Escalation!$B$11,Actuals!O33)</f>
        <v>-736.03</v>
      </c>
      <c r="P36" s="3">
        <f>IF(ISBLANK(Actuals!P33),-736.03*Escalation!$B$12,Actuals!P33)</f>
        <v>-736.03</v>
      </c>
      <c r="Q36" s="3">
        <f>IF(ISBLANK(Actuals!Q33),-736.03*Escalation!$B$13,Actuals!Q33)</f>
        <v>-736.03</v>
      </c>
      <c r="R36" s="3">
        <f>IF(ISBLANK(Actuals!R33),-736.03*Escalation!$B$14,Actuals!R33)</f>
        <v>-750.75059999999996</v>
      </c>
      <c r="S36" s="3">
        <f>IF(ISBLANK(Actuals!S33),-736.03*Escalation!$B$15,Actuals!S33)</f>
        <v>-750.75059999999996</v>
      </c>
      <c r="T36" s="3">
        <f>IF(ISBLANK(Actuals!T33),-736.03*Escalation!$B$16,Actuals!T33)</f>
        <v>-750.75059999999996</v>
      </c>
      <c r="U36" s="3">
        <f>IF(ISBLANK(Actuals!U33),-736.03*Escalation!$B$17,Actuals!U33)</f>
        <v>-750.75059999999996</v>
      </c>
      <c r="V36" s="3">
        <f>IF(ISBLANK(Actuals!V33),-736.03*Escalation!$B$18,Actuals!V33)</f>
        <v>-750.75059999999996</v>
      </c>
      <c r="W36" s="3">
        <f>IF(ISBLANK(Actuals!W33),-736.03*Escalation!$B$19,Actuals!W33)</f>
        <v>-750.75059999999996</v>
      </c>
      <c r="X36" s="3">
        <f>IF(ISBLANK(Actuals!X33),-736.03*Escalation!$B$20,Actuals!X33)</f>
        <v>-750.75059999999996</v>
      </c>
      <c r="Y36" s="3">
        <f>IF(ISBLANK(Actuals!Y33),-736.03*Escalation!$B$21,Actuals!Y33)</f>
        <v>-750.75059999999996</v>
      </c>
      <c r="Z36" s="3">
        <f>IF(ISBLANK(Actuals!Z33),-736.03*Escalation!$B$22,Actuals!Z33)</f>
        <v>-750.75059999999996</v>
      </c>
      <c r="AA36" s="3">
        <f>IF(ISBLANK(Actuals!AA33),-736.03*Escalation!$B$23,Actuals!AA33)</f>
        <v>-750.75059999999996</v>
      </c>
      <c r="AB36" s="3">
        <f>IF(ISBLANK(Actuals!AB33),-736.03*Escalation!$B$24,Actuals!AB33)</f>
        <v>-750.75059999999996</v>
      </c>
      <c r="AC36" s="3">
        <f>IF(ISBLANK(Actuals!AC33),-736.03*Escalation!$B$25,Actuals!AC33)</f>
        <v>-750.75059999999996</v>
      </c>
      <c r="AD36" s="3">
        <f>IF(ISBLANK(Actuals!AD33),-736.03*Escalation!$B$26,Actuals!AD33)</f>
        <v>-765.76561199999992</v>
      </c>
      <c r="AE36" s="3">
        <f>IF(ISBLANK(Actuals!AE33),-736.03*Escalation!$B$27,Actuals!AE33)</f>
        <v>-765.76561199999992</v>
      </c>
      <c r="AF36" s="3">
        <f>IF(ISBLANK(Actuals!AF33),-736.03*Escalation!$B$28,Actuals!AF33)</f>
        <v>-765.76561199999992</v>
      </c>
      <c r="AG36" s="3">
        <f>IF(ISBLANK(Actuals!AG33),-736.03*Escalation!$B$29,Actuals!AG33)</f>
        <v>-765.76561199999992</v>
      </c>
      <c r="AH36" s="3">
        <f>IF(ISBLANK(Actuals!AH33),-736.03*Escalation!$B$30,Actuals!AH33)</f>
        <v>-765.76561199999992</v>
      </c>
      <c r="AI36" s="3">
        <f>IF(ISBLANK(Actuals!AI33),-736.03*Escalation!$B$31,Actuals!AI33)</f>
        <v>-765.76561199999992</v>
      </c>
      <c r="AJ36" s="3">
        <f>IF(ISBLANK(Actuals!AJ33),-736.03*Escalation!$B$32,Actuals!AJ33)</f>
        <v>-765.76561199999992</v>
      </c>
      <c r="AK36" s="3">
        <f>IF(ISBLANK(Actuals!AK33),-736.03*Escalation!$B$33,Actuals!AK33)</f>
        <v>-765.76561199999992</v>
      </c>
      <c r="AL36" s="3">
        <f>IF(ISBLANK(Actuals!AL33),-736.03*Escalation!$B$34,Actuals!AL33)</f>
        <v>-765.76561199999992</v>
      </c>
      <c r="AM36" s="3">
        <f>IF(ISBLANK(Actuals!AM33),-736.03*Escalation!$B$35,Actuals!AM33)</f>
        <v>-765.76561199999992</v>
      </c>
      <c r="AN36" s="3">
        <f>IF(ISBLANK(Actuals!AN33),-736.03*Escalation!$B$36,Actuals!AN33)</f>
        <v>-765.76561199999992</v>
      </c>
      <c r="AO36" s="3">
        <f>IF(ISBLANK(Actuals!AO33),-736.03*Escalation!$B$37,Actuals!AO33)</f>
        <v>-765.76561199999992</v>
      </c>
      <c r="AP36" s="3">
        <f>IF(ISBLANK(Actuals!AP33),-736.03*Escalation!$B$38,Actuals!AP33)</f>
        <v>-781.08092423999994</v>
      </c>
      <c r="AQ36" s="3">
        <f>IF(ISBLANK(Actuals!AQ33),-736.03*Escalation!$B$39,Actuals!AQ33)</f>
        <v>-781.08092423999994</v>
      </c>
      <c r="AR36" s="3">
        <f>IF(ISBLANK(Actuals!AR33),-736.03*Escalation!$B$40,Actuals!AR33)</f>
        <v>-781.08092423999994</v>
      </c>
      <c r="AS36" s="3">
        <f>IF(ISBLANK(Actuals!AS33),-736.03*Escalation!$B$41,Actuals!AS33)</f>
        <v>-781.08092423999994</v>
      </c>
      <c r="AT36" s="3">
        <f>IF(ISBLANK(Actuals!AT33),-736.03*Escalation!$B$42,Actuals!AT33)</f>
        <v>-781.08092423999994</v>
      </c>
      <c r="AU36" s="3">
        <f>IF(ISBLANK(Actuals!AU33),-736.03*Escalation!$B$43,Actuals!AU33)</f>
        <v>-781.08092423999994</v>
      </c>
      <c r="AV36" s="3">
        <f>IF(ISBLANK(Actuals!AV33),-736.03*Escalation!$B$44,Actuals!AV33)</f>
        <v>-781.08092423999994</v>
      </c>
      <c r="AW36" s="3">
        <f>IF(ISBLANK(Actuals!AW33),-736.03*Escalation!$B$45,Actuals!AW33)</f>
        <v>-781.08092423999994</v>
      </c>
      <c r="AX36" s="3">
        <f>IF(ISBLANK(Actuals!AX33),-736.03*Escalation!$B$46,Actuals!AX33)</f>
        <v>-781.08092423999994</v>
      </c>
      <c r="AY36" s="3">
        <f>IF(ISBLANK(Actuals!AY33),-736.03*Escalation!$B$47,Actuals!AY33)</f>
        <v>-781.08092423999994</v>
      </c>
      <c r="AZ36" s="3">
        <f>IF(ISBLANK(Actuals!AZ33),-736.03*Escalation!$B$48,Actuals!AZ33)</f>
        <v>-781.08092423999994</v>
      </c>
      <c r="BA36" s="3">
        <f>IF(ISBLANK(Actuals!BA33),-736.03*Escalation!$B$49,Actuals!BA33)</f>
        <v>-781.08092423999994</v>
      </c>
      <c r="BB36" s="3">
        <f>IF(ISBLANK(Actuals!BB33),-736.03*Escalation!$B$50,Actuals!BB33)</f>
        <v>-796.70254272479997</v>
      </c>
      <c r="BC36" s="3">
        <f>IF(ISBLANK(Actuals!BC33),-736.03*Escalation!$B$51,Actuals!BC33)</f>
        <v>-796.70254272479997</v>
      </c>
      <c r="BD36" s="3">
        <f>IF(ISBLANK(Actuals!BD33),-736.03*Escalation!$B$52,Actuals!BD33)</f>
        <v>-796.70254272479997</v>
      </c>
      <c r="BE36" s="3">
        <f>IF(ISBLANK(Actuals!BE33),-736.03*Escalation!$B$53,Actuals!BE33)</f>
        <v>-796.70254272479997</v>
      </c>
      <c r="BF36" s="3">
        <f>IF(ISBLANK(Actuals!BF33),-736.03*Escalation!$B$54,Actuals!BF33)</f>
        <v>-796.70254272479997</v>
      </c>
      <c r="BG36" s="3">
        <f>IF(ISBLANK(Actuals!BG33),-736.03*Escalation!$B$55,Actuals!BG33)</f>
        <v>-796.70254272479997</v>
      </c>
      <c r="BH36" s="3">
        <f>IF(ISBLANK(Actuals!BH33),-736.03*Escalation!$B$56,Actuals!BH33)</f>
        <v>-796.70254272479997</v>
      </c>
      <c r="BI36" s="3">
        <f>IF(ISBLANK(Actuals!BI33),-736.03*Escalation!$B$57,Actuals!BI33)</f>
        <v>-796.70254272479997</v>
      </c>
      <c r="BJ36" s="3">
        <f>IF(ISBLANK(Actuals!BJ33),-736.03*Escalation!$B$58,Actuals!BJ33)</f>
        <v>-796.70254272479997</v>
      </c>
      <c r="BK36" s="3">
        <f>IF(ISBLANK(Actuals!BK33),-736.03*Escalation!$B$59,Actuals!BK33)</f>
        <v>-796.70254272479997</v>
      </c>
      <c r="BL36" s="3">
        <f>IF(ISBLANK(Actuals!BL33),-736.03*Escalation!$B$60,Actuals!BL33)</f>
        <v>-796.70254272479997</v>
      </c>
      <c r="BM36" s="3">
        <f>IF(ISBLANK(Actuals!BM33),-736.03*Escalation!$B$61,Actuals!BM33)</f>
        <v>-796.70254272479997</v>
      </c>
      <c r="BN36" s="3">
        <f>IF(ISBLANK(Actuals!BN33),-736.03*Escalation!$B$62,Actuals!BN33)</f>
        <v>-812.636593579296</v>
      </c>
      <c r="BO36" s="3">
        <f>IF(ISBLANK(Actuals!BO33),-736.03*Escalation!$B$63,Actuals!BO33)</f>
        <v>-812.636593579296</v>
      </c>
      <c r="BP36" s="3">
        <f>IF(ISBLANK(Actuals!BP33),-736.03*Escalation!$B$64,Actuals!BP33)</f>
        <v>-812.636593579296</v>
      </c>
      <c r="BQ36" s="3">
        <f>IF(ISBLANK(Actuals!BQ33),-736.03*Escalation!$B$65,Actuals!BQ33)</f>
        <v>-812.636593579296</v>
      </c>
      <c r="BR36" s="3">
        <f>IF(ISBLANK(Actuals!BR33),-736.03*Escalation!$B$66,Actuals!BR33)</f>
        <v>-812.636593579296</v>
      </c>
      <c r="BS36" s="3">
        <f>IF(ISBLANK(Actuals!BS33),-736.03*Escalation!$B$67,Actuals!BS33)</f>
        <v>-812.636593579296</v>
      </c>
      <c r="BT36" s="3">
        <f>IF(ISBLANK(Actuals!BT33),-736.03*Escalation!$B$68,Actuals!BT33)</f>
        <v>-812.636593579296</v>
      </c>
      <c r="BU36" s="3">
        <f>IF(ISBLANK(Actuals!BU33),-736.03*Escalation!$B$69,Actuals!BU33)</f>
        <v>-812.636593579296</v>
      </c>
      <c r="BV36" s="3">
        <f>IF(ISBLANK(Actuals!BV33),-736.03*Escalation!$B$70,Actuals!BV33)</f>
        <v>-812.636593579296</v>
      </c>
      <c r="BW36" s="3">
        <f>IF(ISBLANK(Actuals!BW33),-736.03*Escalation!$B$71,Actuals!BW33)</f>
        <v>-812.636593579296</v>
      </c>
      <c r="BX36" s="3">
        <f>IF(ISBLANK(Actuals!BX33),-736.03*Escalation!$B$72,Actuals!BX33)</f>
        <v>-812.636593579296</v>
      </c>
      <c r="BY36" s="3">
        <f>IF(ISBLANK(Actuals!BY33),-736.03*Escalation!$B$73,Actuals!BY33)</f>
        <v>-812.636593579296</v>
      </c>
      <c r="BZ36" s="3">
        <f>IF(ISBLANK(Actuals!BZ33),-736.03*Escalation!$B$74,Actuals!BZ33)</f>
        <v>-828.88932545088198</v>
      </c>
      <c r="CA36" s="3">
        <f>IF(ISBLANK(Actuals!CA33),-736.03*Escalation!$B$75,Actuals!CA33)</f>
        <v>-828.88932545088198</v>
      </c>
      <c r="CB36" s="3">
        <f>IF(ISBLANK(Actuals!CB33),-736.03*Escalation!$B$76,Actuals!CB33)</f>
        <v>-828.88932545088198</v>
      </c>
      <c r="CC36" s="3">
        <f>IF(ISBLANK(Actuals!CC33),-736.03*Escalation!$B$77,Actuals!CC33)</f>
        <v>-828.88932545088198</v>
      </c>
      <c r="CD36" s="3">
        <f>IF(ISBLANK(Actuals!CD33),-736.03*Escalation!$B$78,Actuals!CD33)</f>
        <v>-828.88932545088198</v>
      </c>
      <c r="CE36" s="3">
        <f>IF(ISBLANK(Actuals!CE33),-736.03*Escalation!$B$79,Actuals!CE33)</f>
        <v>-828.88932545088198</v>
      </c>
      <c r="CF36" s="3">
        <f>IF(ISBLANK(Actuals!CF33),-736.03*Escalation!$B$80,Actuals!CF33)</f>
        <v>-828.88932545088198</v>
      </c>
      <c r="CG36" s="3">
        <f>IF(ISBLANK(Actuals!CG33),-736.03*Escalation!$B$81,Actuals!CG33)</f>
        <v>-828.88932545088198</v>
      </c>
      <c r="CH36" s="3">
        <f>IF(ISBLANK(Actuals!CH33),-736.03*Escalation!$B$82,Actuals!CH33)</f>
        <v>-828.88932545088198</v>
      </c>
      <c r="CI36" s="3">
        <f>IF(ISBLANK(Actuals!CI33),-736.03*Escalation!$B$83,Actuals!CI33)</f>
        <v>-828.88932545088198</v>
      </c>
      <c r="CJ36" s="3">
        <f>IF(ISBLANK(Actuals!CJ33),-736.03*Escalation!$B$84,Actuals!CJ33)</f>
        <v>-828.88932545088198</v>
      </c>
      <c r="CK36" s="3">
        <f>IF(ISBLANK(Actuals!CK33),-736.03*Escalation!$B$85,Actuals!CK33)</f>
        <v>-828.88932545088198</v>
      </c>
      <c r="CL36" s="3">
        <f>IF(ISBLANK(Actuals!CL33),-736.03*Escalation!$B$86,Actuals!CL33)</f>
        <v>-845.4671119598994</v>
      </c>
      <c r="CM36" s="3">
        <f>IF(ISBLANK(Actuals!CM33),-736.03*Escalation!$B$87,Actuals!CM33)</f>
        <v>-845.4671119598994</v>
      </c>
      <c r="CN36" s="3">
        <f>IF(ISBLANK(Actuals!CN33),-736.03*Escalation!$B$88,Actuals!CN33)</f>
        <v>-845.4671119598994</v>
      </c>
      <c r="CO36" s="3">
        <f>IF(ISBLANK(Actuals!CO33),-736.03*Escalation!$B$89,Actuals!CO33)</f>
        <v>-845.4671119598994</v>
      </c>
      <c r="CP36" s="3">
        <f>IF(ISBLANK(Actuals!CP33),-736.03*Escalation!$B$90,Actuals!CP33)</f>
        <v>-845.4671119598994</v>
      </c>
      <c r="CQ36" s="3">
        <f>IF(ISBLANK(Actuals!CQ33),-736.03*Escalation!$B$91,Actuals!CQ33)</f>
        <v>-845.4671119598994</v>
      </c>
      <c r="CR36" s="3">
        <f>IF(ISBLANK(Actuals!CR33),-736.03*Escalation!$B$92,Actuals!CR33)</f>
        <v>-845.4671119598994</v>
      </c>
      <c r="CS36" s="3">
        <f>IF(ISBLANK(Actuals!CS33),-736.03*Escalation!$B$93,Actuals!CS33)</f>
        <v>-845.4671119598994</v>
      </c>
      <c r="CT36" s="3">
        <f>IF(ISBLANK(Actuals!CT33),-736.03*Escalation!$B$94,Actuals!CT33)</f>
        <v>-845.4671119598994</v>
      </c>
      <c r="CU36" s="3">
        <f>IF(ISBLANK(Actuals!CU33),-736.03*Escalation!$B$95,Actuals!CU33)</f>
        <v>-845.4671119598994</v>
      </c>
      <c r="CV36" s="3">
        <f>IF(ISBLANK(Actuals!CV33),-736.03*Escalation!$B$96,Actuals!CV33)</f>
        <v>-845.4671119598994</v>
      </c>
      <c r="CW36" s="3">
        <f>IF(ISBLANK(Actuals!CW33),-736.03*Escalation!$B$97,Actuals!CW33)</f>
        <v>-845.4671119598994</v>
      </c>
      <c r="CX36" s="3">
        <f>IF(ISBLANK(Actuals!CX33),-736.03*Escalation!$B$98,Actuals!CX33)</f>
        <v>-862.37645419909745</v>
      </c>
      <c r="CY36" s="3">
        <f>IF(ISBLANK(Actuals!CY33),-736.03*Escalation!$B$99,Actuals!CY33)</f>
        <v>-862.37645419909745</v>
      </c>
      <c r="CZ36" s="3">
        <f>IF(ISBLANK(Actuals!CZ33),-736.03*Escalation!$B$100,Actuals!CZ33)</f>
        <v>-862.37645419909745</v>
      </c>
      <c r="DA36" s="3">
        <f>IF(ISBLANK(Actuals!DA33),-736.03*Escalation!$B$101,Actuals!DA33)</f>
        <v>-862.37645419909745</v>
      </c>
      <c r="DB36" s="3">
        <f>IF(ISBLANK(Actuals!DB33),-736.03*Escalation!$B$102,Actuals!DB33)</f>
        <v>-862.37645419909745</v>
      </c>
      <c r="DC36" s="3">
        <f>IF(ISBLANK(Actuals!DC33),-736.03*Escalation!$B$103,Actuals!DC33)</f>
        <v>-862.37645419909745</v>
      </c>
      <c r="DD36" s="3">
        <f>IF(ISBLANK(Actuals!DD33),-736.03*Escalation!$B$104,Actuals!DD33)</f>
        <v>-862.37645419909745</v>
      </c>
      <c r="DE36" s="3">
        <f>IF(ISBLANK(Actuals!DE33),-736.03*Escalation!$B$105,Actuals!DE33)</f>
        <v>-862.37645419909745</v>
      </c>
      <c r="DF36" s="3">
        <f>IF(ISBLANK(Actuals!DF33),-736.03*Escalation!$B$106,Actuals!DF33)</f>
        <v>-862.37645419909745</v>
      </c>
    </row>
    <row r="37" spans="1:110" ht="15" customHeight="1" x14ac:dyDescent="0.25">
      <c r="A37" s="13" t="s">
        <v>77</v>
      </c>
      <c r="B37" s="302"/>
      <c r="C37" s="3">
        <f>IF(ISBLANK(Actuals!C34),0,Actuals!C34)</f>
        <v>-681.77</v>
      </c>
      <c r="D37" s="3">
        <f>IF(ISBLANK(Actuals!D34),0,Actuals!D34)</f>
        <v>-600.14</v>
      </c>
      <c r="E37" s="3">
        <f>IF(ISBLANK(Actuals!E34),0,Actuals!E34)</f>
        <v>-2121.9499999999998</v>
      </c>
      <c r="F37" s="3">
        <f>IF(ISBLANK(Actuals!F34),-1134.62*Escalation!$B$2,Actuals!F34)</f>
        <v>-840.49</v>
      </c>
      <c r="G37" s="3">
        <f>IF(ISBLANK(Actuals!G34),-1134.62*Escalation!$B$3,Actuals!G34)</f>
        <v>-1134.6199999999999</v>
      </c>
      <c r="H37" s="3">
        <f>IF(ISBLANK(Actuals!H34),-1134.62*Escalation!$B$4,Actuals!H34)</f>
        <v>-1134.6199999999999</v>
      </c>
      <c r="I37" s="3">
        <f>IF(ISBLANK(Actuals!I34),-1134.62*Escalation!$B$5,Actuals!I34)</f>
        <v>-1134.6199999999999</v>
      </c>
      <c r="J37" s="3">
        <f>IF(ISBLANK(Actuals!J34),-1134.62*Escalation!$B$6,Actuals!J34)</f>
        <v>-1134.6199999999999</v>
      </c>
      <c r="K37" s="3">
        <f>IF(ISBLANK(Actuals!K34),-1134.62*Escalation!$B$7,Actuals!K34)</f>
        <v>-1134.6199999999999</v>
      </c>
      <c r="L37" s="3">
        <f>IF(ISBLANK(Actuals!L34),-1134.62*Escalation!$B$8,Actuals!L34)</f>
        <v>-1134.6199999999999</v>
      </c>
      <c r="M37" s="3">
        <f>IF(ISBLANK(Actuals!M34),-1134.62*Escalation!$B$9,Actuals!M34)</f>
        <v>-1134.6199999999999</v>
      </c>
      <c r="N37" s="3">
        <f>IF(ISBLANK(Actuals!N34),-1134.62*Escalation!$B$10,Actuals!N34)</f>
        <v>-1134.6199999999999</v>
      </c>
      <c r="O37" s="3">
        <f>IF(ISBLANK(Actuals!O34),-1134.62*Escalation!$B$11,Actuals!O34)</f>
        <v>-1134.6199999999999</v>
      </c>
      <c r="P37" s="3">
        <f>IF(ISBLANK(Actuals!P34),-1134.62*Escalation!$B$12,Actuals!P34)</f>
        <v>-1134.6199999999999</v>
      </c>
      <c r="Q37" s="3">
        <f>IF(ISBLANK(Actuals!Q34),-1134.62*Escalation!$B$13,Actuals!Q34)</f>
        <v>-1134.6199999999999</v>
      </c>
      <c r="R37" s="3">
        <f>IF(ISBLANK(Actuals!R34),-1134.62*Escalation!$B$14,Actuals!R34)</f>
        <v>-1157.3123999999998</v>
      </c>
      <c r="S37" s="3">
        <f>IF(ISBLANK(Actuals!S34),-1134.62*Escalation!$B$15,Actuals!S34)</f>
        <v>-1157.3123999999998</v>
      </c>
      <c r="T37" s="3">
        <f>IF(ISBLANK(Actuals!T34),-1134.62*Escalation!$B$16,Actuals!T34)</f>
        <v>-1157.3123999999998</v>
      </c>
      <c r="U37" s="3">
        <f>IF(ISBLANK(Actuals!U34),-1134.62*Escalation!$B$17,Actuals!U34)</f>
        <v>-1157.3123999999998</v>
      </c>
      <c r="V37" s="3">
        <f>IF(ISBLANK(Actuals!V34),-1134.62*Escalation!$B$18,Actuals!V34)</f>
        <v>-1157.3123999999998</v>
      </c>
      <c r="W37" s="3">
        <f>IF(ISBLANK(Actuals!W34),-1134.62*Escalation!$B$19,Actuals!W34)</f>
        <v>-1157.3123999999998</v>
      </c>
      <c r="X37" s="3">
        <f>IF(ISBLANK(Actuals!X34),-1134.62*Escalation!$B$20,Actuals!X34)</f>
        <v>-1157.3123999999998</v>
      </c>
      <c r="Y37" s="3">
        <f>IF(ISBLANK(Actuals!Y34),-1134.62*Escalation!$B$21,Actuals!Y34)</f>
        <v>-1157.3123999999998</v>
      </c>
      <c r="Z37" s="3">
        <f>IF(ISBLANK(Actuals!Z34),-1134.62*Escalation!$B$22,Actuals!Z34)</f>
        <v>-1157.3123999999998</v>
      </c>
      <c r="AA37" s="3">
        <f>IF(ISBLANK(Actuals!AA34),-1134.62*Escalation!$B$23,Actuals!AA34)</f>
        <v>-1157.3123999999998</v>
      </c>
      <c r="AB37" s="3">
        <f>IF(ISBLANK(Actuals!AB34),-1134.62*Escalation!$B$24,Actuals!AB34)</f>
        <v>-1157.3123999999998</v>
      </c>
      <c r="AC37" s="3">
        <f>IF(ISBLANK(Actuals!AC34),-1134.62*Escalation!$B$25,Actuals!AC34)</f>
        <v>-1157.3123999999998</v>
      </c>
      <c r="AD37" s="3">
        <f>IF(ISBLANK(Actuals!AD34),-1134.62*Escalation!$B$26,Actuals!AD34)</f>
        <v>-1180.4586479999998</v>
      </c>
      <c r="AE37" s="3">
        <f>IF(ISBLANK(Actuals!AE34),-1134.62*Escalation!$B$27,Actuals!AE34)</f>
        <v>-1180.4586479999998</v>
      </c>
      <c r="AF37" s="3">
        <f>IF(ISBLANK(Actuals!AF34),-1134.62*Escalation!$B$28,Actuals!AF34)</f>
        <v>-1180.4586479999998</v>
      </c>
      <c r="AG37" s="3">
        <f>IF(ISBLANK(Actuals!AG34),-1134.62*Escalation!$B$29,Actuals!AG34)</f>
        <v>-1180.4586479999998</v>
      </c>
      <c r="AH37" s="3">
        <f>IF(ISBLANK(Actuals!AH34),-1134.62*Escalation!$B$30,Actuals!AH34)</f>
        <v>-1180.4586479999998</v>
      </c>
      <c r="AI37" s="3">
        <f>IF(ISBLANK(Actuals!AI34),-1134.62*Escalation!$B$31,Actuals!AI34)</f>
        <v>-1180.4586479999998</v>
      </c>
      <c r="AJ37" s="3">
        <f>IF(ISBLANK(Actuals!AJ34),-1134.62*Escalation!$B$32,Actuals!AJ34)</f>
        <v>-1180.4586479999998</v>
      </c>
      <c r="AK37" s="3">
        <f>IF(ISBLANK(Actuals!AK34),-1134.62*Escalation!$B$33,Actuals!AK34)</f>
        <v>-1180.4586479999998</v>
      </c>
      <c r="AL37" s="3">
        <f>IF(ISBLANK(Actuals!AL34),-1134.62*Escalation!$B$34,Actuals!AL34)</f>
        <v>-1180.4586479999998</v>
      </c>
      <c r="AM37" s="3">
        <f>IF(ISBLANK(Actuals!AM34),-1134.62*Escalation!$B$35,Actuals!AM34)</f>
        <v>-1180.4586479999998</v>
      </c>
      <c r="AN37" s="3">
        <f>IF(ISBLANK(Actuals!AN34),-1134.62*Escalation!$B$36,Actuals!AN34)</f>
        <v>-1180.4586479999998</v>
      </c>
      <c r="AO37" s="3">
        <f>IF(ISBLANK(Actuals!AO34),-1134.62*Escalation!$B$37,Actuals!AO34)</f>
        <v>-1180.4586479999998</v>
      </c>
      <c r="AP37" s="3">
        <f>IF(ISBLANK(Actuals!AP34),-1134.62*Escalation!$B$38,Actuals!AP34)</f>
        <v>-1204.0678209599998</v>
      </c>
      <c r="AQ37" s="3">
        <f>IF(ISBLANK(Actuals!AQ34),-1134.62*Escalation!$B$39,Actuals!AQ34)</f>
        <v>-1204.0678209599998</v>
      </c>
      <c r="AR37" s="3">
        <f>IF(ISBLANK(Actuals!AR34),-1134.62*Escalation!$B$40,Actuals!AR34)</f>
        <v>-1204.0678209599998</v>
      </c>
      <c r="AS37" s="3">
        <f>IF(ISBLANK(Actuals!AS34),-1134.62*Escalation!$B$41,Actuals!AS34)</f>
        <v>-1204.0678209599998</v>
      </c>
      <c r="AT37" s="3">
        <f>IF(ISBLANK(Actuals!AT34),-1134.62*Escalation!$B$42,Actuals!AT34)</f>
        <v>-1204.0678209599998</v>
      </c>
      <c r="AU37" s="3">
        <f>IF(ISBLANK(Actuals!AU34),-1134.62*Escalation!$B$43,Actuals!AU34)</f>
        <v>-1204.0678209599998</v>
      </c>
      <c r="AV37" s="3">
        <f>IF(ISBLANK(Actuals!AV34),-1134.62*Escalation!$B$44,Actuals!AV34)</f>
        <v>-1204.0678209599998</v>
      </c>
      <c r="AW37" s="3">
        <f>IF(ISBLANK(Actuals!AW34),-1134.62*Escalation!$B$45,Actuals!AW34)</f>
        <v>-1204.0678209599998</v>
      </c>
      <c r="AX37" s="3">
        <f>IF(ISBLANK(Actuals!AX34),-1134.62*Escalation!$B$46,Actuals!AX34)</f>
        <v>-1204.0678209599998</v>
      </c>
      <c r="AY37" s="3">
        <f>IF(ISBLANK(Actuals!AY34),-1134.62*Escalation!$B$47,Actuals!AY34)</f>
        <v>-1204.0678209599998</v>
      </c>
      <c r="AZ37" s="3">
        <f>IF(ISBLANK(Actuals!AZ34),-1134.62*Escalation!$B$48,Actuals!AZ34)</f>
        <v>-1204.0678209599998</v>
      </c>
      <c r="BA37" s="3">
        <f>IF(ISBLANK(Actuals!BA34),-1134.62*Escalation!$B$49,Actuals!BA34)</f>
        <v>-1204.0678209599998</v>
      </c>
      <c r="BB37" s="3">
        <f>IF(ISBLANK(Actuals!BB34),-1134.62*Escalation!$B$50,Actuals!BB34)</f>
        <v>-1228.1491773792</v>
      </c>
      <c r="BC37" s="3">
        <f>IF(ISBLANK(Actuals!BC34),-1134.62*Escalation!$B$51,Actuals!BC34)</f>
        <v>-1228.1491773792</v>
      </c>
      <c r="BD37" s="3">
        <f>IF(ISBLANK(Actuals!BD34),-1134.62*Escalation!$B$52,Actuals!BD34)</f>
        <v>-1228.1491773792</v>
      </c>
      <c r="BE37" s="3">
        <f>IF(ISBLANK(Actuals!BE34),-1134.62*Escalation!$B$53,Actuals!BE34)</f>
        <v>-1228.1491773792</v>
      </c>
      <c r="BF37" s="3">
        <f>IF(ISBLANK(Actuals!BF34),-1134.62*Escalation!$B$54,Actuals!BF34)</f>
        <v>-1228.1491773792</v>
      </c>
      <c r="BG37" s="3">
        <f>IF(ISBLANK(Actuals!BG34),-1134.62*Escalation!$B$55,Actuals!BG34)</f>
        <v>-1228.1491773792</v>
      </c>
      <c r="BH37" s="3">
        <f>IF(ISBLANK(Actuals!BH34),-1134.62*Escalation!$B$56,Actuals!BH34)</f>
        <v>-1228.1491773792</v>
      </c>
      <c r="BI37" s="3">
        <f>IF(ISBLANK(Actuals!BI34),-1134.62*Escalation!$B$57,Actuals!BI34)</f>
        <v>-1228.1491773792</v>
      </c>
      <c r="BJ37" s="3">
        <f>IF(ISBLANK(Actuals!BJ34),-1134.62*Escalation!$B$58,Actuals!BJ34)</f>
        <v>-1228.1491773792</v>
      </c>
      <c r="BK37" s="3">
        <f>IF(ISBLANK(Actuals!BK34),-1134.62*Escalation!$B$59,Actuals!BK34)</f>
        <v>-1228.1491773792</v>
      </c>
      <c r="BL37" s="3">
        <f>IF(ISBLANK(Actuals!BL34),-1134.62*Escalation!$B$60,Actuals!BL34)</f>
        <v>-1228.1491773792</v>
      </c>
      <c r="BM37" s="3">
        <f>IF(ISBLANK(Actuals!BM34),-1134.62*Escalation!$B$61,Actuals!BM34)</f>
        <v>-1228.1491773792</v>
      </c>
      <c r="BN37" s="3">
        <f>IF(ISBLANK(Actuals!BN34),-1134.62*Escalation!$B$62,Actuals!BN34)</f>
        <v>-1252.712160926784</v>
      </c>
      <c r="BO37" s="3">
        <f>IF(ISBLANK(Actuals!BO34),-1134.62*Escalation!$B$63,Actuals!BO34)</f>
        <v>-1252.712160926784</v>
      </c>
      <c r="BP37" s="3">
        <f>IF(ISBLANK(Actuals!BP34),-1134.62*Escalation!$B$64,Actuals!BP34)</f>
        <v>-1252.712160926784</v>
      </c>
      <c r="BQ37" s="3">
        <f>IF(ISBLANK(Actuals!BQ34),-1134.62*Escalation!$B$65,Actuals!BQ34)</f>
        <v>-1252.712160926784</v>
      </c>
      <c r="BR37" s="3">
        <f>IF(ISBLANK(Actuals!BR34),-1134.62*Escalation!$B$66,Actuals!BR34)</f>
        <v>-1252.712160926784</v>
      </c>
      <c r="BS37" s="3">
        <f>IF(ISBLANK(Actuals!BS34),-1134.62*Escalation!$B$67,Actuals!BS34)</f>
        <v>-1252.712160926784</v>
      </c>
      <c r="BT37" s="3">
        <f>IF(ISBLANK(Actuals!BT34),-1134.62*Escalation!$B$68,Actuals!BT34)</f>
        <v>-1252.712160926784</v>
      </c>
      <c r="BU37" s="3">
        <f>IF(ISBLANK(Actuals!BU34),-1134.62*Escalation!$B$69,Actuals!BU34)</f>
        <v>-1252.712160926784</v>
      </c>
      <c r="BV37" s="3">
        <f>IF(ISBLANK(Actuals!BV34),-1134.62*Escalation!$B$70,Actuals!BV34)</f>
        <v>-1252.712160926784</v>
      </c>
      <c r="BW37" s="3">
        <f>IF(ISBLANK(Actuals!BW34),-1134.62*Escalation!$B$71,Actuals!BW34)</f>
        <v>-1252.712160926784</v>
      </c>
      <c r="BX37" s="3">
        <f>IF(ISBLANK(Actuals!BX34),-1134.62*Escalation!$B$72,Actuals!BX34)</f>
        <v>-1252.712160926784</v>
      </c>
      <c r="BY37" s="3">
        <f>IF(ISBLANK(Actuals!BY34),-1134.62*Escalation!$B$73,Actuals!BY34)</f>
        <v>-1252.712160926784</v>
      </c>
      <c r="BZ37" s="3">
        <f>IF(ISBLANK(Actuals!BZ34),-1134.62*Escalation!$B$74,Actuals!BZ34)</f>
        <v>-1277.7664041453197</v>
      </c>
      <c r="CA37" s="3">
        <f>IF(ISBLANK(Actuals!CA34),-1134.62*Escalation!$B$75,Actuals!CA34)</f>
        <v>-1277.7664041453197</v>
      </c>
      <c r="CB37" s="3">
        <f>IF(ISBLANK(Actuals!CB34),-1134.62*Escalation!$B$76,Actuals!CB34)</f>
        <v>-1277.7664041453197</v>
      </c>
      <c r="CC37" s="3">
        <f>IF(ISBLANK(Actuals!CC34),-1134.62*Escalation!$B$77,Actuals!CC34)</f>
        <v>-1277.7664041453197</v>
      </c>
      <c r="CD37" s="3">
        <f>IF(ISBLANK(Actuals!CD34),-1134.62*Escalation!$B$78,Actuals!CD34)</f>
        <v>-1277.7664041453197</v>
      </c>
      <c r="CE37" s="3">
        <f>IF(ISBLANK(Actuals!CE34),-1134.62*Escalation!$B$79,Actuals!CE34)</f>
        <v>-1277.7664041453197</v>
      </c>
      <c r="CF37" s="3">
        <f>IF(ISBLANK(Actuals!CF34),-1134.62*Escalation!$B$80,Actuals!CF34)</f>
        <v>-1277.7664041453197</v>
      </c>
      <c r="CG37" s="3">
        <f>IF(ISBLANK(Actuals!CG34),-1134.62*Escalation!$B$81,Actuals!CG34)</f>
        <v>-1277.7664041453197</v>
      </c>
      <c r="CH37" s="3">
        <f>IF(ISBLANK(Actuals!CH34),-1134.62*Escalation!$B$82,Actuals!CH34)</f>
        <v>-1277.7664041453197</v>
      </c>
      <c r="CI37" s="3">
        <f>IF(ISBLANK(Actuals!CI34),-1134.62*Escalation!$B$83,Actuals!CI34)</f>
        <v>-1277.7664041453197</v>
      </c>
      <c r="CJ37" s="3">
        <f>IF(ISBLANK(Actuals!CJ34),-1134.62*Escalation!$B$84,Actuals!CJ34)</f>
        <v>-1277.7664041453197</v>
      </c>
      <c r="CK37" s="3">
        <f>IF(ISBLANK(Actuals!CK34),-1134.62*Escalation!$B$85,Actuals!CK34)</f>
        <v>-1277.7664041453197</v>
      </c>
      <c r="CL37" s="3">
        <f>IF(ISBLANK(Actuals!CL34),-1134.62*Escalation!$B$86,Actuals!CL34)</f>
        <v>-1303.3217322282258</v>
      </c>
      <c r="CM37" s="3">
        <f>IF(ISBLANK(Actuals!CM34),-1134.62*Escalation!$B$87,Actuals!CM34)</f>
        <v>-1303.3217322282258</v>
      </c>
      <c r="CN37" s="3">
        <f>IF(ISBLANK(Actuals!CN34),-1134.62*Escalation!$B$88,Actuals!CN34)</f>
        <v>-1303.3217322282258</v>
      </c>
      <c r="CO37" s="3">
        <f>IF(ISBLANK(Actuals!CO34),-1134.62*Escalation!$B$89,Actuals!CO34)</f>
        <v>-1303.3217322282258</v>
      </c>
      <c r="CP37" s="3">
        <f>IF(ISBLANK(Actuals!CP34),-1134.62*Escalation!$B$90,Actuals!CP34)</f>
        <v>-1303.3217322282258</v>
      </c>
      <c r="CQ37" s="3">
        <f>IF(ISBLANK(Actuals!CQ34),-1134.62*Escalation!$B$91,Actuals!CQ34)</f>
        <v>-1303.3217322282258</v>
      </c>
      <c r="CR37" s="3">
        <f>IF(ISBLANK(Actuals!CR34),-1134.62*Escalation!$B$92,Actuals!CR34)</f>
        <v>-1303.3217322282258</v>
      </c>
      <c r="CS37" s="3">
        <f>IF(ISBLANK(Actuals!CS34),-1134.62*Escalation!$B$93,Actuals!CS34)</f>
        <v>-1303.3217322282258</v>
      </c>
      <c r="CT37" s="3">
        <f>IF(ISBLANK(Actuals!CT34),-1134.62*Escalation!$B$94,Actuals!CT34)</f>
        <v>-1303.3217322282258</v>
      </c>
      <c r="CU37" s="3">
        <f>IF(ISBLANK(Actuals!CU34),-1134.62*Escalation!$B$95,Actuals!CU34)</f>
        <v>-1303.3217322282258</v>
      </c>
      <c r="CV37" s="3">
        <f>IF(ISBLANK(Actuals!CV34),-1134.62*Escalation!$B$96,Actuals!CV34)</f>
        <v>-1303.3217322282258</v>
      </c>
      <c r="CW37" s="3">
        <f>IF(ISBLANK(Actuals!CW34),-1134.62*Escalation!$B$97,Actuals!CW34)</f>
        <v>-1303.3217322282258</v>
      </c>
      <c r="CX37" s="3">
        <f>IF(ISBLANK(Actuals!CX34),-1134.62*Escalation!$B$98,Actuals!CX34)</f>
        <v>-1329.3881668727904</v>
      </c>
      <c r="CY37" s="3">
        <f>IF(ISBLANK(Actuals!CY34),-1134.62*Escalation!$B$99,Actuals!CY34)</f>
        <v>-1329.3881668727904</v>
      </c>
      <c r="CZ37" s="3">
        <f>IF(ISBLANK(Actuals!CZ34),-1134.62*Escalation!$B$100,Actuals!CZ34)</f>
        <v>-1329.3881668727904</v>
      </c>
      <c r="DA37" s="3">
        <f>IF(ISBLANK(Actuals!DA34),-1134.62*Escalation!$B$101,Actuals!DA34)</f>
        <v>-1329.3881668727904</v>
      </c>
      <c r="DB37" s="3">
        <f>IF(ISBLANK(Actuals!DB34),-1134.62*Escalation!$B$102,Actuals!DB34)</f>
        <v>-1329.3881668727904</v>
      </c>
      <c r="DC37" s="3">
        <f>IF(ISBLANK(Actuals!DC34),-1134.62*Escalation!$B$103,Actuals!DC34)</f>
        <v>-1329.3881668727904</v>
      </c>
      <c r="DD37" s="3">
        <f>IF(ISBLANK(Actuals!DD34),-1134.62*Escalation!$B$104,Actuals!DD34)</f>
        <v>-1329.3881668727904</v>
      </c>
      <c r="DE37" s="3">
        <f>IF(ISBLANK(Actuals!DE34),-1134.62*Escalation!$B$105,Actuals!DE34)</f>
        <v>-1329.3881668727904</v>
      </c>
      <c r="DF37" s="3">
        <f>IF(ISBLANK(Actuals!DF34),-1134.62*Escalation!$B$106,Actuals!DF34)</f>
        <v>-1329.3881668727904</v>
      </c>
    </row>
    <row r="38" spans="1:110" ht="15" customHeight="1" x14ac:dyDescent="0.25">
      <c r="A38" s="13" t="s">
        <v>78</v>
      </c>
      <c r="B38" s="302"/>
      <c r="C38" s="3">
        <f>IF(ISBLANK(Actuals!C35),0,Actuals!C35)</f>
        <v>-2187.5</v>
      </c>
      <c r="D38" s="3">
        <f>IF(ISBLANK(Actuals!D35),0,Actuals!D35)</f>
        <v>0</v>
      </c>
      <c r="E38" s="3">
        <f>IF(ISBLANK(Actuals!E35),0,Actuals!E35)</f>
        <v>-1625</v>
      </c>
      <c r="F38" s="3">
        <f>IF(ISBLANK(Actuals!F35),-1270.83*Escalation!$B$2,Actuals!F35)</f>
        <v>0</v>
      </c>
      <c r="G38" s="3">
        <f>IF(ISBLANK(Actuals!G35),-1270.83*Escalation!$B$3,Actuals!G35)</f>
        <v>-1270.83</v>
      </c>
      <c r="H38" s="3">
        <f>IF(ISBLANK(Actuals!H35),-1270.83*Escalation!$B$4,Actuals!H35)</f>
        <v>-1270.83</v>
      </c>
      <c r="I38" s="3">
        <f>IF(ISBLANK(Actuals!I35),-1270.83*Escalation!$B$5,Actuals!I35)</f>
        <v>-1270.83</v>
      </c>
      <c r="J38" s="3">
        <f>IF(ISBLANK(Actuals!J35),-1270.83*Escalation!$B$6,Actuals!J35)</f>
        <v>-1270.83</v>
      </c>
      <c r="K38" s="3">
        <f>IF(ISBLANK(Actuals!K35),-1270.83*Escalation!$B$7,Actuals!K35)</f>
        <v>-1270.83</v>
      </c>
      <c r="L38" s="3">
        <f>IF(ISBLANK(Actuals!L35),-1270.83*Escalation!$B$8,Actuals!L35)</f>
        <v>-1270.83</v>
      </c>
      <c r="M38" s="3">
        <f>IF(ISBLANK(Actuals!M35),-1270.83*Escalation!$B$9,Actuals!M35)</f>
        <v>-1270.83</v>
      </c>
      <c r="N38" s="3">
        <f>IF(ISBLANK(Actuals!N35),-1270.83*Escalation!$B$10,Actuals!N35)</f>
        <v>-1270.83</v>
      </c>
      <c r="O38" s="3">
        <f>IF(ISBLANK(Actuals!O35),-1270.83*Escalation!$B$11,Actuals!O35)</f>
        <v>-1270.83</v>
      </c>
      <c r="P38" s="3">
        <f>IF(ISBLANK(Actuals!P35),-1270.83*Escalation!$B$12,Actuals!P35)</f>
        <v>-1270.83</v>
      </c>
      <c r="Q38" s="3">
        <f>IF(ISBLANK(Actuals!Q35),-1270.83*Escalation!$B$13,Actuals!Q35)</f>
        <v>-1270.83</v>
      </c>
      <c r="R38" s="3">
        <f>IF(ISBLANK(Actuals!R35),-1270.83*Escalation!$B$14,Actuals!R35)</f>
        <v>-1296.2465999999999</v>
      </c>
      <c r="S38" s="3">
        <f>IF(ISBLANK(Actuals!S35),-1270.83*Escalation!$B$15,Actuals!S35)</f>
        <v>-1296.2465999999999</v>
      </c>
      <c r="T38" s="3">
        <f>IF(ISBLANK(Actuals!T35),-1270.83*Escalation!$B$16,Actuals!T35)</f>
        <v>-1296.2465999999999</v>
      </c>
      <c r="U38" s="3">
        <f>IF(ISBLANK(Actuals!U35),-1270.83*Escalation!$B$17,Actuals!U35)</f>
        <v>-1296.2465999999999</v>
      </c>
      <c r="V38" s="3">
        <f>IF(ISBLANK(Actuals!V35),-1270.83*Escalation!$B$18,Actuals!V35)</f>
        <v>-1296.2465999999999</v>
      </c>
      <c r="W38" s="3">
        <f>IF(ISBLANK(Actuals!W35),-1270.83*Escalation!$B$19,Actuals!W35)</f>
        <v>-1296.2465999999999</v>
      </c>
      <c r="X38" s="3">
        <f>IF(ISBLANK(Actuals!X35),-1270.83*Escalation!$B$20,Actuals!X35)</f>
        <v>-1296.2465999999999</v>
      </c>
      <c r="Y38" s="3">
        <f>IF(ISBLANK(Actuals!Y35),-1270.83*Escalation!$B$21,Actuals!Y35)</f>
        <v>-1296.2465999999999</v>
      </c>
      <c r="Z38" s="3">
        <f>IF(ISBLANK(Actuals!Z35),-1270.83*Escalation!$B$22,Actuals!Z35)</f>
        <v>-1296.2465999999999</v>
      </c>
      <c r="AA38" s="3">
        <f>IF(ISBLANK(Actuals!AA35),-1270.83*Escalation!$B$23,Actuals!AA35)</f>
        <v>-1296.2465999999999</v>
      </c>
      <c r="AB38" s="3">
        <f>IF(ISBLANK(Actuals!AB35),-1270.83*Escalation!$B$24,Actuals!AB35)</f>
        <v>-1296.2465999999999</v>
      </c>
      <c r="AC38" s="3">
        <f>IF(ISBLANK(Actuals!AC35),-1270.83*Escalation!$B$25,Actuals!AC35)</f>
        <v>-1296.2465999999999</v>
      </c>
      <c r="AD38" s="3">
        <f>IF(ISBLANK(Actuals!AD35),-1270.83*Escalation!$B$26,Actuals!AD35)</f>
        <v>-1322.1715319999998</v>
      </c>
      <c r="AE38" s="3">
        <f>IF(ISBLANK(Actuals!AE35),-1270.83*Escalation!$B$27,Actuals!AE35)</f>
        <v>-1322.1715319999998</v>
      </c>
      <c r="AF38" s="3">
        <f>IF(ISBLANK(Actuals!AF35),-1270.83*Escalation!$B$28,Actuals!AF35)</f>
        <v>-1322.1715319999998</v>
      </c>
      <c r="AG38" s="3">
        <f>IF(ISBLANK(Actuals!AG35),-1270.83*Escalation!$B$29,Actuals!AG35)</f>
        <v>-1322.1715319999998</v>
      </c>
      <c r="AH38" s="3">
        <f>IF(ISBLANK(Actuals!AH35),-1270.83*Escalation!$B$30,Actuals!AH35)</f>
        <v>-1322.1715319999998</v>
      </c>
      <c r="AI38" s="3">
        <f>IF(ISBLANK(Actuals!AI35),-1270.83*Escalation!$B$31,Actuals!AI35)</f>
        <v>-1322.1715319999998</v>
      </c>
      <c r="AJ38" s="3">
        <f>IF(ISBLANK(Actuals!AJ35),-1270.83*Escalation!$B$32,Actuals!AJ35)</f>
        <v>-1322.1715319999998</v>
      </c>
      <c r="AK38" s="3">
        <f>IF(ISBLANK(Actuals!AK35),-1270.83*Escalation!$B$33,Actuals!AK35)</f>
        <v>-1322.1715319999998</v>
      </c>
      <c r="AL38" s="3">
        <f>IF(ISBLANK(Actuals!AL35),-1270.83*Escalation!$B$34,Actuals!AL35)</f>
        <v>-1322.1715319999998</v>
      </c>
      <c r="AM38" s="3">
        <f>IF(ISBLANK(Actuals!AM35),-1270.83*Escalation!$B$35,Actuals!AM35)</f>
        <v>-1322.1715319999998</v>
      </c>
      <c r="AN38" s="3">
        <f>IF(ISBLANK(Actuals!AN35),-1270.83*Escalation!$B$36,Actuals!AN35)</f>
        <v>-1322.1715319999998</v>
      </c>
      <c r="AO38" s="3">
        <f>IF(ISBLANK(Actuals!AO35),-1270.83*Escalation!$B$37,Actuals!AO35)</f>
        <v>-1322.1715319999998</v>
      </c>
      <c r="AP38" s="3">
        <f>IF(ISBLANK(Actuals!AP35),-1270.83*Escalation!$B$38,Actuals!AP35)</f>
        <v>-1348.6149626399999</v>
      </c>
      <c r="AQ38" s="3">
        <f>IF(ISBLANK(Actuals!AQ35),-1270.83*Escalation!$B$39,Actuals!AQ35)</f>
        <v>-1348.6149626399999</v>
      </c>
      <c r="AR38" s="3">
        <f>IF(ISBLANK(Actuals!AR35),-1270.83*Escalation!$B$40,Actuals!AR35)</f>
        <v>-1348.6149626399999</v>
      </c>
      <c r="AS38" s="3">
        <f>IF(ISBLANK(Actuals!AS35),-1270.83*Escalation!$B$41,Actuals!AS35)</f>
        <v>-1348.6149626399999</v>
      </c>
      <c r="AT38" s="3">
        <f>IF(ISBLANK(Actuals!AT35),-1270.83*Escalation!$B$42,Actuals!AT35)</f>
        <v>-1348.6149626399999</v>
      </c>
      <c r="AU38" s="3">
        <f>IF(ISBLANK(Actuals!AU35),-1270.83*Escalation!$B$43,Actuals!AU35)</f>
        <v>-1348.6149626399999</v>
      </c>
      <c r="AV38" s="3">
        <f>IF(ISBLANK(Actuals!AV35),-1270.83*Escalation!$B$44,Actuals!AV35)</f>
        <v>-1348.6149626399999</v>
      </c>
      <c r="AW38" s="3">
        <f>IF(ISBLANK(Actuals!AW35),-1270.83*Escalation!$B$45,Actuals!AW35)</f>
        <v>-1348.6149626399999</v>
      </c>
      <c r="AX38" s="3">
        <f>IF(ISBLANK(Actuals!AX35),-1270.83*Escalation!$B$46,Actuals!AX35)</f>
        <v>-1348.6149626399999</v>
      </c>
      <c r="AY38" s="3">
        <f>IF(ISBLANK(Actuals!AY35),-1270.83*Escalation!$B$47,Actuals!AY35)</f>
        <v>-1348.6149626399999</v>
      </c>
      <c r="AZ38" s="3">
        <f>IF(ISBLANK(Actuals!AZ35),-1270.83*Escalation!$B$48,Actuals!AZ35)</f>
        <v>-1348.6149626399999</v>
      </c>
      <c r="BA38" s="3">
        <f>IF(ISBLANK(Actuals!BA35),-1270.83*Escalation!$B$49,Actuals!BA35)</f>
        <v>-1348.6149626399999</v>
      </c>
      <c r="BB38" s="3">
        <f>IF(ISBLANK(Actuals!BB35),-1270.83*Escalation!$B$50,Actuals!BB35)</f>
        <v>-1375.5872618927999</v>
      </c>
      <c r="BC38" s="3">
        <f>IF(ISBLANK(Actuals!BC35),-1270.83*Escalation!$B$51,Actuals!BC35)</f>
        <v>-1375.5872618927999</v>
      </c>
      <c r="BD38" s="3">
        <f>IF(ISBLANK(Actuals!BD35),-1270.83*Escalation!$B$52,Actuals!BD35)</f>
        <v>-1375.5872618927999</v>
      </c>
      <c r="BE38" s="3">
        <f>IF(ISBLANK(Actuals!BE35),-1270.83*Escalation!$B$53,Actuals!BE35)</f>
        <v>-1375.5872618927999</v>
      </c>
      <c r="BF38" s="3">
        <f>IF(ISBLANK(Actuals!BF35),-1270.83*Escalation!$B$54,Actuals!BF35)</f>
        <v>-1375.5872618927999</v>
      </c>
      <c r="BG38" s="3">
        <f>IF(ISBLANK(Actuals!BG35),-1270.83*Escalation!$B$55,Actuals!BG35)</f>
        <v>-1375.5872618927999</v>
      </c>
      <c r="BH38" s="3">
        <f>IF(ISBLANK(Actuals!BH35),-1270.83*Escalation!$B$56,Actuals!BH35)</f>
        <v>-1375.5872618927999</v>
      </c>
      <c r="BI38" s="3">
        <f>IF(ISBLANK(Actuals!BI35),-1270.83*Escalation!$B$57,Actuals!BI35)</f>
        <v>-1375.5872618927999</v>
      </c>
      <c r="BJ38" s="3">
        <f>IF(ISBLANK(Actuals!BJ35),-1270.83*Escalation!$B$58,Actuals!BJ35)</f>
        <v>-1375.5872618927999</v>
      </c>
      <c r="BK38" s="3">
        <f>IF(ISBLANK(Actuals!BK35),-1270.83*Escalation!$B$59,Actuals!BK35)</f>
        <v>-1375.5872618927999</v>
      </c>
      <c r="BL38" s="3">
        <f>IF(ISBLANK(Actuals!BL35),-1270.83*Escalation!$B$60,Actuals!BL35)</f>
        <v>-1375.5872618927999</v>
      </c>
      <c r="BM38" s="3">
        <f>IF(ISBLANK(Actuals!BM35),-1270.83*Escalation!$B$61,Actuals!BM35)</f>
        <v>-1375.5872618927999</v>
      </c>
      <c r="BN38" s="3">
        <f>IF(ISBLANK(Actuals!BN35),-1270.83*Escalation!$B$62,Actuals!BN35)</f>
        <v>-1403.099007130656</v>
      </c>
      <c r="BO38" s="3">
        <f>IF(ISBLANK(Actuals!BO35),-1270.83*Escalation!$B$63,Actuals!BO35)</f>
        <v>-1403.099007130656</v>
      </c>
      <c r="BP38" s="3">
        <f>IF(ISBLANK(Actuals!BP35),-1270.83*Escalation!$B$64,Actuals!BP35)</f>
        <v>-1403.099007130656</v>
      </c>
      <c r="BQ38" s="3">
        <f>IF(ISBLANK(Actuals!BQ35),-1270.83*Escalation!$B$65,Actuals!BQ35)</f>
        <v>-1403.099007130656</v>
      </c>
      <c r="BR38" s="3">
        <f>IF(ISBLANK(Actuals!BR35),-1270.83*Escalation!$B$66,Actuals!BR35)</f>
        <v>-1403.099007130656</v>
      </c>
      <c r="BS38" s="3">
        <f>IF(ISBLANK(Actuals!BS35),-1270.83*Escalation!$B$67,Actuals!BS35)</f>
        <v>-1403.099007130656</v>
      </c>
      <c r="BT38" s="3">
        <f>IF(ISBLANK(Actuals!BT35),-1270.83*Escalation!$B$68,Actuals!BT35)</f>
        <v>-1403.099007130656</v>
      </c>
      <c r="BU38" s="3">
        <f>IF(ISBLANK(Actuals!BU35),-1270.83*Escalation!$B$69,Actuals!BU35)</f>
        <v>-1403.099007130656</v>
      </c>
      <c r="BV38" s="3">
        <f>IF(ISBLANK(Actuals!BV35),-1270.83*Escalation!$B$70,Actuals!BV35)</f>
        <v>-1403.099007130656</v>
      </c>
      <c r="BW38" s="3">
        <f>IF(ISBLANK(Actuals!BW35),-1270.83*Escalation!$B$71,Actuals!BW35)</f>
        <v>-1403.099007130656</v>
      </c>
      <c r="BX38" s="3">
        <f>IF(ISBLANK(Actuals!BX35),-1270.83*Escalation!$B$72,Actuals!BX35)</f>
        <v>-1403.099007130656</v>
      </c>
      <c r="BY38" s="3">
        <f>IF(ISBLANK(Actuals!BY35),-1270.83*Escalation!$B$73,Actuals!BY35)</f>
        <v>-1403.099007130656</v>
      </c>
      <c r="BZ38" s="3">
        <f>IF(ISBLANK(Actuals!BZ35),-1270.83*Escalation!$B$74,Actuals!BZ35)</f>
        <v>-1431.160987273269</v>
      </c>
      <c r="CA38" s="3">
        <f>IF(ISBLANK(Actuals!CA35),-1270.83*Escalation!$B$75,Actuals!CA35)</f>
        <v>-1431.160987273269</v>
      </c>
      <c r="CB38" s="3">
        <f>IF(ISBLANK(Actuals!CB35),-1270.83*Escalation!$B$76,Actuals!CB35)</f>
        <v>-1431.160987273269</v>
      </c>
      <c r="CC38" s="3">
        <f>IF(ISBLANK(Actuals!CC35),-1270.83*Escalation!$B$77,Actuals!CC35)</f>
        <v>-1431.160987273269</v>
      </c>
      <c r="CD38" s="3">
        <f>IF(ISBLANK(Actuals!CD35),-1270.83*Escalation!$B$78,Actuals!CD35)</f>
        <v>-1431.160987273269</v>
      </c>
      <c r="CE38" s="3">
        <f>IF(ISBLANK(Actuals!CE35),-1270.83*Escalation!$B$79,Actuals!CE35)</f>
        <v>-1431.160987273269</v>
      </c>
      <c r="CF38" s="3">
        <f>IF(ISBLANK(Actuals!CF35),-1270.83*Escalation!$B$80,Actuals!CF35)</f>
        <v>-1431.160987273269</v>
      </c>
      <c r="CG38" s="3">
        <f>IF(ISBLANK(Actuals!CG35),-1270.83*Escalation!$B$81,Actuals!CG35)</f>
        <v>-1431.160987273269</v>
      </c>
      <c r="CH38" s="3">
        <f>IF(ISBLANK(Actuals!CH35),-1270.83*Escalation!$B$82,Actuals!CH35)</f>
        <v>-1431.160987273269</v>
      </c>
      <c r="CI38" s="3">
        <f>IF(ISBLANK(Actuals!CI35),-1270.83*Escalation!$B$83,Actuals!CI35)</f>
        <v>-1431.160987273269</v>
      </c>
      <c r="CJ38" s="3">
        <f>IF(ISBLANK(Actuals!CJ35),-1270.83*Escalation!$B$84,Actuals!CJ35)</f>
        <v>-1431.160987273269</v>
      </c>
      <c r="CK38" s="3">
        <f>IF(ISBLANK(Actuals!CK35),-1270.83*Escalation!$B$85,Actuals!CK35)</f>
        <v>-1431.160987273269</v>
      </c>
      <c r="CL38" s="3">
        <f>IF(ISBLANK(Actuals!CL35),-1270.83*Escalation!$B$86,Actuals!CL35)</f>
        <v>-1459.7842070187342</v>
      </c>
      <c r="CM38" s="3">
        <f>IF(ISBLANK(Actuals!CM35),-1270.83*Escalation!$B$87,Actuals!CM35)</f>
        <v>-1459.7842070187342</v>
      </c>
      <c r="CN38" s="3">
        <f>IF(ISBLANK(Actuals!CN35),-1270.83*Escalation!$B$88,Actuals!CN35)</f>
        <v>-1459.7842070187342</v>
      </c>
      <c r="CO38" s="3">
        <f>IF(ISBLANK(Actuals!CO35),-1270.83*Escalation!$B$89,Actuals!CO35)</f>
        <v>-1459.7842070187342</v>
      </c>
      <c r="CP38" s="3">
        <f>IF(ISBLANK(Actuals!CP35),-1270.83*Escalation!$B$90,Actuals!CP35)</f>
        <v>-1459.7842070187342</v>
      </c>
      <c r="CQ38" s="3">
        <f>IF(ISBLANK(Actuals!CQ35),-1270.83*Escalation!$B$91,Actuals!CQ35)</f>
        <v>-1459.7842070187342</v>
      </c>
      <c r="CR38" s="3">
        <f>IF(ISBLANK(Actuals!CR35),-1270.83*Escalation!$B$92,Actuals!CR35)</f>
        <v>-1459.7842070187342</v>
      </c>
      <c r="CS38" s="3">
        <f>IF(ISBLANK(Actuals!CS35),-1270.83*Escalation!$B$93,Actuals!CS35)</f>
        <v>-1459.7842070187342</v>
      </c>
      <c r="CT38" s="3">
        <f>IF(ISBLANK(Actuals!CT35),-1270.83*Escalation!$B$94,Actuals!CT35)</f>
        <v>-1459.7842070187342</v>
      </c>
      <c r="CU38" s="3">
        <f>IF(ISBLANK(Actuals!CU35),-1270.83*Escalation!$B$95,Actuals!CU35)</f>
        <v>-1459.7842070187342</v>
      </c>
      <c r="CV38" s="3">
        <f>IF(ISBLANK(Actuals!CV35),-1270.83*Escalation!$B$96,Actuals!CV35)</f>
        <v>-1459.7842070187342</v>
      </c>
      <c r="CW38" s="3">
        <f>IF(ISBLANK(Actuals!CW35),-1270.83*Escalation!$B$97,Actuals!CW35)</f>
        <v>-1459.7842070187342</v>
      </c>
      <c r="CX38" s="3">
        <f>IF(ISBLANK(Actuals!CX35),-1270.83*Escalation!$B$98,Actuals!CX35)</f>
        <v>-1488.979891159109</v>
      </c>
      <c r="CY38" s="3">
        <f>IF(ISBLANK(Actuals!CY35),-1270.83*Escalation!$B$99,Actuals!CY35)</f>
        <v>-1488.979891159109</v>
      </c>
      <c r="CZ38" s="3">
        <f>IF(ISBLANK(Actuals!CZ35),-1270.83*Escalation!$B$100,Actuals!CZ35)</f>
        <v>-1488.979891159109</v>
      </c>
      <c r="DA38" s="3">
        <f>IF(ISBLANK(Actuals!DA35),-1270.83*Escalation!$B$101,Actuals!DA35)</f>
        <v>-1488.979891159109</v>
      </c>
      <c r="DB38" s="3">
        <f>IF(ISBLANK(Actuals!DB35),-1270.83*Escalation!$B$102,Actuals!DB35)</f>
        <v>-1488.979891159109</v>
      </c>
      <c r="DC38" s="3">
        <f>IF(ISBLANK(Actuals!DC35),-1270.83*Escalation!$B$103,Actuals!DC35)</f>
        <v>-1488.979891159109</v>
      </c>
      <c r="DD38" s="3">
        <f>IF(ISBLANK(Actuals!DD35),-1270.83*Escalation!$B$104,Actuals!DD35)</f>
        <v>-1488.979891159109</v>
      </c>
      <c r="DE38" s="3">
        <f>IF(ISBLANK(Actuals!DE35),-1270.83*Escalation!$B$105,Actuals!DE35)</f>
        <v>-1488.979891159109</v>
      </c>
      <c r="DF38" s="3">
        <f>IF(ISBLANK(Actuals!DF35),-1270.83*Escalation!$B$106,Actuals!DF35)</f>
        <v>-1488.979891159109</v>
      </c>
    </row>
    <row r="39" spans="1:110" ht="15" customHeight="1" x14ac:dyDescent="0.25">
      <c r="A39" s="13" t="s">
        <v>79</v>
      </c>
      <c r="B39" s="302"/>
      <c r="C39" s="3">
        <f>IF(ISBLANK(Actuals!C36),0,Actuals!C36)</f>
        <v>0</v>
      </c>
      <c r="D39" s="3">
        <f>IF(ISBLANK(Actuals!D36),0,Actuals!D36)</f>
        <v>-12349</v>
      </c>
      <c r="E39" s="3">
        <f>IF(ISBLANK(Actuals!E36),0,Actuals!E36)</f>
        <v>-5400</v>
      </c>
      <c r="F39" s="3">
        <f>IF(ISBLANK(Actuals!F36),-5916.33*Escalation!$B$2,Actuals!F36)</f>
        <v>-4377</v>
      </c>
      <c r="G39" s="3">
        <f>IF(ISBLANK(Actuals!G36),-5916.33*Escalation!$B$3,Actuals!G36)</f>
        <v>-5916.33</v>
      </c>
      <c r="H39" s="3">
        <f>IF(ISBLANK(Actuals!H36),-5916.33*Escalation!$B$4,Actuals!H36)</f>
        <v>-5916.33</v>
      </c>
      <c r="I39" s="3">
        <f>IF(ISBLANK(Actuals!I36),-5916.33*Escalation!$B$5,Actuals!I36)</f>
        <v>-5916.33</v>
      </c>
      <c r="J39" s="3">
        <f>IF(ISBLANK(Actuals!J36),-5916.33*Escalation!$B$6,Actuals!J36)</f>
        <v>-5916.33</v>
      </c>
      <c r="K39" s="3">
        <f>IF(ISBLANK(Actuals!K36),-5916.33*Escalation!$B$7,Actuals!K36)</f>
        <v>-5916.33</v>
      </c>
      <c r="L39" s="3">
        <f>IF(ISBLANK(Actuals!L36),-5916.33*Escalation!$B$8,Actuals!L36)</f>
        <v>-5916.33</v>
      </c>
      <c r="M39" s="3">
        <f>IF(ISBLANK(Actuals!M36),-5916.33*Escalation!$B$9,Actuals!M36)</f>
        <v>-5916.33</v>
      </c>
      <c r="N39" s="3">
        <f>IF(ISBLANK(Actuals!N36),-5916.33*Escalation!$B$10,Actuals!N36)</f>
        <v>-5916.33</v>
      </c>
      <c r="O39" s="3">
        <f>IF(ISBLANK(Actuals!O36),-5916.33*Escalation!$B$11,Actuals!O36)</f>
        <v>-5916.33</v>
      </c>
      <c r="P39" s="3">
        <f>IF(ISBLANK(Actuals!P36),-5916.33*Escalation!$B$12,Actuals!P36)</f>
        <v>-5916.33</v>
      </c>
      <c r="Q39" s="3">
        <f>IF(ISBLANK(Actuals!Q36),-5916.33*Escalation!$B$13,Actuals!Q36)</f>
        <v>-5916.33</v>
      </c>
      <c r="R39" s="3">
        <f>IF(ISBLANK(Actuals!R36),-5916.33*Escalation!$B$14,Actuals!R36)</f>
        <v>-6034.6566000000003</v>
      </c>
      <c r="S39" s="3">
        <f>IF(ISBLANK(Actuals!S36),-5916.33*Escalation!$B$15,Actuals!S36)</f>
        <v>-6034.6566000000003</v>
      </c>
      <c r="T39" s="3">
        <f>IF(ISBLANK(Actuals!T36),-5916.33*Escalation!$B$16,Actuals!T36)</f>
        <v>-6034.6566000000003</v>
      </c>
      <c r="U39" s="3">
        <f>IF(ISBLANK(Actuals!U36),-5916.33*Escalation!$B$17,Actuals!U36)</f>
        <v>-6034.6566000000003</v>
      </c>
      <c r="V39" s="3">
        <f>IF(ISBLANK(Actuals!V36),-5916.33*Escalation!$B$18,Actuals!V36)</f>
        <v>-6034.6566000000003</v>
      </c>
      <c r="W39" s="3">
        <f>IF(ISBLANK(Actuals!W36),-5916.33*Escalation!$B$19,Actuals!W36)</f>
        <v>-6034.6566000000003</v>
      </c>
      <c r="X39" s="3">
        <f>IF(ISBLANK(Actuals!X36),-5916.33*Escalation!$B$20,Actuals!X36)</f>
        <v>-6034.6566000000003</v>
      </c>
      <c r="Y39" s="3">
        <f>IF(ISBLANK(Actuals!Y36),-5916.33*Escalation!$B$21,Actuals!Y36)</f>
        <v>-6034.6566000000003</v>
      </c>
      <c r="Z39" s="3">
        <f>IF(ISBLANK(Actuals!Z36),-5916.33*Escalation!$B$22,Actuals!Z36)</f>
        <v>-6034.6566000000003</v>
      </c>
      <c r="AA39" s="3">
        <f>IF(ISBLANK(Actuals!AA36),-5916.33*Escalation!$B$23,Actuals!AA36)</f>
        <v>-6034.6566000000003</v>
      </c>
      <c r="AB39" s="3">
        <f>IF(ISBLANK(Actuals!AB36),-5916.33*Escalation!$B$24,Actuals!AB36)</f>
        <v>-6034.6566000000003</v>
      </c>
      <c r="AC39" s="3">
        <f>IF(ISBLANK(Actuals!AC36),-5916.33*Escalation!$B$25,Actuals!AC36)</f>
        <v>-6034.6566000000003</v>
      </c>
      <c r="AD39" s="3">
        <f>IF(ISBLANK(Actuals!AD36),-5916.33*Escalation!$B$26,Actuals!AD36)</f>
        <v>-6155.3497319999997</v>
      </c>
      <c r="AE39" s="3">
        <f>IF(ISBLANK(Actuals!AE36),-5916.33*Escalation!$B$27,Actuals!AE36)</f>
        <v>-6155.3497319999997</v>
      </c>
      <c r="AF39" s="3">
        <f>IF(ISBLANK(Actuals!AF36),-5916.33*Escalation!$B$28,Actuals!AF36)</f>
        <v>-6155.3497319999997</v>
      </c>
      <c r="AG39" s="3">
        <f>IF(ISBLANK(Actuals!AG36),-5916.33*Escalation!$B$29,Actuals!AG36)</f>
        <v>-6155.3497319999997</v>
      </c>
      <c r="AH39" s="3">
        <f>IF(ISBLANK(Actuals!AH36),-5916.33*Escalation!$B$30,Actuals!AH36)</f>
        <v>-6155.3497319999997</v>
      </c>
      <c r="AI39" s="3">
        <f>IF(ISBLANK(Actuals!AI36),-5916.33*Escalation!$B$31,Actuals!AI36)</f>
        <v>-6155.3497319999997</v>
      </c>
      <c r="AJ39" s="3">
        <f>IF(ISBLANK(Actuals!AJ36),-5916.33*Escalation!$B$32,Actuals!AJ36)</f>
        <v>-6155.3497319999997</v>
      </c>
      <c r="AK39" s="3">
        <f>IF(ISBLANK(Actuals!AK36),-5916.33*Escalation!$B$33,Actuals!AK36)</f>
        <v>-6155.3497319999997</v>
      </c>
      <c r="AL39" s="3">
        <f>IF(ISBLANK(Actuals!AL36),-5916.33*Escalation!$B$34,Actuals!AL36)</f>
        <v>-6155.3497319999997</v>
      </c>
      <c r="AM39" s="3">
        <f>IF(ISBLANK(Actuals!AM36),-5916.33*Escalation!$B$35,Actuals!AM36)</f>
        <v>-6155.3497319999997</v>
      </c>
      <c r="AN39" s="3">
        <f>IF(ISBLANK(Actuals!AN36),-5916.33*Escalation!$B$36,Actuals!AN36)</f>
        <v>-6155.3497319999997</v>
      </c>
      <c r="AO39" s="3">
        <f>IF(ISBLANK(Actuals!AO36),-5916.33*Escalation!$B$37,Actuals!AO36)</f>
        <v>-6155.3497319999997</v>
      </c>
      <c r="AP39" s="3">
        <f>IF(ISBLANK(Actuals!AP36),-5916.33*Escalation!$B$38,Actuals!AP36)</f>
        <v>-6278.4567266399999</v>
      </c>
      <c r="AQ39" s="3">
        <f>IF(ISBLANK(Actuals!AQ36),-5916.33*Escalation!$B$39,Actuals!AQ36)</f>
        <v>-6278.4567266399999</v>
      </c>
      <c r="AR39" s="3">
        <f>IF(ISBLANK(Actuals!AR36),-5916.33*Escalation!$B$40,Actuals!AR36)</f>
        <v>-6278.4567266399999</v>
      </c>
      <c r="AS39" s="3">
        <f>IF(ISBLANK(Actuals!AS36),-5916.33*Escalation!$B$41,Actuals!AS36)</f>
        <v>-6278.4567266399999</v>
      </c>
      <c r="AT39" s="3">
        <f>IF(ISBLANK(Actuals!AT36),-5916.33*Escalation!$B$42,Actuals!AT36)</f>
        <v>-6278.4567266399999</v>
      </c>
      <c r="AU39" s="3">
        <f>IF(ISBLANK(Actuals!AU36),-5916.33*Escalation!$B$43,Actuals!AU36)</f>
        <v>-6278.4567266399999</v>
      </c>
      <c r="AV39" s="3">
        <f>IF(ISBLANK(Actuals!AV36),-5916.33*Escalation!$B$44,Actuals!AV36)</f>
        <v>-6278.4567266399999</v>
      </c>
      <c r="AW39" s="3">
        <f>IF(ISBLANK(Actuals!AW36),-5916.33*Escalation!$B$45,Actuals!AW36)</f>
        <v>-6278.4567266399999</v>
      </c>
      <c r="AX39" s="3">
        <f>IF(ISBLANK(Actuals!AX36),-5916.33*Escalation!$B$46,Actuals!AX36)</f>
        <v>-6278.4567266399999</v>
      </c>
      <c r="AY39" s="3">
        <f>IF(ISBLANK(Actuals!AY36),-5916.33*Escalation!$B$47,Actuals!AY36)</f>
        <v>-6278.4567266399999</v>
      </c>
      <c r="AZ39" s="3">
        <f>IF(ISBLANK(Actuals!AZ36),-5916.33*Escalation!$B$48,Actuals!AZ36)</f>
        <v>-6278.4567266399999</v>
      </c>
      <c r="BA39" s="3">
        <f>IF(ISBLANK(Actuals!BA36),-5916.33*Escalation!$B$49,Actuals!BA36)</f>
        <v>-6278.4567266399999</v>
      </c>
      <c r="BB39" s="3">
        <f>IF(ISBLANK(Actuals!BB36),-5916.33*Escalation!$B$50,Actuals!BB36)</f>
        <v>-6404.0258611727995</v>
      </c>
      <c r="BC39" s="3">
        <f>IF(ISBLANK(Actuals!BC36),-5916.33*Escalation!$B$51,Actuals!BC36)</f>
        <v>-6404.0258611727995</v>
      </c>
      <c r="BD39" s="3">
        <f>IF(ISBLANK(Actuals!BD36),-5916.33*Escalation!$B$52,Actuals!BD36)</f>
        <v>-6404.0258611727995</v>
      </c>
      <c r="BE39" s="3">
        <f>IF(ISBLANK(Actuals!BE36),-5916.33*Escalation!$B$53,Actuals!BE36)</f>
        <v>-6404.0258611727995</v>
      </c>
      <c r="BF39" s="3">
        <f>IF(ISBLANK(Actuals!BF36),-5916.33*Escalation!$B$54,Actuals!BF36)</f>
        <v>-6404.0258611727995</v>
      </c>
      <c r="BG39" s="3">
        <f>IF(ISBLANK(Actuals!BG36),-5916.33*Escalation!$B$55,Actuals!BG36)</f>
        <v>-6404.0258611727995</v>
      </c>
      <c r="BH39" s="3">
        <f>IF(ISBLANK(Actuals!BH36),-5916.33*Escalation!$B$56,Actuals!BH36)</f>
        <v>-6404.0258611727995</v>
      </c>
      <c r="BI39" s="3">
        <f>IF(ISBLANK(Actuals!BI36),-5916.33*Escalation!$B$57,Actuals!BI36)</f>
        <v>-6404.0258611727995</v>
      </c>
      <c r="BJ39" s="3">
        <f>IF(ISBLANK(Actuals!BJ36),-5916.33*Escalation!$B$58,Actuals!BJ36)</f>
        <v>-6404.0258611727995</v>
      </c>
      <c r="BK39" s="3">
        <f>IF(ISBLANK(Actuals!BK36),-5916.33*Escalation!$B$59,Actuals!BK36)</f>
        <v>-6404.0258611727995</v>
      </c>
      <c r="BL39" s="3">
        <f>IF(ISBLANK(Actuals!BL36),-5916.33*Escalation!$B$60,Actuals!BL36)</f>
        <v>-6404.0258611727995</v>
      </c>
      <c r="BM39" s="3">
        <f>IF(ISBLANK(Actuals!BM36),-5916.33*Escalation!$B$61,Actuals!BM36)</f>
        <v>-6404.0258611727995</v>
      </c>
      <c r="BN39" s="3">
        <f>IF(ISBLANK(Actuals!BN36),-5916.33*Escalation!$B$62,Actuals!BN36)</f>
        <v>-6532.1063783962563</v>
      </c>
      <c r="BO39" s="3">
        <f>IF(ISBLANK(Actuals!BO36),-5916.33*Escalation!$B$63,Actuals!BO36)</f>
        <v>-6532.1063783962563</v>
      </c>
      <c r="BP39" s="3">
        <f>IF(ISBLANK(Actuals!BP36),-5916.33*Escalation!$B$64,Actuals!BP36)</f>
        <v>-6532.1063783962563</v>
      </c>
      <c r="BQ39" s="3">
        <f>IF(ISBLANK(Actuals!BQ36),-5916.33*Escalation!$B$65,Actuals!BQ36)</f>
        <v>-6532.1063783962563</v>
      </c>
      <c r="BR39" s="3">
        <f>IF(ISBLANK(Actuals!BR36),-5916.33*Escalation!$B$66,Actuals!BR36)</f>
        <v>-6532.1063783962563</v>
      </c>
      <c r="BS39" s="3">
        <f>IF(ISBLANK(Actuals!BS36),-5916.33*Escalation!$B$67,Actuals!BS36)</f>
        <v>-6532.1063783962563</v>
      </c>
      <c r="BT39" s="3">
        <f>IF(ISBLANK(Actuals!BT36),-5916.33*Escalation!$B$68,Actuals!BT36)</f>
        <v>-6532.1063783962563</v>
      </c>
      <c r="BU39" s="3">
        <f>IF(ISBLANK(Actuals!BU36),-5916.33*Escalation!$B$69,Actuals!BU36)</f>
        <v>-6532.1063783962563</v>
      </c>
      <c r="BV39" s="3">
        <f>IF(ISBLANK(Actuals!BV36),-5916.33*Escalation!$B$70,Actuals!BV36)</f>
        <v>-6532.1063783962563</v>
      </c>
      <c r="BW39" s="3">
        <f>IF(ISBLANK(Actuals!BW36),-5916.33*Escalation!$B$71,Actuals!BW36)</f>
        <v>-6532.1063783962563</v>
      </c>
      <c r="BX39" s="3">
        <f>IF(ISBLANK(Actuals!BX36),-5916.33*Escalation!$B$72,Actuals!BX36)</f>
        <v>-6532.1063783962563</v>
      </c>
      <c r="BY39" s="3">
        <f>IF(ISBLANK(Actuals!BY36),-5916.33*Escalation!$B$73,Actuals!BY36)</f>
        <v>-6532.1063783962563</v>
      </c>
      <c r="BZ39" s="3">
        <f>IF(ISBLANK(Actuals!BZ36),-5916.33*Escalation!$B$74,Actuals!BZ36)</f>
        <v>-6662.7485059641813</v>
      </c>
      <c r="CA39" s="3">
        <f>IF(ISBLANK(Actuals!CA36),-5916.33*Escalation!$B$75,Actuals!CA36)</f>
        <v>-6662.7485059641813</v>
      </c>
      <c r="CB39" s="3">
        <f>IF(ISBLANK(Actuals!CB36),-5916.33*Escalation!$B$76,Actuals!CB36)</f>
        <v>-6662.7485059641813</v>
      </c>
      <c r="CC39" s="3">
        <f>IF(ISBLANK(Actuals!CC36),-5916.33*Escalation!$B$77,Actuals!CC36)</f>
        <v>-6662.7485059641813</v>
      </c>
      <c r="CD39" s="3">
        <f>IF(ISBLANK(Actuals!CD36),-5916.33*Escalation!$B$78,Actuals!CD36)</f>
        <v>-6662.7485059641813</v>
      </c>
      <c r="CE39" s="3">
        <f>IF(ISBLANK(Actuals!CE36),-5916.33*Escalation!$B$79,Actuals!CE36)</f>
        <v>-6662.7485059641813</v>
      </c>
      <c r="CF39" s="3">
        <f>IF(ISBLANK(Actuals!CF36),-5916.33*Escalation!$B$80,Actuals!CF36)</f>
        <v>-6662.7485059641813</v>
      </c>
      <c r="CG39" s="3">
        <f>IF(ISBLANK(Actuals!CG36),-5916.33*Escalation!$B$81,Actuals!CG36)</f>
        <v>-6662.7485059641813</v>
      </c>
      <c r="CH39" s="3">
        <f>IF(ISBLANK(Actuals!CH36),-5916.33*Escalation!$B$82,Actuals!CH36)</f>
        <v>-6662.7485059641813</v>
      </c>
      <c r="CI39" s="3">
        <f>IF(ISBLANK(Actuals!CI36),-5916.33*Escalation!$B$83,Actuals!CI36)</f>
        <v>-6662.7485059641813</v>
      </c>
      <c r="CJ39" s="3">
        <f>IF(ISBLANK(Actuals!CJ36),-5916.33*Escalation!$B$84,Actuals!CJ36)</f>
        <v>-6662.7485059641813</v>
      </c>
      <c r="CK39" s="3">
        <f>IF(ISBLANK(Actuals!CK36),-5916.33*Escalation!$B$85,Actuals!CK36)</f>
        <v>-6662.7485059641813</v>
      </c>
      <c r="CL39" s="3">
        <f>IF(ISBLANK(Actuals!CL36),-5916.33*Escalation!$B$86,Actuals!CL36)</f>
        <v>-6796.0034760834633</v>
      </c>
      <c r="CM39" s="3">
        <f>IF(ISBLANK(Actuals!CM36),-5916.33*Escalation!$B$87,Actuals!CM36)</f>
        <v>-6796.0034760834633</v>
      </c>
      <c r="CN39" s="3">
        <f>IF(ISBLANK(Actuals!CN36),-5916.33*Escalation!$B$88,Actuals!CN36)</f>
        <v>-6796.0034760834633</v>
      </c>
      <c r="CO39" s="3">
        <f>IF(ISBLANK(Actuals!CO36),-5916.33*Escalation!$B$89,Actuals!CO36)</f>
        <v>-6796.0034760834633</v>
      </c>
      <c r="CP39" s="3">
        <f>IF(ISBLANK(Actuals!CP36),-5916.33*Escalation!$B$90,Actuals!CP36)</f>
        <v>-6796.0034760834633</v>
      </c>
      <c r="CQ39" s="3">
        <f>IF(ISBLANK(Actuals!CQ36),-5916.33*Escalation!$B$91,Actuals!CQ36)</f>
        <v>-6796.0034760834633</v>
      </c>
      <c r="CR39" s="3">
        <f>IF(ISBLANK(Actuals!CR36),-5916.33*Escalation!$B$92,Actuals!CR36)</f>
        <v>-6796.0034760834633</v>
      </c>
      <c r="CS39" s="3">
        <f>IF(ISBLANK(Actuals!CS36),-5916.33*Escalation!$B$93,Actuals!CS36)</f>
        <v>-6796.0034760834633</v>
      </c>
      <c r="CT39" s="3">
        <f>IF(ISBLANK(Actuals!CT36),-5916.33*Escalation!$B$94,Actuals!CT36)</f>
        <v>-6796.0034760834633</v>
      </c>
      <c r="CU39" s="3">
        <f>IF(ISBLANK(Actuals!CU36),-5916.33*Escalation!$B$95,Actuals!CU36)</f>
        <v>-6796.0034760834633</v>
      </c>
      <c r="CV39" s="3">
        <f>IF(ISBLANK(Actuals!CV36),-5916.33*Escalation!$B$96,Actuals!CV36)</f>
        <v>-6796.0034760834633</v>
      </c>
      <c r="CW39" s="3">
        <f>IF(ISBLANK(Actuals!CW36),-5916.33*Escalation!$B$97,Actuals!CW36)</f>
        <v>-6796.0034760834633</v>
      </c>
      <c r="CX39" s="3">
        <f>IF(ISBLANK(Actuals!CX36),-5916.33*Escalation!$B$98,Actuals!CX36)</f>
        <v>-6931.9235456051338</v>
      </c>
      <c r="CY39" s="3">
        <f>IF(ISBLANK(Actuals!CY36),-5916.33*Escalation!$B$99,Actuals!CY36)</f>
        <v>-6931.9235456051338</v>
      </c>
      <c r="CZ39" s="3">
        <f>IF(ISBLANK(Actuals!CZ36),-5916.33*Escalation!$B$100,Actuals!CZ36)</f>
        <v>-6931.9235456051338</v>
      </c>
      <c r="DA39" s="3">
        <f>IF(ISBLANK(Actuals!DA36),-5916.33*Escalation!$B$101,Actuals!DA36)</f>
        <v>-6931.9235456051338</v>
      </c>
      <c r="DB39" s="3">
        <f>IF(ISBLANK(Actuals!DB36),-5916.33*Escalation!$B$102,Actuals!DB36)</f>
        <v>-6931.9235456051338</v>
      </c>
      <c r="DC39" s="3">
        <f>IF(ISBLANK(Actuals!DC36),-5916.33*Escalation!$B$103,Actuals!DC36)</f>
        <v>-6931.9235456051338</v>
      </c>
      <c r="DD39" s="3">
        <f>IF(ISBLANK(Actuals!DD36),-5916.33*Escalation!$B$104,Actuals!DD36)</f>
        <v>-6931.9235456051338</v>
      </c>
      <c r="DE39" s="3">
        <f>IF(ISBLANK(Actuals!DE36),-5916.33*Escalation!$B$105,Actuals!DE36)</f>
        <v>-6931.9235456051338</v>
      </c>
      <c r="DF39" s="3">
        <f>IF(ISBLANK(Actuals!DF36),-5916.33*Escalation!$B$106,Actuals!DF36)</f>
        <v>-6931.9235456051338</v>
      </c>
    </row>
    <row r="40" spans="1:110" ht="15" customHeight="1" x14ac:dyDescent="0.25">
      <c r="A40" s="13" t="s">
        <v>80</v>
      </c>
      <c r="B40" s="302"/>
      <c r="C40" s="3">
        <f>IF(ISBLANK(Actuals!C37),0,Actuals!C37)</f>
        <v>0</v>
      </c>
      <c r="D40" s="3">
        <f>IF(ISBLANK(Actuals!D37),0,Actuals!D37)</f>
        <v>0</v>
      </c>
      <c r="E40" s="3">
        <f>IF(ISBLANK(Actuals!E37),0,Actuals!E37)</f>
        <v>-750.4</v>
      </c>
      <c r="F40" s="3">
        <f>IF(ISBLANK(Actuals!F37),-250.13*Escalation!$B$2,Actuals!F37)</f>
        <v>0</v>
      </c>
      <c r="G40" s="3">
        <f>IF(ISBLANK(Actuals!G37),-250.13*Escalation!$B$3,Actuals!G37)</f>
        <v>-250.13</v>
      </c>
      <c r="H40" s="3">
        <f>IF(ISBLANK(Actuals!H37),-250.13*Escalation!$B$4,Actuals!H37)</f>
        <v>-250.13</v>
      </c>
      <c r="I40" s="3">
        <f>IF(ISBLANK(Actuals!I37),-250.13*Escalation!$B$5,Actuals!I37)</f>
        <v>-250.13</v>
      </c>
      <c r="J40" s="3">
        <f>IF(ISBLANK(Actuals!J37),-250.13*Escalation!$B$6,Actuals!J37)</f>
        <v>-250.13</v>
      </c>
      <c r="K40" s="3">
        <f>IF(ISBLANK(Actuals!K37),-250.13*Escalation!$B$7,Actuals!K37)</f>
        <v>-250.13</v>
      </c>
      <c r="L40" s="3">
        <f>IF(ISBLANK(Actuals!L37),-250.13*Escalation!$B$8,Actuals!L37)</f>
        <v>-250.13</v>
      </c>
      <c r="M40" s="3">
        <f>IF(ISBLANK(Actuals!M37),-250.13*Escalation!$B$9,Actuals!M37)</f>
        <v>-250.13</v>
      </c>
      <c r="N40" s="3">
        <f>IF(ISBLANK(Actuals!N37),-250.13*Escalation!$B$10,Actuals!N37)</f>
        <v>-250.13</v>
      </c>
      <c r="O40" s="3">
        <f>IF(ISBLANK(Actuals!O37),-250.13*Escalation!$B$11,Actuals!O37)</f>
        <v>-250.13</v>
      </c>
      <c r="P40" s="3">
        <f>IF(ISBLANK(Actuals!P37),-250.13*Escalation!$B$12,Actuals!P37)</f>
        <v>-250.13</v>
      </c>
      <c r="Q40" s="3">
        <f>IF(ISBLANK(Actuals!Q37),-250.13*Escalation!$B$13,Actuals!Q37)</f>
        <v>-250.13</v>
      </c>
      <c r="R40" s="3">
        <f>IF(ISBLANK(Actuals!R37),-250.13*Escalation!$B$14,Actuals!R37)</f>
        <v>-255.1326</v>
      </c>
      <c r="S40" s="3">
        <f>IF(ISBLANK(Actuals!S37),-250.13*Escalation!$B$15,Actuals!S37)</f>
        <v>-255.1326</v>
      </c>
      <c r="T40" s="3">
        <f>IF(ISBLANK(Actuals!T37),-250.13*Escalation!$B$16,Actuals!T37)</f>
        <v>-255.1326</v>
      </c>
      <c r="U40" s="3">
        <f>IF(ISBLANK(Actuals!U37),-250.13*Escalation!$B$17,Actuals!U37)</f>
        <v>-255.1326</v>
      </c>
      <c r="V40" s="3">
        <f>IF(ISBLANK(Actuals!V37),-250.13*Escalation!$B$18,Actuals!V37)</f>
        <v>-255.1326</v>
      </c>
      <c r="W40" s="3">
        <f>IF(ISBLANK(Actuals!W37),-250.13*Escalation!$B$19,Actuals!W37)</f>
        <v>-255.1326</v>
      </c>
      <c r="X40" s="3">
        <f>IF(ISBLANK(Actuals!X37),-250.13*Escalation!$B$20,Actuals!X37)</f>
        <v>-255.1326</v>
      </c>
      <c r="Y40" s="3">
        <f>IF(ISBLANK(Actuals!Y37),-250.13*Escalation!$B$21,Actuals!Y37)</f>
        <v>-255.1326</v>
      </c>
      <c r="Z40" s="3">
        <f>IF(ISBLANK(Actuals!Z37),-250.13*Escalation!$B$22,Actuals!Z37)</f>
        <v>-255.1326</v>
      </c>
      <c r="AA40" s="3">
        <f>IF(ISBLANK(Actuals!AA37),-250.13*Escalation!$B$23,Actuals!AA37)</f>
        <v>-255.1326</v>
      </c>
      <c r="AB40" s="3">
        <f>IF(ISBLANK(Actuals!AB37),-250.13*Escalation!$B$24,Actuals!AB37)</f>
        <v>-255.1326</v>
      </c>
      <c r="AC40" s="3">
        <f>IF(ISBLANK(Actuals!AC37),-250.13*Escalation!$B$25,Actuals!AC37)</f>
        <v>-255.1326</v>
      </c>
      <c r="AD40" s="3">
        <f>IF(ISBLANK(Actuals!AD37),-250.13*Escalation!$B$26,Actuals!AD37)</f>
        <v>-260.235252</v>
      </c>
      <c r="AE40" s="3">
        <f>IF(ISBLANK(Actuals!AE37),-250.13*Escalation!$B$27,Actuals!AE37)</f>
        <v>-260.235252</v>
      </c>
      <c r="AF40" s="3">
        <f>IF(ISBLANK(Actuals!AF37),-250.13*Escalation!$B$28,Actuals!AF37)</f>
        <v>-260.235252</v>
      </c>
      <c r="AG40" s="3">
        <f>IF(ISBLANK(Actuals!AG37),-250.13*Escalation!$B$29,Actuals!AG37)</f>
        <v>-260.235252</v>
      </c>
      <c r="AH40" s="3">
        <f>IF(ISBLANK(Actuals!AH37),-250.13*Escalation!$B$30,Actuals!AH37)</f>
        <v>-260.235252</v>
      </c>
      <c r="AI40" s="3">
        <f>IF(ISBLANK(Actuals!AI37),-250.13*Escalation!$B$31,Actuals!AI37)</f>
        <v>-260.235252</v>
      </c>
      <c r="AJ40" s="3">
        <f>IF(ISBLANK(Actuals!AJ37),-250.13*Escalation!$B$32,Actuals!AJ37)</f>
        <v>-260.235252</v>
      </c>
      <c r="AK40" s="3">
        <f>IF(ISBLANK(Actuals!AK37),-250.13*Escalation!$B$33,Actuals!AK37)</f>
        <v>-260.235252</v>
      </c>
      <c r="AL40" s="3">
        <f>IF(ISBLANK(Actuals!AL37),-250.13*Escalation!$B$34,Actuals!AL37)</f>
        <v>-260.235252</v>
      </c>
      <c r="AM40" s="3">
        <f>IF(ISBLANK(Actuals!AM37),-250.13*Escalation!$B$35,Actuals!AM37)</f>
        <v>-260.235252</v>
      </c>
      <c r="AN40" s="3">
        <f>IF(ISBLANK(Actuals!AN37),-250.13*Escalation!$B$36,Actuals!AN37)</f>
        <v>-260.235252</v>
      </c>
      <c r="AO40" s="3">
        <f>IF(ISBLANK(Actuals!AO37),-250.13*Escalation!$B$37,Actuals!AO37)</f>
        <v>-260.235252</v>
      </c>
      <c r="AP40" s="3">
        <f>IF(ISBLANK(Actuals!AP37),-250.13*Escalation!$B$38,Actuals!AP37)</f>
        <v>-265.43995703999997</v>
      </c>
      <c r="AQ40" s="3">
        <f>IF(ISBLANK(Actuals!AQ37),-250.13*Escalation!$B$39,Actuals!AQ37)</f>
        <v>-265.43995703999997</v>
      </c>
      <c r="AR40" s="3">
        <f>IF(ISBLANK(Actuals!AR37),-250.13*Escalation!$B$40,Actuals!AR37)</f>
        <v>-265.43995703999997</v>
      </c>
      <c r="AS40" s="3">
        <f>IF(ISBLANK(Actuals!AS37),-250.13*Escalation!$B$41,Actuals!AS37)</f>
        <v>-265.43995703999997</v>
      </c>
      <c r="AT40" s="3">
        <f>IF(ISBLANK(Actuals!AT37),-250.13*Escalation!$B$42,Actuals!AT37)</f>
        <v>-265.43995703999997</v>
      </c>
      <c r="AU40" s="3">
        <f>IF(ISBLANK(Actuals!AU37),-250.13*Escalation!$B$43,Actuals!AU37)</f>
        <v>-265.43995703999997</v>
      </c>
      <c r="AV40" s="3">
        <f>IF(ISBLANK(Actuals!AV37),-250.13*Escalation!$B$44,Actuals!AV37)</f>
        <v>-265.43995703999997</v>
      </c>
      <c r="AW40" s="3">
        <f>IF(ISBLANK(Actuals!AW37),-250.13*Escalation!$B$45,Actuals!AW37)</f>
        <v>-265.43995703999997</v>
      </c>
      <c r="AX40" s="3">
        <f>IF(ISBLANK(Actuals!AX37),-250.13*Escalation!$B$46,Actuals!AX37)</f>
        <v>-265.43995703999997</v>
      </c>
      <c r="AY40" s="3">
        <f>IF(ISBLANK(Actuals!AY37),-250.13*Escalation!$B$47,Actuals!AY37)</f>
        <v>-265.43995703999997</v>
      </c>
      <c r="AZ40" s="3">
        <f>IF(ISBLANK(Actuals!AZ37),-250.13*Escalation!$B$48,Actuals!AZ37)</f>
        <v>-265.43995703999997</v>
      </c>
      <c r="BA40" s="3">
        <f>IF(ISBLANK(Actuals!BA37),-250.13*Escalation!$B$49,Actuals!BA37)</f>
        <v>-265.43995703999997</v>
      </c>
      <c r="BB40" s="3">
        <f>IF(ISBLANK(Actuals!BB37),-250.13*Escalation!$B$50,Actuals!BB37)</f>
        <v>-270.7487561808</v>
      </c>
      <c r="BC40" s="3">
        <f>IF(ISBLANK(Actuals!BC37),-250.13*Escalation!$B$51,Actuals!BC37)</f>
        <v>-270.7487561808</v>
      </c>
      <c r="BD40" s="3">
        <f>IF(ISBLANK(Actuals!BD37),-250.13*Escalation!$B$52,Actuals!BD37)</f>
        <v>-270.7487561808</v>
      </c>
      <c r="BE40" s="3">
        <f>IF(ISBLANK(Actuals!BE37),-250.13*Escalation!$B$53,Actuals!BE37)</f>
        <v>-270.7487561808</v>
      </c>
      <c r="BF40" s="3">
        <f>IF(ISBLANK(Actuals!BF37),-250.13*Escalation!$B$54,Actuals!BF37)</f>
        <v>-270.7487561808</v>
      </c>
      <c r="BG40" s="3">
        <f>IF(ISBLANK(Actuals!BG37),-250.13*Escalation!$B$55,Actuals!BG37)</f>
        <v>-270.7487561808</v>
      </c>
      <c r="BH40" s="3">
        <f>IF(ISBLANK(Actuals!BH37),-250.13*Escalation!$B$56,Actuals!BH37)</f>
        <v>-270.7487561808</v>
      </c>
      <c r="BI40" s="3">
        <f>IF(ISBLANK(Actuals!BI37),-250.13*Escalation!$B$57,Actuals!BI37)</f>
        <v>-270.7487561808</v>
      </c>
      <c r="BJ40" s="3">
        <f>IF(ISBLANK(Actuals!BJ37),-250.13*Escalation!$B$58,Actuals!BJ37)</f>
        <v>-270.7487561808</v>
      </c>
      <c r="BK40" s="3">
        <f>IF(ISBLANK(Actuals!BK37),-250.13*Escalation!$B$59,Actuals!BK37)</f>
        <v>-270.7487561808</v>
      </c>
      <c r="BL40" s="3">
        <f>IF(ISBLANK(Actuals!BL37),-250.13*Escalation!$B$60,Actuals!BL37)</f>
        <v>-270.7487561808</v>
      </c>
      <c r="BM40" s="3">
        <f>IF(ISBLANK(Actuals!BM37),-250.13*Escalation!$B$61,Actuals!BM37)</f>
        <v>-270.7487561808</v>
      </c>
      <c r="BN40" s="3">
        <f>IF(ISBLANK(Actuals!BN37),-250.13*Escalation!$B$62,Actuals!BN37)</f>
        <v>-276.16373130441599</v>
      </c>
      <c r="BO40" s="3">
        <f>IF(ISBLANK(Actuals!BO37),-250.13*Escalation!$B$63,Actuals!BO37)</f>
        <v>-276.16373130441599</v>
      </c>
      <c r="BP40" s="3">
        <f>IF(ISBLANK(Actuals!BP37),-250.13*Escalation!$B$64,Actuals!BP37)</f>
        <v>-276.16373130441599</v>
      </c>
      <c r="BQ40" s="3">
        <f>IF(ISBLANK(Actuals!BQ37),-250.13*Escalation!$B$65,Actuals!BQ37)</f>
        <v>-276.16373130441599</v>
      </c>
      <c r="BR40" s="3">
        <f>IF(ISBLANK(Actuals!BR37),-250.13*Escalation!$B$66,Actuals!BR37)</f>
        <v>-276.16373130441599</v>
      </c>
      <c r="BS40" s="3">
        <f>IF(ISBLANK(Actuals!BS37),-250.13*Escalation!$B$67,Actuals!BS37)</f>
        <v>-276.16373130441599</v>
      </c>
      <c r="BT40" s="3">
        <f>IF(ISBLANK(Actuals!BT37),-250.13*Escalation!$B$68,Actuals!BT37)</f>
        <v>-276.16373130441599</v>
      </c>
      <c r="BU40" s="3">
        <f>IF(ISBLANK(Actuals!BU37),-250.13*Escalation!$B$69,Actuals!BU37)</f>
        <v>-276.16373130441599</v>
      </c>
      <c r="BV40" s="3">
        <f>IF(ISBLANK(Actuals!BV37),-250.13*Escalation!$B$70,Actuals!BV37)</f>
        <v>-276.16373130441599</v>
      </c>
      <c r="BW40" s="3">
        <f>IF(ISBLANK(Actuals!BW37),-250.13*Escalation!$B$71,Actuals!BW37)</f>
        <v>-276.16373130441599</v>
      </c>
      <c r="BX40" s="3">
        <f>IF(ISBLANK(Actuals!BX37),-250.13*Escalation!$B$72,Actuals!BX37)</f>
        <v>-276.16373130441599</v>
      </c>
      <c r="BY40" s="3">
        <f>IF(ISBLANK(Actuals!BY37),-250.13*Escalation!$B$73,Actuals!BY37)</f>
        <v>-276.16373130441599</v>
      </c>
      <c r="BZ40" s="3">
        <f>IF(ISBLANK(Actuals!BZ37),-250.13*Escalation!$B$74,Actuals!BZ37)</f>
        <v>-281.68700593050431</v>
      </c>
      <c r="CA40" s="3">
        <f>IF(ISBLANK(Actuals!CA37),-250.13*Escalation!$B$75,Actuals!CA37)</f>
        <v>-281.68700593050431</v>
      </c>
      <c r="CB40" s="3">
        <f>IF(ISBLANK(Actuals!CB37),-250.13*Escalation!$B$76,Actuals!CB37)</f>
        <v>-281.68700593050431</v>
      </c>
      <c r="CC40" s="3">
        <f>IF(ISBLANK(Actuals!CC37),-250.13*Escalation!$B$77,Actuals!CC37)</f>
        <v>-281.68700593050431</v>
      </c>
      <c r="CD40" s="3">
        <f>IF(ISBLANK(Actuals!CD37),-250.13*Escalation!$B$78,Actuals!CD37)</f>
        <v>-281.68700593050431</v>
      </c>
      <c r="CE40" s="3">
        <f>IF(ISBLANK(Actuals!CE37),-250.13*Escalation!$B$79,Actuals!CE37)</f>
        <v>-281.68700593050431</v>
      </c>
      <c r="CF40" s="3">
        <f>IF(ISBLANK(Actuals!CF37),-250.13*Escalation!$B$80,Actuals!CF37)</f>
        <v>-281.68700593050431</v>
      </c>
      <c r="CG40" s="3">
        <f>IF(ISBLANK(Actuals!CG37),-250.13*Escalation!$B$81,Actuals!CG37)</f>
        <v>-281.68700593050431</v>
      </c>
      <c r="CH40" s="3">
        <f>IF(ISBLANK(Actuals!CH37),-250.13*Escalation!$B$82,Actuals!CH37)</f>
        <v>-281.68700593050431</v>
      </c>
      <c r="CI40" s="3">
        <f>IF(ISBLANK(Actuals!CI37),-250.13*Escalation!$B$83,Actuals!CI37)</f>
        <v>-281.68700593050431</v>
      </c>
      <c r="CJ40" s="3">
        <f>IF(ISBLANK(Actuals!CJ37),-250.13*Escalation!$B$84,Actuals!CJ37)</f>
        <v>-281.68700593050431</v>
      </c>
      <c r="CK40" s="3">
        <f>IF(ISBLANK(Actuals!CK37),-250.13*Escalation!$B$85,Actuals!CK37)</f>
        <v>-281.68700593050431</v>
      </c>
      <c r="CL40" s="3">
        <f>IF(ISBLANK(Actuals!CL37),-250.13*Escalation!$B$86,Actuals!CL37)</f>
        <v>-287.32074604911435</v>
      </c>
      <c r="CM40" s="3">
        <f>IF(ISBLANK(Actuals!CM37),-250.13*Escalation!$B$87,Actuals!CM37)</f>
        <v>-287.32074604911435</v>
      </c>
      <c r="CN40" s="3">
        <f>IF(ISBLANK(Actuals!CN37),-250.13*Escalation!$B$88,Actuals!CN37)</f>
        <v>-287.32074604911435</v>
      </c>
      <c r="CO40" s="3">
        <f>IF(ISBLANK(Actuals!CO37),-250.13*Escalation!$B$89,Actuals!CO37)</f>
        <v>-287.32074604911435</v>
      </c>
      <c r="CP40" s="3">
        <f>IF(ISBLANK(Actuals!CP37),-250.13*Escalation!$B$90,Actuals!CP37)</f>
        <v>-287.32074604911435</v>
      </c>
      <c r="CQ40" s="3">
        <f>IF(ISBLANK(Actuals!CQ37),-250.13*Escalation!$B$91,Actuals!CQ37)</f>
        <v>-287.32074604911435</v>
      </c>
      <c r="CR40" s="3">
        <f>IF(ISBLANK(Actuals!CR37),-250.13*Escalation!$B$92,Actuals!CR37)</f>
        <v>-287.32074604911435</v>
      </c>
      <c r="CS40" s="3">
        <f>IF(ISBLANK(Actuals!CS37),-250.13*Escalation!$B$93,Actuals!CS37)</f>
        <v>-287.32074604911435</v>
      </c>
      <c r="CT40" s="3">
        <f>IF(ISBLANK(Actuals!CT37),-250.13*Escalation!$B$94,Actuals!CT37)</f>
        <v>-287.32074604911435</v>
      </c>
      <c r="CU40" s="3">
        <f>IF(ISBLANK(Actuals!CU37),-250.13*Escalation!$B$95,Actuals!CU37)</f>
        <v>-287.32074604911435</v>
      </c>
      <c r="CV40" s="3">
        <f>IF(ISBLANK(Actuals!CV37),-250.13*Escalation!$B$96,Actuals!CV37)</f>
        <v>-287.32074604911435</v>
      </c>
      <c r="CW40" s="3">
        <f>IF(ISBLANK(Actuals!CW37),-250.13*Escalation!$B$97,Actuals!CW37)</f>
        <v>-287.32074604911435</v>
      </c>
      <c r="CX40" s="3">
        <f>IF(ISBLANK(Actuals!CX37),-250.13*Escalation!$B$98,Actuals!CX37)</f>
        <v>-293.06716097009667</v>
      </c>
      <c r="CY40" s="3">
        <f>IF(ISBLANK(Actuals!CY37),-250.13*Escalation!$B$99,Actuals!CY37)</f>
        <v>-293.06716097009667</v>
      </c>
      <c r="CZ40" s="3">
        <f>IF(ISBLANK(Actuals!CZ37),-250.13*Escalation!$B$100,Actuals!CZ37)</f>
        <v>-293.06716097009667</v>
      </c>
      <c r="DA40" s="3">
        <f>IF(ISBLANK(Actuals!DA37),-250.13*Escalation!$B$101,Actuals!DA37)</f>
        <v>-293.06716097009667</v>
      </c>
      <c r="DB40" s="3">
        <f>IF(ISBLANK(Actuals!DB37),-250.13*Escalation!$B$102,Actuals!DB37)</f>
        <v>-293.06716097009667</v>
      </c>
      <c r="DC40" s="3">
        <f>IF(ISBLANK(Actuals!DC37),-250.13*Escalation!$B$103,Actuals!DC37)</f>
        <v>-293.06716097009667</v>
      </c>
      <c r="DD40" s="3">
        <f>IF(ISBLANK(Actuals!DD37),-250.13*Escalation!$B$104,Actuals!DD37)</f>
        <v>-293.06716097009667</v>
      </c>
      <c r="DE40" s="3">
        <f>IF(ISBLANK(Actuals!DE37),-250.13*Escalation!$B$105,Actuals!DE37)</f>
        <v>-293.06716097009667</v>
      </c>
      <c r="DF40" s="3">
        <f>IF(ISBLANK(Actuals!DF37),-250.13*Escalation!$B$106,Actuals!DF37)</f>
        <v>-293.06716097009667</v>
      </c>
    </row>
    <row r="41" spans="1:110" ht="15" customHeight="1" x14ac:dyDescent="0.25">
      <c r="A41" s="13" t="s">
        <v>81</v>
      </c>
      <c r="B41" s="302"/>
      <c r="C41" s="3">
        <f>IF(ISBLANK(Actuals!C38),0,Actuals!C38)</f>
        <v>-1474.63</v>
      </c>
      <c r="D41" s="3">
        <f>IF(ISBLANK(Actuals!D38),0,Actuals!D38)</f>
        <v>-1449.33</v>
      </c>
      <c r="E41" s="3">
        <f>IF(ISBLANK(Actuals!E38),0,Actuals!E38)</f>
        <v>-2328.7600000000002</v>
      </c>
      <c r="F41" s="3">
        <f>IF(ISBLANK(Actuals!F38),-1750.91*Escalation!$B$2,Actuals!F38)</f>
        <v>-2249.56</v>
      </c>
      <c r="G41" s="3">
        <f>IF(ISBLANK(Actuals!G38),-1750.91*Escalation!$B$3,Actuals!G38)</f>
        <v>-1750.91</v>
      </c>
      <c r="H41" s="3">
        <f>IF(ISBLANK(Actuals!H38),-1750.91*Escalation!$B$4,Actuals!H38)</f>
        <v>-1750.91</v>
      </c>
      <c r="I41" s="3">
        <f>IF(ISBLANK(Actuals!I38),-1750.91*Escalation!$B$5,Actuals!I38)</f>
        <v>-1750.91</v>
      </c>
      <c r="J41" s="3">
        <f>IF(ISBLANK(Actuals!J38),-1750.91*Escalation!$B$6,Actuals!J38)</f>
        <v>-1750.91</v>
      </c>
      <c r="K41" s="3">
        <f>IF(ISBLANK(Actuals!K38),-1750.91*Escalation!$B$7,Actuals!K38)</f>
        <v>-1750.91</v>
      </c>
      <c r="L41" s="3">
        <f>IF(ISBLANK(Actuals!L38),-1750.91*Escalation!$B$8,Actuals!L38)</f>
        <v>-1750.91</v>
      </c>
      <c r="M41" s="3">
        <f>IF(ISBLANK(Actuals!M38),-1750.91*Escalation!$B$9,Actuals!M38)</f>
        <v>-1750.91</v>
      </c>
      <c r="N41" s="3">
        <f>IF(ISBLANK(Actuals!N38),-1750.91*Escalation!$B$10,Actuals!N38)</f>
        <v>-1750.91</v>
      </c>
      <c r="O41" s="3">
        <f>IF(ISBLANK(Actuals!O38),-1750.91*Escalation!$B$11,Actuals!O38)</f>
        <v>-1750.91</v>
      </c>
      <c r="P41" s="3">
        <f>IF(ISBLANK(Actuals!P38),-1750.91*Escalation!$B$12,Actuals!P38)</f>
        <v>-1750.91</v>
      </c>
      <c r="Q41" s="3">
        <f>IF(ISBLANK(Actuals!Q38),-1750.91*Escalation!$B$13,Actuals!Q38)</f>
        <v>-1750.91</v>
      </c>
      <c r="R41" s="3">
        <f>IF(ISBLANK(Actuals!R38),-1750.91*Escalation!$B$14,Actuals!R38)</f>
        <v>-1785.9282000000001</v>
      </c>
      <c r="S41" s="3">
        <f>IF(ISBLANK(Actuals!S38),-1750.91*Escalation!$B$15,Actuals!S38)</f>
        <v>-1785.9282000000001</v>
      </c>
      <c r="T41" s="3">
        <f>IF(ISBLANK(Actuals!T38),-1750.91*Escalation!$B$16,Actuals!T38)</f>
        <v>-1785.9282000000001</v>
      </c>
      <c r="U41" s="3">
        <f>IF(ISBLANK(Actuals!U38),-1750.91*Escalation!$B$17,Actuals!U38)</f>
        <v>-1785.9282000000001</v>
      </c>
      <c r="V41" s="3">
        <f>IF(ISBLANK(Actuals!V38),-1750.91*Escalation!$B$18,Actuals!V38)</f>
        <v>-1785.9282000000001</v>
      </c>
      <c r="W41" s="3">
        <f>IF(ISBLANK(Actuals!W38),-1750.91*Escalation!$B$19,Actuals!W38)</f>
        <v>-1785.9282000000001</v>
      </c>
      <c r="X41" s="3">
        <f>IF(ISBLANK(Actuals!X38),-1750.91*Escalation!$B$20,Actuals!X38)</f>
        <v>-1785.9282000000001</v>
      </c>
      <c r="Y41" s="3">
        <f>IF(ISBLANK(Actuals!Y38),-1750.91*Escalation!$B$21,Actuals!Y38)</f>
        <v>-1785.9282000000001</v>
      </c>
      <c r="Z41" s="3">
        <f>IF(ISBLANK(Actuals!Z38),-1750.91*Escalation!$B$22,Actuals!Z38)</f>
        <v>-1785.9282000000001</v>
      </c>
      <c r="AA41" s="3">
        <f>IF(ISBLANK(Actuals!AA38),-1750.91*Escalation!$B$23,Actuals!AA38)</f>
        <v>-1785.9282000000001</v>
      </c>
      <c r="AB41" s="3">
        <f>IF(ISBLANK(Actuals!AB38),-1750.91*Escalation!$B$24,Actuals!AB38)</f>
        <v>-1785.9282000000001</v>
      </c>
      <c r="AC41" s="3">
        <f>IF(ISBLANK(Actuals!AC38),-1750.91*Escalation!$B$25,Actuals!AC38)</f>
        <v>-1785.9282000000001</v>
      </c>
      <c r="AD41" s="3">
        <f>IF(ISBLANK(Actuals!AD38),-1750.91*Escalation!$B$26,Actuals!AD38)</f>
        <v>-1821.6467640000001</v>
      </c>
      <c r="AE41" s="3">
        <f>IF(ISBLANK(Actuals!AE38),-1750.91*Escalation!$B$27,Actuals!AE38)</f>
        <v>-1821.6467640000001</v>
      </c>
      <c r="AF41" s="3">
        <f>IF(ISBLANK(Actuals!AF38),-1750.91*Escalation!$B$28,Actuals!AF38)</f>
        <v>-1821.6467640000001</v>
      </c>
      <c r="AG41" s="3">
        <f>IF(ISBLANK(Actuals!AG38),-1750.91*Escalation!$B$29,Actuals!AG38)</f>
        <v>-1821.6467640000001</v>
      </c>
      <c r="AH41" s="3">
        <f>IF(ISBLANK(Actuals!AH38),-1750.91*Escalation!$B$30,Actuals!AH38)</f>
        <v>-1821.6467640000001</v>
      </c>
      <c r="AI41" s="3">
        <f>IF(ISBLANK(Actuals!AI38),-1750.91*Escalation!$B$31,Actuals!AI38)</f>
        <v>-1821.6467640000001</v>
      </c>
      <c r="AJ41" s="3">
        <f>IF(ISBLANK(Actuals!AJ38),-1750.91*Escalation!$B$32,Actuals!AJ38)</f>
        <v>-1821.6467640000001</v>
      </c>
      <c r="AK41" s="3">
        <f>IF(ISBLANK(Actuals!AK38),-1750.91*Escalation!$B$33,Actuals!AK38)</f>
        <v>-1821.6467640000001</v>
      </c>
      <c r="AL41" s="3">
        <f>IF(ISBLANK(Actuals!AL38),-1750.91*Escalation!$B$34,Actuals!AL38)</f>
        <v>-1821.6467640000001</v>
      </c>
      <c r="AM41" s="3">
        <f>IF(ISBLANK(Actuals!AM38),-1750.91*Escalation!$B$35,Actuals!AM38)</f>
        <v>-1821.6467640000001</v>
      </c>
      <c r="AN41" s="3">
        <f>IF(ISBLANK(Actuals!AN38),-1750.91*Escalation!$B$36,Actuals!AN38)</f>
        <v>-1821.6467640000001</v>
      </c>
      <c r="AO41" s="3">
        <f>IF(ISBLANK(Actuals!AO38),-1750.91*Escalation!$B$37,Actuals!AO38)</f>
        <v>-1821.6467640000001</v>
      </c>
      <c r="AP41" s="3">
        <f>IF(ISBLANK(Actuals!AP38),-1750.91*Escalation!$B$38,Actuals!AP38)</f>
        <v>-1858.0796992799999</v>
      </c>
      <c r="AQ41" s="3">
        <f>IF(ISBLANK(Actuals!AQ38),-1750.91*Escalation!$B$39,Actuals!AQ38)</f>
        <v>-1858.0796992799999</v>
      </c>
      <c r="AR41" s="3">
        <f>IF(ISBLANK(Actuals!AR38),-1750.91*Escalation!$B$40,Actuals!AR38)</f>
        <v>-1858.0796992799999</v>
      </c>
      <c r="AS41" s="3">
        <f>IF(ISBLANK(Actuals!AS38),-1750.91*Escalation!$B$41,Actuals!AS38)</f>
        <v>-1858.0796992799999</v>
      </c>
      <c r="AT41" s="3">
        <f>IF(ISBLANK(Actuals!AT38),-1750.91*Escalation!$B$42,Actuals!AT38)</f>
        <v>-1858.0796992799999</v>
      </c>
      <c r="AU41" s="3">
        <f>IF(ISBLANK(Actuals!AU38),-1750.91*Escalation!$B$43,Actuals!AU38)</f>
        <v>-1858.0796992799999</v>
      </c>
      <c r="AV41" s="3">
        <f>IF(ISBLANK(Actuals!AV38),-1750.91*Escalation!$B$44,Actuals!AV38)</f>
        <v>-1858.0796992799999</v>
      </c>
      <c r="AW41" s="3">
        <f>IF(ISBLANK(Actuals!AW38),-1750.91*Escalation!$B$45,Actuals!AW38)</f>
        <v>-1858.0796992799999</v>
      </c>
      <c r="AX41" s="3">
        <f>IF(ISBLANK(Actuals!AX38),-1750.91*Escalation!$B$46,Actuals!AX38)</f>
        <v>-1858.0796992799999</v>
      </c>
      <c r="AY41" s="3">
        <f>IF(ISBLANK(Actuals!AY38),-1750.91*Escalation!$B$47,Actuals!AY38)</f>
        <v>-1858.0796992799999</v>
      </c>
      <c r="AZ41" s="3">
        <f>IF(ISBLANK(Actuals!AZ38),-1750.91*Escalation!$B$48,Actuals!AZ38)</f>
        <v>-1858.0796992799999</v>
      </c>
      <c r="BA41" s="3">
        <f>IF(ISBLANK(Actuals!BA38),-1750.91*Escalation!$B$49,Actuals!BA38)</f>
        <v>-1858.0796992799999</v>
      </c>
      <c r="BB41" s="3">
        <f>IF(ISBLANK(Actuals!BB38),-1750.91*Escalation!$B$50,Actuals!BB38)</f>
        <v>-1895.2412932656</v>
      </c>
      <c r="BC41" s="3">
        <f>IF(ISBLANK(Actuals!BC38),-1750.91*Escalation!$B$51,Actuals!BC38)</f>
        <v>-1895.2412932656</v>
      </c>
      <c r="BD41" s="3">
        <f>IF(ISBLANK(Actuals!BD38),-1750.91*Escalation!$B$52,Actuals!BD38)</f>
        <v>-1895.2412932656</v>
      </c>
      <c r="BE41" s="3">
        <f>IF(ISBLANK(Actuals!BE38),-1750.91*Escalation!$B$53,Actuals!BE38)</f>
        <v>-1895.2412932656</v>
      </c>
      <c r="BF41" s="3">
        <f>IF(ISBLANK(Actuals!BF38),-1750.91*Escalation!$B$54,Actuals!BF38)</f>
        <v>-1895.2412932656</v>
      </c>
      <c r="BG41" s="3">
        <f>IF(ISBLANK(Actuals!BG38),-1750.91*Escalation!$B$55,Actuals!BG38)</f>
        <v>-1895.2412932656</v>
      </c>
      <c r="BH41" s="3">
        <f>IF(ISBLANK(Actuals!BH38),-1750.91*Escalation!$B$56,Actuals!BH38)</f>
        <v>-1895.2412932656</v>
      </c>
      <c r="BI41" s="3">
        <f>IF(ISBLANK(Actuals!BI38),-1750.91*Escalation!$B$57,Actuals!BI38)</f>
        <v>-1895.2412932656</v>
      </c>
      <c r="BJ41" s="3">
        <f>IF(ISBLANK(Actuals!BJ38),-1750.91*Escalation!$B$58,Actuals!BJ38)</f>
        <v>-1895.2412932656</v>
      </c>
      <c r="BK41" s="3">
        <f>IF(ISBLANK(Actuals!BK38),-1750.91*Escalation!$B$59,Actuals!BK38)</f>
        <v>-1895.2412932656</v>
      </c>
      <c r="BL41" s="3">
        <f>IF(ISBLANK(Actuals!BL38),-1750.91*Escalation!$B$60,Actuals!BL38)</f>
        <v>-1895.2412932656</v>
      </c>
      <c r="BM41" s="3">
        <f>IF(ISBLANK(Actuals!BM38),-1750.91*Escalation!$B$61,Actuals!BM38)</f>
        <v>-1895.2412932656</v>
      </c>
      <c r="BN41" s="3">
        <f>IF(ISBLANK(Actuals!BN38),-1750.91*Escalation!$B$62,Actuals!BN38)</f>
        <v>-1933.1461191309122</v>
      </c>
      <c r="BO41" s="3">
        <f>IF(ISBLANK(Actuals!BO38),-1750.91*Escalation!$B$63,Actuals!BO38)</f>
        <v>-1933.1461191309122</v>
      </c>
      <c r="BP41" s="3">
        <f>IF(ISBLANK(Actuals!BP38),-1750.91*Escalation!$B$64,Actuals!BP38)</f>
        <v>-1933.1461191309122</v>
      </c>
      <c r="BQ41" s="3">
        <f>IF(ISBLANK(Actuals!BQ38),-1750.91*Escalation!$B$65,Actuals!BQ38)</f>
        <v>-1933.1461191309122</v>
      </c>
      <c r="BR41" s="3">
        <f>IF(ISBLANK(Actuals!BR38),-1750.91*Escalation!$B$66,Actuals!BR38)</f>
        <v>-1933.1461191309122</v>
      </c>
      <c r="BS41" s="3">
        <f>IF(ISBLANK(Actuals!BS38),-1750.91*Escalation!$B$67,Actuals!BS38)</f>
        <v>-1933.1461191309122</v>
      </c>
      <c r="BT41" s="3">
        <f>IF(ISBLANK(Actuals!BT38),-1750.91*Escalation!$B$68,Actuals!BT38)</f>
        <v>-1933.1461191309122</v>
      </c>
      <c r="BU41" s="3">
        <f>IF(ISBLANK(Actuals!BU38),-1750.91*Escalation!$B$69,Actuals!BU38)</f>
        <v>-1933.1461191309122</v>
      </c>
      <c r="BV41" s="3">
        <f>IF(ISBLANK(Actuals!BV38),-1750.91*Escalation!$B$70,Actuals!BV38)</f>
        <v>-1933.1461191309122</v>
      </c>
      <c r="BW41" s="3">
        <f>IF(ISBLANK(Actuals!BW38),-1750.91*Escalation!$B$71,Actuals!BW38)</f>
        <v>-1933.1461191309122</v>
      </c>
      <c r="BX41" s="3">
        <f>IF(ISBLANK(Actuals!BX38),-1750.91*Escalation!$B$72,Actuals!BX38)</f>
        <v>-1933.1461191309122</v>
      </c>
      <c r="BY41" s="3">
        <f>IF(ISBLANK(Actuals!BY38),-1750.91*Escalation!$B$73,Actuals!BY38)</f>
        <v>-1933.1461191309122</v>
      </c>
      <c r="BZ41" s="3">
        <f>IF(ISBLANK(Actuals!BZ38),-1750.91*Escalation!$B$74,Actuals!BZ38)</f>
        <v>-1971.8090415135305</v>
      </c>
      <c r="CA41" s="3">
        <f>IF(ISBLANK(Actuals!CA38),-1750.91*Escalation!$B$75,Actuals!CA38)</f>
        <v>-1971.8090415135305</v>
      </c>
      <c r="CB41" s="3">
        <f>IF(ISBLANK(Actuals!CB38),-1750.91*Escalation!$B$76,Actuals!CB38)</f>
        <v>-1971.8090415135305</v>
      </c>
      <c r="CC41" s="3">
        <f>IF(ISBLANK(Actuals!CC38),-1750.91*Escalation!$B$77,Actuals!CC38)</f>
        <v>-1971.8090415135305</v>
      </c>
      <c r="CD41" s="3">
        <f>IF(ISBLANK(Actuals!CD38),-1750.91*Escalation!$B$78,Actuals!CD38)</f>
        <v>-1971.8090415135305</v>
      </c>
      <c r="CE41" s="3">
        <f>IF(ISBLANK(Actuals!CE38),-1750.91*Escalation!$B$79,Actuals!CE38)</f>
        <v>-1971.8090415135305</v>
      </c>
      <c r="CF41" s="3">
        <f>IF(ISBLANK(Actuals!CF38),-1750.91*Escalation!$B$80,Actuals!CF38)</f>
        <v>-1971.8090415135305</v>
      </c>
      <c r="CG41" s="3">
        <f>IF(ISBLANK(Actuals!CG38),-1750.91*Escalation!$B$81,Actuals!CG38)</f>
        <v>-1971.8090415135305</v>
      </c>
      <c r="CH41" s="3">
        <f>IF(ISBLANK(Actuals!CH38),-1750.91*Escalation!$B$82,Actuals!CH38)</f>
        <v>-1971.8090415135305</v>
      </c>
      <c r="CI41" s="3">
        <f>IF(ISBLANK(Actuals!CI38),-1750.91*Escalation!$B$83,Actuals!CI38)</f>
        <v>-1971.8090415135305</v>
      </c>
      <c r="CJ41" s="3">
        <f>IF(ISBLANK(Actuals!CJ38),-1750.91*Escalation!$B$84,Actuals!CJ38)</f>
        <v>-1971.8090415135305</v>
      </c>
      <c r="CK41" s="3">
        <f>IF(ISBLANK(Actuals!CK38),-1750.91*Escalation!$B$85,Actuals!CK38)</f>
        <v>-1971.8090415135305</v>
      </c>
      <c r="CL41" s="3">
        <f>IF(ISBLANK(Actuals!CL38),-1750.91*Escalation!$B$86,Actuals!CL38)</f>
        <v>-2011.2452223438006</v>
      </c>
      <c r="CM41" s="3">
        <f>IF(ISBLANK(Actuals!CM38),-1750.91*Escalation!$B$87,Actuals!CM38)</f>
        <v>-2011.2452223438006</v>
      </c>
      <c r="CN41" s="3">
        <f>IF(ISBLANK(Actuals!CN38),-1750.91*Escalation!$B$88,Actuals!CN38)</f>
        <v>-2011.2452223438006</v>
      </c>
      <c r="CO41" s="3">
        <f>IF(ISBLANK(Actuals!CO38),-1750.91*Escalation!$B$89,Actuals!CO38)</f>
        <v>-2011.2452223438006</v>
      </c>
      <c r="CP41" s="3">
        <f>IF(ISBLANK(Actuals!CP38),-1750.91*Escalation!$B$90,Actuals!CP38)</f>
        <v>-2011.2452223438006</v>
      </c>
      <c r="CQ41" s="3">
        <f>IF(ISBLANK(Actuals!CQ38),-1750.91*Escalation!$B$91,Actuals!CQ38)</f>
        <v>-2011.2452223438006</v>
      </c>
      <c r="CR41" s="3">
        <f>IF(ISBLANK(Actuals!CR38),-1750.91*Escalation!$B$92,Actuals!CR38)</f>
        <v>-2011.2452223438006</v>
      </c>
      <c r="CS41" s="3">
        <f>IF(ISBLANK(Actuals!CS38),-1750.91*Escalation!$B$93,Actuals!CS38)</f>
        <v>-2011.2452223438006</v>
      </c>
      <c r="CT41" s="3">
        <f>IF(ISBLANK(Actuals!CT38),-1750.91*Escalation!$B$94,Actuals!CT38)</f>
        <v>-2011.2452223438006</v>
      </c>
      <c r="CU41" s="3">
        <f>IF(ISBLANK(Actuals!CU38),-1750.91*Escalation!$B$95,Actuals!CU38)</f>
        <v>-2011.2452223438006</v>
      </c>
      <c r="CV41" s="3">
        <f>IF(ISBLANK(Actuals!CV38),-1750.91*Escalation!$B$96,Actuals!CV38)</f>
        <v>-2011.2452223438006</v>
      </c>
      <c r="CW41" s="3">
        <f>IF(ISBLANK(Actuals!CW38),-1750.91*Escalation!$B$97,Actuals!CW38)</f>
        <v>-2011.2452223438006</v>
      </c>
      <c r="CX41" s="3">
        <f>IF(ISBLANK(Actuals!CX38),-1750.91*Escalation!$B$98,Actuals!CX38)</f>
        <v>-2051.4701267906767</v>
      </c>
      <c r="CY41" s="3">
        <f>IF(ISBLANK(Actuals!CY38),-1750.91*Escalation!$B$99,Actuals!CY38)</f>
        <v>-2051.4701267906767</v>
      </c>
      <c r="CZ41" s="3">
        <f>IF(ISBLANK(Actuals!CZ38),-1750.91*Escalation!$B$100,Actuals!CZ38)</f>
        <v>-2051.4701267906767</v>
      </c>
      <c r="DA41" s="3">
        <f>IF(ISBLANK(Actuals!DA38),-1750.91*Escalation!$B$101,Actuals!DA38)</f>
        <v>-2051.4701267906767</v>
      </c>
      <c r="DB41" s="3">
        <f>IF(ISBLANK(Actuals!DB38),-1750.91*Escalation!$B$102,Actuals!DB38)</f>
        <v>-2051.4701267906767</v>
      </c>
      <c r="DC41" s="3">
        <f>IF(ISBLANK(Actuals!DC38),-1750.91*Escalation!$B$103,Actuals!DC38)</f>
        <v>-2051.4701267906767</v>
      </c>
      <c r="DD41" s="3">
        <f>IF(ISBLANK(Actuals!DD38),-1750.91*Escalation!$B$104,Actuals!DD38)</f>
        <v>-2051.4701267906767</v>
      </c>
      <c r="DE41" s="3">
        <f>IF(ISBLANK(Actuals!DE38),-1750.91*Escalation!$B$105,Actuals!DE38)</f>
        <v>-2051.4701267906767</v>
      </c>
      <c r="DF41" s="3">
        <f>IF(ISBLANK(Actuals!DF38),-1750.91*Escalation!$B$106,Actuals!DF38)</f>
        <v>-2051.4701267906767</v>
      </c>
    </row>
    <row r="42" spans="1:110" ht="15" customHeight="1" x14ac:dyDescent="0.25">
      <c r="A42" s="13" t="s">
        <v>82</v>
      </c>
      <c r="B42" s="302"/>
      <c r="C42" s="3">
        <f>IF(ISBLANK(Actuals!C39),0,Actuals!C39)</f>
        <v>-1417.61</v>
      </c>
      <c r="D42" s="3">
        <f>IF(ISBLANK(Actuals!D39),0,Actuals!D39)</f>
        <v>-2730.36</v>
      </c>
      <c r="E42" s="3">
        <f>IF(ISBLANK(Actuals!E39),0,Actuals!E39)</f>
        <v>-1818.05</v>
      </c>
      <c r="F42" s="3">
        <f>IF(ISBLANK(Actuals!F39),-1988.67*Escalation!$B$2,Actuals!F39)</f>
        <v>-3307.74</v>
      </c>
      <c r="G42" s="3">
        <f>IF(ISBLANK(Actuals!G39),-1988.67*Escalation!$B$3,Actuals!G39)</f>
        <v>-1988.67</v>
      </c>
      <c r="H42" s="3">
        <f>IF(ISBLANK(Actuals!H39),-1988.67*Escalation!$B$4,Actuals!H39)</f>
        <v>-1988.67</v>
      </c>
      <c r="I42" s="3">
        <f>IF(ISBLANK(Actuals!I39),-1988.67*Escalation!$B$5,Actuals!I39)</f>
        <v>-1988.67</v>
      </c>
      <c r="J42" s="3">
        <f>IF(ISBLANK(Actuals!J39),-1988.67*Escalation!$B$6,Actuals!J39)</f>
        <v>-1988.67</v>
      </c>
      <c r="K42" s="3">
        <f>IF(ISBLANK(Actuals!K39),-1988.67*Escalation!$B$7,Actuals!K39)</f>
        <v>-1988.67</v>
      </c>
      <c r="L42" s="3">
        <f>IF(ISBLANK(Actuals!L39),-1988.67*Escalation!$B$8,Actuals!L39)</f>
        <v>-1988.67</v>
      </c>
      <c r="M42" s="3">
        <f>IF(ISBLANK(Actuals!M39),-1988.67*Escalation!$B$9,Actuals!M39)</f>
        <v>-1988.67</v>
      </c>
      <c r="N42" s="3">
        <f>IF(ISBLANK(Actuals!N39),-1988.67*Escalation!$B$10,Actuals!N39)</f>
        <v>-1988.67</v>
      </c>
      <c r="O42" s="3">
        <f>IF(ISBLANK(Actuals!O39),-1988.67*Escalation!$B$11,Actuals!O39)</f>
        <v>-1988.67</v>
      </c>
      <c r="P42" s="3">
        <f>IF(ISBLANK(Actuals!P39),-1988.67*Escalation!$B$12,Actuals!P39)</f>
        <v>-1988.67</v>
      </c>
      <c r="Q42" s="3">
        <f>IF(ISBLANK(Actuals!Q39),-1988.67*Escalation!$B$13,Actuals!Q39)</f>
        <v>-1988.67</v>
      </c>
      <c r="R42" s="3">
        <f>IF(ISBLANK(Actuals!R39),-1988.67*Escalation!$B$14,Actuals!R39)</f>
        <v>-2028.4434000000001</v>
      </c>
      <c r="S42" s="3">
        <f>IF(ISBLANK(Actuals!S39),-1988.67*Escalation!$B$15,Actuals!S39)</f>
        <v>-2028.4434000000001</v>
      </c>
      <c r="T42" s="3">
        <f>IF(ISBLANK(Actuals!T39),-1988.67*Escalation!$B$16,Actuals!T39)</f>
        <v>-2028.4434000000001</v>
      </c>
      <c r="U42" s="3">
        <f>IF(ISBLANK(Actuals!U39),-1988.67*Escalation!$B$17,Actuals!U39)</f>
        <v>-2028.4434000000001</v>
      </c>
      <c r="V42" s="3">
        <f>IF(ISBLANK(Actuals!V39),-1988.67*Escalation!$B$18,Actuals!V39)</f>
        <v>-2028.4434000000001</v>
      </c>
      <c r="W42" s="3">
        <f>IF(ISBLANK(Actuals!W39),-1988.67*Escalation!$B$19,Actuals!W39)</f>
        <v>-2028.4434000000001</v>
      </c>
      <c r="X42" s="3">
        <f>IF(ISBLANK(Actuals!X39),-1988.67*Escalation!$B$20,Actuals!X39)</f>
        <v>-2028.4434000000001</v>
      </c>
      <c r="Y42" s="3">
        <f>IF(ISBLANK(Actuals!Y39),-1988.67*Escalation!$B$21,Actuals!Y39)</f>
        <v>-2028.4434000000001</v>
      </c>
      <c r="Z42" s="3">
        <f>IF(ISBLANK(Actuals!Z39),-1988.67*Escalation!$B$22,Actuals!Z39)</f>
        <v>-2028.4434000000001</v>
      </c>
      <c r="AA42" s="3">
        <f>IF(ISBLANK(Actuals!AA39),-1988.67*Escalation!$B$23,Actuals!AA39)</f>
        <v>-2028.4434000000001</v>
      </c>
      <c r="AB42" s="3">
        <f>IF(ISBLANK(Actuals!AB39),-1988.67*Escalation!$B$24,Actuals!AB39)</f>
        <v>-2028.4434000000001</v>
      </c>
      <c r="AC42" s="3">
        <f>IF(ISBLANK(Actuals!AC39),-1988.67*Escalation!$B$25,Actuals!AC39)</f>
        <v>-2028.4434000000001</v>
      </c>
      <c r="AD42" s="3">
        <f>IF(ISBLANK(Actuals!AD39),-1988.67*Escalation!$B$26,Actuals!AD39)</f>
        <v>-2069.0122679999999</v>
      </c>
      <c r="AE42" s="3">
        <f>IF(ISBLANK(Actuals!AE39),-1988.67*Escalation!$B$27,Actuals!AE39)</f>
        <v>-2069.0122679999999</v>
      </c>
      <c r="AF42" s="3">
        <f>IF(ISBLANK(Actuals!AF39),-1988.67*Escalation!$B$28,Actuals!AF39)</f>
        <v>-2069.0122679999999</v>
      </c>
      <c r="AG42" s="3">
        <f>IF(ISBLANK(Actuals!AG39),-1988.67*Escalation!$B$29,Actuals!AG39)</f>
        <v>-2069.0122679999999</v>
      </c>
      <c r="AH42" s="3">
        <f>IF(ISBLANK(Actuals!AH39),-1988.67*Escalation!$B$30,Actuals!AH39)</f>
        <v>-2069.0122679999999</v>
      </c>
      <c r="AI42" s="3">
        <f>IF(ISBLANK(Actuals!AI39),-1988.67*Escalation!$B$31,Actuals!AI39)</f>
        <v>-2069.0122679999999</v>
      </c>
      <c r="AJ42" s="3">
        <f>IF(ISBLANK(Actuals!AJ39),-1988.67*Escalation!$B$32,Actuals!AJ39)</f>
        <v>-2069.0122679999999</v>
      </c>
      <c r="AK42" s="3">
        <f>IF(ISBLANK(Actuals!AK39),-1988.67*Escalation!$B$33,Actuals!AK39)</f>
        <v>-2069.0122679999999</v>
      </c>
      <c r="AL42" s="3">
        <f>IF(ISBLANK(Actuals!AL39),-1988.67*Escalation!$B$34,Actuals!AL39)</f>
        <v>-2069.0122679999999</v>
      </c>
      <c r="AM42" s="3">
        <f>IF(ISBLANK(Actuals!AM39),-1988.67*Escalation!$B$35,Actuals!AM39)</f>
        <v>-2069.0122679999999</v>
      </c>
      <c r="AN42" s="3">
        <f>IF(ISBLANK(Actuals!AN39),-1988.67*Escalation!$B$36,Actuals!AN39)</f>
        <v>-2069.0122679999999</v>
      </c>
      <c r="AO42" s="3">
        <f>IF(ISBLANK(Actuals!AO39),-1988.67*Escalation!$B$37,Actuals!AO39)</f>
        <v>-2069.0122679999999</v>
      </c>
      <c r="AP42" s="3">
        <f>IF(ISBLANK(Actuals!AP39),-1988.67*Escalation!$B$38,Actuals!AP39)</f>
        <v>-2110.3925133600001</v>
      </c>
      <c r="AQ42" s="3">
        <f>IF(ISBLANK(Actuals!AQ39),-1988.67*Escalation!$B$39,Actuals!AQ39)</f>
        <v>-2110.3925133600001</v>
      </c>
      <c r="AR42" s="3">
        <f>IF(ISBLANK(Actuals!AR39),-1988.67*Escalation!$B$40,Actuals!AR39)</f>
        <v>-2110.3925133600001</v>
      </c>
      <c r="AS42" s="3">
        <f>IF(ISBLANK(Actuals!AS39),-1988.67*Escalation!$B$41,Actuals!AS39)</f>
        <v>-2110.3925133600001</v>
      </c>
      <c r="AT42" s="3">
        <f>IF(ISBLANK(Actuals!AT39),-1988.67*Escalation!$B$42,Actuals!AT39)</f>
        <v>-2110.3925133600001</v>
      </c>
      <c r="AU42" s="3">
        <f>IF(ISBLANK(Actuals!AU39),-1988.67*Escalation!$B$43,Actuals!AU39)</f>
        <v>-2110.3925133600001</v>
      </c>
      <c r="AV42" s="3">
        <f>IF(ISBLANK(Actuals!AV39),-1988.67*Escalation!$B$44,Actuals!AV39)</f>
        <v>-2110.3925133600001</v>
      </c>
      <c r="AW42" s="3">
        <f>IF(ISBLANK(Actuals!AW39),-1988.67*Escalation!$B$45,Actuals!AW39)</f>
        <v>-2110.3925133600001</v>
      </c>
      <c r="AX42" s="3">
        <f>IF(ISBLANK(Actuals!AX39),-1988.67*Escalation!$B$46,Actuals!AX39)</f>
        <v>-2110.3925133600001</v>
      </c>
      <c r="AY42" s="3">
        <f>IF(ISBLANK(Actuals!AY39),-1988.67*Escalation!$B$47,Actuals!AY39)</f>
        <v>-2110.3925133600001</v>
      </c>
      <c r="AZ42" s="3">
        <f>IF(ISBLANK(Actuals!AZ39),-1988.67*Escalation!$B$48,Actuals!AZ39)</f>
        <v>-2110.3925133600001</v>
      </c>
      <c r="BA42" s="3">
        <f>IF(ISBLANK(Actuals!BA39),-1988.67*Escalation!$B$49,Actuals!BA39)</f>
        <v>-2110.3925133600001</v>
      </c>
      <c r="BB42" s="3">
        <f>IF(ISBLANK(Actuals!BB39),-1988.67*Escalation!$B$50,Actuals!BB39)</f>
        <v>-2152.6003636271998</v>
      </c>
      <c r="BC42" s="3">
        <f>IF(ISBLANK(Actuals!BC39),-1988.67*Escalation!$B$51,Actuals!BC39)</f>
        <v>-2152.6003636271998</v>
      </c>
      <c r="BD42" s="3">
        <f>IF(ISBLANK(Actuals!BD39),-1988.67*Escalation!$B$52,Actuals!BD39)</f>
        <v>-2152.6003636271998</v>
      </c>
      <c r="BE42" s="3">
        <f>IF(ISBLANK(Actuals!BE39),-1988.67*Escalation!$B$53,Actuals!BE39)</f>
        <v>-2152.6003636271998</v>
      </c>
      <c r="BF42" s="3">
        <f>IF(ISBLANK(Actuals!BF39),-1988.67*Escalation!$B$54,Actuals!BF39)</f>
        <v>-2152.6003636271998</v>
      </c>
      <c r="BG42" s="3">
        <f>IF(ISBLANK(Actuals!BG39),-1988.67*Escalation!$B$55,Actuals!BG39)</f>
        <v>-2152.6003636271998</v>
      </c>
      <c r="BH42" s="3">
        <f>IF(ISBLANK(Actuals!BH39),-1988.67*Escalation!$B$56,Actuals!BH39)</f>
        <v>-2152.6003636271998</v>
      </c>
      <c r="BI42" s="3">
        <f>IF(ISBLANK(Actuals!BI39),-1988.67*Escalation!$B$57,Actuals!BI39)</f>
        <v>-2152.6003636271998</v>
      </c>
      <c r="BJ42" s="3">
        <f>IF(ISBLANK(Actuals!BJ39),-1988.67*Escalation!$B$58,Actuals!BJ39)</f>
        <v>-2152.6003636271998</v>
      </c>
      <c r="BK42" s="3">
        <f>IF(ISBLANK(Actuals!BK39),-1988.67*Escalation!$B$59,Actuals!BK39)</f>
        <v>-2152.6003636271998</v>
      </c>
      <c r="BL42" s="3">
        <f>IF(ISBLANK(Actuals!BL39),-1988.67*Escalation!$B$60,Actuals!BL39)</f>
        <v>-2152.6003636271998</v>
      </c>
      <c r="BM42" s="3">
        <f>IF(ISBLANK(Actuals!BM39),-1988.67*Escalation!$B$61,Actuals!BM39)</f>
        <v>-2152.6003636271998</v>
      </c>
      <c r="BN42" s="3">
        <f>IF(ISBLANK(Actuals!BN39),-1988.67*Escalation!$B$62,Actuals!BN39)</f>
        <v>-2195.6523708997443</v>
      </c>
      <c r="BO42" s="3">
        <f>IF(ISBLANK(Actuals!BO39),-1988.67*Escalation!$B$63,Actuals!BO39)</f>
        <v>-2195.6523708997443</v>
      </c>
      <c r="BP42" s="3">
        <f>IF(ISBLANK(Actuals!BP39),-1988.67*Escalation!$B$64,Actuals!BP39)</f>
        <v>-2195.6523708997443</v>
      </c>
      <c r="BQ42" s="3">
        <f>IF(ISBLANK(Actuals!BQ39),-1988.67*Escalation!$B$65,Actuals!BQ39)</f>
        <v>-2195.6523708997443</v>
      </c>
      <c r="BR42" s="3">
        <f>IF(ISBLANK(Actuals!BR39),-1988.67*Escalation!$B$66,Actuals!BR39)</f>
        <v>-2195.6523708997443</v>
      </c>
      <c r="BS42" s="3">
        <f>IF(ISBLANK(Actuals!BS39),-1988.67*Escalation!$B$67,Actuals!BS39)</f>
        <v>-2195.6523708997443</v>
      </c>
      <c r="BT42" s="3">
        <f>IF(ISBLANK(Actuals!BT39),-1988.67*Escalation!$B$68,Actuals!BT39)</f>
        <v>-2195.6523708997443</v>
      </c>
      <c r="BU42" s="3">
        <f>IF(ISBLANK(Actuals!BU39),-1988.67*Escalation!$B$69,Actuals!BU39)</f>
        <v>-2195.6523708997443</v>
      </c>
      <c r="BV42" s="3">
        <f>IF(ISBLANK(Actuals!BV39),-1988.67*Escalation!$B$70,Actuals!BV39)</f>
        <v>-2195.6523708997443</v>
      </c>
      <c r="BW42" s="3">
        <f>IF(ISBLANK(Actuals!BW39),-1988.67*Escalation!$B$71,Actuals!BW39)</f>
        <v>-2195.6523708997443</v>
      </c>
      <c r="BX42" s="3">
        <f>IF(ISBLANK(Actuals!BX39),-1988.67*Escalation!$B$72,Actuals!BX39)</f>
        <v>-2195.6523708997443</v>
      </c>
      <c r="BY42" s="3">
        <f>IF(ISBLANK(Actuals!BY39),-1988.67*Escalation!$B$73,Actuals!BY39)</f>
        <v>-2195.6523708997443</v>
      </c>
      <c r="BZ42" s="3">
        <f>IF(ISBLANK(Actuals!BZ39),-1988.67*Escalation!$B$74,Actuals!BZ39)</f>
        <v>-2239.5654183177389</v>
      </c>
      <c r="CA42" s="3">
        <f>IF(ISBLANK(Actuals!CA39),-1988.67*Escalation!$B$75,Actuals!CA39)</f>
        <v>-2239.5654183177389</v>
      </c>
      <c r="CB42" s="3">
        <f>IF(ISBLANK(Actuals!CB39),-1988.67*Escalation!$B$76,Actuals!CB39)</f>
        <v>-2239.5654183177389</v>
      </c>
      <c r="CC42" s="3">
        <f>IF(ISBLANK(Actuals!CC39),-1988.67*Escalation!$B$77,Actuals!CC39)</f>
        <v>-2239.5654183177389</v>
      </c>
      <c r="CD42" s="3">
        <f>IF(ISBLANK(Actuals!CD39),-1988.67*Escalation!$B$78,Actuals!CD39)</f>
        <v>-2239.5654183177389</v>
      </c>
      <c r="CE42" s="3">
        <f>IF(ISBLANK(Actuals!CE39),-1988.67*Escalation!$B$79,Actuals!CE39)</f>
        <v>-2239.5654183177389</v>
      </c>
      <c r="CF42" s="3">
        <f>IF(ISBLANK(Actuals!CF39),-1988.67*Escalation!$B$80,Actuals!CF39)</f>
        <v>-2239.5654183177389</v>
      </c>
      <c r="CG42" s="3">
        <f>IF(ISBLANK(Actuals!CG39),-1988.67*Escalation!$B$81,Actuals!CG39)</f>
        <v>-2239.5654183177389</v>
      </c>
      <c r="CH42" s="3">
        <f>IF(ISBLANK(Actuals!CH39),-1988.67*Escalation!$B$82,Actuals!CH39)</f>
        <v>-2239.5654183177389</v>
      </c>
      <c r="CI42" s="3">
        <f>IF(ISBLANK(Actuals!CI39),-1988.67*Escalation!$B$83,Actuals!CI39)</f>
        <v>-2239.5654183177389</v>
      </c>
      <c r="CJ42" s="3">
        <f>IF(ISBLANK(Actuals!CJ39),-1988.67*Escalation!$B$84,Actuals!CJ39)</f>
        <v>-2239.5654183177389</v>
      </c>
      <c r="CK42" s="3">
        <f>IF(ISBLANK(Actuals!CK39),-1988.67*Escalation!$B$85,Actuals!CK39)</f>
        <v>-2239.5654183177389</v>
      </c>
      <c r="CL42" s="3">
        <f>IF(ISBLANK(Actuals!CL39),-1988.67*Escalation!$B$86,Actuals!CL39)</f>
        <v>-2284.3567266840932</v>
      </c>
      <c r="CM42" s="3">
        <f>IF(ISBLANK(Actuals!CM39),-1988.67*Escalation!$B$87,Actuals!CM39)</f>
        <v>-2284.3567266840932</v>
      </c>
      <c r="CN42" s="3">
        <f>IF(ISBLANK(Actuals!CN39),-1988.67*Escalation!$B$88,Actuals!CN39)</f>
        <v>-2284.3567266840932</v>
      </c>
      <c r="CO42" s="3">
        <f>IF(ISBLANK(Actuals!CO39),-1988.67*Escalation!$B$89,Actuals!CO39)</f>
        <v>-2284.3567266840932</v>
      </c>
      <c r="CP42" s="3">
        <f>IF(ISBLANK(Actuals!CP39),-1988.67*Escalation!$B$90,Actuals!CP39)</f>
        <v>-2284.3567266840932</v>
      </c>
      <c r="CQ42" s="3">
        <f>IF(ISBLANK(Actuals!CQ39),-1988.67*Escalation!$B$91,Actuals!CQ39)</f>
        <v>-2284.3567266840932</v>
      </c>
      <c r="CR42" s="3">
        <f>IF(ISBLANK(Actuals!CR39),-1988.67*Escalation!$B$92,Actuals!CR39)</f>
        <v>-2284.3567266840932</v>
      </c>
      <c r="CS42" s="3">
        <f>IF(ISBLANK(Actuals!CS39),-1988.67*Escalation!$B$93,Actuals!CS39)</f>
        <v>-2284.3567266840932</v>
      </c>
      <c r="CT42" s="3">
        <f>IF(ISBLANK(Actuals!CT39),-1988.67*Escalation!$B$94,Actuals!CT39)</f>
        <v>-2284.3567266840932</v>
      </c>
      <c r="CU42" s="3">
        <f>IF(ISBLANK(Actuals!CU39),-1988.67*Escalation!$B$95,Actuals!CU39)</f>
        <v>-2284.3567266840932</v>
      </c>
      <c r="CV42" s="3">
        <f>IF(ISBLANK(Actuals!CV39),-1988.67*Escalation!$B$96,Actuals!CV39)</f>
        <v>-2284.3567266840932</v>
      </c>
      <c r="CW42" s="3">
        <f>IF(ISBLANK(Actuals!CW39),-1988.67*Escalation!$B$97,Actuals!CW39)</f>
        <v>-2284.3567266840932</v>
      </c>
      <c r="CX42" s="3">
        <f>IF(ISBLANK(Actuals!CX39),-1988.67*Escalation!$B$98,Actuals!CX39)</f>
        <v>-2330.0438612177754</v>
      </c>
      <c r="CY42" s="3">
        <f>IF(ISBLANK(Actuals!CY39),-1988.67*Escalation!$B$99,Actuals!CY39)</f>
        <v>-2330.0438612177754</v>
      </c>
      <c r="CZ42" s="3">
        <f>IF(ISBLANK(Actuals!CZ39),-1988.67*Escalation!$B$100,Actuals!CZ39)</f>
        <v>-2330.0438612177754</v>
      </c>
      <c r="DA42" s="3">
        <f>IF(ISBLANK(Actuals!DA39),-1988.67*Escalation!$B$101,Actuals!DA39)</f>
        <v>-2330.0438612177754</v>
      </c>
      <c r="DB42" s="3">
        <f>IF(ISBLANK(Actuals!DB39),-1988.67*Escalation!$B$102,Actuals!DB39)</f>
        <v>-2330.0438612177754</v>
      </c>
      <c r="DC42" s="3">
        <f>IF(ISBLANK(Actuals!DC39),-1988.67*Escalation!$B$103,Actuals!DC39)</f>
        <v>-2330.0438612177754</v>
      </c>
      <c r="DD42" s="3">
        <f>IF(ISBLANK(Actuals!DD39),-1988.67*Escalation!$B$104,Actuals!DD39)</f>
        <v>-2330.0438612177754</v>
      </c>
      <c r="DE42" s="3">
        <f>IF(ISBLANK(Actuals!DE39),-1988.67*Escalation!$B$105,Actuals!DE39)</f>
        <v>-2330.0438612177754</v>
      </c>
      <c r="DF42" s="3">
        <f>IF(ISBLANK(Actuals!DF39),-1988.67*Escalation!$B$106,Actuals!DF39)</f>
        <v>-2330.0438612177754</v>
      </c>
    </row>
    <row r="43" spans="1:110" ht="15" customHeight="1" x14ac:dyDescent="0.25">
      <c r="A43" s="13" t="s">
        <v>83</v>
      </c>
      <c r="B43" s="302"/>
      <c r="C43" s="3">
        <f>IF(ISBLANK(Actuals!C40),0,Actuals!C40)</f>
        <v>0</v>
      </c>
      <c r="D43" s="3">
        <f>IF(ISBLANK(Actuals!D40),0,Actuals!D40)</f>
        <v>0</v>
      </c>
      <c r="E43" s="3">
        <f>IF(ISBLANK(Actuals!E40),0,Actuals!E40)</f>
        <v>-41990</v>
      </c>
      <c r="F43" s="3">
        <f>IF(ISBLANK(Actuals!F40),-(IF(AND(Personnel!$E$2&gt;=2,Personnel!$E$2=1,Personnel!$G$2="Yes"),Personnel!$C$2*0.15,0)+IF(AND(Personnel!$E$3&gt;=2,Personnel!$E$3=1,Personnel!$G$3="Yes"),Personnel!$C$3*0.15,0)+IF(AND(Personnel!$E$4&gt;=2,Personnel!$E$4=1,Personnel!$G$4="Yes"),Personnel!$C$4*0.15,0)+IF(AND(Personnel!$E$5&gt;=2,Personnel!$E$5=1,Personnel!$G$5="Yes"),Personnel!$C$5*0.15,0)+IF(AND(Personnel!$E$6&gt;=2,Personnel!$E$6=1,Personnel!$G$6="Yes"),Personnel!$C$6*0.15,0)+IF(AND(Personnel!$E$7&gt;=2,Personnel!$E$7=1,Personnel!$G$7="Yes"),Personnel!$C$7*0.15,0)+IF(AND(Personnel!$E$8&gt;=2,Personnel!$E$8=1,Personnel!$G$8="Yes"),Personnel!$C$8*0.15,0)+IF(AND(Personnel!$E$9&gt;=2,Personnel!$E$9=1,Personnel!$G$9="Yes"),Personnel!$C$9*0.15,0)+IF(AND(Personnel!$E$10&gt;=2,Personnel!$E$10=1,Personnel!$G$10="Yes"),Personnel!$C$10*0.15,0)+IF(AND(Personnel!$E$11&gt;=2,Personnel!$E$11=1,Personnel!$G$11="Yes"),Personnel!$C$11*0.15,0)+IF(AND(Personnel!$E$12&gt;=2,Personnel!$E$12=1,Personnel!$G$12="Yes"),Personnel!$C$12*0.15,0)+IF(AND(Personnel!$E$13&gt;=2,Personnel!$E$13=1,Personnel!$G$13="Yes"),Personnel!$C$13*0.15,0)+IF(AND(Personnel!$E$14&gt;=2,Personnel!$E$14=1,Personnel!$G$14="Yes"),Personnel!$C$14*0.15,0)+IF(AND(Personnel!$E$15&gt;=2,Personnel!$E$15=1,Personnel!$G$15="Yes"),Personnel!$C$15*0.15,0)+IF(AND(Personnel!$E$16&gt;=2,Personnel!$E$16=1,Personnel!$G$16="Yes"),Personnel!$C$16*0.15,0)+IF(AND(Personnel!$E$17&gt;=2,Personnel!$E$17=1,Personnel!$G$17="Yes"),Personnel!$C$17*0.15,0)+IF(AND(Personnel!$E$18&gt;=2,Personnel!$E$18=1,Personnel!$G$18="Yes"),Personnel!$C$18*0.15,0)+IF(AND(Personnel!$E$19&gt;=2,Personnel!$E$19=1,Personnel!$G$19="Yes"),Personnel!$C$19*0.15,0)+IF(AND(Personnel!$E$20&gt;=2,Personnel!$E$20=1,Personnel!$G$20="Yes"),Personnel!$C$20*0.15,0)+IF(AND(Personnel!$E$21&gt;=2,Personnel!$E$21=1,Personnel!$G$21="Yes"),Personnel!$C$21*0.15,0)+IF(AND(Personnel!$E$22&gt;=2,Personnel!$E$22=1,Personnel!$G$22="Yes"),Personnel!$C$22*0.15,0)+IF(AND(Personnel!$E$23&gt;=2,Personnel!$E$23=1,Personnel!$G$23="Yes"),Personnel!$C$23*0.15,0)+IF(AND(Personnel!$E$24&gt;=2,Personnel!$E$24=1,Personnel!$G$24="Yes"),Personnel!$C$24*0.15,0)+IF(AND(Personnel!$E$25&gt;=2,Personnel!$E$25=1,Personnel!$G$25="Yes"),Personnel!$C$25*0.15,0)+IF(AND(Personnel!$E$26&gt;=2,Personnel!$E$26=1,Personnel!$G$26="Yes"),Personnel!$C$26*0.15,0)+IF(AND(Personnel!$E$27&gt;=2,Personnel!$E$27=1,Personnel!$G$27="Yes"),Personnel!$C$27*0.15,0)+IF(AND(Personnel!$E$28&gt;=2,Personnel!$E$28=1,Personnel!$G$28="Yes"),Personnel!$C$28*0.15,0)+IF(AND(Personnel!$E$29&gt;=2,Personnel!$E$29=1,Personnel!$G$29="Yes"),Personnel!$C$29*0.15,0)+IF(AND(Personnel!$E$30&gt;=2,Personnel!$E$30=1,Personnel!$G$30="Yes"),Personnel!$C$30*0.15,0)+IF(AND(Personnel!$E$31&gt;=2,Personnel!$E$31=1,Personnel!$G$31="Yes"),Personnel!$C$31*0.15,0)+IF(AND(Personnel!$E$32&gt;=2,Personnel!$E$32=1,Personnel!$G$32="Yes"),Personnel!$C$32*0.15,0)+IF(AND(Personnel!$E$33&gt;=2,Personnel!$E$33=1,Personnel!$G$33="Yes"),Personnel!$C$33*0.15,0)),Actuals!F40)</f>
        <v>-42500</v>
      </c>
      <c r="G43" s="3">
        <f>IF(ISBLANK(Actuals!G40),-(IF(AND(Personnel!$E$2&gt;=2,Personnel!$E$2=2,Personnel!$G$2="Yes"),Personnel!$C$2*0.15,0)+IF(AND(Personnel!$E$3&gt;=2,Personnel!$E$3=2,Personnel!$G$3="Yes"),Personnel!$C$3*0.15,0)+IF(AND(Personnel!$E$4&gt;=2,Personnel!$E$4=2,Personnel!$G$4="Yes"),Personnel!$C$4*0.15,0)+IF(AND(Personnel!$E$5&gt;=2,Personnel!$E$5=2,Personnel!$G$5="Yes"),Personnel!$C$5*0.15,0)+IF(AND(Personnel!$E$6&gt;=2,Personnel!$E$6=2,Personnel!$G$6="Yes"),Personnel!$C$6*0.15,0)+IF(AND(Personnel!$E$7&gt;=2,Personnel!$E$7=2,Personnel!$G$7="Yes"),Personnel!$C$7*0.15,0)+IF(AND(Personnel!$E$8&gt;=2,Personnel!$E$8=2,Personnel!$G$8="Yes"),Personnel!$C$8*0.15,0)+IF(AND(Personnel!$E$9&gt;=2,Personnel!$E$9=2,Personnel!$G$9="Yes"),Personnel!$C$9*0.15,0)+IF(AND(Personnel!$E$10&gt;=2,Personnel!$E$10=2,Personnel!$G$10="Yes"),Personnel!$C$10*0.15,0)+IF(AND(Personnel!$E$11&gt;=2,Personnel!$E$11=2,Personnel!$G$11="Yes"),Personnel!$C$11*0.15,0)+IF(AND(Personnel!$E$12&gt;=2,Personnel!$E$12=2,Personnel!$G$12="Yes"),Personnel!$C$12*0.15,0)+IF(AND(Personnel!$E$13&gt;=2,Personnel!$E$13=2,Personnel!$G$13="Yes"),Personnel!$C$13*0.15,0)+IF(AND(Personnel!$E$14&gt;=2,Personnel!$E$14=2,Personnel!$G$14="Yes"),Personnel!$C$14*0.15,0)+IF(AND(Personnel!$E$15&gt;=2,Personnel!$E$15=2,Personnel!$G$15="Yes"),Personnel!$C$15*0.15,0)+IF(AND(Personnel!$E$16&gt;=2,Personnel!$E$16=2,Personnel!$G$16="Yes"),Personnel!$C$16*0.15,0)+IF(AND(Personnel!$E$17&gt;=2,Personnel!$E$17=2,Personnel!$G$17="Yes"),Personnel!$C$17*0.15,0)+IF(AND(Personnel!$E$18&gt;=2,Personnel!$E$18=2,Personnel!$G$18="Yes"),Personnel!$C$18*0.15,0)+IF(AND(Personnel!$E$19&gt;=2,Personnel!$E$19=2,Personnel!$G$19="Yes"),Personnel!$C$19*0.15,0)+IF(AND(Personnel!$E$20&gt;=2,Personnel!$E$20=2,Personnel!$G$20="Yes"),Personnel!$C$20*0.15,0)+IF(AND(Personnel!$E$21&gt;=2,Personnel!$E$21=2,Personnel!$G$21="Yes"),Personnel!$C$21*0.15,0)+IF(AND(Personnel!$E$22&gt;=2,Personnel!$E$22=2,Personnel!$G$22="Yes"),Personnel!$C$22*0.15,0)+IF(AND(Personnel!$E$23&gt;=2,Personnel!$E$23=2,Personnel!$G$23="Yes"),Personnel!$C$23*0.15,0)+IF(AND(Personnel!$E$24&gt;=2,Personnel!$E$24=2,Personnel!$G$24="Yes"),Personnel!$C$24*0.15,0)+IF(AND(Personnel!$E$25&gt;=2,Personnel!$E$25=2,Personnel!$G$25="Yes"),Personnel!$C$25*0.15,0)+IF(AND(Personnel!$E$26&gt;=2,Personnel!$E$26=2,Personnel!$G$26="Yes"),Personnel!$C$26*0.15,0)+IF(AND(Personnel!$E$27&gt;=2,Personnel!$E$27=2,Personnel!$G$27="Yes"),Personnel!$C$27*0.15,0)+IF(AND(Personnel!$E$28&gt;=2,Personnel!$E$28=2,Personnel!$G$28="Yes"),Personnel!$C$28*0.15,0)+IF(AND(Personnel!$E$29&gt;=2,Personnel!$E$29=2,Personnel!$G$29="Yes"),Personnel!$C$29*0.15,0)+IF(AND(Personnel!$E$30&gt;=2,Personnel!$E$30=2,Personnel!$G$30="Yes"),Personnel!$C$30*0.15,0)+IF(AND(Personnel!$E$31&gt;=2,Personnel!$E$31=2,Personnel!$G$31="Yes"),Personnel!$C$31*0.15,0)+IF(AND(Personnel!$E$32&gt;=2,Personnel!$E$32=2,Personnel!$G$32="Yes"),Personnel!$C$32*0.15,0)+IF(AND(Personnel!$E$33&gt;=2,Personnel!$E$33=2,Personnel!$G$33="Yes"),Personnel!$C$33*0.15,0)),Actuals!G40)</f>
        <v>-44250</v>
      </c>
      <c r="H43" s="3">
        <f>IF(ISBLANK(Actuals!H40),-(IF(AND(Personnel!$E$2&gt;=2,Personnel!$E$2=3,Personnel!$G$2="Yes"),Personnel!$C$2*0.15,0)+IF(AND(Personnel!$E$3&gt;=2,Personnel!$E$3=3,Personnel!$G$3="Yes"),Personnel!$C$3*0.15,0)+IF(AND(Personnel!$E$4&gt;=2,Personnel!$E$4=3,Personnel!$G$4="Yes"),Personnel!$C$4*0.15,0)+IF(AND(Personnel!$E$5&gt;=2,Personnel!$E$5=3,Personnel!$G$5="Yes"),Personnel!$C$5*0.15,0)+IF(AND(Personnel!$E$6&gt;=2,Personnel!$E$6=3,Personnel!$G$6="Yes"),Personnel!$C$6*0.15,0)+IF(AND(Personnel!$E$7&gt;=2,Personnel!$E$7=3,Personnel!$G$7="Yes"),Personnel!$C$7*0.15,0)+IF(AND(Personnel!$E$8&gt;=2,Personnel!$E$8=3,Personnel!$G$8="Yes"),Personnel!$C$8*0.15,0)+IF(AND(Personnel!$E$9&gt;=2,Personnel!$E$9=3,Personnel!$G$9="Yes"),Personnel!$C$9*0.15,0)+IF(AND(Personnel!$E$10&gt;=2,Personnel!$E$10=3,Personnel!$G$10="Yes"),Personnel!$C$10*0.15,0)+IF(AND(Personnel!$E$11&gt;=2,Personnel!$E$11=3,Personnel!$G$11="Yes"),Personnel!$C$11*0.15,0)+IF(AND(Personnel!$E$12&gt;=2,Personnel!$E$12=3,Personnel!$G$12="Yes"),Personnel!$C$12*0.15,0)+IF(AND(Personnel!$E$13&gt;=2,Personnel!$E$13=3,Personnel!$G$13="Yes"),Personnel!$C$13*0.15,0)+IF(AND(Personnel!$E$14&gt;=2,Personnel!$E$14=3,Personnel!$G$14="Yes"),Personnel!$C$14*0.15,0)+IF(AND(Personnel!$E$15&gt;=2,Personnel!$E$15=3,Personnel!$G$15="Yes"),Personnel!$C$15*0.15,0)+IF(AND(Personnel!$E$16&gt;=2,Personnel!$E$16=3,Personnel!$G$16="Yes"),Personnel!$C$16*0.15,0)+IF(AND(Personnel!$E$17&gt;=2,Personnel!$E$17=3,Personnel!$G$17="Yes"),Personnel!$C$17*0.15,0)+IF(AND(Personnel!$E$18&gt;=2,Personnel!$E$18=3,Personnel!$G$18="Yes"),Personnel!$C$18*0.15,0)+IF(AND(Personnel!$E$19&gt;=2,Personnel!$E$19=3,Personnel!$G$19="Yes"),Personnel!$C$19*0.15,0)+IF(AND(Personnel!$E$20&gt;=2,Personnel!$E$20=3,Personnel!$G$20="Yes"),Personnel!$C$20*0.15,0)+IF(AND(Personnel!$E$21&gt;=2,Personnel!$E$21=3,Personnel!$G$21="Yes"),Personnel!$C$21*0.15,0)+IF(AND(Personnel!$E$22&gt;=2,Personnel!$E$22=3,Personnel!$G$22="Yes"),Personnel!$C$22*0.15,0)+IF(AND(Personnel!$E$23&gt;=2,Personnel!$E$23=3,Personnel!$G$23="Yes"),Personnel!$C$23*0.15,0)+IF(AND(Personnel!$E$24&gt;=2,Personnel!$E$24=3,Personnel!$G$24="Yes"),Personnel!$C$24*0.15,0)+IF(AND(Personnel!$E$25&gt;=2,Personnel!$E$25=3,Personnel!$G$25="Yes"),Personnel!$C$25*0.15,0)+IF(AND(Personnel!$E$26&gt;=2,Personnel!$E$26=3,Personnel!$G$26="Yes"),Personnel!$C$26*0.15,0)+IF(AND(Personnel!$E$27&gt;=2,Personnel!$E$27=3,Personnel!$G$27="Yes"),Personnel!$C$27*0.15,0)+IF(AND(Personnel!$E$28&gt;=2,Personnel!$E$28=3,Personnel!$G$28="Yes"),Personnel!$C$28*0.15,0)+IF(AND(Personnel!$E$29&gt;=2,Personnel!$E$29=3,Personnel!$G$29="Yes"),Personnel!$C$29*0.15,0)+IF(AND(Personnel!$E$30&gt;=2,Personnel!$E$30=3,Personnel!$G$30="Yes"),Personnel!$C$30*0.15,0)+IF(AND(Personnel!$E$31&gt;=2,Personnel!$E$31=3,Personnel!$G$31="Yes"),Personnel!$C$31*0.15,0)+IF(AND(Personnel!$E$32&gt;=2,Personnel!$E$32=3,Personnel!$G$32="Yes"),Personnel!$C$32*0.15,0)+IF(AND(Personnel!$E$33&gt;=2,Personnel!$E$33=3,Personnel!$G$33="Yes"),Personnel!$C$33*0.15,0)),Actuals!H40)</f>
        <v>-45000</v>
      </c>
      <c r="I43" s="3">
        <f>IF(ISBLANK(Actuals!I40),-(IF(AND(Personnel!$E$2&gt;=2,Personnel!$E$2=4,Personnel!$G$2="Yes"),Personnel!$C$2*0.15,0)+IF(AND(Personnel!$E$3&gt;=2,Personnel!$E$3=4,Personnel!$G$3="Yes"),Personnel!$C$3*0.15,0)+IF(AND(Personnel!$E$4&gt;=2,Personnel!$E$4=4,Personnel!$G$4="Yes"),Personnel!$C$4*0.15,0)+IF(AND(Personnel!$E$5&gt;=2,Personnel!$E$5=4,Personnel!$G$5="Yes"),Personnel!$C$5*0.15,0)+IF(AND(Personnel!$E$6&gt;=2,Personnel!$E$6=4,Personnel!$G$6="Yes"),Personnel!$C$6*0.15,0)+IF(AND(Personnel!$E$7&gt;=2,Personnel!$E$7=4,Personnel!$G$7="Yes"),Personnel!$C$7*0.15,0)+IF(AND(Personnel!$E$8&gt;=2,Personnel!$E$8=4,Personnel!$G$8="Yes"),Personnel!$C$8*0.15,0)+IF(AND(Personnel!$E$9&gt;=2,Personnel!$E$9=4,Personnel!$G$9="Yes"),Personnel!$C$9*0.15,0)+IF(AND(Personnel!$E$10&gt;=2,Personnel!$E$10=4,Personnel!$G$10="Yes"),Personnel!$C$10*0.15,0)+IF(AND(Personnel!$E$11&gt;=2,Personnel!$E$11=4,Personnel!$G$11="Yes"),Personnel!$C$11*0.15,0)+IF(AND(Personnel!$E$12&gt;=2,Personnel!$E$12=4,Personnel!$G$12="Yes"),Personnel!$C$12*0.15,0)+IF(AND(Personnel!$E$13&gt;=2,Personnel!$E$13=4,Personnel!$G$13="Yes"),Personnel!$C$13*0.15,0)+IF(AND(Personnel!$E$14&gt;=2,Personnel!$E$14=4,Personnel!$G$14="Yes"),Personnel!$C$14*0.15,0)+IF(AND(Personnel!$E$15&gt;=2,Personnel!$E$15=4,Personnel!$G$15="Yes"),Personnel!$C$15*0.15,0)+IF(AND(Personnel!$E$16&gt;=2,Personnel!$E$16=4,Personnel!$G$16="Yes"),Personnel!$C$16*0.15,0)+IF(AND(Personnel!$E$17&gt;=2,Personnel!$E$17=4,Personnel!$G$17="Yes"),Personnel!$C$17*0.15,0)+IF(AND(Personnel!$E$18&gt;=2,Personnel!$E$18=4,Personnel!$G$18="Yes"),Personnel!$C$18*0.15,0)+IF(AND(Personnel!$E$19&gt;=2,Personnel!$E$19=4,Personnel!$G$19="Yes"),Personnel!$C$19*0.15,0)+IF(AND(Personnel!$E$20&gt;=2,Personnel!$E$20=4,Personnel!$G$20="Yes"),Personnel!$C$20*0.15,0)+IF(AND(Personnel!$E$21&gt;=2,Personnel!$E$21=4,Personnel!$G$21="Yes"),Personnel!$C$21*0.15,0)+IF(AND(Personnel!$E$22&gt;=2,Personnel!$E$22=4,Personnel!$G$22="Yes"),Personnel!$C$22*0.15,0)+IF(AND(Personnel!$E$23&gt;=2,Personnel!$E$23=4,Personnel!$G$23="Yes"),Personnel!$C$23*0.15,0)+IF(AND(Personnel!$E$24&gt;=2,Personnel!$E$24=4,Personnel!$G$24="Yes"),Personnel!$C$24*0.15,0)+IF(AND(Personnel!$E$25&gt;=2,Personnel!$E$25=4,Personnel!$G$25="Yes"),Personnel!$C$25*0.15,0)+IF(AND(Personnel!$E$26&gt;=2,Personnel!$E$26=4,Personnel!$G$26="Yes"),Personnel!$C$26*0.15,0)+IF(AND(Personnel!$E$27&gt;=2,Personnel!$E$27=4,Personnel!$G$27="Yes"),Personnel!$C$27*0.15,0)+IF(AND(Personnel!$E$28&gt;=2,Personnel!$E$28=4,Personnel!$G$28="Yes"),Personnel!$C$28*0.15,0)+IF(AND(Personnel!$E$29&gt;=2,Personnel!$E$29=4,Personnel!$G$29="Yes"),Personnel!$C$29*0.15,0)+IF(AND(Personnel!$E$30&gt;=2,Personnel!$E$30=4,Personnel!$G$30="Yes"),Personnel!$C$30*0.15,0)+IF(AND(Personnel!$E$31&gt;=2,Personnel!$E$31=4,Personnel!$G$31="Yes"),Personnel!$C$31*0.15,0)+IF(AND(Personnel!$E$32&gt;=2,Personnel!$E$32=4,Personnel!$G$32="Yes"),Personnel!$C$32*0.15,0)+IF(AND(Personnel!$E$33&gt;=2,Personnel!$E$33=4,Personnel!$G$33="Yes"),Personnel!$C$33*0.15,0)),Actuals!I40)</f>
        <v>-19500</v>
      </c>
      <c r="J43" s="3">
        <f>IF(ISBLANK(Actuals!J40),-(IF(AND(Personnel!$E$2&gt;=2,Personnel!$E$2=5,Personnel!$G$2="Yes"),Personnel!$C$2*0.15,0)+IF(AND(Personnel!$E$3&gt;=2,Personnel!$E$3=5,Personnel!$G$3="Yes"),Personnel!$C$3*0.15,0)+IF(AND(Personnel!$E$4&gt;=2,Personnel!$E$4=5,Personnel!$G$4="Yes"),Personnel!$C$4*0.15,0)+IF(AND(Personnel!$E$5&gt;=2,Personnel!$E$5=5,Personnel!$G$5="Yes"),Personnel!$C$5*0.15,0)+IF(AND(Personnel!$E$6&gt;=2,Personnel!$E$6=5,Personnel!$G$6="Yes"),Personnel!$C$6*0.15,0)+IF(AND(Personnel!$E$7&gt;=2,Personnel!$E$7=5,Personnel!$G$7="Yes"),Personnel!$C$7*0.15,0)+IF(AND(Personnel!$E$8&gt;=2,Personnel!$E$8=5,Personnel!$G$8="Yes"),Personnel!$C$8*0.15,0)+IF(AND(Personnel!$E$9&gt;=2,Personnel!$E$9=5,Personnel!$G$9="Yes"),Personnel!$C$9*0.15,0)+IF(AND(Personnel!$E$10&gt;=2,Personnel!$E$10=5,Personnel!$G$10="Yes"),Personnel!$C$10*0.15,0)+IF(AND(Personnel!$E$11&gt;=2,Personnel!$E$11=5,Personnel!$G$11="Yes"),Personnel!$C$11*0.15,0)+IF(AND(Personnel!$E$12&gt;=2,Personnel!$E$12=5,Personnel!$G$12="Yes"),Personnel!$C$12*0.15,0)+IF(AND(Personnel!$E$13&gt;=2,Personnel!$E$13=5,Personnel!$G$13="Yes"),Personnel!$C$13*0.15,0)+IF(AND(Personnel!$E$14&gt;=2,Personnel!$E$14=5,Personnel!$G$14="Yes"),Personnel!$C$14*0.15,0)+IF(AND(Personnel!$E$15&gt;=2,Personnel!$E$15=5,Personnel!$G$15="Yes"),Personnel!$C$15*0.15,0)+IF(AND(Personnel!$E$16&gt;=2,Personnel!$E$16=5,Personnel!$G$16="Yes"),Personnel!$C$16*0.15,0)+IF(AND(Personnel!$E$17&gt;=2,Personnel!$E$17=5,Personnel!$G$17="Yes"),Personnel!$C$17*0.15,0)+IF(AND(Personnel!$E$18&gt;=2,Personnel!$E$18=5,Personnel!$G$18="Yes"),Personnel!$C$18*0.15,0)+IF(AND(Personnel!$E$19&gt;=2,Personnel!$E$19=5,Personnel!$G$19="Yes"),Personnel!$C$19*0.15,0)+IF(AND(Personnel!$E$20&gt;=2,Personnel!$E$20=5,Personnel!$G$20="Yes"),Personnel!$C$20*0.15,0)+IF(AND(Personnel!$E$21&gt;=2,Personnel!$E$21=5,Personnel!$G$21="Yes"),Personnel!$C$21*0.15,0)+IF(AND(Personnel!$E$22&gt;=2,Personnel!$E$22=5,Personnel!$G$22="Yes"),Personnel!$C$22*0.15,0)+IF(AND(Personnel!$E$23&gt;=2,Personnel!$E$23=5,Personnel!$G$23="Yes"),Personnel!$C$23*0.15,0)+IF(AND(Personnel!$E$24&gt;=2,Personnel!$E$24=5,Personnel!$G$24="Yes"),Personnel!$C$24*0.15,0)+IF(AND(Personnel!$E$25&gt;=2,Personnel!$E$25=5,Personnel!$G$25="Yes"),Personnel!$C$25*0.15,0)+IF(AND(Personnel!$E$26&gt;=2,Personnel!$E$26=5,Personnel!$G$26="Yes"),Personnel!$C$26*0.15,0)+IF(AND(Personnel!$E$27&gt;=2,Personnel!$E$27=5,Personnel!$G$27="Yes"),Personnel!$C$27*0.15,0)+IF(AND(Personnel!$E$28&gt;=2,Personnel!$E$28=5,Personnel!$G$28="Yes"),Personnel!$C$28*0.15,0)+IF(AND(Personnel!$E$29&gt;=2,Personnel!$E$29=5,Personnel!$G$29="Yes"),Personnel!$C$29*0.15,0)+IF(AND(Personnel!$E$30&gt;=2,Personnel!$E$30=5,Personnel!$G$30="Yes"),Personnel!$C$30*0.15,0)+IF(AND(Personnel!$E$31&gt;=2,Personnel!$E$31=5,Personnel!$G$31="Yes"),Personnel!$C$31*0.15,0)+IF(AND(Personnel!$E$32&gt;=2,Personnel!$E$32=5,Personnel!$G$32="Yes"),Personnel!$C$32*0.15,0)+IF(AND(Personnel!$E$33&gt;=2,Personnel!$E$33=5,Personnel!$G$33="Yes"),Personnel!$C$33*0.15,0)),Actuals!J40)</f>
        <v>0</v>
      </c>
      <c r="K43" s="3">
        <f>IF(ISBLANK(Actuals!K40),-(IF(AND(Personnel!$E$2&gt;=2,Personnel!$E$2=6,Personnel!$G$2="Yes"),Personnel!$C$2*0.15,0)+IF(AND(Personnel!$E$3&gt;=2,Personnel!$E$3=6,Personnel!$G$3="Yes"),Personnel!$C$3*0.15,0)+IF(AND(Personnel!$E$4&gt;=2,Personnel!$E$4=6,Personnel!$G$4="Yes"),Personnel!$C$4*0.15,0)+IF(AND(Personnel!$E$5&gt;=2,Personnel!$E$5=6,Personnel!$G$5="Yes"),Personnel!$C$5*0.15,0)+IF(AND(Personnel!$E$6&gt;=2,Personnel!$E$6=6,Personnel!$G$6="Yes"),Personnel!$C$6*0.15,0)+IF(AND(Personnel!$E$7&gt;=2,Personnel!$E$7=6,Personnel!$G$7="Yes"),Personnel!$C$7*0.15,0)+IF(AND(Personnel!$E$8&gt;=2,Personnel!$E$8=6,Personnel!$G$8="Yes"),Personnel!$C$8*0.15,0)+IF(AND(Personnel!$E$9&gt;=2,Personnel!$E$9=6,Personnel!$G$9="Yes"),Personnel!$C$9*0.15,0)+IF(AND(Personnel!$E$10&gt;=2,Personnel!$E$10=6,Personnel!$G$10="Yes"),Personnel!$C$10*0.15,0)+IF(AND(Personnel!$E$11&gt;=2,Personnel!$E$11=6,Personnel!$G$11="Yes"),Personnel!$C$11*0.15,0)+IF(AND(Personnel!$E$12&gt;=2,Personnel!$E$12=6,Personnel!$G$12="Yes"),Personnel!$C$12*0.15,0)+IF(AND(Personnel!$E$13&gt;=2,Personnel!$E$13=6,Personnel!$G$13="Yes"),Personnel!$C$13*0.15,0)+IF(AND(Personnel!$E$14&gt;=2,Personnel!$E$14=6,Personnel!$G$14="Yes"),Personnel!$C$14*0.15,0)+IF(AND(Personnel!$E$15&gt;=2,Personnel!$E$15=6,Personnel!$G$15="Yes"),Personnel!$C$15*0.15,0)+IF(AND(Personnel!$E$16&gt;=2,Personnel!$E$16=6,Personnel!$G$16="Yes"),Personnel!$C$16*0.15,0)+IF(AND(Personnel!$E$17&gt;=2,Personnel!$E$17=6,Personnel!$G$17="Yes"),Personnel!$C$17*0.15,0)+IF(AND(Personnel!$E$18&gt;=2,Personnel!$E$18=6,Personnel!$G$18="Yes"),Personnel!$C$18*0.15,0)+IF(AND(Personnel!$E$19&gt;=2,Personnel!$E$19=6,Personnel!$G$19="Yes"),Personnel!$C$19*0.15,0)+IF(AND(Personnel!$E$20&gt;=2,Personnel!$E$20=6,Personnel!$G$20="Yes"),Personnel!$C$20*0.15,0)+IF(AND(Personnel!$E$21&gt;=2,Personnel!$E$21=6,Personnel!$G$21="Yes"),Personnel!$C$21*0.15,0)+IF(AND(Personnel!$E$22&gt;=2,Personnel!$E$22=6,Personnel!$G$22="Yes"),Personnel!$C$22*0.15,0)+IF(AND(Personnel!$E$23&gt;=2,Personnel!$E$23=6,Personnel!$G$23="Yes"),Personnel!$C$23*0.15,0)+IF(AND(Personnel!$E$24&gt;=2,Personnel!$E$24=6,Personnel!$G$24="Yes"),Personnel!$C$24*0.15,0)+IF(AND(Personnel!$E$25&gt;=2,Personnel!$E$25=6,Personnel!$G$25="Yes"),Personnel!$C$25*0.15,0)+IF(AND(Personnel!$E$26&gt;=2,Personnel!$E$26=6,Personnel!$G$26="Yes"),Personnel!$C$26*0.15,0)+IF(AND(Personnel!$E$27&gt;=2,Personnel!$E$27=6,Personnel!$G$27="Yes"),Personnel!$C$27*0.15,0)+IF(AND(Personnel!$E$28&gt;=2,Personnel!$E$28=6,Personnel!$G$28="Yes"),Personnel!$C$28*0.15,0)+IF(AND(Personnel!$E$29&gt;=2,Personnel!$E$29=6,Personnel!$G$29="Yes"),Personnel!$C$29*0.15,0)+IF(AND(Personnel!$E$30&gt;=2,Personnel!$E$30=6,Personnel!$G$30="Yes"),Personnel!$C$30*0.15,0)+IF(AND(Personnel!$E$31&gt;=2,Personnel!$E$31=6,Personnel!$G$31="Yes"),Personnel!$C$31*0.15,0)+IF(AND(Personnel!$E$32&gt;=2,Personnel!$E$32=6,Personnel!$G$32="Yes"),Personnel!$C$32*0.15,0)+IF(AND(Personnel!$E$33&gt;=2,Personnel!$E$33=6,Personnel!$G$33="Yes"),Personnel!$C$33*0.15,0)),Actuals!K40)</f>
        <v>0</v>
      </c>
      <c r="L43" s="3">
        <f>IF(ISBLANK(Actuals!L40),-(IF(AND(Personnel!$E$2&gt;=2,Personnel!$E$2=7,Personnel!$G$2="Yes"),Personnel!$C$2*0.15,0)+IF(AND(Personnel!$E$3&gt;=2,Personnel!$E$3=7,Personnel!$G$3="Yes"),Personnel!$C$3*0.15,0)+IF(AND(Personnel!$E$4&gt;=2,Personnel!$E$4=7,Personnel!$G$4="Yes"),Personnel!$C$4*0.15,0)+IF(AND(Personnel!$E$5&gt;=2,Personnel!$E$5=7,Personnel!$G$5="Yes"),Personnel!$C$5*0.15,0)+IF(AND(Personnel!$E$6&gt;=2,Personnel!$E$6=7,Personnel!$G$6="Yes"),Personnel!$C$6*0.15,0)+IF(AND(Personnel!$E$7&gt;=2,Personnel!$E$7=7,Personnel!$G$7="Yes"),Personnel!$C$7*0.15,0)+IF(AND(Personnel!$E$8&gt;=2,Personnel!$E$8=7,Personnel!$G$8="Yes"),Personnel!$C$8*0.15,0)+IF(AND(Personnel!$E$9&gt;=2,Personnel!$E$9=7,Personnel!$G$9="Yes"),Personnel!$C$9*0.15,0)+IF(AND(Personnel!$E$10&gt;=2,Personnel!$E$10=7,Personnel!$G$10="Yes"),Personnel!$C$10*0.15,0)+IF(AND(Personnel!$E$11&gt;=2,Personnel!$E$11=7,Personnel!$G$11="Yes"),Personnel!$C$11*0.15,0)+IF(AND(Personnel!$E$12&gt;=2,Personnel!$E$12=7,Personnel!$G$12="Yes"),Personnel!$C$12*0.15,0)+IF(AND(Personnel!$E$13&gt;=2,Personnel!$E$13=7,Personnel!$G$13="Yes"),Personnel!$C$13*0.15,0)+IF(AND(Personnel!$E$14&gt;=2,Personnel!$E$14=7,Personnel!$G$14="Yes"),Personnel!$C$14*0.15,0)+IF(AND(Personnel!$E$15&gt;=2,Personnel!$E$15=7,Personnel!$G$15="Yes"),Personnel!$C$15*0.15,0)+IF(AND(Personnel!$E$16&gt;=2,Personnel!$E$16=7,Personnel!$G$16="Yes"),Personnel!$C$16*0.15,0)+IF(AND(Personnel!$E$17&gt;=2,Personnel!$E$17=7,Personnel!$G$17="Yes"),Personnel!$C$17*0.15,0)+IF(AND(Personnel!$E$18&gt;=2,Personnel!$E$18=7,Personnel!$G$18="Yes"),Personnel!$C$18*0.15,0)+IF(AND(Personnel!$E$19&gt;=2,Personnel!$E$19=7,Personnel!$G$19="Yes"),Personnel!$C$19*0.15,0)+IF(AND(Personnel!$E$20&gt;=2,Personnel!$E$20=7,Personnel!$G$20="Yes"),Personnel!$C$20*0.15,0)+IF(AND(Personnel!$E$21&gt;=2,Personnel!$E$21=7,Personnel!$G$21="Yes"),Personnel!$C$21*0.15,0)+IF(AND(Personnel!$E$22&gt;=2,Personnel!$E$22=7,Personnel!$G$22="Yes"),Personnel!$C$22*0.15,0)+IF(AND(Personnel!$E$23&gt;=2,Personnel!$E$23=7,Personnel!$G$23="Yes"),Personnel!$C$23*0.15,0)+IF(AND(Personnel!$E$24&gt;=2,Personnel!$E$24=7,Personnel!$G$24="Yes"),Personnel!$C$24*0.15,0)+IF(AND(Personnel!$E$25&gt;=2,Personnel!$E$25=7,Personnel!$G$25="Yes"),Personnel!$C$25*0.15,0)+IF(AND(Personnel!$E$26&gt;=2,Personnel!$E$26=7,Personnel!$G$26="Yes"),Personnel!$C$26*0.15,0)+IF(AND(Personnel!$E$27&gt;=2,Personnel!$E$27=7,Personnel!$G$27="Yes"),Personnel!$C$27*0.15,0)+IF(AND(Personnel!$E$28&gt;=2,Personnel!$E$28=7,Personnel!$G$28="Yes"),Personnel!$C$28*0.15,0)+IF(AND(Personnel!$E$29&gt;=2,Personnel!$E$29=7,Personnel!$G$29="Yes"),Personnel!$C$29*0.15,0)+IF(AND(Personnel!$E$30&gt;=2,Personnel!$E$30=7,Personnel!$G$30="Yes"),Personnel!$C$30*0.15,0)+IF(AND(Personnel!$E$31&gt;=2,Personnel!$E$31=7,Personnel!$G$31="Yes"),Personnel!$C$31*0.15,0)+IF(AND(Personnel!$E$32&gt;=2,Personnel!$E$32=7,Personnel!$G$32="Yes"),Personnel!$C$32*0.15,0)+IF(AND(Personnel!$E$33&gt;=2,Personnel!$E$33=7,Personnel!$G$33="Yes"),Personnel!$C$33*0.15,0)),Actuals!L40)</f>
        <v>-37500</v>
      </c>
      <c r="M43" s="3">
        <f>IF(ISBLANK(Actuals!M40),-(IF(AND(Personnel!$E$2&gt;=2,Personnel!$E$2=8,Personnel!$G$2="Yes"),Personnel!$C$2*0.15,0)+IF(AND(Personnel!$E$3&gt;=2,Personnel!$E$3=8,Personnel!$G$3="Yes"),Personnel!$C$3*0.15,0)+IF(AND(Personnel!$E$4&gt;=2,Personnel!$E$4=8,Personnel!$G$4="Yes"),Personnel!$C$4*0.15,0)+IF(AND(Personnel!$E$5&gt;=2,Personnel!$E$5=8,Personnel!$G$5="Yes"),Personnel!$C$5*0.15,0)+IF(AND(Personnel!$E$6&gt;=2,Personnel!$E$6=8,Personnel!$G$6="Yes"),Personnel!$C$6*0.15,0)+IF(AND(Personnel!$E$7&gt;=2,Personnel!$E$7=8,Personnel!$G$7="Yes"),Personnel!$C$7*0.15,0)+IF(AND(Personnel!$E$8&gt;=2,Personnel!$E$8=8,Personnel!$G$8="Yes"),Personnel!$C$8*0.15,0)+IF(AND(Personnel!$E$9&gt;=2,Personnel!$E$9=8,Personnel!$G$9="Yes"),Personnel!$C$9*0.15,0)+IF(AND(Personnel!$E$10&gt;=2,Personnel!$E$10=8,Personnel!$G$10="Yes"),Personnel!$C$10*0.15,0)+IF(AND(Personnel!$E$11&gt;=2,Personnel!$E$11=8,Personnel!$G$11="Yes"),Personnel!$C$11*0.15,0)+IF(AND(Personnel!$E$12&gt;=2,Personnel!$E$12=8,Personnel!$G$12="Yes"),Personnel!$C$12*0.15,0)+IF(AND(Personnel!$E$13&gt;=2,Personnel!$E$13=8,Personnel!$G$13="Yes"),Personnel!$C$13*0.15,0)+IF(AND(Personnel!$E$14&gt;=2,Personnel!$E$14=8,Personnel!$G$14="Yes"),Personnel!$C$14*0.15,0)+IF(AND(Personnel!$E$15&gt;=2,Personnel!$E$15=8,Personnel!$G$15="Yes"),Personnel!$C$15*0.15,0)+IF(AND(Personnel!$E$16&gt;=2,Personnel!$E$16=8,Personnel!$G$16="Yes"),Personnel!$C$16*0.15,0)+IF(AND(Personnel!$E$17&gt;=2,Personnel!$E$17=8,Personnel!$G$17="Yes"),Personnel!$C$17*0.15,0)+IF(AND(Personnel!$E$18&gt;=2,Personnel!$E$18=8,Personnel!$G$18="Yes"),Personnel!$C$18*0.15,0)+IF(AND(Personnel!$E$19&gt;=2,Personnel!$E$19=8,Personnel!$G$19="Yes"),Personnel!$C$19*0.15,0)+IF(AND(Personnel!$E$20&gt;=2,Personnel!$E$20=8,Personnel!$G$20="Yes"),Personnel!$C$20*0.15,0)+IF(AND(Personnel!$E$21&gt;=2,Personnel!$E$21=8,Personnel!$G$21="Yes"),Personnel!$C$21*0.15,0)+IF(AND(Personnel!$E$22&gt;=2,Personnel!$E$22=8,Personnel!$G$22="Yes"),Personnel!$C$22*0.15,0)+IF(AND(Personnel!$E$23&gt;=2,Personnel!$E$23=8,Personnel!$G$23="Yes"),Personnel!$C$23*0.15,0)+IF(AND(Personnel!$E$24&gt;=2,Personnel!$E$24=8,Personnel!$G$24="Yes"),Personnel!$C$24*0.15,0)+IF(AND(Personnel!$E$25&gt;=2,Personnel!$E$25=8,Personnel!$G$25="Yes"),Personnel!$C$25*0.15,0)+IF(AND(Personnel!$E$26&gt;=2,Personnel!$E$26=8,Personnel!$G$26="Yes"),Personnel!$C$26*0.15,0)+IF(AND(Personnel!$E$27&gt;=2,Personnel!$E$27=8,Personnel!$G$27="Yes"),Personnel!$C$27*0.15,0)+IF(AND(Personnel!$E$28&gt;=2,Personnel!$E$28=8,Personnel!$G$28="Yes"),Personnel!$C$28*0.15,0)+IF(AND(Personnel!$E$29&gt;=2,Personnel!$E$29=8,Personnel!$G$29="Yes"),Personnel!$C$29*0.15,0)+IF(AND(Personnel!$E$30&gt;=2,Personnel!$E$30=8,Personnel!$G$30="Yes"),Personnel!$C$30*0.15,0)+IF(AND(Personnel!$E$31&gt;=2,Personnel!$E$31=8,Personnel!$G$31="Yes"),Personnel!$C$31*0.15,0)+IF(AND(Personnel!$E$32&gt;=2,Personnel!$E$32=8,Personnel!$G$32="Yes"),Personnel!$C$32*0.15,0)+IF(AND(Personnel!$E$33&gt;=2,Personnel!$E$33=8,Personnel!$G$33="Yes"),Personnel!$C$33*0.15,0)),Actuals!M40)</f>
        <v>-54000</v>
      </c>
      <c r="N43" s="3">
        <f>IF(ISBLANK(Actuals!N40),-(IF(AND(Personnel!$E$2&gt;=2,Personnel!$E$2=9,Personnel!$G$2="Yes"),Personnel!$C$2*0.15,0)+IF(AND(Personnel!$E$3&gt;=2,Personnel!$E$3=9,Personnel!$G$3="Yes"),Personnel!$C$3*0.15,0)+IF(AND(Personnel!$E$4&gt;=2,Personnel!$E$4=9,Personnel!$G$4="Yes"),Personnel!$C$4*0.15,0)+IF(AND(Personnel!$E$5&gt;=2,Personnel!$E$5=9,Personnel!$G$5="Yes"),Personnel!$C$5*0.15,0)+IF(AND(Personnel!$E$6&gt;=2,Personnel!$E$6=9,Personnel!$G$6="Yes"),Personnel!$C$6*0.15,0)+IF(AND(Personnel!$E$7&gt;=2,Personnel!$E$7=9,Personnel!$G$7="Yes"),Personnel!$C$7*0.15,0)+IF(AND(Personnel!$E$8&gt;=2,Personnel!$E$8=9,Personnel!$G$8="Yes"),Personnel!$C$8*0.15,0)+IF(AND(Personnel!$E$9&gt;=2,Personnel!$E$9=9,Personnel!$G$9="Yes"),Personnel!$C$9*0.15,0)+IF(AND(Personnel!$E$10&gt;=2,Personnel!$E$10=9,Personnel!$G$10="Yes"),Personnel!$C$10*0.15,0)+IF(AND(Personnel!$E$11&gt;=2,Personnel!$E$11=9,Personnel!$G$11="Yes"),Personnel!$C$11*0.15,0)+IF(AND(Personnel!$E$12&gt;=2,Personnel!$E$12=9,Personnel!$G$12="Yes"),Personnel!$C$12*0.15,0)+IF(AND(Personnel!$E$13&gt;=2,Personnel!$E$13=9,Personnel!$G$13="Yes"),Personnel!$C$13*0.15,0)+IF(AND(Personnel!$E$14&gt;=2,Personnel!$E$14=9,Personnel!$G$14="Yes"),Personnel!$C$14*0.15,0)+IF(AND(Personnel!$E$15&gt;=2,Personnel!$E$15=9,Personnel!$G$15="Yes"),Personnel!$C$15*0.15,0)+IF(AND(Personnel!$E$16&gt;=2,Personnel!$E$16=9,Personnel!$G$16="Yes"),Personnel!$C$16*0.15,0)+IF(AND(Personnel!$E$17&gt;=2,Personnel!$E$17=9,Personnel!$G$17="Yes"),Personnel!$C$17*0.15,0)+IF(AND(Personnel!$E$18&gt;=2,Personnel!$E$18=9,Personnel!$G$18="Yes"),Personnel!$C$18*0.15,0)+IF(AND(Personnel!$E$19&gt;=2,Personnel!$E$19=9,Personnel!$G$19="Yes"),Personnel!$C$19*0.15,0)+IF(AND(Personnel!$E$20&gt;=2,Personnel!$E$20=9,Personnel!$G$20="Yes"),Personnel!$C$20*0.15,0)+IF(AND(Personnel!$E$21&gt;=2,Personnel!$E$21=9,Personnel!$G$21="Yes"),Personnel!$C$21*0.15,0)+IF(AND(Personnel!$E$22&gt;=2,Personnel!$E$22=9,Personnel!$G$22="Yes"),Personnel!$C$22*0.15,0)+IF(AND(Personnel!$E$23&gt;=2,Personnel!$E$23=9,Personnel!$G$23="Yes"),Personnel!$C$23*0.15,0)+IF(AND(Personnel!$E$24&gt;=2,Personnel!$E$24=9,Personnel!$G$24="Yes"),Personnel!$C$24*0.15,0)+IF(AND(Personnel!$E$25&gt;=2,Personnel!$E$25=9,Personnel!$G$25="Yes"),Personnel!$C$25*0.15,0)+IF(AND(Personnel!$E$26&gt;=2,Personnel!$E$26=9,Personnel!$G$26="Yes"),Personnel!$C$26*0.15,0)+IF(AND(Personnel!$E$27&gt;=2,Personnel!$E$27=9,Personnel!$G$27="Yes"),Personnel!$C$27*0.15,0)+IF(AND(Personnel!$E$28&gt;=2,Personnel!$E$28=9,Personnel!$G$28="Yes"),Personnel!$C$28*0.15,0)+IF(AND(Personnel!$E$29&gt;=2,Personnel!$E$29=9,Personnel!$G$29="Yes"),Personnel!$C$29*0.15,0)+IF(AND(Personnel!$E$30&gt;=2,Personnel!$E$30=9,Personnel!$G$30="Yes"),Personnel!$C$30*0.15,0)+IF(AND(Personnel!$E$31&gt;=2,Personnel!$E$31=9,Personnel!$G$31="Yes"),Personnel!$C$31*0.15,0)+IF(AND(Personnel!$E$32&gt;=2,Personnel!$E$32=9,Personnel!$G$32="Yes"),Personnel!$C$32*0.15,0)+IF(AND(Personnel!$E$33&gt;=2,Personnel!$E$33=9,Personnel!$G$33="Yes"),Personnel!$C$33*0.15,0)),Actuals!N40)</f>
        <v>0</v>
      </c>
      <c r="O43" s="3">
        <f>IF(ISBLANK(Actuals!O40),-(IF(AND(Personnel!$E$2&gt;=2,Personnel!$E$2=10,Personnel!$G$2="Yes"),Personnel!$C$2*0.15,0)+IF(AND(Personnel!$E$3&gt;=2,Personnel!$E$3=10,Personnel!$G$3="Yes"),Personnel!$C$3*0.15,0)+IF(AND(Personnel!$E$4&gt;=2,Personnel!$E$4=10,Personnel!$G$4="Yes"),Personnel!$C$4*0.15,0)+IF(AND(Personnel!$E$5&gt;=2,Personnel!$E$5=10,Personnel!$G$5="Yes"),Personnel!$C$5*0.15,0)+IF(AND(Personnel!$E$6&gt;=2,Personnel!$E$6=10,Personnel!$G$6="Yes"),Personnel!$C$6*0.15,0)+IF(AND(Personnel!$E$7&gt;=2,Personnel!$E$7=10,Personnel!$G$7="Yes"),Personnel!$C$7*0.15,0)+IF(AND(Personnel!$E$8&gt;=2,Personnel!$E$8=10,Personnel!$G$8="Yes"),Personnel!$C$8*0.15,0)+IF(AND(Personnel!$E$9&gt;=2,Personnel!$E$9=10,Personnel!$G$9="Yes"),Personnel!$C$9*0.15,0)+IF(AND(Personnel!$E$10&gt;=2,Personnel!$E$10=10,Personnel!$G$10="Yes"),Personnel!$C$10*0.15,0)+IF(AND(Personnel!$E$11&gt;=2,Personnel!$E$11=10,Personnel!$G$11="Yes"),Personnel!$C$11*0.15,0)+IF(AND(Personnel!$E$12&gt;=2,Personnel!$E$12=10,Personnel!$G$12="Yes"),Personnel!$C$12*0.15,0)+IF(AND(Personnel!$E$13&gt;=2,Personnel!$E$13=10,Personnel!$G$13="Yes"),Personnel!$C$13*0.15,0)+IF(AND(Personnel!$E$14&gt;=2,Personnel!$E$14=10,Personnel!$G$14="Yes"),Personnel!$C$14*0.15,0)+IF(AND(Personnel!$E$15&gt;=2,Personnel!$E$15=10,Personnel!$G$15="Yes"),Personnel!$C$15*0.15,0)+IF(AND(Personnel!$E$16&gt;=2,Personnel!$E$16=10,Personnel!$G$16="Yes"),Personnel!$C$16*0.15,0)+IF(AND(Personnel!$E$17&gt;=2,Personnel!$E$17=10,Personnel!$G$17="Yes"),Personnel!$C$17*0.15,0)+IF(AND(Personnel!$E$18&gt;=2,Personnel!$E$18=10,Personnel!$G$18="Yes"),Personnel!$C$18*0.15,0)+IF(AND(Personnel!$E$19&gt;=2,Personnel!$E$19=10,Personnel!$G$19="Yes"),Personnel!$C$19*0.15,0)+IF(AND(Personnel!$E$20&gt;=2,Personnel!$E$20=10,Personnel!$G$20="Yes"),Personnel!$C$20*0.15,0)+IF(AND(Personnel!$E$21&gt;=2,Personnel!$E$21=10,Personnel!$G$21="Yes"),Personnel!$C$21*0.15,0)+IF(AND(Personnel!$E$22&gt;=2,Personnel!$E$22=10,Personnel!$G$22="Yes"),Personnel!$C$22*0.15,0)+IF(AND(Personnel!$E$23&gt;=2,Personnel!$E$23=10,Personnel!$G$23="Yes"),Personnel!$C$23*0.15,0)+IF(AND(Personnel!$E$24&gt;=2,Personnel!$E$24=10,Personnel!$G$24="Yes"),Personnel!$C$24*0.15,0)+IF(AND(Personnel!$E$25&gt;=2,Personnel!$E$25=10,Personnel!$G$25="Yes"),Personnel!$C$25*0.15,0)+IF(AND(Personnel!$E$26&gt;=2,Personnel!$E$26=10,Personnel!$G$26="Yes"),Personnel!$C$26*0.15,0)+IF(AND(Personnel!$E$27&gt;=2,Personnel!$E$27=10,Personnel!$G$27="Yes"),Personnel!$C$27*0.15,0)+IF(AND(Personnel!$E$28&gt;=2,Personnel!$E$28=10,Personnel!$G$28="Yes"),Personnel!$C$28*0.15,0)+IF(AND(Personnel!$E$29&gt;=2,Personnel!$E$29=10,Personnel!$G$29="Yes"),Personnel!$C$29*0.15,0)+IF(AND(Personnel!$E$30&gt;=2,Personnel!$E$30=10,Personnel!$G$30="Yes"),Personnel!$C$30*0.15,0)+IF(AND(Personnel!$E$31&gt;=2,Personnel!$E$31=10,Personnel!$G$31="Yes"),Personnel!$C$31*0.15,0)+IF(AND(Personnel!$E$32&gt;=2,Personnel!$E$32=10,Personnel!$G$32="Yes"),Personnel!$C$32*0.15,0)+IF(AND(Personnel!$E$33&gt;=2,Personnel!$E$33=10,Personnel!$G$33="Yes"),Personnel!$C$33*0.15,0)),Actuals!O40)</f>
        <v>0</v>
      </c>
      <c r="P43" s="3">
        <f>IF(ISBLANK(Actuals!P40),-(IF(AND(Personnel!$E$2&gt;=2,Personnel!$E$2=11,Personnel!$G$2="Yes"),Personnel!$C$2*0.15,0)+IF(AND(Personnel!$E$3&gt;=2,Personnel!$E$3=11,Personnel!$G$3="Yes"),Personnel!$C$3*0.15,0)+IF(AND(Personnel!$E$4&gt;=2,Personnel!$E$4=11,Personnel!$G$4="Yes"),Personnel!$C$4*0.15,0)+IF(AND(Personnel!$E$5&gt;=2,Personnel!$E$5=11,Personnel!$G$5="Yes"),Personnel!$C$5*0.15,0)+IF(AND(Personnel!$E$6&gt;=2,Personnel!$E$6=11,Personnel!$G$6="Yes"),Personnel!$C$6*0.15,0)+IF(AND(Personnel!$E$7&gt;=2,Personnel!$E$7=11,Personnel!$G$7="Yes"),Personnel!$C$7*0.15,0)+IF(AND(Personnel!$E$8&gt;=2,Personnel!$E$8=11,Personnel!$G$8="Yes"),Personnel!$C$8*0.15,0)+IF(AND(Personnel!$E$9&gt;=2,Personnel!$E$9=11,Personnel!$G$9="Yes"),Personnel!$C$9*0.15,0)+IF(AND(Personnel!$E$10&gt;=2,Personnel!$E$10=11,Personnel!$G$10="Yes"),Personnel!$C$10*0.15,0)+IF(AND(Personnel!$E$11&gt;=2,Personnel!$E$11=11,Personnel!$G$11="Yes"),Personnel!$C$11*0.15,0)+IF(AND(Personnel!$E$12&gt;=2,Personnel!$E$12=11,Personnel!$G$12="Yes"),Personnel!$C$12*0.15,0)+IF(AND(Personnel!$E$13&gt;=2,Personnel!$E$13=11,Personnel!$G$13="Yes"),Personnel!$C$13*0.15,0)+IF(AND(Personnel!$E$14&gt;=2,Personnel!$E$14=11,Personnel!$G$14="Yes"),Personnel!$C$14*0.15,0)+IF(AND(Personnel!$E$15&gt;=2,Personnel!$E$15=11,Personnel!$G$15="Yes"),Personnel!$C$15*0.15,0)+IF(AND(Personnel!$E$16&gt;=2,Personnel!$E$16=11,Personnel!$G$16="Yes"),Personnel!$C$16*0.15,0)+IF(AND(Personnel!$E$17&gt;=2,Personnel!$E$17=11,Personnel!$G$17="Yes"),Personnel!$C$17*0.15,0)+IF(AND(Personnel!$E$18&gt;=2,Personnel!$E$18=11,Personnel!$G$18="Yes"),Personnel!$C$18*0.15,0)+IF(AND(Personnel!$E$19&gt;=2,Personnel!$E$19=11,Personnel!$G$19="Yes"),Personnel!$C$19*0.15,0)+IF(AND(Personnel!$E$20&gt;=2,Personnel!$E$20=11,Personnel!$G$20="Yes"),Personnel!$C$20*0.15,0)+IF(AND(Personnel!$E$21&gt;=2,Personnel!$E$21=11,Personnel!$G$21="Yes"),Personnel!$C$21*0.15,0)+IF(AND(Personnel!$E$22&gt;=2,Personnel!$E$22=11,Personnel!$G$22="Yes"),Personnel!$C$22*0.15,0)+IF(AND(Personnel!$E$23&gt;=2,Personnel!$E$23=11,Personnel!$G$23="Yes"),Personnel!$C$23*0.15,0)+IF(AND(Personnel!$E$24&gt;=2,Personnel!$E$24=11,Personnel!$G$24="Yes"),Personnel!$C$24*0.15,0)+IF(AND(Personnel!$E$25&gt;=2,Personnel!$E$25=11,Personnel!$G$25="Yes"),Personnel!$C$25*0.15,0)+IF(AND(Personnel!$E$26&gt;=2,Personnel!$E$26=11,Personnel!$G$26="Yes"),Personnel!$C$26*0.15,0)+IF(AND(Personnel!$E$27&gt;=2,Personnel!$E$27=11,Personnel!$G$27="Yes"),Personnel!$C$27*0.15,0)+IF(AND(Personnel!$E$28&gt;=2,Personnel!$E$28=11,Personnel!$G$28="Yes"),Personnel!$C$28*0.15,0)+IF(AND(Personnel!$E$29&gt;=2,Personnel!$E$29=11,Personnel!$G$29="Yes"),Personnel!$C$29*0.15,0)+IF(AND(Personnel!$E$30&gt;=2,Personnel!$E$30=11,Personnel!$G$30="Yes"),Personnel!$C$30*0.15,0)+IF(AND(Personnel!$E$31&gt;=2,Personnel!$E$31=11,Personnel!$G$31="Yes"),Personnel!$C$31*0.15,0)+IF(AND(Personnel!$E$32&gt;=2,Personnel!$E$32=11,Personnel!$G$32="Yes"),Personnel!$C$32*0.15,0)+IF(AND(Personnel!$E$33&gt;=2,Personnel!$E$33=11,Personnel!$G$33="Yes"),Personnel!$C$33*0.15,0)),Actuals!P40)</f>
        <v>0</v>
      </c>
      <c r="Q43" s="3">
        <f>IF(ISBLANK(Actuals!Q40),-(IF(AND(Personnel!$E$2&gt;=2,Personnel!$E$2=12,Personnel!$G$2="Yes"),Personnel!$C$2*0.15,0)+IF(AND(Personnel!$E$3&gt;=2,Personnel!$E$3=12,Personnel!$G$3="Yes"),Personnel!$C$3*0.15,0)+IF(AND(Personnel!$E$4&gt;=2,Personnel!$E$4=12,Personnel!$G$4="Yes"),Personnel!$C$4*0.15,0)+IF(AND(Personnel!$E$5&gt;=2,Personnel!$E$5=12,Personnel!$G$5="Yes"),Personnel!$C$5*0.15,0)+IF(AND(Personnel!$E$6&gt;=2,Personnel!$E$6=12,Personnel!$G$6="Yes"),Personnel!$C$6*0.15,0)+IF(AND(Personnel!$E$7&gt;=2,Personnel!$E$7=12,Personnel!$G$7="Yes"),Personnel!$C$7*0.15,0)+IF(AND(Personnel!$E$8&gt;=2,Personnel!$E$8=12,Personnel!$G$8="Yes"),Personnel!$C$8*0.15,0)+IF(AND(Personnel!$E$9&gt;=2,Personnel!$E$9=12,Personnel!$G$9="Yes"),Personnel!$C$9*0.15,0)+IF(AND(Personnel!$E$10&gt;=2,Personnel!$E$10=12,Personnel!$G$10="Yes"),Personnel!$C$10*0.15,0)+IF(AND(Personnel!$E$11&gt;=2,Personnel!$E$11=12,Personnel!$G$11="Yes"),Personnel!$C$11*0.15,0)+IF(AND(Personnel!$E$12&gt;=2,Personnel!$E$12=12,Personnel!$G$12="Yes"),Personnel!$C$12*0.15,0)+IF(AND(Personnel!$E$13&gt;=2,Personnel!$E$13=12,Personnel!$G$13="Yes"),Personnel!$C$13*0.15,0)+IF(AND(Personnel!$E$14&gt;=2,Personnel!$E$14=12,Personnel!$G$14="Yes"),Personnel!$C$14*0.15,0)+IF(AND(Personnel!$E$15&gt;=2,Personnel!$E$15=12,Personnel!$G$15="Yes"),Personnel!$C$15*0.15,0)+IF(AND(Personnel!$E$16&gt;=2,Personnel!$E$16=12,Personnel!$G$16="Yes"),Personnel!$C$16*0.15,0)+IF(AND(Personnel!$E$17&gt;=2,Personnel!$E$17=12,Personnel!$G$17="Yes"),Personnel!$C$17*0.15,0)+IF(AND(Personnel!$E$18&gt;=2,Personnel!$E$18=12,Personnel!$G$18="Yes"),Personnel!$C$18*0.15,0)+IF(AND(Personnel!$E$19&gt;=2,Personnel!$E$19=12,Personnel!$G$19="Yes"),Personnel!$C$19*0.15,0)+IF(AND(Personnel!$E$20&gt;=2,Personnel!$E$20=12,Personnel!$G$20="Yes"),Personnel!$C$20*0.15,0)+IF(AND(Personnel!$E$21&gt;=2,Personnel!$E$21=12,Personnel!$G$21="Yes"),Personnel!$C$21*0.15,0)+IF(AND(Personnel!$E$22&gt;=2,Personnel!$E$22=12,Personnel!$G$22="Yes"),Personnel!$C$22*0.15,0)+IF(AND(Personnel!$E$23&gt;=2,Personnel!$E$23=12,Personnel!$G$23="Yes"),Personnel!$C$23*0.15,0)+IF(AND(Personnel!$E$24&gt;=2,Personnel!$E$24=12,Personnel!$G$24="Yes"),Personnel!$C$24*0.15,0)+IF(AND(Personnel!$E$25&gt;=2,Personnel!$E$25=12,Personnel!$G$25="Yes"),Personnel!$C$25*0.15,0)+IF(AND(Personnel!$E$26&gt;=2,Personnel!$E$26=12,Personnel!$G$26="Yes"),Personnel!$C$26*0.15,0)+IF(AND(Personnel!$E$27&gt;=2,Personnel!$E$27=12,Personnel!$G$27="Yes"),Personnel!$C$27*0.15,0)+IF(AND(Personnel!$E$28&gt;=2,Personnel!$E$28=12,Personnel!$G$28="Yes"),Personnel!$C$28*0.15,0)+IF(AND(Personnel!$E$29&gt;=2,Personnel!$E$29=12,Personnel!$G$29="Yes"),Personnel!$C$29*0.15,0)+IF(AND(Personnel!$E$30&gt;=2,Personnel!$E$30=12,Personnel!$G$30="Yes"),Personnel!$C$30*0.15,0)+IF(AND(Personnel!$E$31&gt;=2,Personnel!$E$31=12,Personnel!$G$31="Yes"),Personnel!$C$31*0.15,0)+IF(AND(Personnel!$E$32&gt;=2,Personnel!$E$32=12,Personnel!$G$32="Yes"),Personnel!$C$32*0.15,0)+IF(AND(Personnel!$E$33&gt;=2,Personnel!$E$33=12,Personnel!$G$33="Yes"),Personnel!$C$33*0.15,0)),Actuals!Q40)</f>
        <v>0</v>
      </c>
      <c r="R43" s="3">
        <f>IF(ISBLANK(Actuals!R40),-(IF(AND(Personnel!$E$2&gt;=2,Personnel!$E$2=13,Personnel!$G$2="Yes"),Personnel!$C$2*0.15,0)+IF(AND(Personnel!$E$3&gt;=2,Personnel!$E$3=13,Personnel!$G$3="Yes"),Personnel!$C$3*0.15,0)+IF(AND(Personnel!$E$4&gt;=2,Personnel!$E$4=13,Personnel!$G$4="Yes"),Personnel!$C$4*0.15,0)+IF(AND(Personnel!$E$5&gt;=2,Personnel!$E$5=13,Personnel!$G$5="Yes"),Personnel!$C$5*0.15,0)+IF(AND(Personnel!$E$6&gt;=2,Personnel!$E$6=13,Personnel!$G$6="Yes"),Personnel!$C$6*0.15,0)+IF(AND(Personnel!$E$7&gt;=2,Personnel!$E$7=13,Personnel!$G$7="Yes"),Personnel!$C$7*0.15,0)+IF(AND(Personnel!$E$8&gt;=2,Personnel!$E$8=13,Personnel!$G$8="Yes"),Personnel!$C$8*0.15,0)+IF(AND(Personnel!$E$9&gt;=2,Personnel!$E$9=13,Personnel!$G$9="Yes"),Personnel!$C$9*0.15,0)+IF(AND(Personnel!$E$10&gt;=2,Personnel!$E$10=13,Personnel!$G$10="Yes"),Personnel!$C$10*0.15,0)+IF(AND(Personnel!$E$11&gt;=2,Personnel!$E$11=13,Personnel!$G$11="Yes"),Personnel!$C$11*0.15,0)+IF(AND(Personnel!$E$12&gt;=2,Personnel!$E$12=13,Personnel!$G$12="Yes"),Personnel!$C$12*0.15,0)+IF(AND(Personnel!$E$13&gt;=2,Personnel!$E$13=13,Personnel!$G$13="Yes"),Personnel!$C$13*0.15,0)+IF(AND(Personnel!$E$14&gt;=2,Personnel!$E$14=13,Personnel!$G$14="Yes"),Personnel!$C$14*0.15,0)+IF(AND(Personnel!$E$15&gt;=2,Personnel!$E$15=13,Personnel!$G$15="Yes"),Personnel!$C$15*0.15,0)+IF(AND(Personnel!$E$16&gt;=2,Personnel!$E$16=13,Personnel!$G$16="Yes"),Personnel!$C$16*0.15,0)+IF(AND(Personnel!$E$17&gt;=2,Personnel!$E$17=13,Personnel!$G$17="Yes"),Personnel!$C$17*0.15,0)+IF(AND(Personnel!$E$18&gt;=2,Personnel!$E$18=13,Personnel!$G$18="Yes"),Personnel!$C$18*0.15,0)+IF(AND(Personnel!$E$19&gt;=2,Personnel!$E$19=13,Personnel!$G$19="Yes"),Personnel!$C$19*0.15,0)+IF(AND(Personnel!$E$20&gt;=2,Personnel!$E$20=13,Personnel!$G$20="Yes"),Personnel!$C$20*0.15,0)+IF(AND(Personnel!$E$21&gt;=2,Personnel!$E$21=13,Personnel!$G$21="Yes"),Personnel!$C$21*0.15,0)+IF(AND(Personnel!$E$22&gt;=2,Personnel!$E$22=13,Personnel!$G$22="Yes"),Personnel!$C$22*0.15,0)+IF(AND(Personnel!$E$23&gt;=2,Personnel!$E$23=13,Personnel!$G$23="Yes"),Personnel!$C$23*0.15,0)+IF(AND(Personnel!$E$24&gt;=2,Personnel!$E$24=13,Personnel!$G$24="Yes"),Personnel!$C$24*0.15,0)+IF(AND(Personnel!$E$25&gt;=2,Personnel!$E$25=13,Personnel!$G$25="Yes"),Personnel!$C$25*0.15,0)+IF(AND(Personnel!$E$26&gt;=2,Personnel!$E$26=13,Personnel!$G$26="Yes"),Personnel!$C$26*0.15,0)+IF(AND(Personnel!$E$27&gt;=2,Personnel!$E$27=13,Personnel!$G$27="Yes"),Personnel!$C$27*0.15,0)+IF(AND(Personnel!$E$28&gt;=2,Personnel!$E$28=13,Personnel!$G$28="Yes"),Personnel!$C$28*0.15,0)+IF(AND(Personnel!$E$29&gt;=2,Personnel!$E$29=13,Personnel!$G$29="Yes"),Personnel!$C$29*0.15,0)+IF(AND(Personnel!$E$30&gt;=2,Personnel!$E$30=13,Personnel!$G$30="Yes"),Personnel!$C$30*0.15,0)+IF(AND(Personnel!$E$31&gt;=2,Personnel!$E$31=13,Personnel!$G$31="Yes"),Personnel!$C$31*0.15,0)+IF(AND(Personnel!$E$32&gt;=2,Personnel!$E$32=13,Personnel!$G$32="Yes"),Personnel!$C$32*0.15,0)+IF(AND(Personnel!$E$33&gt;=2,Personnel!$E$33=13,Personnel!$G$33="Yes"),Personnel!$C$33*0.15,0)),Actuals!R40)</f>
        <v>-24000</v>
      </c>
      <c r="S43" s="3">
        <f>IF(ISBLANK(Actuals!S40),-(IF(AND(Personnel!$E$2&gt;=2,Personnel!$E$2=14,Personnel!$G$2="Yes"),Personnel!$C$2*0.15,0)+IF(AND(Personnel!$E$3&gt;=2,Personnel!$E$3=14,Personnel!$G$3="Yes"),Personnel!$C$3*0.15,0)+IF(AND(Personnel!$E$4&gt;=2,Personnel!$E$4=14,Personnel!$G$4="Yes"),Personnel!$C$4*0.15,0)+IF(AND(Personnel!$E$5&gt;=2,Personnel!$E$5=14,Personnel!$G$5="Yes"),Personnel!$C$5*0.15,0)+IF(AND(Personnel!$E$6&gt;=2,Personnel!$E$6=14,Personnel!$G$6="Yes"),Personnel!$C$6*0.15,0)+IF(AND(Personnel!$E$7&gt;=2,Personnel!$E$7=14,Personnel!$G$7="Yes"),Personnel!$C$7*0.15,0)+IF(AND(Personnel!$E$8&gt;=2,Personnel!$E$8=14,Personnel!$G$8="Yes"),Personnel!$C$8*0.15,0)+IF(AND(Personnel!$E$9&gt;=2,Personnel!$E$9=14,Personnel!$G$9="Yes"),Personnel!$C$9*0.15,0)+IF(AND(Personnel!$E$10&gt;=2,Personnel!$E$10=14,Personnel!$G$10="Yes"),Personnel!$C$10*0.15,0)+IF(AND(Personnel!$E$11&gt;=2,Personnel!$E$11=14,Personnel!$G$11="Yes"),Personnel!$C$11*0.15,0)+IF(AND(Personnel!$E$12&gt;=2,Personnel!$E$12=14,Personnel!$G$12="Yes"),Personnel!$C$12*0.15,0)+IF(AND(Personnel!$E$13&gt;=2,Personnel!$E$13=14,Personnel!$G$13="Yes"),Personnel!$C$13*0.15,0)+IF(AND(Personnel!$E$14&gt;=2,Personnel!$E$14=14,Personnel!$G$14="Yes"),Personnel!$C$14*0.15,0)+IF(AND(Personnel!$E$15&gt;=2,Personnel!$E$15=14,Personnel!$G$15="Yes"),Personnel!$C$15*0.15,0)+IF(AND(Personnel!$E$16&gt;=2,Personnel!$E$16=14,Personnel!$G$16="Yes"),Personnel!$C$16*0.15,0)+IF(AND(Personnel!$E$17&gt;=2,Personnel!$E$17=14,Personnel!$G$17="Yes"),Personnel!$C$17*0.15,0)+IF(AND(Personnel!$E$18&gt;=2,Personnel!$E$18=14,Personnel!$G$18="Yes"),Personnel!$C$18*0.15,0)+IF(AND(Personnel!$E$19&gt;=2,Personnel!$E$19=14,Personnel!$G$19="Yes"),Personnel!$C$19*0.15,0)+IF(AND(Personnel!$E$20&gt;=2,Personnel!$E$20=14,Personnel!$G$20="Yes"),Personnel!$C$20*0.15,0)+IF(AND(Personnel!$E$21&gt;=2,Personnel!$E$21=14,Personnel!$G$21="Yes"),Personnel!$C$21*0.15,0)+IF(AND(Personnel!$E$22&gt;=2,Personnel!$E$22=14,Personnel!$G$22="Yes"),Personnel!$C$22*0.15,0)+IF(AND(Personnel!$E$23&gt;=2,Personnel!$E$23=14,Personnel!$G$23="Yes"),Personnel!$C$23*0.15,0)+IF(AND(Personnel!$E$24&gt;=2,Personnel!$E$24=14,Personnel!$G$24="Yes"),Personnel!$C$24*0.15,0)+IF(AND(Personnel!$E$25&gt;=2,Personnel!$E$25=14,Personnel!$G$25="Yes"),Personnel!$C$25*0.15,0)+IF(AND(Personnel!$E$26&gt;=2,Personnel!$E$26=14,Personnel!$G$26="Yes"),Personnel!$C$26*0.15,0)+IF(AND(Personnel!$E$27&gt;=2,Personnel!$E$27=14,Personnel!$G$27="Yes"),Personnel!$C$27*0.15,0)+IF(AND(Personnel!$E$28&gt;=2,Personnel!$E$28=14,Personnel!$G$28="Yes"),Personnel!$C$28*0.15,0)+IF(AND(Personnel!$E$29&gt;=2,Personnel!$E$29=14,Personnel!$G$29="Yes"),Personnel!$C$29*0.15,0)+IF(AND(Personnel!$E$30&gt;=2,Personnel!$E$30=14,Personnel!$G$30="Yes"),Personnel!$C$30*0.15,0)+IF(AND(Personnel!$E$31&gt;=2,Personnel!$E$31=14,Personnel!$G$31="Yes"),Personnel!$C$31*0.15,0)+IF(AND(Personnel!$E$32&gt;=2,Personnel!$E$32=14,Personnel!$G$32="Yes"),Personnel!$C$32*0.15,0)+IF(AND(Personnel!$E$33&gt;=2,Personnel!$E$33=14,Personnel!$G$33="Yes"),Personnel!$C$33*0.15,0)),Actuals!S40)</f>
        <v>0</v>
      </c>
      <c r="T43" s="3">
        <f>IF(ISBLANK(Actuals!T40),-(IF(AND(Personnel!$E$2&gt;=2,Personnel!$E$2=15,Personnel!$G$2="Yes"),Personnel!$C$2*0.15,0)+IF(AND(Personnel!$E$3&gt;=2,Personnel!$E$3=15,Personnel!$G$3="Yes"),Personnel!$C$3*0.15,0)+IF(AND(Personnel!$E$4&gt;=2,Personnel!$E$4=15,Personnel!$G$4="Yes"),Personnel!$C$4*0.15,0)+IF(AND(Personnel!$E$5&gt;=2,Personnel!$E$5=15,Personnel!$G$5="Yes"),Personnel!$C$5*0.15,0)+IF(AND(Personnel!$E$6&gt;=2,Personnel!$E$6=15,Personnel!$G$6="Yes"),Personnel!$C$6*0.15,0)+IF(AND(Personnel!$E$7&gt;=2,Personnel!$E$7=15,Personnel!$G$7="Yes"),Personnel!$C$7*0.15,0)+IF(AND(Personnel!$E$8&gt;=2,Personnel!$E$8=15,Personnel!$G$8="Yes"),Personnel!$C$8*0.15,0)+IF(AND(Personnel!$E$9&gt;=2,Personnel!$E$9=15,Personnel!$G$9="Yes"),Personnel!$C$9*0.15,0)+IF(AND(Personnel!$E$10&gt;=2,Personnel!$E$10=15,Personnel!$G$10="Yes"),Personnel!$C$10*0.15,0)+IF(AND(Personnel!$E$11&gt;=2,Personnel!$E$11=15,Personnel!$G$11="Yes"),Personnel!$C$11*0.15,0)+IF(AND(Personnel!$E$12&gt;=2,Personnel!$E$12=15,Personnel!$G$12="Yes"),Personnel!$C$12*0.15,0)+IF(AND(Personnel!$E$13&gt;=2,Personnel!$E$13=15,Personnel!$G$13="Yes"),Personnel!$C$13*0.15,0)+IF(AND(Personnel!$E$14&gt;=2,Personnel!$E$14=15,Personnel!$G$14="Yes"),Personnel!$C$14*0.15,0)+IF(AND(Personnel!$E$15&gt;=2,Personnel!$E$15=15,Personnel!$G$15="Yes"),Personnel!$C$15*0.15,0)+IF(AND(Personnel!$E$16&gt;=2,Personnel!$E$16=15,Personnel!$G$16="Yes"),Personnel!$C$16*0.15,0)+IF(AND(Personnel!$E$17&gt;=2,Personnel!$E$17=15,Personnel!$G$17="Yes"),Personnel!$C$17*0.15,0)+IF(AND(Personnel!$E$18&gt;=2,Personnel!$E$18=15,Personnel!$G$18="Yes"),Personnel!$C$18*0.15,0)+IF(AND(Personnel!$E$19&gt;=2,Personnel!$E$19=15,Personnel!$G$19="Yes"),Personnel!$C$19*0.15,0)+IF(AND(Personnel!$E$20&gt;=2,Personnel!$E$20=15,Personnel!$G$20="Yes"),Personnel!$C$20*0.15,0)+IF(AND(Personnel!$E$21&gt;=2,Personnel!$E$21=15,Personnel!$G$21="Yes"),Personnel!$C$21*0.15,0)+IF(AND(Personnel!$E$22&gt;=2,Personnel!$E$22=15,Personnel!$G$22="Yes"),Personnel!$C$22*0.15,0)+IF(AND(Personnel!$E$23&gt;=2,Personnel!$E$23=15,Personnel!$G$23="Yes"),Personnel!$C$23*0.15,0)+IF(AND(Personnel!$E$24&gt;=2,Personnel!$E$24=15,Personnel!$G$24="Yes"),Personnel!$C$24*0.15,0)+IF(AND(Personnel!$E$25&gt;=2,Personnel!$E$25=15,Personnel!$G$25="Yes"),Personnel!$C$25*0.15,0)+IF(AND(Personnel!$E$26&gt;=2,Personnel!$E$26=15,Personnel!$G$26="Yes"),Personnel!$C$26*0.15,0)+IF(AND(Personnel!$E$27&gt;=2,Personnel!$E$27=15,Personnel!$G$27="Yes"),Personnel!$C$27*0.15,0)+IF(AND(Personnel!$E$28&gt;=2,Personnel!$E$28=15,Personnel!$G$28="Yes"),Personnel!$C$28*0.15,0)+IF(AND(Personnel!$E$29&gt;=2,Personnel!$E$29=15,Personnel!$G$29="Yes"),Personnel!$C$29*0.15,0)+IF(AND(Personnel!$E$30&gt;=2,Personnel!$E$30=15,Personnel!$G$30="Yes"),Personnel!$C$30*0.15,0)+IF(AND(Personnel!$E$31&gt;=2,Personnel!$E$31=15,Personnel!$G$31="Yes"),Personnel!$C$31*0.15,0)+IF(AND(Personnel!$E$32&gt;=2,Personnel!$E$32=15,Personnel!$G$32="Yes"),Personnel!$C$32*0.15,0)+IF(AND(Personnel!$E$33&gt;=2,Personnel!$E$33=15,Personnel!$G$33="Yes"),Personnel!$C$33*0.15,0)),Actuals!T40)</f>
        <v>0</v>
      </c>
      <c r="U43" s="3">
        <f>IF(ISBLANK(Actuals!U40),-(IF(AND(Personnel!$E$2&gt;=2,Personnel!$E$2=16,Personnel!$G$2="Yes"),Personnel!$C$2*0.15,0)+IF(AND(Personnel!$E$3&gt;=2,Personnel!$E$3=16,Personnel!$G$3="Yes"),Personnel!$C$3*0.15,0)+IF(AND(Personnel!$E$4&gt;=2,Personnel!$E$4=16,Personnel!$G$4="Yes"),Personnel!$C$4*0.15,0)+IF(AND(Personnel!$E$5&gt;=2,Personnel!$E$5=16,Personnel!$G$5="Yes"),Personnel!$C$5*0.15,0)+IF(AND(Personnel!$E$6&gt;=2,Personnel!$E$6=16,Personnel!$G$6="Yes"),Personnel!$C$6*0.15,0)+IF(AND(Personnel!$E$7&gt;=2,Personnel!$E$7=16,Personnel!$G$7="Yes"),Personnel!$C$7*0.15,0)+IF(AND(Personnel!$E$8&gt;=2,Personnel!$E$8=16,Personnel!$G$8="Yes"),Personnel!$C$8*0.15,0)+IF(AND(Personnel!$E$9&gt;=2,Personnel!$E$9=16,Personnel!$G$9="Yes"),Personnel!$C$9*0.15,0)+IF(AND(Personnel!$E$10&gt;=2,Personnel!$E$10=16,Personnel!$G$10="Yes"),Personnel!$C$10*0.15,0)+IF(AND(Personnel!$E$11&gt;=2,Personnel!$E$11=16,Personnel!$G$11="Yes"),Personnel!$C$11*0.15,0)+IF(AND(Personnel!$E$12&gt;=2,Personnel!$E$12=16,Personnel!$G$12="Yes"),Personnel!$C$12*0.15,0)+IF(AND(Personnel!$E$13&gt;=2,Personnel!$E$13=16,Personnel!$G$13="Yes"),Personnel!$C$13*0.15,0)+IF(AND(Personnel!$E$14&gt;=2,Personnel!$E$14=16,Personnel!$G$14="Yes"),Personnel!$C$14*0.15,0)+IF(AND(Personnel!$E$15&gt;=2,Personnel!$E$15=16,Personnel!$G$15="Yes"),Personnel!$C$15*0.15,0)+IF(AND(Personnel!$E$16&gt;=2,Personnel!$E$16=16,Personnel!$G$16="Yes"),Personnel!$C$16*0.15,0)+IF(AND(Personnel!$E$17&gt;=2,Personnel!$E$17=16,Personnel!$G$17="Yes"),Personnel!$C$17*0.15,0)+IF(AND(Personnel!$E$18&gt;=2,Personnel!$E$18=16,Personnel!$G$18="Yes"),Personnel!$C$18*0.15,0)+IF(AND(Personnel!$E$19&gt;=2,Personnel!$E$19=16,Personnel!$G$19="Yes"),Personnel!$C$19*0.15,0)+IF(AND(Personnel!$E$20&gt;=2,Personnel!$E$20=16,Personnel!$G$20="Yes"),Personnel!$C$20*0.15,0)+IF(AND(Personnel!$E$21&gt;=2,Personnel!$E$21=16,Personnel!$G$21="Yes"),Personnel!$C$21*0.15,0)+IF(AND(Personnel!$E$22&gt;=2,Personnel!$E$22=16,Personnel!$G$22="Yes"),Personnel!$C$22*0.15,0)+IF(AND(Personnel!$E$23&gt;=2,Personnel!$E$23=16,Personnel!$G$23="Yes"),Personnel!$C$23*0.15,0)+IF(AND(Personnel!$E$24&gt;=2,Personnel!$E$24=16,Personnel!$G$24="Yes"),Personnel!$C$24*0.15,0)+IF(AND(Personnel!$E$25&gt;=2,Personnel!$E$25=16,Personnel!$G$25="Yes"),Personnel!$C$25*0.15,0)+IF(AND(Personnel!$E$26&gt;=2,Personnel!$E$26=16,Personnel!$G$26="Yes"),Personnel!$C$26*0.15,0)+IF(AND(Personnel!$E$27&gt;=2,Personnel!$E$27=16,Personnel!$G$27="Yes"),Personnel!$C$27*0.15,0)+IF(AND(Personnel!$E$28&gt;=2,Personnel!$E$28=16,Personnel!$G$28="Yes"),Personnel!$C$28*0.15,0)+IF(AND(Personnel!$E$29&gt;=2,Personnel!$E$29=16,Personnel!$G$29="Yes"),Personnel!$C$29*0.15,0)+IF(AND(Personnel!$E$30&gt;=2,Personnel!$E$30=16,Personnel!$G$30="Yes"),Personnel!$C$30*0.15,0)+IF(AND(Personnel!$E$31&gt;=2,Personnel!$E$31=16,Personnel!$G$31="Yes"),Personnel!$C$31*0.15,0)+IF(AND(Personnel!$E$32&gt;=2,Personnel!$E$32=16,Personnel!$G$32="Yes"),Personnel!$C$32*0.15,0)+IF(AND(Personnel!$E$33&gt;=2,Personnel!$E$33=16,Personnel!$G$33="Yes"),Personnel!$C$33*0.15,0)),Actuals!U40)</f>
        <v>0</v>
      </c>
      <c r="V43" s="3">
        <f>IF(ISBLANK(Actuals!V40),-(IF(AND(Personnel!$E$2&gt;=2,Personnel!$E$2=17,Personnel!$G$2="Yes"),Personnel!$C$2*0.15,0)+IF(AND(Personnel!$E$3&gt;=2,Personnel!$E$3=17,Personnel!$G$3="Yes"),Personnel!$C$3*0.15,0)+IF(AND(Personnel!$E$4&gt;=2,Personnel!$E$4=17,Personnel!$G$4="Yes"),Personnel!$C$4*0.15,0)+IF(AND(Personnel!$E$5&gt;=2,Personnel!$E$5=17,Personnel!$G$5="Yes"),Personnel!$C$5*0.15,0)+IF(AND(Personnel!$E$6&gt;=2,Personnel!$E$6=17,Personnel!$G$6="Yes"),Personnel!$C$6*0.15,0)+IF(AND(Personnel!$E$7&gt;=2,Personnel!$E$7=17,Personnel!$G$7="Yes"),Personnel!$C$7*0.15,0)+IF(AND(Personnel!$E$8&gt;=2,Personnel!$E$8=17,Personnel!$G$8="Yes"),Personnel!$C$8*0.15,0)+IF(AND(Personnel!$E$9&gt;=2,Personnel!$E$9=17,Personnel!$G$9="Yes"),Personnel!$C$9*0.15,0)+IF(AND(Personnel!$E$10&gt;=2,Personnel!$E$10=17,Personnel!$G$10="Yes"),Personnel!$C$10*0.15,0)+IF(AND(Personnel!$E$11&gt;=2,Personnel!$E$11=17,Personnel!$G$11="Yes"),Personnel!$C$11*0.15,0)+IF(AND(Personnel!$E$12&gt;=2,Personnel!$E$12=17,Personnel!$G$12="Yes"),Personnel!$C$12*0.15,0)+IF(AND(Personnel!$E$13&gt;=2,Personnel!$E$13=17,Personnel!$G$13="Yes"),Personnel!$C$13*0.15,0)+IF(AND(Personnel!$E$14&gt;=2,Personnel!$E$14=17,Personnel!$G$14="Yes"),Personnel!$C$14*0.15,0)+IF(AND(Personnel!$E$15&gt;=2,Personnel!$E$15=17,Personnel!$G$15="Yes"),Personnel!$C$15*0.15,0)+IF(AND(Personnel!$E$16&gt;=2,Personnel!$E$16=17,Personnel!$G$16="Yes"),Personnel!$C$16*0.15,0)+IF(AND(Personnel!$E$17&gt;=2,Personnel!$E$17=17,Personnel!$G$17="Yes"),Personnel!$C$17*0.15,0)+IF(AND(Personnel!$E$18&gt;=2,Personnel!$E$18=17,Personnel!$G$18="Yes"),Personnel!$C$18*0.15,0)+IF(AND(Personnel!$E$19&gt;=2,Personnel!$E$19=17,Personnel!$G$19="Yes"),Personnel!$C$19*0.15,0)+IF(AND(Personnel!$E$20&gt;=2,Personnel!$E$20=17,Personnel!$G$20="Yes"),Personnel!$C$20*0.15,0)+IF(AND(Personnel!$E$21&gt;=2,Personnel!$E$21=17,Personnel!$G$21="Yes"),Personnel!$C$21*0.15,0)+IF(AND(Personnel!$E$22&gt;=2,Personnel!$E$22=17,Personnel!$G$22="Yes"),Personnel!$C$22*0.15,0)+IF(AND(Personnel!$E$23&gt;=2,Personnel!$E$23=17,Personnel!$G$23="Yes"),Personnel!$C$23*0.15,0)+IF(AND(Personnel!$E$24&gt;=2,Personnel!$E$24=17,Personnel!$G$24="Yes"),Personnel!$C$24*0.15,0)+IF(AND(Personnel!$E$25&gt;=2,Personnel!$E$25=17,Personnel!$G$25="Yes"),Personnel!$C$25*0.15,0)+IF(AND(Personnel!$E$26&gt;=2,Personnel!$E$26=17,Personnel!$G$26="Yes"),Personnel!$C$26*0.15,0)+IF(AND(Personnel!$E$27&gt;=2,Personnel!$E$27=17,Personnel!$G$27="Yes"),Personnel!$C$27*0.15,0)+IF(AND(Personnel!$E$28&gt;=2,Personnel!$E$28=17,Personnel!$G$28="Yes"),Personnel!$C$28*0.15,0)+IF(AND(Personnel!$E$29&gt;=2,Personnel!$E$29=17,Personnel!$G$29="Yes"),Personnel!$C$29*0.15,0)+IF(AND(Personnel!$E$30&gt;=2,Personnel!$E$30=17,Personnel!$G$30="Yes"),Personnel!$C$30*0.15,0)+IF(AND(Personnel!$E$31&gt;=2,Personnel!$E$31=17,Personnel!$G$31="Yes"),Personnel!$C$31*0.15,0)+IF(AND(Personnel!$E$32&gt;=2,Personnel!$E$32=17,Personnel!$G$32="Yes"),Personnel!$C$32*0.15,0)+IF(AND(Personnel!$E$33&gt;=2,Personnel!$E$33=17,Personnel!$G$33="Yes"),Personnel!$C$33*0.15,0)),Actuals!V40)</f>
        <v>0</v>
      </c>
      <c r="W43" s="3">
        <f>IF(ISBLANK(Actuals!W40),-(IF(AND(Personnel!$E$2&gt;=2,Personnel!$E$2=18,Personnel!$G$2="Yes"),Personnel!$C$2*0.15,0)+IF(AND(Personnel!$E$3&gt;=2,Personnel!$E$3=18,Personnel!$G$3="Yes"),Personnel!$C$3*0.15,0)+IF(AND(Personnel!$E$4&gt;=2,Personnel!$E$4=18,Personnel!$G$4="Yes"),Personnel!$C$4*0.15,0)+IF(AND(Personnel!$E$5&gt;=2,Personnel!$E$5=18,Personnel!$G$5="Yes"),Personnel!$C$5*0.15,0)+IF(AND(Personnel!$E$6&gt;=2,Personnel!$E$6=18,Personnel!$G$6="Yes"),Personnel!$C$6*0.15,0)+IF(AND(Personnel!$E$7&gt;=2,Personnel!$E$7=18,Personnel!$G$7="Yes"),Personnel!$C$7*0.15,0)+IF(AND(Personnel!$E$8&gt;=2,Personnel!$E$8=18,Personnel!$G$8="Yes"),Personnel!$C$8*0.15,0)+IF(AND(Personnel!$E$9&gt;=2,Personnel!$E$9=18,Personnel!$G$9="Yes"),Personnel!$C$9*0.15,0)+IF(AND(Personnel!$E$10&gt;=2,Personnel!$E$10=18,Personnel!$G$10="Yes"),Personnel!$C$10*0.15,0)+IF(AND(Personnel!$E$11&gt;=2,Personnel!$E$11=18,Personnel!$G$11="Yes"),Personnel!$C$11*0.15,0)+IF(AND(Personnel!$E$12&gt;=2,Personnel!$E$12=18,Personnel!$G$12="Yes"),Personnel!$C$12*0.15,0)+IF(AND(Personnel!$E$13&gt;=2,Personnel!$E$13=18,Personnel!$G$13="Yes"),Personnel!$C$13*0.15,0)+IF(AND(Personnel!$E$14&gt;=2,Personnel!$E$14=18,Personnel!$G$14="Yes"),Personnel!$C$14*0.15,0)+IF(AND(Personnel!$E$15&gt;=2,Personnel!$E$15=18,Personnel!$G$15="Yes"),Personnel!$C$15*0.15,0)+IF(AND(Personnel!$E$16&gt;=2,Personnel!$E$16=18,Personnel!$G$16="Yes"),Personnel!$C$16*0.15,0)+IF(AND(Personnel!$E$17&gt;=2,Personnel!$E$17=18,Personnel!$G$17="Yes"),Personnel!$C$17*0.15,0)+IF(AND(Personnel!$E$18&gt;=2,Personnel!$E$18=18,Personnel!$G$18="Yes"),Personnel!$C$18*0.15,0)+IF(AND(Personnel!$E$19&gt;=2,Personnel!$E$19=18,Personnel!$G$19="Yes"),Personnel!$C$19*0.15,0)+IF(AND(Personnel!$E$20&gt;=2,Personnel!$E$20=18,Personnel!$G$20="Yes"),Personnel!$C$20*0.15,0)+IF(AND(Personnel!$E$21&gt;=2,Personnel!$E$21=18,Personnel!$G$21="Yes"),Personnel!$C$21*0.15,0)+IF(AND(Personnel!$E$22&gt;=2,Personnel!$E$22=18,Personnel!$G$22="Yes"),Personnel!$C$22*0.15,0)+IF(AND(Personnel!$E$23&gt;=2,Personnel!$E$23=18,Personnel!$G$23="Yes"),Personnel!$C$23*0.15,0)+IF(AND(Personnel!$E$24&gt;=2,Personnel!$E$24=18,Personnel!$G$24="Yes"),Personnel!$C$24*0.15,0)+IF(AND(Personnel!$E$25&gt;=2,Personnel!$E$25=18,Personnel!$G$25="Yes"),Personnel!$C$25*0.15,0)+IF(AND(Personnel!$E$26&gt;=2,Personnel!$E$26=18,Personnel!$G$26="Yes"),Personnel!$C$26*0.15,0)+IF(AND(Personnel!$E$27&gt;=2,Personnel!$E$27=18,Personnel!$G$27="Yes"),Personnel!$C$27*0.15,0)+IF(AND(Personnel!$E$28&gt;=2,Personnel!$E$28=18,Personnel!$G$28="Yes"),Personnel!$C$28*0.15,0)+IF(AND(Personnel!$E$29&gt;=2,Personnel!$E$29=18,Personnel!$G$29="Yes"),Personnel!$C$29*0.15,0)+IF(AND(Personnel!$E$30&gt;=2,Personnel!$E$30=18,Personnel!$G$30="Yes"),Personnel!$C$30*0.15,0)+IF(AND(Personnel!$E$31&gt;=2,Personnel!$E$31=18,Personnel!$G$31="Yes"),Personnel!$C$31*0.15,0)+IF(AND(Personnel!$E$32&gt;=2,Personnel!$E$32=18,Personnel!$G$32="Yes"),Personnel!$C$32*0.15,0)+IF(AND(Personnel!$E$33&gt;=2,Personnel!$E$33=18,Personnel!$G$33="Yes"),Personnel!$C$33*0.15,0)),Actuals!W40)</f>
        <v>0</v>
      </c>
      <c r="X43" s="3">
        <f>IF(ISBLANK(Actuals!X40),-(IF(AND(Personnel!$E$2&gt;=2,Personnel!$E$2=19,Personnel!$G$2="Yes"),Personnel!$C$2*0.15,0)+IF(AND(Personnel!$E$3&gt;=2,Personnel!$E$3=19,Personnel!$G$3="Yes"),Personnel!$C$3*0.15,0)+IF(AND(Personnel!$E$4&gt;=2,Personnel!$E$4=19,Personnel!$G$4="Yes"),Personnel!$C$4*0.15,0)+IF(AND(Personnel!$E$5&gt;=2,Personnel!$E$5=19,Personnel!$G$5="Yes"),Personnel!$C$5*0.15,0)+IF(AND(Personnel!$E$6&gt;=2,Personnel!$E$6=19,Personnel!$G$6="Yes"),Personnel!$C$6*0.15,0)+IF(AND(Personnel!$E$7&gt;=2,Personnel!$E$7=19,Personnel!$G$7="Yes"),Personnel!$C$7*0.15,0)+IF(AND(Personnel!$E$8&gt;=2,Personnel!$E$8=19,Personnel!$G$8="Yes"),Personnel!$C$8*0.15,0)+IF(AND(Personnel!$E$9&gt;=2,Personnel!$E$9=19,Personnel!$G$9="Yes"),Personnel!$C$9*0.15,0)+IF(AND(Personnel!$E$10&gt;=2,Personnel!$E$10=19,Personnel!$G$10="Yes"),Personnel!$C$10*0.15,0)+IF(AND(Personnel!$E$11&gt;=2,Personnel!$E$11=19,Personnel!$G$11="Yes"),Personnel!$C$11*0.15,0)+IF(AND(Personnel!$E$12&gt;=2,Personnel!$E$12=19,Personnel!$G$12="Yes"),Personnel!$C$12*0.15,0)+IF(AND(Personnel!$E$13&gt;=2,Personnel!$E$13=19,Personnel!$G$13="Yes"),Personnel!$C$13*0.15,0)+IF(AND(Personnel!$E$14&gt;=2,Personnel!$E$14=19,Personnel!$G$14="Yes"),Personnel!$C$14*0.15,0)+IF(AND(Personnel!$E$15&gt;=2,Personnel!$E$15=19,Personnel!$G$15="Yes"),Personnel!$C$15*0.15,0)+IF(AND(Personnel!$E$16&gt;=2,Personnel!$E$16=19,Personnel!$G$16="Yes"),Personnel!$C$16*0.15,0)+IF(AND(Personnel!$E$17&gt;=2,Personnel!$E$17=19,Personnel!$G$17="Yes"),Personnel!$C$17*0.15,0)+IF(AND(Personnel!$E$18&gt;=2,Personnel!$E$18=19,Personnel!$G$18="Yes"),Personnel!$C$18*0.15,0)+IF(AND(Personnel!$E$19&gt;=2,Personnel!$E$19=19,Personnel!$G$19="Yes"),Personnel!$C$19*0.15,0)+IF(AND(Personnel!$E$20&gt;=2,Personnel!$E$20=19,Personnel!$G$20="Yes"),Personnel!$C$20*0.15,0)+IF(AND(Personnel!$E$21&gt;=2,Personnel!$E$21=19,Personnel!$G$21="Yes"),Personnel!$C$21*0.15,0)+IF(AND(Personnel!$E$22&gt;=2,Personnel!$E$22=19,Personnel!$G$22="Yes"),Personnel!$C$22*0.15,0)+IF(AND(Personnel!$E$23&gt;=2,Personnel!$E$23=19,Personnel!$G$23="Yes"),Personnel!$C$23*0.15,0)+IF(AND(Personnel!$E$24&gt;=2,Personnel!$E$24=19,Personnel!$G$24="Yes"),Personnel!$C$24*0.15,0)+IF(AND(Personnel!$E$25&gt;=2,Personnel!$E$25=19,Personnel!$G$25="Yes"),Personnel!$C$25*0.15,0)+IF(AND(Personnel!$E$26&gt;=2,Personnel!$E$26=19,Personnel!$G$26="Yes"),Personnel!$C$26*0.15,0)+IF(AND(Personnel!$E$27&gt;=2,Personnel!$E$27=19,Personnel!$G$27="Yes"),Personnel!$C$27*0.15,0)+IF(AND(Personnel!$E$28&gt;=2,Personnel!$E$28=19,Personnel!$G$28="Yes"),Personnel!$C$28*0.15,0)+IF(AND(Personnel!$E$29&gt;=2,Personnel!$E$29=19,Personnel!$G$29="Yes"),Personnel!$C$29*0.15,0)+IF(AND(Personnel!$E$30&gt;=2,Personnel!$E$30=19,Personnel!$G$30="Yes"),Personnel!$C$30*0.15,0)+IF(AND(Personnel!$E$31&gt;=2,Personnel!$E$31=19,Personnel!$G$31="Yes"),Personnel!$C$31*0.15,0)+IF(AND(Personnel!$E$32&gt;=2,Personnel!$E$32=19,Personnel!$G$32="Yes"),Personnel!$C$32*0.15,0)+IF(AND(Personnel!$E$33&gt;=2,Personnel!$E$33=19,Personnel!$G$33="Yes"),Personnel!$C$33*0.15,0)),Actuals!X40)</f>
        <v>0</v>
      </c>
      <c r="Y43" s="3">
        <f>IF(ISBLANK(Actuals!Y40),-(IF(AND(Personnel!$E$2&gt;=2,Personnel!$E$2=20,Personnel!$G$2="Yes"),Personnel!$C$2*0.15,0)+IF(AND(Personnel!$E$3&gt;=2,Personnel!$E$3=20,Personnel!$G$3="Yes"),Personnel!$C$3*0.15,0)+IF(AND(Personnel!$E$4&gt;=2,Personnel!$E$4=20,Personnel!$G$4="Yes"),Personnel!$C$4*0.15,0)+IF(AND(Personnel!$E$5&gt;=2,Personnel!$E$5=20,Personnel!$G$5="Yes"),Personnel!$C$5*0.15,0)+IF(AND(Personnel!$E$6&gt;=2,Personnel!$E$6=20,Personnel!$G$6="Yes"),Personnel!$C$6*0.15,0)+IF(AND(Personnel!$E$7&gt;=2,Personnel!$E$7=20,Personnel!$G$7="Yes"),Personnel!$C$7*0.15,0)+IF(AND(Personnel!$E$8&gt;=2,Personnel!$E$8=20,Personnel!$G$8="Yes"),Personnel!$C$8*0.15,0)+IF(AND(Personnel!$E$9&gt;=2,Personnel!$E$9=20,Personnel!$G$9="Yes"),Personnel!$C$9*0.15,0)+IF(AND(Personnel!$E$10&gt;=2,Personnel!$E$10=20,Personnel!$G$10="Yes"),Personnel!$C$10*0.15,0)+IF(AND(Personnel!$E$11&gt;=2,Personnel!$E$11=20,Personnel!$G$11="Yes"),Personnel!$C$11*0.15,0)+IF(AND(Personnel!$E$12&gt;=2,Personnel!$E$12=20,Personnel!$G$12="Yes"),Personnel!$C$12*0.15,0)+IF(AND(Personnel!$E$13&gt;=2,Personnel!$E$13=20,Personnel!$G$13="Yes"),Personnel!$C$13*0.15,0)+IF(AND(Personnel!$E$14&gt;=2,Personnel!$E$14=20,Personnel!$G$14="Yes"),Personnel!$C$14*0.15,0)+IF(AND(Personnel!$E$15&gt;=2,Personnel!$E$15=20,Personnel!$G$15="Yes"),Personnel!$C$15*0.15,0)+IF(AND(Personnel!$E$16&gt;=2,Personnel!$E$16=20,Personnel!$G$16="Yes"),Personnel!$C$16*0.15,0)+IF(AND(Personnel!$E$17&gt;=2,Personnel!$E$17=20,Personnel!$G$17="Yes"),Personnel!$C$17*0.15,0)+IF(AND(Personnel!$E$18&gt;=2,Personnel!$E$18=20,Personnel!$G$18="Yes"),Personnel!$C$18*0.15,0)+IF(AND(Personnel!$E$19&gt;=2,Personnel!$E$19=20,Personnel!$G$19="Yes"),Personnel!$C$19*0.15,0)+IF(AND(Personnel!$E$20&gt;=2,Personnel!$E$20=20,Personnel!$G$20="Yes"),Personnel!$C$20*0.15,0)+IF(AND(Personnel!$E$21&gt;=2,Personnel!$E$21=20,Personnel!$G$21="Yes"),Personnel!$C$21*0.15,0)+IF(AND(Personnel!$E$22&gt;=2,Personnel!$E$22=20,Personnel!$G$22="Yes"),Personnel!$C$22*0.15,0)+IF(AND(Personnel!$E$23&gt;=2,Personnel!$E$23=20,Personnel!$G$23="Yes"),Personnel!$C$23*0.15,0)+IF(AND(Personnel!$E$24&gt;=2,Personnel!$E$24=20,Personnel!$G$24="Yes"),Personnel!$C$24*0.15,0)+IF(AND(Personnel!$E$25&gt;=2,Personnel!$E$25=20,Personnel!$G$25="Yes"),Personnel!$C$25*0.15,0)+IF(AND(Personnel!$E$26&gt;=2,Personnel!$E$26=20,Personnel!$G$26="Yes"),Personnel!$C$26*0.15,0)+IF(AND(Personnel!$E$27&gt;=2,Personnel!$E$27=20,Personnel!$G$27="Yes"),Personnel!$C$27*0.15,0)+IF(AND(Personnel!$E$28&gt;=2,Personnel!$E$28=20,Personnel!$G$28="Yes"),Personnel!$C$28*0.15,0)+IF(AND(Personnel!$E$29&gt;=2,Personnel!$E$29=20,Personnel!$G$29="Yes"),Personnel!$C$29*0.15,0)+IF(AND(Personnel!$E$30&gt;=2,Personnel!$E$30=20,Personnel!$G$30="Yes"),Personnel!$C$30*0.15,0)+IF(AND(Personnel!$E$31&gt;=2,Personnel!$E$31=20,Personnel!$G$31="Yes"),Personnel!$C$31*0.15,0)+IF(AND(Personnel!$E$32&gt;=2,Personnel!$E$32=20,Personnel!$G$32="Yes"),Personnel!$C$32*0.15,0)+IF(AND(Personnel!$E$33&gt;=2,Personnel!$E$33=20,Personnel!$G$33="Yes"),Personnel!$C$33*0.15,0)),Actuals!Y40)</f>
        <v>0</v>
      </c>
      <c r="Z43" s="3">
        <f>IF(ISBLANK(Actuals!Z40),-(IF(AND(Personnel!$E$2&gt;=2,Personnel!$E$2=21,Personnel!$G$2="Yes"),Personnel!$C$2*0.15,0)+IF(AND(Personnel!$E$3&gt;=2,Personnel!$E$3=21,Personnel!$G$3="Yes"),Personnel!$C$3*0.15,0)+IF(AND(Personnel!$E$4&gt;=2,Personnel!$E$4=21,Personnel!$G$4="Yes"),Personnel!$C$4*0.15,0)+IF(AND(Personnel!$E$5&gt;=2,Personnel!$E$5=21,Personnel!$G$5="Yes"),Personnel!$C$5*0.15,0)+IF(AND(Personnel!$E$6&gt;=2,Personnel!$E$6=21,Personnel!$G$6="Yes"),Personnel!$C$6*0.15,0)+IF(AND(Personnel!$E$7&gt;=2,Personnel!$E$7=21,Personnel!$G$7="Yes"),Personnel!$C$7*0.15,0)+IF(AND(Personnel!$E$8&gt;=2,Personnel!$E$8=21,Personnel!$G$8="Yes"),Personnel!$C$8*0.15,0)+IF(AND(Personnel!$E$9&gt;=2,Personnel!$E$9=21,Personnel!$G$9="Yes"),Personnel!$C$9*0.15,0)+IF(AND(Personnel!$E$10&gt;=2,Personnel!$E$10=21,Personnel!$G$10="Yes"),Personnel!$C$10*0.15,0)+IF(AND(Personnel!$E$11&gt;=2,Personnel!$E$11=21,Personnel!$G$11="Yes"),Personnel!$C$11*0.15,0)+IF(AND(Personnel!$E$12&gt;=2,Personnel!$E$12=21,Personnel!$G$12="Yes"),Personnel!$C$12*0.15,0)+IF(AND(Personnel!$E$13&gt;=2,Personnel!$E$13=21,Personnel!$G$13="Yes"),Personnel!$C$13*0.15,0)+IF(AND(Personnel!$E$14&gt;=2,Personnel!$E$14=21,Personnel!$G$14="Yes"),Personnel!$C$14*0.15,0)+IF(AND(Personnel!$E$15&gt;=2,Personnel!$E$15=21,Personnel!$G$15="Yes"),Personnel!$C$15*0.15,0)+IF(AND(Personnel!$E$16&gt;=2,Personnel!$E$16=21,Personnel!$G$16="Yes"),Personnel!$C$16*0.15,0)+IF(AND(Personnel!$E$17&gt;=2,Personnel!$E$17=21,Personnel!$G$17="Yes"),Personnel!$C$17*0.15,0)+IF(AND(Personnel!$E$18&gt;=2,Personnel!$E$18=21,Personnel!$G$18="Yes"),Personnel!$C$18*0.15,0)+IF(AND(Personnel!$E$19&gt;=2,Personnel!$E$19=21,Personnel!$G$19="Yes"),Personnel!$C$19*0.15,0)+IF(AND(Personnel!$E$20&gt;=2,Personnel!$E$20=21,Personnel!$G$20="Yes"),Personnel!$C$20*0.15,0)+IF(AND(Personnel!$E$21&gt;=2,Personnel!$E$21=21,Personnel!$G$21="Yes"),Personnel!$C$21*0.15,0)+IF(AND(Personnel!$E$22&gt;=2,Personnel!$E$22=21,Personnel!$G$22="Yes"),Personnel!$C$22*0.15,0)+IF(AND(Personnel!$E$23&gt;=2,Personnel!$E$23=21,Personnel!$G$23="Yes"),Personnel!$C$23*0.15,0)+IF(AND(Personnel!$E$24&gt;=2,Personnel!$E$24=21,Personnel!$G$24="Yes"),Personnel!$C$24*0.15,0)+IF(AND(Personnel!$E$25&gt;=2,Personnel!$E$25=21,Personnel!$G$25="Yes"),Personnel!$C$25*0.15,0)+IF(AND(Personnel!$E$26&gt;=2,Personnel!$E$26=21,Personnel!$G$26="Yes"),Personnel!$C$26*0.15,0)+IF(AND(Personnel!$E$27&gt;=2,Personnel!$E$27=21,Personnel!$G$27="Yes"),Personnel!$C$27*0.15,0)+IF(AND(Personnel!$E$28&gt;=2,Personnel!$E$28=21,Personnel!$G$28="Yes"),Personnel!$C$28*0.15,0)+IF(AND(Personnel!$E$29&gt;=2,Personnel!$E$29=21,Personnel!$G$29="Yes"),Personnel!$C$29*0.15,0)+IF(AND(Personnel!$E$30&gt;=2,Personnel!$E$30=21,Personnel!$G$30="Yes"),Personnel!$C$30*0.15,0)+IF(AND(Personnel!$E$31&gt;=2,Personnel!$E$31=21,Personnel!$G$31="Yes"),Personnel!$C$31*0.15,0)+IF(AND(Personnel!$E$32&gt;=2,Personnel!$E$32=21,Personnel!$G$32="Yes"),Personnel!$C$32*0.15,0)+IF(AND(Personnel!$E$33&gt;=2,Personnel!$E$33=21,Personnel!$G$33="Yes"),Personnel!$C$33*0.15,0)),Actuals!Z40)</f>
        <v>0</v>
      </c>
      <c r="AA43" s="3">
        <f>IF(ISBLANK(Actuals!AA40),-(IF(AND(Personnel!$E$2&gt;=2,Personnel!$E$2=22,Personnel!$G$2="Yes"),Personnel!$C$2*0.15,0)+IF(AND(Personnel!$E$3&gt;=2,Personnel!$E$3=22,Personnel!$G$3="Yes"),Personnel!$C$3*0.15,0)+IF(AND(Personnel!$E$4&gt;=2,Personnel!$E$4=22,Personnel!$G$4="Yes"),Personnel!$C$4*0.15,0)+IF(AND(Personnel!$E$5&gt;=2,Personnel!$E$5=22,Personnel!$G$5="Yes"),Personnel!$C$5*0.15,0)+IF(AND(Personnel!$E$6&gt;=2,Personnel!$E$6=22,Personnel!$G$6="Yes"),Personnel!$C$6*0.15,0)+IF(AND(Personnel!$E$7&gt;=2,Personnel!$E$7=22,Personnel!$G$7="Yes"),Personnel!$C$7*0.15,0)+IF(AND(Personnel!$E$8&gt;=2,Personnel!$E$8=22,Personnel!$G$8="Yes"),Personnel!$C$8*0.15,0)+IF(AND(Personnel!$E$9&gt;=2,Personnel!$E$9=22,Personnel!$G$9="Yes"),Personnel!$C$9*0.15,0)+IF(AND(Personnel!$E$10&gt;=2,Personnel!$E$10=22,Personnel!$G$10="Yes"),Personnel!$C$10*0.15,0)+IF(AND(Personnel!$E$11&gt;=2,Personnel!$E$11=22,Personnel!$G$11="Yes"),Personnel!$C$11*0.15,0)+IF(AND(Personnel!$E$12&gt;=2,Personnel!$E$12=22,Personnel!$G$12="Yes"),Personnel!$C$12*0.15,0)+IF(AND(Personnel!$E$13&gt;=2,Personnel!$E$13=22,Personnel!$G$13="Yes"),Personnel!$C$13*0.15,0)+IF(AND(Personnel!$E$14&gt;=2,Personnel!$E$14=22,Personnel!$G$14="Yes"),Personnel!$C$14*0.15,0)+IF(AND(Personnel!$E$15&gt;=2,Personnel!$E$15=22,Personnel!$G$15="Yes"),Personnel!$C$15*0.15,0)+IF(AND(Personnel!$E$16&gt;=2,Personnel!$E$16=22,Personnel!$G$16="Yes"),Personnel!$C$16*0.15,0)+IF(AND(Personnel!$E$17&gt;=2,Personnel!$E$17=22,Personnel!$G$17="Yes"),Personnel!$C$17*0.15,0)+IF(AND(Personnel!$E$18&gt;=2,Personnel!$E$18=22,Personnel!$G$18="Yes"),Personnel!$C$18*0.15,0)+IF(AND(Personnel!$E$19&gt;=2,Personnel!$E$19=22,Personnel!$G$19="Yes"),Personnel!$C$19*0.15,0)+IF(AND(Personnel!$E$20&gt;=2,Personnel!$E$20=22,Personnel!$G$20="Yes"),Personnel!$C$20*0.15,0)+IF(AND(Personnel!$E$21&gt;=2,Personnel!$E$21=22,Personnel!$G$21="Yes"),Personnel!$C$21*0.15,0)+IF(AND(Personnel!$E$22&gt;=2,Personnel!$E$22=22,Personnel!$G$22="Yes"),Personnel!$C$22*0.15,0)+IF(AND(Personnel!$E$23&gt;=2,Personnel!$E$23=22,Personnel!$G$23="Yes"),Personnel!$C$23*0.15,0)+IF(AND(Personnel!$E$24&gt;=2,Personnel!$E$24=22,Personnel!$G$24="Yes"),Personnel!$C$24*0.15,0)+IF(AND(Personnel!$E$25&gt;=2,Personnel!$E$25=22,Personnel!$G$25="Yes"),Personnel!$C$25*0.15,0)+IF(AND(Personnel!$E$26&gt;=2,Personnel!$E$26=22,Personnel!$G$26="Yes"),Personnel!$C$26*0.15,0)+IF(AND(Personnel!$E$27&gt;=2,Personnel!$E$27=22,Personnel!$G$27="Yes"),Personnel!$C$27*0.15,0)+IF(AND(Personnel!$E$28&gt;=2,Personnel!$E$28=22,Personnel!$G$28="Yes"),Personnel!$C$28*0.15,0)+IF(AND(Personnel!$E$29&gt;=2,Personnel!$E$29=22,Personnel!$G$29="Yes"),Personnel!$C$29*0.15,0)+IF(AND(Personnel!$E$30&gt;=2,Personnel!$E$30=22,Personnel!$G$30="Yes"),Personnel!$C$30*0.15,0)+IF(AND(Personnel!$E$31&gt;=2,Personnel!$E$31=22,Personnel!$G$31="Yes"),Personnel!$C$31*0.15,0)+IF(AND(Personnel!$E$32&gt;=2,Personnel!$E$32=22,Personnel!$G$32="Yes"),Personnel!$C$32*0.15,0)+IF(AND(Personnel!$E$33&gt;=2,Personnel!$E$33=22,Personnel!$G$33="Yes"),Personnel!$C$33*0.15,0)),Actuals!AA40)</f>
        <v>0</v>
      </c>
      <c r="AB43" s="3">
        <f>IF(ISBLANK(Actuals!AB40),-(IF(AND(Personnel!$E$2&gt;=2,Personnel!$E$2=23,Personnel!$G$2="Yes"),Personnel!$C$2*0.15,0)+IF(AND(Personnel!$E$3&gt;=2,Personnel!$E$3=23,Personnel!$G$3="Yes"),Personnel!$C$3*0.15,0)+IF(AND(Personnel!$E$4&gt;=2,Personnel!$E$4=23,Personnel!$G$4="Yes"),Personnel!$C$4*0.15,0)+IF(AND(Personnel!$E$5&gt;=2,Personnel!$E$5=23,Personnel!$G$5="Yes"),Personnel!$C$5*0.15,0)+IF(AND(Personnel!$E$6&gt;=2,Personnel!$E$6=23,Personnel!$G$6="Yes"),Personnel!$C$6*0.15,0)+IF(AND(Personnel!$E$7&gt;=2,Personnel!$E$7=23,Personnel!$G$7="Yes"),Personnel!$C$7*0.15,0)+IF(AND(Personnel!$E$8&gt;=2,Personnel!$E$8=23,Personnel!$G$8="Yes"),Personnel!$C$8*0.15,0)+IF(AND(Personnel!$E$9&gt;=2,Personnel!$E$9=23,Personnel!$G$9="Yes"),Personnel!$C$9*0.15,0)+IF(AND(Personnel!$E$10&gt;=2,Personnel!$E$10=23,Personnel!$G$10="Yes"),Personnel!$C$10*0.15,0)+IF(AND(Personnel!$E$11&gt;=2,Personnel!$E$11=23,Personnel!$G$11="Yes"),Personnel!$C$11*0.15,0)+IF(AND(Personnel!$E$12&gt;=2,Personnel!$E$12=23,Personnel!$G$12="Yes"),Personnel!$C$12*0.15,0)+IF(AND(Personnel!$E$13&gt;=2,Personnel!$E$13=23,Personnel!$G$13="Yes"),Personnel!$C$13*0.15,0)+IF(AND(Personnel!$E$14&gt;=2,Personnel!$E$14=23,Personnel!$G$14="Yes"),Personnel!$C$14*0.15,0)+IF(AND(Personnel!$E$15&gt;=2,Personnel!$E$15=23,Personnel!$G$15="Yes"),Personnel!$C$15*0.15,0)+IF(AND(Personnel!$E$16&gt;=2,Personnel!$E$16=23,Personnel!$G$16="Yes"),Personnel!$C$16*0.15,0)+IF(AND(Personnel!$E$17&gt;=2,Personnel!$E$17=23,Personnel!$G$17="Yes"),Personnel!$C$17*0.15,0)+IF(AND(Personnel!$E$18&gt;=2,Personnel!$E$18=23,Personnel!$G$18="Yes"),Personnel!$C$18*0.15,0)+IF(AND(Personnel!$E$19&gt;=2,Personnel!$E$19=23,Personnel!$G$19="Yes"),Personnel!$C$19*0.15,0)+IF(AND(Personnel!$E$20&gt;=2,Personnel!$E$20=23,Personnel!$G$20="Yes"),Personnel!$C$20*0.15,0)+IF(AND(Personnel!$E$21&gt;=2,Personnel!$E$21=23,Personnel!$G$21="Yes"),Personnel!$C$21*0.15,0)+IF(AND(Personnel!$E$22&gt;=2,Personnel!$E$22=23,Personnel!$G$22="Yes"),Personnel!$C$22*0.15,0)+IF(AND(Personnel!$E$23&gt;=2,Personnel!$E$23=23,Personnel!$G$23="Yes"),Personnel!$C$23*0.15,0)+IF(AND(Personnel!$E$24&gt;=2,Personnel!$E$24=23,Personnel!$G$24="Yes"),Personnel!$C$24*0.15,0)+IF(AND(Personnel!$E$25&gt;=2,Personnel!$E$25=23,Personnel!$G$25="Yes"),Personnel!$C$25*0.15,0)+IF(AND(Personnel!$E$26&gt;=2,Personnel!$E$26=23,Personnel!$G$26="Yes"),Personnel!$C$26*0.15,0)+IF(AND(Personnel!$E$27&gt;=2,Personnel!$E$27=23,Personnel!$G$27="Yes"),Personnel!$C$27*0.15,0)+IF(AND(Personnel!$E$28&gt;=2,Personnel!$E$28=23,Personnel!$G$28="Yes"),Personnel!$C$28*0.15,0)+IF(AND(Personnel!$E$29&gt;=2,Personnel!$E$29=23,Personnel!$G$29="Yes"),Personnel!$C$29*0.15,0)+IF(AND(Personnel!$E$30&gt;=2,Personnel!$E$30=23,Personnel!$G$30="Yes"),Personnel!$C$30*0.15,0)+IF(AND(Personnel!$E$31&gt;=2,Personnel!$E$31=23,Personnel!$G$31="Yes"),Personnel!$C$31*0.15,0)+IF(AND(Personnel!$E$32&gt;=2,Personnel!$E$32=23,Personnel!$G$32="Yes"),Personnel!$C$32*0.15,0)+IF(AND(Personnel!$E$33&gt;=2,Personnel!$E$33=23,Personnel!$G$33="Yes"),Personnel!$C$33*0.15,0)),Actuals!AB40)</f>
        <v>0</v>
      </c>
      <c r="AC43" s="3">
        <f>IF(ISBLANK(Actuals!AC40),-(IF(AND(Personnel!$E$2&gt;=2,Personnel!$E$2=24,Personnel!$G$2="Yes"),Personnel!$C$2*0.15,0)+IF(AND(Personnel!$E$3&gt;=2,Personnel!$E$3=24,Personnel!$G$3="Yes"),Personnel!$C$3*0.15,0)+IF(AND(Personnel!$E$4&gt;=2,Personnel!$E$4=24,Personnel!$G$4="Yes"),Personnel!$C$4*0.15,0)+IF(AND(Personnel!$E$5&gt;=2,Personnel!$E$5=24,Personnel!$G$5="Yes"),Personnel!$C$5*0.15,0)+IF(AND(Personnel!$E$6&gt;=2,Personnel!$E$6=24,Personnel!$G$6="Yes"),Personnel!$C$6*0.15,0)+IF(AND(Personnel!$E$7&gt;=2,Personnel!$E$7=24,Personnel!$G$7="Yes"),Personnel!$C$7*0.15,0)+IF(AND(Personnel!$E$8&gt;=2,Personnel!$E$8=24,Personnel!$G$8="Yes"),Personnel!$C$8*0.15,0)+IF(AND(Personnel!$E$9&gt;=2,Personnel!$E$9=24,Personnel!$G$9="Yes"),Personnel!$C$9*0.15,0)+IF(AND(Personnel!$E$10&gt;=2,Personnel!$E$10=24,Personnel!$G$10="Yes"),Personnel!$C$10*0.15,0)+IF(AND(Personnel!$E$11&gt;=2,Personnel!$E$11=24,Personnel!$G$11="Yes"),Personnel!$C$11*0.15,0)+IF(AND(Personnel!$E$12&gt;=2,Personnel!$E$12=24,Personnel!$G$12="Yes"),Personnel!$C$12*0.15,0)+IF(AND(Personnel!$E$13&gt;=2,Personnel!$E$13=24,Personnel!$G$13="Yes"),Personnel!$C$13*0.15,0)+IF(AND(Personnel!$E$14&gt;=2,Personnel!$E$14=24,Personnel!$G$14="Yes"),Personnel!$C$14*0.15,0)+IF(AND(Personnel!$E$15&gt;=2,Personnel!$E$15=24,Personnel!$G$15="Yes"),Personnel!$C$15*0.15,0)+IF(AND(Personnel!$E$16&gt;=2,Personnel!$E$16=24,Personnel!$G$16="Yes"),Personnel!$C$16*0.15,0)+IF(AND(Personnel!$E$17&gt;=2,Personnel!$E$17=24,Personnel!$G$17="Yes"),Personnel!$C$17*0.15,0)+IF(AND(Personnel!$E$18&gt;=2,Personnel!$E$18=24,Personnel!$G$18="Yes"),Personnel!$C$18*0.15,0)+IF(AND(Personnel!$E$19&gt;=2,Personnel!$E$19=24,Personnel!$G$19="Yes"),Personnel!$C$19*0.15,0)+IF(AND(Personnel!$E$20&gt;=2,Personnel!$E$20=24,Personnel!$G$20="Yes"),Personnel!$C$20*0.15,0)+IF(AND(Personnel!$E$21&gt;=2,Personnel!$E$21=24,Personnel!$G$21="Yes"),Personnel!$C$21*0.15,0)+IF(AND(Personnel!$E$22&gt;=2,Personnel!$E$22=24,Personnel!$G$22="Yes"),Personnel!$C$22*0.15,0)+IF(AND(Personnel!$E$23&gt;=2,Personnel!$E$23=24,Personnel!$G$23="Yes"),Personnel!$C$23*0.15,0)+IF(AND(Personnel!$E$24&gt;=2,Personnel!$E$24=24,Personnel!$G$24="Yes"),Personnel!$C$24*0.15,0)+IF(AND(Personnel!$E$25&gt;=2,Personnel!$E$25=24,Personnel!$G$25="Yes"),Personnel!$C$25*0.15,0)+IF(AND(Personnel!$E$26&gt;=2,Personnel!$E$26=24,Personnel!$G$26="Yes"),Personnel!$C$26*0.15,0)+IF(AND(Personnel!$E$27&gt;=2,Personnel!$E$27=24,Personnel!$G$27="Yes"),Personnel!$C$27*0.15,0)+IF(AND(Personnel!$E$28&gt;=2,Personnel!$E$28=24,Personnel!$G$28="Yes"),Personnel!$C$28*0.15,0)+IF(AND(Personnel!$E$29&gt;=2,Personnel!$E$29=24,Personnel!$G$29="Yes"),Personnel!$C$29*0.15,0)+IF(AND(Personnel!$E$30&gt;=2,Personnel!$E$30=24,Personnel!$G$30="Yes"),Personnel!$C$30*0.15,0)+IF(AND(Personnel!$E$31&gt;=2,Personnel!$E$31=24,Personnel!$G$31="Yes"),Personnel!$C$31*0.15,0)+IF(AND(Personnel!$E$32&gt;=2,Personnel!$E$32=24,Personnel!$G$32="Yes"),Personnel!$C$32*0.15,0)+IF(AND(Personnel!$E$33&gt;=2,Personnel!$E$33=24,Personnel!$G$33="Yes"),Personnel!$C$33*0.15,0)),Actuals!AC40)</f>
        <v>0</v>
      </c>
      <c r="AD43" s="3">
        <f>IF(ISBLANK(Actuals!AD40),-(IF(AND(Personnel!$E$2&gt;=2,Personnel!$E$2=25,Personnel!$G$2="Yes"),Personnel!$C$2*0.15,0)+IF(AND(Personnel!$E$3&gt;=2,Personnel!$E$3=25,Personnel!$G$3="Yes"),Personnel!$C$3*0.15,0)+IF(AND(Personnel!$E$4&gt;=2,Personnel!$E$4=25,Personnel!$G$4="Yes"),Personnel!$C$4*0.15,0)+IF(AND(Personnel!$E$5&gt;=2,Personnel!$E$5=25,Personnel!$G$5="Yes"),Personnel!$C$5*0.15,0)+IF(AND(Personnel!$E$6&gt;=2,Personnel!$E$6=25,Personnel!$G$6="Yes"),Personnel!$C$6*0.15,0)+IF(AND(Personnel!$E$7&gt;=2,Personnel!$E$7=25,Personnel!$G$7="Yes"),Personnel!$C$7*0.15,0)+IF(AND(Personnel!$E$8&gt;=2,Personnel!$E$8=25,Personnel!$G$8="Yes"),Personnel!$C$8*0.15,0)+IF(AND(Personnel!$E$9&gt;=2,Personnel!$E$9=25,Personnel!$G$9="Yes"),Personnel!$C$9*0.15,0)+IF(AND(Personnel!$E$10&gt;=2,Personnel!$E$10=25,Personnel!$G$10="Yes"),Personnel!$C$10*0.15,0)+IF(AND(Personnel!$E$11&gt;=2,Personnel!$E$11=25,Personnel!$G$11="Yes"),Personnel!$C$11*0.15,0)+IF(AND(Personnel!$E$12&gt;=2,Personnel!$E$12=25,Personnel!$G$12="Yes"),Personnel!$C$12*0.15,0)+IF(AND(Personnel!$E$13&gt;=2,Personnel!$E$13=25,Personnel!$G$13="Yes"),Personnel!$C$13*0.15,0)+IF(AND(Personnel!$E$14&gt;=2,Personnel!$E$14=25,Personnel!$G$14="Yes"),Personnel!$C$14*0.15,0)+IF(AND(Personnel!$E$15&gt;=2,Personnel!$E$15=25,Personnel!$G$15="Yes"),Personnel!$C$15*0.15,0)+IF(AND(Personnel!$E$16&gt;=2,Personnel!$E$16=25,Personnel!$G$16="Yes"),Personnel!$C$16*0.15,0)+IF(AND(Personnel!$E$17&gt;=2,Personnel!$E$17=25,Personnel!$G$17="Yes"),Personnel!$C$17*0.15,0)+IF(AND(Personnel!$E$18&gt;=2,Personnel!$E$18=25,Personnel!$G$18="Yes"),Personnel!$C$18*0.15,0)+IF(AND(Personnel!$E$19&gt;=2,Personnel!$E$19=25,Personnel!$G$19="Yes"),Personnel!$C$19*0.15,0)+IF(AND(Personnel!$E$20&gt;=2,Personnel!$E$20=25,Personnel!$G$20="Yes"),Personnel!$C$20*0.15,0)+IF(AND(Personnel!$E$21&gt;=2,Personnel!$E$21=25,Personnel!$G$21="Yes"),Personnel!$C$21*0.15,0)+IF(AND(Personnel!$E$22&gt;=2,Personnel!$E$22=25,Personnel!$G$22="Yes"),Personnel!$C$22*0.15,0)+IF(AND(Personnel!$E$23&gt;=2,Personnel!$E$23=25,Personnel!$G$23="Yes"),Personnel!$C$23*0.15,0)+IF(AND(Personnel!$E$24&gt;=2,Personnel!$E$24=25,Personnel!$G$24="Yes"),Personnel!$C$24*0.15,0)+IF(AND(Personnel!$E$25&gt;=2,Personnel!$E$25=25,Personnel!$G$25="Yes"),Personnel!$C$25*0.15,0)+IF(AND(Personnel!$E$26&gt;=2,Personnel!$E$26=25,Personnel!$G$26="Yes"),Personnel!$C$26*0.15,0)+IF(AND(Personnel!$E$27&gt;=2,Personnel!$E$27=25,Personnel!$G$27="Yes"),Personnel!$C$27*0.15,0)+IF(AND(Personnel!$E$28&gt;=2,Personnel!$E$28=25,Personnel!$G$28="Yes"),Personnel!$C$28*0.15,0)+IF(AND(Personnel!$E$29&gt;=2,Personnel!$E$29=25,Personnel!$G$29="Yes"),Personnel!$C$29*0.15,0)+IF(AND(Personnel!$E$30&gt;=2,Personnel!$E$30=25,Personnel!$G$30="Yes"),Personnel!$C$30*0.15,0)+IF(AND(Personnel!$E$31&gt;=2,Personnel!$E$31=25,Personnel!$G$31="Yes"),Personnel!$C$31*0.15,0)+IF(AND(Personnel!$E$32&gt;=2,Personnel!$E$32=25,Personnel!$G$32="Yes"),Personnel!$C$32*0.15,0)+IF(AND(Personnel!$E$33&gt;=2,Personnel!$E$33=25,Personnel!$G$33="Yes"),Personnel!$C$33*0.15,0)),Actuals!AD40)</f>
        <v>0</v>
      </c>
      <c r="AE43" s="3">
        <f>IF(ISBLANK(Actuals!AE40),-(IF(AND(Personnel!$E$2&gt;=2,Personnel!$E$2=26,Personnel!$G$2="Yes"),Personnel!$C$2*0.15,0)+IF(AND(Personnel!$E$3&gt;=2,Personnel!$E$3=26,Personnel!$G$3="Yes"),Personnel!$C$3*0.15,0)+IF(AND(Personnel!$E$4&gt;=2,Personnel!$E$4=26,Personnel!$G$4="Yes"),Personnel!$C$4*0.15,0)+IF(AND(Personnel!$E$5&gt;=2,Personnel!$E$5=26,Personnel!$G$5="Yes"),Personnel!$C$5*0.15,0)+IF(AND(Personnel!$E$6&gt;=2,Personnel!$E$6=26,Personnel!$G$6="Yes"),Personnel!$C$6*0.15,0)+IF(AND(Personnel!$E$7&gt;=2,Personnel!$E$7=26,Personnel!$G$7="Yes"),Personnel!$C$7*0.15,0)+IF(AND(Personnel!$E$8&gt;=2,Personnel!$E$8=26,Personnel!$G$8="Yes"),Personnel!$C$8*0.15,0)+IF(AND(Personnel!$E$9&gt;=2,Personnel!$E$9=26,Personnel!$G$9="Yes"),Personnel!$C$9*0.15,0)+IF(AND(Personnel!$E$10&gt;=2,Personnel!$E$10=26,Personnel!$G$10="Yes"),Personnel!$C$10*0.15,0)+IF(AND(Personnel!$E$11&gt;=2,Personnel!$E$11=26,Personnel!$G$11="Yes"),Personnel!$C$11*0.15,0)+IF(AND(Personnel!$E$12&gt;=2,Personnel!$E$12=26,Personnel!$G$12="Yes"),Personnel!$C$12*0.15,0)+IF(AND(Personnel!$E$13&gt;=2,Personnel!$E$13=26,Personnel!$G$13="Yes"),Personnel!$C$13*0.15,0)+IF(AND(Personnel!$E$14&gt;=2,Personnel!$E$14=26,Personnel!$G$14="Yes"),Personnel!$C$14*0.15,0)+IF(AND(Personnel!$E$15&gt;=2,Personnel!$E$15=26,Personnel!$G$15="Yes"),Personnel!$C$15*0.15,0)+IF(AND(Personnel!$E$16&gt;=2,Personnel!$E$16=26,Personnel!$G$16="Yes"),Personnel!$C$16*0.15,0)+IF(AND(Personnel!$E$17&gt;=2,Personnel!$E$17=26,Personnel!$G$17="Yes"),Personnel!$C$17*0.15,0)+IF(AND(Personnel!$E$18&gt;=2,Personnel!$E$18=26,Personnel!$G$18="Yes"),Personnel!$C$18*0.15,0)+IF(AND(Personnel!$E$19&gt;=2,Personnel!$E$19=26,Personnel!$G$19="Yes"),Personnel!$C$19*0.15,0)+IF(AND(Personnel!$E$20&gt;=2,Personnel!$E$20=26,Personnel!$G$20="Yes"),Personnel!$C$20*0.15,0)+IF(AND(Personnel!$E$21&gt;=2,Personnel!$E$21=26,Personnel!$G$21="Yes"),Personnel!$C$21*0.15,0)+IF(AND(Personnel!$E$22&gt;=2,Personnel!$E$22=26,Personnel!$G$22="Yes"),Personnel!$C$22*0.15,0)+IF(AND(Personnel!$E$23&gt;=2,Personnel!$E$23=26,Personnel!$G$23="Yes"),Personnel!$C$23*0.15,0)+IF(AND(Personnel!$E$24&gt;=2,Personnel!$E$24=26,Personnel!$G$24="Yes"),Personnel!$C$24*0.15,0)+IF(AND(Personnel!$E$25&gt;=2,Personnel!$E$25=26,Personnel!$G$25="Yes"),Personnel!$C$25*0.15,0)+IF(AND(Personnel!$E$26&gt;=2,Personnel!$E$26=26,Personnel!$G$26="Yes"),Personnel!$C$26*0.15,0)+IF(AND(Personnel!$E$27&gt;=2,Personnel!$E$27=26,Personnel!$G$27="Yes"),Personnel!$C$27*0.15,0)+IF(AND(Personnel!$E$28&gt;=2,Personnel!$E$28=26,Personnel!$G$28="Yes"),Personnel!$C$28*0.15,0)+IF(AND(Personnel!$E$29&gt;=2,Personnel!$E$29=26,Personnel!$G$29="Yes"),Personnel!$C$29*0.15,0)+IF(AND(Personnel!$E$30&gt;=2,Personnel!$E$30=26,Personnel!$G$30="Yes"),Personnel!$C$30*0.15,0)+IF(AND(Personnel!$E$31&gt;=2,Personnel!$E$31=26,Personnel!$G$31="Yes"),Personnel!$C$31*0.15,0)+IF(AND(Personnel!$E$32&gt;=2,Personnel!$E$32=26,Personnel!$G$32="Yes"),Personnel!$C$32*0.15,0)+IF(AND(Personnel!$E$33&gt;=2,Personnel!$E$33=26,Personnel!$G$33="Yes"),Personnel!$C$33*0.15,0)),Actuals!AE40)</f>
        <v>0</v>
      </c>
      <c r="AF43" s="3">
        <f>IF(ISBLANK(Actuals!AF40),-(IF(AND(Personnel!$E$2&gt;=2,Personnel!$E$2=27,Personnel!$G$2="Yes"),Personnel!$C$2*0.15,0)+IF(AND(Personnel!$E$3&gt;=2,Personnel!$E$3=27,Personnel!$G$3="Yes"),Personnel!$C$3*0.15,0)+IF(AND(Personnel!$E$4&gt;=2,Personnel!$E$4=27,Personnel!$G$4="Yes"),Personnel!$C$4*0.15,0)+IF(AND(Personnel!$E$5&gt;=2,Personnel!$E$5=27,Personnel!$G$5="Yes"),Personnel!$C$5*0.15,0)+IF(AND(Personnel!$E$6&gt;=2,Personnel!$E$6=27,Personnel!$G$6="Yes"),Personnel!$C$6*0.15,0)+IF(AND(Personnel!$E$7&gt;=2,Personnel!$E$7=27,Personnel!$G$7="Yes"),Personnel!$C$7*0.15,0)+IF(AND(Personnel!$E$8&gt;=2,Personnel!$E$8=27,Personnel!$G$8="Yes"),Personnel!$C$8*0.15,0)+IF(AND(Personnel!$E$9&gt;=2,Personnel!$E$9=27,Personnel!$G$9="Yes"),Personnel!$C$9*0.15,0)+IF(AND(Personnel!$E$10&gt;=2,Personnel!$E$10=27,Personnel!$G$10="Yes"),Personnel!$C$10*0.15,0)+IF(AND(Personnel!$E$11&gt;=2,Personnel!$E$11=27,Personnel!$G$11="Yes"),Personnel!$C$11*0.15,0)+IF(AND(Personnel!$E$12&gt;=2,Personnel!$E$12=27,Personnel!$G$12="Yes"),Personnel!$C$12*0.15,0)+IF(AND(Personnel!$E$13&gt;=2,Personnel!$E$13=27,Personnel!$G$13="Yes"),Personnel!$C$13*0.15,0)+IF(AND(Personnel!$E$14&gt;=2,Personnel!$E$14=27,Personnel!$G$14="Yes"),Personnel!$C$14*0.15,0)+IF(AND(Personnel!$E$15&gt;=2,Personnel!$E$15=27,Personnel!$G$15="Yes"),Personnel!$C$15*0.15,0)+IF(AND(Personnel!$E$16&gt;=2,Personnel!$E$16=27,Personnel!$G$16="Yes"),Personnel!$C$16*0.15,0)+IF(AND(Personnel!$E$17&gt;=2,Personnel!$E$17=27,Personnel!$G$17="Yes"),Personnel!$C$17*0.15,0)+IF(AND(Personnel!$E$18&gt;=2,Personnel!$E$18=27,Personnel!$G$18="Yes"),Personnel!$C$18*0.15,0)+IF(AND(Personnel!$E$19&gt;=2,Personnel!$E$19=27,Personnel!$G$19="Yes"),Personnel!$C$19*0.15,0)+IF(AND(Personnel!$E$20&gt;=2,Personnel!$E$20=27,Personnel!$G$20="Yes"),Personnel!$C$20*0.15,0)+IF(AND(Personnel!$E$21&gt;=2,Personnel!$E$21=27,Personnel!$G$21="Yes"),Personnel!$C$21*0.15,0)+IF(AND(Personnel!$E$22&gt;=2,Personnel!$E$22=27,Personnel!$G$22="Yes"),Personnel!$C$22*0.15,0)+IF(AND(Personnel!$E$23&gt;=2,Personnel!$E$23=27,Personnel!$G$23="Yes"),Personnel!$C$23*0.15,0)+IF(AND(Personnel!$E$24&gt;=2,Personnel!$E$24=27,Personnel!$G$24="Yes"),Personnel!$C$24*0.15,0)+IF(AND(Personnel!$E$25&gt;=2,Personnel!$E$25=27,Personnel!$G$25="Yes"),Personnel!$C$25*0.15,0)+IF(AND(Personnel!$E$26&gt;=2,Personnel!$E$26=27,Personnel!$G$26="Yes"),Personnel!$C$26*0.15,0)+IF(AND(Personnel!$E$27&gt;=2,Personnel!$E$27=27,Personnel!$G$27="Yes"),Personnel!$C$27*0.15,0)+IF(AND(Personnel!$E$28&gt;=2,Personnel!$E$28=27,Personnel!$G$28="Yes"),Personnel!$C$28*0.15,0)+IF(AND(Personnel!$E$29&gt;=2,Personnel!$E$29=27,Personnel!$G$29="Yes"),Personnel!$C$29*0.15,0)+IF(AND(Personnel!$E$30&gt;=2,Personnel!$E$30=27,Personnel!$G$30="Yes"),Personnel!$C$30*0.15,0)+IF(AND(Personnel!$E$31&gt;=2,Personnel!$E$31=27,Personnel!$G$31="Yes"),Personnel!$C$31*0.15,0)+IF(AND(Personnel!$E$32&gt;=2,Personnel!$E$32=27,Personnel!$G$32="Yes"),Personnel!$C$32*0.15,0)+IF(AND(Personnel!$E$33&gt;=2,Personnel!$E$33=27,Personnel!$G$33="Yes"),Personnel!$C$33*0.15,0)),Actuals!AF40)</f>
        <v>0</v>
      </c>
      <c r="AG43" s="3">
        <f>IF(ISBLANK(Actuals!AG40),-(IF(AND(Personnel!$E$2&gt;=2,Personnel!$E$2=28,Personnel!$G$2="Yes"),Personnel!$C$2*0.15,0)+IF(AND(Personnel!$E$3&gt;=2,Personnel!$E$3=28,Personnel!$G$3="Yes"),Personnel!$C$3*0.15,0)+IF(AND(Personnel!$E$4&gt;=2,Personnel!$E$4=28,Personnel!$G$4="Yes"),Personnel!$C$4*0.15,0)+IF(AND(Personnel!$E$5&gt;=2,Personnel!$E$5=28,Personnel!$G$5="Yes"),Personnel!$C$5*0.15,0)+IF(AND(Personnel!$E$6&gt;=2,Personnel!$E$6=28,Personnel!$G$6="Yes"),Personnel!$C$6*0.15,0)+IF(AND(Personnel!$E$7&gt;=2,Personnel!$E$7=28,Personnel!$G$7="Yes"),Personnel!$C$7*0.15,0)+IF(AND(Personnel!$E$8&gt;=2,Personnel!$E$8=28,Personnel!$G$8="Yes"),Personnel!$C$8*0.15,0)+IF(AND(Personnel!$E$9&gt;=2,Personnel!$E$9=28,Personnel!$G$9="Yes"),Personnel!$C$9*0.15,0)+IF(AND(Personnel!$E$10&gt;=2,Personnel!$E$10=28,Personnel!$G$10="Yes"),Personnel!$C$10*0.15,0)+IF(AND(Personnel!$E$11&gt;=2,Personnel!$E$11=28,Personnel!$G$11="Yes"),Personnel!$C$11*0.15,0)+IF(AND(Personnel!$E$12&gt;=2,Personnel!$E$12=28,Personnel!$G$12="Yes"),Personnel!$C$12*0.15,0)+IF(AND(Personnel!$E$13&gt;=2,Personnel!$E$13=28,Personnel!$G$13="Yes"),Personnel!$C$13*0.15,0)+IF(AND(Personnel!$E$14&gt;=2,Personnel!$E$14=28,Personnel!$G$14="Yes"),Personnel!$C$14*0.15,0)+IF(AND(Personnel!$E$15&gt;=2,Personnel!$E$15=28,Personnel!$G$15="Yes"),Personnel!$C$15*0.15,0)+IF(AND(Personnel!$E$16&gt;=2,Personnel!$E$16=28,Personnel!$G$16="Yes"),Personnel!$C$16*0.15,0)+IF(AND(Personnel!$E$17&gt;=2,Personnel!$E$17=28,Personnel!$G$17="Yes"),Personnel!$C$17*0.15,0)+IF(AND(Personnel!$E$18&gt;=2,Personnel!$E$18=28,Personnel!$G$18="Yes"),Personnel!$C$18*0.15,0)+IF(AND(Personnel!$E$19&gt;=2,Personnel!$E$19=28,Personnel!$G$19="Yes"),Personnel!$C$19*0.15,0)+IF(AND(Personnel!$E$20&gt;=2,Personnel!$E$20=28,Personnel!$G$20="Yes"),Personnel!$C$20*0.15,0)+IF(AND(Personnel!$E$21&gt;=2,Personnel!$E$21=28,Personnel!$G$21="Yes"),Personnel!$C$21*0.15,0)+IF(AND(Personnel!$E$22&gt;=2,Personnel!$E$22=28,Personnel!$G$22="Yes"),Personnel!$C$22*0.15,0)+IF(AND(Personnel!$E$23&gt;=2,Personnel!$E$23=28,Personnel!$G$23="Yes"),Personnel!$C$23*0.15,0)+IF(AND(Personnel!$E$24&gt;=2,Personnel!$E$24=28,Personnel!$G$24="Yes"),Personnel!$C$24*0.15,0)+IF(AND(Personnel!$E$25&gt;=2,Personnel!$E$25=28,Personnel!$G$25="Yes"),Personnel!$C$25*0.15,0)+IF(AND(Personnel!$E$26&gt;=2,Personnel!$E$26=28,Personnel!$G$26="Yes"),Personnel!$C$26*0.15,0)+IF(AND(Personnel!$E$27&gt;=2,Personnel!$E$27=28,Personnel!$G$27="Yes"),Personnel!$C$27*0.15,0)+IF(AND(Personnel!$E$28&gt;=2,Personnel!$E$28=28,Personnel!$G$28="Yes"),Personnel!$C$28*0.15,0)+IF(AND(Personnel!$E$29&gt;=2,Personnel!$E$29=28,Personnel!$G$29="Yes"),Personnel!$C$29*0.15,0)+IF(AND(Personnel!$E$30&gt;=2,Personnel!$E$30=28,Personnel!$G$30="Yes"),Personnel!$C$30*0.15,0)+IF(AND(Personnel!$E$31&gt;=2,Personnel!$E$31=28,Personnel!$G$31="Yes"),Personnel!$C$31*0.15,0)+IF(AND(Personnel!$E$32&gt;=2,Personnel!$E$32=28,Personnel!$G$32="Yes"),Personnel!$C$32*0.15,0)+IF(AND(Personnel!$E$33&gt;=2,Personnel!$E$33=28,Personnel!$G$33="Yes"),Personnel!$C$33*0.15,0)),Actuals!AG40)</f>
        <v>0</v>
      </c>
      <c r="AH43" s="3">
        <f>IF(ISBLANK(Actuals!AH40),-(IF(AND(Personnel!$E$2&gt;=2,Personnel!$E$2=29,Personnel!$G$2="Yes"),Personnel!$C$2*0.15,0)+IF(AND(Personnel!$E$3&gt;=2,Personnel!$E$3=29,Personnel!$G$3="Yes"),Personnel!$C$3*0.15,0)+IF(AND(Personnel!$E$4&gt;=2,Personnel!$E$4=29,Personnel!$G$4="Yes"),Personnel!$C$4*0.15,0)+IF(AND(Personnel!$E$5&gt;=2,Personnel!$E$5=29,Personnel!$G$5="Yes"),Personnel!$C$5*0.15,0)+IF(AND(Personnel!$E$6&gt;=2,Personnel!$E$6=29,Personnel!$G$6="Yes"),Personnel!$C$6*0.15,0)+IF(AND(Personnel!$E$7&gt;=2,Personnel!$E$7=29,Personnel!$G$7="Yes"),Personnel!$C$7*0.15,0)+IF(AND(Personnel!$E$8&gt;=2,Personnel!$E$8=29,Personnel!$G$8="Yes"),Personnel!$C$8*0.15,0)+IF(AND(Personnel!$E$9&gt;=2,Personnel!$E$9=29,Personnel!$G$9="Yes"),Personnel!$C$9*0.15,0)+IF(AND(Personnel!$E$10&gt;=2,Personnel!$E$10=29,Personnel!$G$10="Yes"),Personnel!$C$10*0.15,0)+IF(AND(Personnel!$E$11&gt;=2,Personnel!$E$11=29,Personnel!$G$11="Yes"),Personnel!$C$11*0.15,0)+IF(AND(Personnel!$E$12&gt;=2,Personnel!$E$12=29,Personnel!$G$12="Yes"),Personnel!$C$12*0.15,0)+IF(AND(Personnel!$E$13&gt;=2,Personnel!$E$13=29,Personnel!$G$13="Yes"),Personnel!$C$13*0.15,0)+IF(AND(Personnel!$E$14&gt;=2,Personnel!$E$14=29,Personnel!$G$14="Yes"),Personnel!$C$14*0.15,0)+IF(AND(Personnel!$E$15&gt;=2,Personnel!$E$15=29,Personnel!$G$15="Yes"),Personnel!$C$15*0.15,0)+IF(AND(Personnel!$E$16&gt;=2,Personnel!$E$16=29,Personnel!$G$16="Yes"),Personnel!$C$16*0.15,0)+IF(AND(Personnel!$E$17&gt;=2,Personnel!$E$17=29,Personnel!$G$17="Yes"),Personnel!$C$17*0.15,0)+IF(AND(Personnel!$E$18&gt;=2,Personnel!$E$18=29,Personnel!$G$18="Yes"),Personnel!$C$18*0.15,0)+IF(AND(Personnel!$E$19&gt;=2,Personnel!$E$19=29,Personnel!$G$19="Yes"),Personnel!$C$19*0.15,0)+IF(AND(Personnel!$E$20&gt;=2,Personnel!$E$20=29,Personnel!$G$20="Yes"),Personnel!$C$20*0.15,0)+IF(AND(Personnel!$E$21&gt;=2,Personnel!$E$21=29,Personnel!$G$21="Yes"),Personnel!$C$21*0.15,0)+IF(AND(Personnel!$E$22&gt;=2,Personnel!$E$22=29,Personnel!$G$22="Yes"),Personnel!$C$22*0.15,0)+IF(AND(Personnel!$E$23&gt;=2,Personnel!$E$23=29,Personnel!$G$23="Yes"),Personnel!$C$23*0.15,0)+IF(AND(Personnel!$E$24&gt;=2,Personnel!$E$24=29,Personnel!$G$24="Yes"),Personnel!$C$24*0.15,0)+IF(AND(Personnel!$E$25&gt;=2,Personnel!$E$25=29,Personnel!$G$25="Yes"),Personnel!$C$25*0.15,0)+IF(AND(Personnel!$E$26&gt;=2,Personnel!$E$26=29,Personnel!$G$26="Yes"),Personnel!$C$26*0.15,0)+IF(AND(Personnel!$E$27&gt;=2,Personnel!$E$27=29,Personnel!$G$27="Yes"),Personnel!$C$27*0.15,0)+IF(AND(Personnel!$E$28&gt;=2,Personnel!$E$28=29,Personnel!$G$28="Yes"),Personnel!$C$28*0.15,0)+IF(AND(Personnel!$E$29&gt;=2,Personnel!$E$29=29,Personnel!$G$29="Yes"),Personnel!$C$29*0.15,0)+IF(AND(Personnel!$E$30&gt;=2,Personnel!$E$30=29,Personnel!$G$30="Yes"),Personnel!$C$30*0.15,0)+IF(AND(Personnel!$E$31&gt;=2,Personnel!$E$31=29,Personnel!$G$31="Yes"),Personnel!$C$31*0.15,0)+IF(AND(Personnel!$E$32&gt;=2,Personnel!$E$32=29,Personnel!$G$32="Yes"),Personnel!$C$32*0.15,0)+IF(AND(Personnel!$E$33&gt;=2,Personnel!$E$33=29,Personnel!$G$33="Yes"),Personnel!$C$33*0.15,0)),Actuals!AH40)</f>
        <v>0</v>
      </c>
      <c r="AI43" s="3">
        <f>IF(ISBLANK(Actuals!AI40),-(IF(AND(Personnel!$E$2&gt;=2,Personnel!$E$2=30,Personnel!$G$2="Yes"),Personnel!$C$2*0.15,0)+IF(AND(Personnel!$E$3&gt;=2,Personnel!$E$3=30,Personnel!$G$3="Yes"),Personnel!$C$3*0.15,0)+IF(AND(Personnel!$E$4&gt;=2,Personnel!$E$4=30,Personnel!$G$4="Yes"),Personnel!$C$4*0.15,0)+IF(AND(Personnel!$E$5&gt;=2,Personnel!$E$5=30,Personnel!$G$5="Yes"),Personnel!$C$5*0.15,0)+IF(AND(Personnel!$E$6&gt;=2,Personnel!$E$6=30,Personnel!$G$6="Yes"),Personnel!$C$6*0.15,0)+IF(AND(Personnel!$E$7&gt;=2,Personnel!$E$7=30,Personnel!$G$7="Yes"),Personnel!$C$7*0.15,0)+IF(AND(Personnel!$E$8&gt;=2,Personnel!$E$8=30,Personnel!$G$8="Yes"),Personnel!$C$8*0.15,0)+IF(AND(Personnel!$E$9&gt;=2,Personnel!$E$9=30,Personnel!$G$9="Yes"),Personnel!$C$9*0.15,0)+IF(AND(Personnel!$E$10&gt;=2,Personnel!$E$10=30,Personnel!$G$10="Yes"),Personnel!$C$10*0.15,0)+IF(AND(Personnel!$E$11&gt;=2,Personnel!$E$11=30,Personnel!$G$11="Yes"),Personnel!$C$11*0.15,0)+IF(AND(Personnel!$E$12&gt;=2,Personnel!$E$12=30,Personnel!$G$12="Yes"),Personnel!$C$12*0.15,0)+IF(AND(Personnel!$E$13&gt;=2,Personnel!$E$13=30,Personnel!$G$13="Yes"),Personnel!$C$13*0.15,0)+IF(AND(Personnel!$E$14&gt;=2,Personnel!$E$14=30,Personnel!$G$14="Yes"),Personnel!$C$14*0.15,0)+IF(AND(Personnel!$E$15&gt;=2,Personnel!$E$15=30,Personnel!$G$15="Yes"),Personnel!$C$15*0.15,0)+IF(AND(Personnel!$E$16&gt;=2,Personnel!$E$16=30,Personnel!$G$16="Yes"),Personnel!$C$16*0.15,0)+IF(AND(Personnel!$E$17&gt;=2,Personnel!$E$17=30,Personnel!$G$17="Yes"),Personnel!$C$17*0.15,0)+IF(AND(Personnel!$E$18&gt;=2,Personnel!$E$18=30,Personnel!$G$18="Yes"),Personnel!$C$18*0.15,0)+IF(AND(Personnel!$E$19&gt;=2,Personnel!$E$19=30,Personnel!$G$19="Yes"),Personnel!$C$19*0.15,0)+IF(AND(Personnel!$E$20&gt;=2,Personnel!$E$20=30,Personnel!$G$20="Yes"),Personnel!$C$20*0.15,0)+IF(AND(Personnel!$E$21&gt;=2,Personnel!$E$21=30,Personnel!$G$21="Yes"),Personnel!$C$21*0.15,0)+IF(AND(Personnel!$E$22&gt;=2,Personnel!$E$22=30,Personnel!$G$22="Yes"),Personnel!$C$22*0.15,0)+IF(AND(Personnel!$E$23&gt;=2,Personnel!$E$23=30,Personnel!$G$23="Yes"),Personnel!$C$23*0.15,0)+IF(AND(Personnel!$E$24&gt;=2,Personnel!$E$24=30,Personnel!$G$24="Yes"),Personnel!$C$24*0.15,0)+IF(AND(Personnel!$E$25&gt;=2,Personnel!$E$25=30,Personnel!$G$25="Yes"),Personnel!$C$25*0.15,0)+IF(AND(Personnel!$E$26&gt;=2,Personnel!$E$26=30,Personnel!$G$26="Yes"),Personnel!$C$26*0.15,0)+IF(AND(Personnel!$E$27&gt;=2,Personnel!$E$27=30,Personnel!$G$27="Yes"),Personnel!$C$27*0.15,0)+IF(AND(Personnel!$E$28&gt;=2,Personnel!$E$28=30,Personnel!$G$28="Yes"),Personnel!$C$28*0.15,0)+IF(AND(Personnel!$E$29&gt;=2,Personnel!$E$29=30,Personnel!$G$29="Yes"),Personnel!$C$29*0.15,0)+IF(AND(Personnel!$E$30&gt;=2,Personnel!$E$30=30,Personnel!$G$30="Yes"),Personnel!$C$30*0.15,0)+IF(AND(Personnel!$E$31&gt;=2,Personnel!$E$31=30,Personnel!$G$31="Yes"),Personnel!$C$31*0.15,0)+IF(AND(Personnel!$E$32&gt;=2,Personnel!$E$32=30,Personnel!$G$32="Yes"),Personnel!$C$32*0.15,0)+IF(AND(Personnel!$E$33&gt;=2,Personnel!$E$33=30,Personnel!$G$33="Yes"),Personnel!$C$33*0.15,0)),Actuals!AI40)</f>
        <v>0</v>
      </c>
      <c r="AJ43" s="3">
        <f>IF(ISBLANK(Actuals!AJ40),-(IF(AND(Personnel!$E$2&gt;=2,Personnel!$E$2=31,Personnel!$G$2="Yes"),Personnel!$C$2*0.15,0)+IF(AND(Personnel!$E$3&gt;=2,Personnel!$E$3=31,Personnel!$G$3="Yes"),Personnel!$C$3*0.15,0)+IF(AND(Personnel!$E$4&gt;=2,Personnel!$E$4=31,Personnel!$G$4="Yes"),Personnel!$C$4*0.15,0)+IF(AND(Personnel!$E$5&gt;=2,Personnel!$E$5=31,Personnel!$G$5="Yes"),Personnel!$C$5*0.15,0)+IF(AND(Personnel!$E$6&gt;=2,Personnel!$E$6=31,Personnel!$G$6="Yes"),Personnel!$C$6*0.15,0)+IF(AND(Personnel!$E$7&gt;=2,Personnel!$E$7=31,Personnel!$G$7="Yes"),Personnel!$C$7*0.15,0)+IF(AND(Personnel!$E$8&gt;=2,Personnel!$E$8=31,Personnel!$G$8="Yes"),Personnel!$C$8*0.15,0)+IF(AND(Personnel!$E$9&gt;=2,Personnel!$E$9=31,Personnel!$G$9="Yes"),Personnel!$C$9*0.15,0)+IF(AND(Personnel!$E$10&gt;=2,Personnel!$E$10=31,Personnel!$G$10="Yes"),Personnel!$C$10*0.15,0)+IF(AND(Personnel!$E$11&gt;=2,Personnel!$E$11=31,Personnel!$G$11="Yes"),Personnel!$C$11*0.15,0)+IF(AND(Personnel!$E$12&gt;=2,Personnel!$E$12=31,Personnel!$G$12="Yes"),Personnel!$C$12*0.15,0)+IF(AND(Personnel!$E$13&gt;=2,Personnel!$E$13=31,Personnel!$G$13="Yes"),Personnel!$C$13*0.15,0)+IF(AND(Personnel!$E$14&gt;=2,Personnel!$E$14=31,Personnel!$G$14="Yes"),Personnel!$C$14*0.15,0)+IF(AND(Personnel!$E$15&gt;=2,Personnel!$E$15=31,Personnel!$G$15="Yes"),Personnel!$C$15*0.15,0)+IF(AND(Personnel!$E$16&gt;=2,Personnel!$E$16=31,Personnel!$G$16="Yes"),Personnel!$C$16*0.15,0)+IF(AND(Personnel!$E$17&gt;=2,Personnel!$E$17=31,Personnel!$G$17="Yes"),Personnel!$C$17*0.15,0)+IF(AND(Personnel!$E$18&gt;=2,Personnel!$E$18=31,Personnel!$G$18="Yes"),Personnel!$C$18*0.15,0)+IF(AND(Personnel!$E$19&gt;=2,Personnel!$E$19=31,Personnel!$G$19="Yes"),Personnel!$C$19*0.15,0)+IF(AND(Personnel!$E$20&gt;=2,Personnel!$E$20=31,Personnel!$G$20="Yes"),Personnel!$C$20*0.15,0)+IF(AND(Personnel!$E$21&gt;=2,Personnel!$E$21=31,Personnel!$G$21="Yes"),Personnel!$C$21*0.15,0)+IF(AND(Personnel!$E$22&gt;=2,Personnel!$E$22=31,Personnel!$G$22="Yes"),Personnel!$C$22*0.15,0)+IF(AND(Personnel!$E$23&gt;=2,Personnel!$E$23=31,Personnel!$G$23="Yes"),Personnel!$C$23*0.15,0)+IF(AND(Personnel!$E$24&gt;=2,Personnel!$E$24=31,Personnel!$G$24="Yes"),Personnel!$C$24*0.15,0)+IF(AND(Personnel!$E$25&gt;=2,Personnel!$E$25=31,Personnel!$G$25="Yes"),Personnel!$C$25*0.15,0)+IF(AND(Personnel!$E$26&gt;=2,Personnel!$E$26=31,Personnel!$G$26="Yes"),Personnel!$C$26*0.15,0)+IF(AND(Personnel!$E$27&gt;=2,Personnel!$E$27=31,Personnel!$G$27="Yes"),Personnel!$C$27*0.15,0)+IF(AND(Personnel!$E$28&gt;=2,Personnel!$E$28=31,Personnel!$G$28="Yes"),Personnel!$C$28*0.15,0)+IF(AND(Personnel!$E$29&gt;=2,Personnel!$E$29=31,Personnel!$G$29="Yes"),Personnel!$C$29*0.15,0)+IF(AND(Personnel!$E$30&gt;=2,Personnel!$E$30=31,Personnel!$G$30="Yes"),Personnel!$C$30*0.15,0)+IF(AND(Personnel!$E$31&gt;=2,Personnel!$E$31=31,Personnel!$G$31="Yes"),Personnel!$C$31*0.15,0)+IF(AND(Personnel!$E$32&gt;=2,Personnel!$E$32=31,Personnel!$G$32="Yes"),Personnel!$C$32*0.15,0)+IF(AND(Personnel!$E$33&gt;=2,Personnel!$E$33=31,Personnel!$G$33="Yes"),Personnel!$C$33*0.15,0)),Actuals!AJ40)</f>
        <v>0</v>
      </c>
      <c r="AK43" s="3">
        <f>IF(ISBLANK(Actuals!AK40),-(IF(AND(Personnel!$E$2&gt;=2,Personnel!$E$2=32,Personnel!$G$2="Yes"),Personnel!$C$2*0.15,0)+IF(AND(Personnel!$E$3&gt;=2,Personnel!$E$3=32,Personnel!$G$3="Yes"),Personnel!$C$3*0.15,0)+IF(AND(Personnel!$E$4&gt;=2,Personnel!$E$4=32,Personnel!$G$4="Yes"),Personnel!$C$4*0.15,0)+IF(AND(Personnel!$E$5&gt;=2,Personnel!$E$5=32,Personnel!$G$5="Yes"),Personnel!$C$5*0.15,0)+IF(AND(Personnel!$E$6&gt;=2,Personnel!$E$6=32,Personnel!$G$6="Yes"),Personnel!$C$6*0.15,0)+IF(AND(Personnel!$E$7&gt;=2,Personnel!$E$7=32,Personnel!$G$7="Yes"),Personnel!$C$7*0.15,0)+IF(AND(Personnel!$E$8&gt;=2,Personnel!$E$8=32,Personnel!$G$8="Yes"),Personnel!$C$8*0.15,0)+IF(AND(Personnel!$E$9&gt;=2,Personnel!$E$9=32,Personnel!$G$9="Yes"),Personnel!$C$9*0.15,0)+IF(AND(Personnel!$E$10&gt;=2,Personnel!$E$10=32,Personnel!$G$10="Yes"),Personnel!$C$10*0.15,0)+IF(AND(Personnel!$E$11&gt;=2,Personnel!$E$11=32,Personnel!$G$11="Yes"),Personnel!$C$11*0.15,0)+IF(AND(Personnel!$E$12&gt;=2,Personnel!$E$12=32,Personnel!$G$12="Yes"),Personnel!$C$12*0.15,0)+IF(AND(Personnel!$E$13&gt;=2,Personnel!$E$13=32,Personnel!$G$13="Yes"),Personnel!$C$13*0.15,0)+IF(AND(Personnel!$E$14&gt;=2,Personnel!$E$14=32,Personnel!$G$14="Yes"),Personnel!$C$14*0.15,0)+IF(AND(Personnel!$E$15&gt;=2,Personnel!$E$15=32,Personnel!$G$15="Yes"),Personnel!$C$15*0.15,0)+IF(AND(Personnel!$E$16&gt;=2,Personnel!$E$16=32,Personnel!$G$16="Yes"),Personnel!$C$16*0.15,0)+IF(AND(Personnel!$E$17&gt;=2,Personnel!$E$17=32,Personnel!$G$17="Yes"),Personnel!$C$17*0.15,0)+IF(AND(Personnel!$E$18&gt;=2,Personnel!$E$18=32,Personnel!$G$18="Yes"),Personnel!$C$18*0.15,0)+IF(AND(Personnel!$E$19&gt;=2,Personnel!$E$19=32,Personnel!$G$19="Yes"),Personnel!$C$19*0.15,0)+IF(AND(Personnel!$E$20&gt;=2,Personnel!$E$20=32,Personnel!$G$20="Yes"),Personnel!$C$20*0.15,0)+IF(AND(Personnel!$E$21&gt;=2,Personnel!$E$21=32,Personnel!$G$21="Yes"),Personnel!$C$21*0.15,0)+IF(AND(Personnel!$E$22&gt;=2,Personnel!$E$22=32,Personnel!$G$22="Yes"),Personnel!$C$22*0.15,0)+IF(AND(Personnel!$E$23&gt;=2,Personnel!$E$23=32,Personnel!$G$23="Yes"),Personnel!$C$23*0.15,0)+IF(AND(Personnel!$E$24&gt;=2,Personnel!$E$24=32,Personnel!$G$24="Yes"),Personnel!$C$24*0.15,0)+IF(AND(Personnel!$E$25&gt;=2,Personnel!$E$25=32,Personnel!$G$25="Yes"),Personnel!$C$25*0.15,0)+IF(AND(Personnel!$E$26&gt;=2,Personnel!$E$26=32,Personnel!$G$26="Yes"),Personnel!$C$26*0.15,0)+IF(AND(Personnel!$E$27&gt;=2,Personnel!$E$27=32,Personnel!$G$27="Yes"),Personnel!$C$27*0.15,0)+IF(AND(Personnel!$E$28&gt;=2,Personnel!$E$28=32,Personnel!$G$28="Yes"),Personnel!$C$28*0.15,0)+IF(AND(Personnel!$E$29&gt;=2,Personnel!$E$29=32,Personnel!$G$29="Yes"),Personnel!$C$29*0.15,0)+IF(AND(Personnel!$E$30&gt;=2,Personnel!$E$30=32,Personnel!$G$30="Yes"),Personnel!$C$30*0.15,0)+IF(AND(Personnel!$E$31&gt;=2,Personnel!$E$31=32,Personnel!$G$31="Yes"),Personnel!$C$31*0.15,0)+IF(AND(Personnel!$E$32&gt;=2,Personnel!$E$32=32,Personnel!$G$32="Yes"),Personnel!$C$32*0.15,0)+IF(AND(Personnel!$E$33&gt;=2,Personnel!$E$33=32,Personnel!$G$33="Yes"),Personnel!$C$33*0.15,0)),Actuals!AK40)</f>
        <v>0</v>
      </c>
      <c r="AL43" s="3">
        <f>IF(ISBLANK(Actuals!AL40),-(IF(AND(Personnel!$E$2&gt;=2,Personnel!$E$2=33,Personnel!$G$2="Yes"),Personnel!$C$2*0.15,0)+IF(AND(Personnel!$E$3&gt;=2,Personnel!$E$3=33,Personnel!$G$3="Yes"),Personnel!$C$3*0.15,0)+IF(AND(Personnel!$E$4&gt;=2,Personnel!$E$4=33,Personnel!$G$4="Yes"),Personnel!$C$4*0.15,0)+IF(AND(Personnel!$E$5&gt;=2,Personnel!$E$5=33,Personnel!$G$5="Yes"),Personnel!$C$5*0.15,0)+IF(AND(Personnel!$E$6&gt;=2,Personnel!$E$6=33,Personnel!$G$6="Yes"),Personnel!$C$6*0.15,0)+IF(AND(Personnel!$E$7&gt;=2,Personnel!$E$7=33,Personnel!$G$7="Yes"),Personnel!$C$7*0.15,0)+IF(AND(Personnel!$E$8&gt;=2,Personnel!$E$8=33,Personnel!$G$8="Yes"),Personnel!$C$8*0.15,0)+IF(AND(Personnel!$E$9&gt;=2,Personnel!$E$9=33,Personnel!$G$9="Yes"),Personnel!$C$9*0.15,0)+IF(AND(Personnel!$E$10&gt;=2,Personnel!$E$10=33,Personnel!$G$10="Yes"),Personnel!$C$10*0.15,0)+IF(AND(Personnel!$E$11&gt;=2,Personnel!$E$11=33,Personnel!$G$11="Yes"),Personnel!$C$11*0.15,0)+IF(AND(Personnel!$E$12&gt;=2,Personnel!$E$12=33,Personnel!$G$12="Yes"),Personnel!$C$12*0.15,0)+IF(AND(Personnel!$E$13&gt;=2,Personnel!$E$13=33,Personnel!$G$13="Yes"),Personnel!$C$13*0.15,0)+IF(AND(Personnel!$E$14&gt;=2,Personnel!$E$14=33,Personnel!$G$14="Yes"),Personnel!$C$14*0.15,0)+IF(AND(Personnel!$E$15&gt;=2,Personnel!$E$15=33,Personnel!$G$15="Yes"),Personnel!$C$15*0.15,0)+IF(AND(Personnel!$E$16&gt;=2,Personnel!$E$16=33,Personnel!$G$16="Yes"),Personnel!$C$16*0.15,0)+IF(AND(Personnel!$E$17&gt;=2,Personnel!$E$17=33,Personnel!$G$17="Yes"),Personnel!$C$17*0.15,0)+IF(AND(Personnel!$E$18&gt;=2,Personnel!$E$18=33,Personnel!$G$18="Yes"),Personnel!$C$18*0.15,0)+IF(AND(Personnel!$E$19&gt;=2,Personnel!$E$19=33,Personnel!$G$19="Yes"),Personnel!$C$19*0.15,0)+IF(AND(Personnel!$E$20&gt;=2,Personnel!$E$20=33,Personnel!$G$20="Yes"),Personnel!$C$20*0.15,0)+IF(AND(Personnel!$E$21&gt;=2,Personnel!$E$21=33,Personnel!$G$21="Yes"),Personnel!$C$21*0.15,0)+IF(AND(Personnel!$E$22&gt;=2,Personnel!$E$22=33,Personnel!$G$22="Yes"),Personnel!$C$22*0.15,0)+IF(AND(Personnel!$E$23&gt;=2,Personnel!$E$23=33,Personnel!$G$23="Yes"),Personnel!$C$23*0.15,0)+IF(AND(Personnel!$E$24&gt;=2,Personnel!$E$24=33,Personnel!$G$24="Yes"),Personnel!$C$24*0.15,0)+IF(AND(Personnel!$E$25&gt;=2,Personnel!$E$25=33,Personnel!$G$25="Yes"),Personnel!$C$25*0.15,0)+IF(AND(Personnel!$E$26&gt;=2,Personnel!$E$26=33,Personnel!$G$26="Yes"),Personnel!$C$26*0.15,0)+IF(AND(Personnel!$E$27&gt;=2,Personnel!$E$27=33,Personnel!$G$27="Yes"),Personnel!$C$27*0.15,0)+IF(AND(Personnel!$E$28&gt;=2,Personnel!$E$28=33,Personnel!$G$28="Yes"),Personnel!$C$28*0.15,0)+IF(AND(Personnel!$E$29&gt;=2,Personnel!$E$29=33,Personnel!$G$29="Yes"),Personnel!$C$29*0.15,0)+IF(AND(Personnel!$E$30&gt;=2,Personnel!$E$30=33,Personnel!$G$30="Yes"),Personnel!$C$30*0.15,0)+IF(AND(Personnel!$E$31&gt;=2,Personnel!$E$31=33,Personnel!$G$31="Yes"),Personnel!$C$31*0.15,0)+IF(AND(Personnel!$E$32&gt;=2,Personnel!$E$32=33,Personnel!$G$32="Yes"),Personnel!$C$32*0.15,0)+IF(AND(Personnel!$E$33&gt;=2,Personnel!$E$33=33,Personnel!$G$33="Yes"),Personnel!$C$33*0.15,0)),Actuals!AL40)</f>
        <v>0</v>
      </c>
      <c r="AM43" s="3">
        <f>IF(ISBLANK(Actuals!AM40),-(IF(AND(Personnel!$E$2&gt;=2,Personnel!$E$2=34,Personnel!$G$2="Yes"),Personnel!$C$2*0.15,0)+IF(AND(Personnel!$E$3&gt;=2,Personnel!$E$3=34,Personnel!$G$3="Yes"),Personnel!$C$3*0.15,0)+IF(AND(Personnel!$E$4&gt;=2,Personnel!$E$4=34,Personnel!$G$4="Yes"),Personnel!$C$4*0.15,0)+IF(AND(Personnel!$E$5&gt;=2,Personnel!$E$5=34,Personnel!$G$5="Yes"),Personnel!$C$5*0.15,0)+IF(AND(Personnel!$E$6&gt;=2,Personnel!$E$6=34,Personnel!$G$6="Yes"),Personnel!$C$6*0.15,0)+IF(AND(Personnel!$E$7&gt;=2,Personnel!$E$7=34,Personnel!$G$7="Yes"),Personnel!$C$7*0.15,0)+IF(AND(Personnel!$E$8&gt;=2,Personnel!$E$8=34,Personnel!$G$8="Yes"),Personnel!$C$8*0.15,0)+IF(AND(Personnel!$E$9&gt;=2,Personnel!$E$9=34,Personnel!$G$9="Yes"),Personnel!$C$9*0.15,0)+IF(AND(Personnel!$E$10&gt;=2,Personnel!$E$10=34,Personnel!$G$10="Yes"),Personnel!$C$10*0.15,0)+IF(AND(Personnel!$E$11&gt;=2,Personnel!$E$11=34,Personnel!$G$11="Yes"),Personnel!$C$11*0.15,0)+IF(AND(Personnel!$E$12&gt;=2,Personnel!$E$12=34,Personnel!$G$12="Yes"),Personnel!$C$12*0.15,0)+IF(AND(Personnel!$E$13&gt;=2,Personnel!$E$13=34,Personnel!$G$13="Yes"),Personnel!$C$13*0.15,0)+IF(AND(Personnel!$E$14&gt;=2,Personnel!$E$14=34,Personnel!$G$14="Yes"),Personnel!$C$14*0.15,0)+IF(AND(Personnel!$E$15&gt;=2,Personnel!$E$15=34,Personnel!$G$15="Yes"),Personnel!$C$15*0.15,0)+IF(AND(Personnel!$E$16&gt;=2,Personnel!$E$16=34,Personnel!$G$16="Yes"),Personnel!$C$16*0.15,0)+IF(AND(Personnel!$E$17&gt;=2,Personnel!$E$17=34,Personnel!$G$17="Yes"),Personnel!$C$17*0.15,0)+IF(AND(Personnel!$E$18&gt;=2,Personnel!$E$18=34,Personnel!$G$18="Yes"),Personnel!$C$18*0.15,0)+IF(AND(Personnel!$E$19&gt;=2,Personnel!$E$19=34,Personnel!$G$19="Yes"),Personnel!$C$19*0.15,0)+IF(AND(Personnel!$E$20&gt;=2,Personnel!$E$20=34,Personnel!$G$20="Yes"),Personnel!$C$20*0.15,0)+IF(AND(Personnel!$E$21&gt;=2,Personnel!$E$21=34,Personnel!$G$21="Yes"),Personnel!$C$21*0.15,0)+IF(AND(Personnel!$E$22&gt;=2,Personnel!$E$22=34,Personnel!$G$22="Yes"),Personnel!$C$22*0.15,0)+IF(AND(Personnel!$E$23&gt;=2,Personnel!$E$23=34,Personnel!$G$23="Yes"),Personnel!$C$23*0.15,0)+IF(AND(Personnel!$E$24&gt;=2,Personnel!$E$24=34,Personnel!$G$24="Yes"),Personnel!$C$24*0.15,0)+IF(AND(Personnel!$E$25&gt;=2,Personnel!$E$25=34,Personnel!$G$25="Yes"),Personnel!$C$25*0.15,0)+IF(AND(Personnel!$E$26&gt;=2,Personnel!$E$26=34,Personnel!$G$26="Yes"),Personnel!$C$26*0.15,0)+IF(AND(Personnel!$E$27&gt;=2,Personnel!$E$27=34,Personnel!$G$27="Yes"),Personnel!$C$27*0.15,0)+IF(AND(Personnel!$E$28&gt;=2,Personnel!$E$28=34,Personnel!$G$28="Yes"),Personnel!$C$28*0.15,0)+IF(AND(Personnel!$E$29&gt;=2,Personnel!$E$29=34,Personnel!$G$29="Yes"),Personnel!$C$29*0.15,0)+IF(AND(Personnel!$E$30&gt;=2,Personnel!$E$30=34,Personnel!$G$30="Yes"),Personnel!$C$30*0.15,0)+IF(AND(Personnel!$E$31&gt;=2,Personnel!$E$31=34,Personnel!$G$31="Yes"),Personnel!$C$31*0.15,0)+IF(AND(Personnel!$E$32&gt;=2,Personnel!$E$32=34,Personnel!$G$32="Yes"),Personnel!$C$32*0.15,0)+IF(AND(Personnel!$E$33&gt;=2,Personnel!$E$33=34,Personnel!$G$33="Yes"),Personnel!$C$33*0.15,0)),Actuals!AM40)</f>
        <v>0</v>
      </c>
      <c r="AN43" s="3">
        <f>IF(ISBLANK(Actuals!AN40),-(IF(AND(Personnel!$E$2&gt;=2,Personnel!$E$2=35,Personnel!$G$2="Yes"),Personnel!$C$2*0.15,0)+IF(AND(Personnel!$E$3&gt;=2,Personnel!$E$3=35,Personnel!$G$3="Yes"),Personnel!$C$3*0.15,0)+IF(AND(Personnel!$E$4&gt;=2,Personnel!$E$4=35,Personnel!$G$4="Yes"),Personnel!$C$4*0.15,0)+IF(AND(Personnel!$E$5&gt;=2,Personnel!$E$5=35,Personnel!$G$5="Yes"),Personnel!$C$5*0.15,0)+IF(AND(Personnel!$E$6&gt;=2,Personnel!$E$6=35,Personnel!$G$6="Yes"),Personnel!$C$6*0.15,0)+IF(AND(Personnel!$E$7&gt;=2,Personnel!$E$7=35,Personnel!$G$7="Yes"),Personnel!$C$7*0.15,0)+IF(AND(Personnel!$E$8&gt;=2,Personnel!$E$8=35,Personnel!$G$8="Yes"),Personnel!$C$8*0.15,0)+IF(AND(Personnel!$E$9&gt;=2,Personnel!$E$9=35,Personnel!$G$9="Yes"),Personnel!$C$9*0.15,0)+IF(AND(Personnel!$E$10&gt;=2,Personnel!$E$10=35,Personnel!$G$10="Yes"),Personnel!$C$10*0.15,0)+IF(AND(Personnel!$E$11&gt;=2,Personnel!$E$11=35,Personnel!$G$11="Yes"),Personnel!$C$11*0.15,0)+IF(AND(Personnel!$E$12&gt;=2,Personnel!$E$12=35,Personnel!$G$12="Yes"),Personnel!$C$12*0.15,0)+IF(AND(Personnel!$E$13&gt;=2,Personnel!$E$13=35,Personnel!$G$13="Yes"),Personnel!$C$13*0.15,0)+IF(AND(Personnel!$E$14&gt;=2,Personnel!$E$14=35,Personnel!$G$14="Yes"),Personnel!$C$14*0.15,0)+IF(AND(Personnel!$E$15&gt;=2,Personnel!$E$15=35,Personnel!$G$15="Yes"),Personnel!$C$15*0.15,0)+IF(AND(Personnel!$E$16&gt;=2,Personnel!$E$16=35,Personnel!$G$16="Yes"),Personnel!$C$16*0.15,0)+IF(AND(Personnel!$E$17&gt;=2,Personnel!$E$17=35,Personnel!$G$17="Yes"),Personnel!$C$17*0.15,0)+IF(AND(Personnel!$E$18&gt;=2,Personnel!$E$18=35,Personnel!$G$18="Yes"),Personnel!$C$18*0.15,0)+IF(AND(Personnel!$E$19&gt;=2,Personnel!$E$19=35,Personnel!$G$19="Yes"),Personnel!$C$19*0.15,0)+IF(AND(Personnel!$E$20&gt;=2,Personnel!$E$20=35,Personnel!$G$20="Yes"),Personnel!$C$20*0.15,0)+IF(AND(Personnel!$E$21&gt;=2,Personnel!$E$21=35,Personnel!$G$21="Yes"),Personnel!$C$21*0.15,0)+IF(AND(Personnel!$E$22&gt;=2,Personnel!$E$22=35,Personnel!$G$22="Yes"),Personnel!$C$22*0.15,0)+IF(AND(Personnel!$E$23&gt;=2,Personnel!$E$23=35,Personnel!$G$23="Yes"),Personnel!$C$23*0.15,0)+IF(AND(Personnel!$E$24&gt;=2,Personnel!$E$24=35,Personnel!$G$24="Yes"),Personnel!$C$24*0.15,0)+IF(AND(Personnel!$E$25&gt;=2,Personnel!$E$25=35,Personnel!$G$25="Yes"),Personnel!$C$25*0.15,0)+IF(AND(Personnel!$E$26&gt;=2,Personnel!$E$26=35,Personnel!$G$26="Yes"),Personnel!$C$26*0.15,0)+IF(AND(Personnel!$E$27&gt;=2,Personnel!$E$27=35,Personnel!$G$27="Yes"),Personnel!$C$27*0.15,0)+IF(AND(Personnel!$E$28&gt;=2,Personnel!$E$28=35,Personnel!$G$28="Yes"),Personnel!$C$28*0.15,0)+IF(AND(Personnel!$E$29&gt;=2,Personnel!$E$29=35,Personnel!$G$29="Yes"),Personnel!$C$29*0.15,0)+IF(AND(Personnel!$E$30&gt;=2,Personnel!$E$30=35,Personnel!$G$30="Yes"),Personnel!$C$30*0.15,0)+IF(AND(Personnel!$E$31&gt;=2,Personnel!$E$31=35,Personnel!$G$31="Yes"),Personnel!$C$31*0.15,0)+IF(AND(Personnel!$E$32&gt;=2,Personnel!$E$32=35,Personnel!$G$32="Yes"),Personnel!$C$32*0.15,0)+IF(AND(Personnel!$E$33&gt;=2,Personnel!$E$33=35,Personnel!$G$33="Yes"),Personnel!$C$33*0.15,0)),Actuals!AN40)</f>
        <v>0</v>
      </c>
      <c r="AO43" s="3">
        <f>IF(ISBLANK(Actuals!AO40),-(IF(AND(Personnel!$E$2&gt;=2,Personnel!$E$2=36,Personnel!$G$2="Yes"),Personnel!$C$2*0.15,0)+IF(AND(Personnel!$E$3&gt;=2,Personnel!$E$3=36,Personnel!$G$3="Yes"),Personnel!$C$3*0.15,0)+IF(AND(Personnel!$E$4&gt;=2,Personnel!$E$4=36,Personnel!$G$4="Yes"),Personnel!$C$4*0.15,0)+IF(AND(Personnel!$E$5&gt;=2,Personnel!$E$5=36,Personnel!$G$5="Yes"),Personnel!$C$5*0.15,0)+IF(AND(Personnel!$E$6&gt;=2,Personnel!$E$6=36,Personnel!$G$6="Yes"),Personnel!$C$6*0.15,0)+IF(AND(Personnel!$E$7&gt;=2,Personnel!$E$7=36,Personnel!$G$7="Yes"),Personnel!$C$7*0.15,0)+IF(AND(Personnel!$E$8&gt;=2,Personnel!$E$8=36,Personnel!$G$8="Yes"),Personnel!$C$8*0.15,0)+IF(AND(Personnel!$E$9&gt;=2,Personnel!$E$9=36,Personnel!$G$9="Yes"),Personnel!$C$9*0.15,0)+IF(AND(Personnel!$E$10&gt;=2,Personnel!$E$10=36,Personnel!$G$10="Yes"),Personnel!$C$10*0.15,0)+IF(AND(Personnel!$E$11&gt;=2,Personnel!$E$11=36,Personnel!$G$11="Yes"),Personnel!$C$11*0.15,0)+IF(AND(Personnel!$E$12&gt;=2,Personnel!$E$12=36,Personnel!$G$12="Yes"),Personnel!$C$12*0.15,0)+IF(AND(Personnel!$E$13&gt;=2,Personnel!$E$13=36,Personnel!$G$13="Yes"),Personnel!$C$13*0.15,0)+IF(AND(Personnel!$E$14&gt;=2,Personnel!$E$14=36,Personnel!$G$14="Yes"),Personnel!$C$14*0.15,0)+IF(AND(Personnel!$E$15&gt;=2,Personnel!$E$15=36,Personnel!$G$15="Yes"),Personnel!$C$15*0.15,0)+IF(AND(Personnel!$E$16&gt;=2,Personnel!$E$16=36,Personnel!$G$16="Yes"),Personnel!$C$16*0.15,0)+IF(AND(Personnel!$E$17&gt;=2,Personnel!$E$17=36,Personnel!$G$17="Yes"),Personnel!$C$17*0.15,0)+IF(AND(Personnel!$E$18&gt;=2,Personnel!$E$18=36,Personnel!$G$18="Yes"),Personnel!$C$18*0.15,0)+IF(AND(Personnel!$E$19&gt;=2,Personnel!$E$19=36,Personnel!$G$19="Yes"),Personnel!$C$19*0.15,0)+IF(AND(Personnel!$E$20&gt;=2,Personnel!$E$20=36,Personnel!$G$20="Yes"),Personnel!$C$20*0.15,0)+IF(AND(Personnel!$E$21&gt;=2,Personnel!$E$21=36,Personnel!$G$21="Yes"),Personnel!$C$21*0.15,0)+IF(AND(Personnel!$E$22&gt;=2,Personnel!$E$22=36,Personnel!$G$22="Yes"),Personnel!$C$22*0.15,0)+IF(AND(Personnel!$E$23&gt;=2,Personnel!$E$23=36,Personnel!$G$23="Yes"),Personnel!$C$23*0.15,0)+IF(AND(Personnel!$E$24&gt;=2,Personnel!$E$24=36,Personnel!$G$24="Yes"),Personnel!$C$24*0.15,0)+IF(AND(Personnel!$E$25&gt;=2,Personnel!$E$25=36,Personnel!$G$25="Yes"),Personnel!$C$25*0.15,0)+IF(AND(Personnel!$E$26&gt;=2,Personnel!$E$26=36,Personnel!$G$26="Yes"),Personnel!$C$26*0.15,0)+IF(AND(Personnel!$E$27&gt;=2,Personnel!$E$27=36,Personnel!$G$27="Yes"),Personnel!$C$27*0.15,0)+IF(AND(Personnel!$E$28&gt;=2,Personnel!$E$28=36,Personnel!$G$28="Yes"),Personnel!$C$28*0.15,0)+IF(AND(Personnel!$E$29&gt;=2,Personnel!$E$29=36,Personnel!$G$29="Yes"),Personnel!$C$29*0.15,0)+IF(AND(Personnel!$E$30&gt;=2,Personnel!$E$30=36,Personnel!$G$30="Yes"),Personnel!$C$30*0.15,0)+IF(AND(Personnel!$E$31&gt;=2,Personnel!$E$31=36,Personnel!$G$31="Yes"),Personnel!$C$31*0.15,0)+IF(AND(Personnel!$E$32&gt;=2,Personnel!$E$32=36,Personnel!$G$32="Yes"),Personnel!$C$32*0.15,0)+IF(AND(Personnel!$E$33&gt;=2,Personnel!$E$33=36,Personnel!$G$33="Yes"),Personnel!$C$33*0.15,0)),Actuals!AO40)</f>
        <v>0</v>
      </c>
      <c r="AP43" s="3">
        <f>IF(ISBLANK(Actuals!AP40),-(IF(AND(Personnel!$E$2&gt;=2,Personnel!$E$2=37,Personnel!$G$2="Yes"),Personnel!$C$2*0.15,0)+IF(AND(Personnel!$E$3&gt;=2,Personnel!$E$3=37,Personnel!$G$3="Yes"),Personnel!$C$3*0.15,0)+IF(AND(Personnel!$E$4&gt;=2,Personnel!$E$4=37,Personnel!$G$4="Yes"),Personnel!$C$4*0.15,0)+IF(AND(Personnel!$E$5&gt;=2,Personnel!$E$5=37,Personnel!$G$5="Yes"),Personnel!$C$5*0.15,0)+IF(AND(Personnel!$E$6&gt;=2,Personnel!$E$6=37,Personnel!$G$6="Yes"),Personnel!$C$6*0.15,0)+IF(AND(Personnel!$E$7&gt;=2,Personnel!$E$7=37,Personnel!$G$7="Yes"),Personnel!$C$7*0.15,0)+IF(AND(Personnel!$E$8&gt;=2,Personnel!$E$8=37,Personnel!$G$8="Yes"),Personnel!$C$8*0.15,0)+IF(AND(Personnel!$E$9&gt;=2,Personnel!$E$9=37,Personnel!$G$9="Yes"),Personnel!$C$9*0.15,0)+IF(AND(Personnel!$E$10&gt;=2,Personnel!$E$10=37,Personnel!$G$10="Yes"),Personnel!$C$10*0.15,0)+IF(AND(Personnel!$E$11&gt;=2,Personnel!$E$11=37,Personnel!$G$11="Yes"),Personnel!$C$11*0.15,0)+IF(AND(Personnel!$E$12&gt;=2,Personnel!$E$12=37,Personnel!$G$12="Yes"),Personnel!$C$12*0.15,0)+IF(AND(Personnel!$E$13&gt;=2,Personnel!$E$13=37,Personnel!$G$13="Yes"),Personnel!$C$13*0.15,0)+IF(AND(Personnel!$E$14&gt;=2,Personnel!$E$14=37,Personnel!$G$14="Yes"),Personnel!$C$14*0.15,0)+IF(AND(Personnel!$E$15&gt;=2,Personnel!$E$15=37,Personnel!$G$15="Yes"),Personnel!$C$15*0.15,0)+IF(AND(Personnel!$E$16&gt;=2,Personnel!$E$16=37,Personnel!$G$16="Yes"),Personnel!$C$16*0.15,0)+IF(AND(Personnel!$E$17&gt;=2,Personnel!$E$17=37,Personnel!$G$17="Yes"),Personnel!$C$17*0.15,0)+IF(AND(Personnel!$E$18&gt;=2,Personnel!$E$18=37,Personnel!$G$18="Yes"),Personnel!$C$18*0.15,0)+IF(AND(Personnel!$E$19&gt;=2,Personnel!$E$19=37,Personnel!$G$19="Yes"),Personnel!$C$19*0.15,0)+IF(AND(Personnel!$E$20&gt;=2,Personnel!$E$20=37,Personnel!$G$20="Yes"),Personnel!$C$20*0.15,0)+IF(AND(Personnel!$E$21&gt;=2,Personnel!$E$21=37,Personnel!$G$21="Yes"),Personnel!$C$21*0.15,0)+IF(AND(Personnel!$E$22&gt;=2,Personnel!$E$22=37,Personnel!$G$22="Yes"),Personnel!$C$22*0.15,0)+IF(AND(Personnel!$E$23&gt;=2,Personnel!$E$23=37,Personnel!$G$23="Yes"),Personnel!$C$23*0.15,0)+IF(AND(Personnel!$E$24&gt;=2,Personnel!$E$24=37,Personnel!$G$24="Yes"),Personnel!$C$24*0.15,0)+IF(AND(Personnel!$E$25&gt;=2,Personnel!$E$25=37,Personnel!$G$25="Yes"),Personnel!$C$25*0.15,0)+IF(AND(Personnel!$E$26&gt;=2,Personnel!$E$26=37,Personnel!$G$26="Yes"),Personnel!$C$26*0.15,0)+IF(AND(Personnel!$E$27&gt;=2,Personnel!$E$27=37,Personnel!$G$27="Yes"),Personnel!$C$27*0.15,0)+IF(AND(Personnel!$E$28&gt;=2,Personnel!$E$28=37,Personnel!$G$28="Yes"),Personnel!$C$28*0.15,0)+IF(AND(Personnel!$E$29&gt;=2,Personnel!$E$29=37,Personnel!$G$29="Yes"),Personnel!$C$29*0.15,0)+IF(AND(Personnel!$E$30&gt;=2,Personnel!$E$30=37,Personnel!$G$30="Yes"),Personnel!$C$30*0.15,0)+IF(AND(Personnel!$E$31&gt;=2,Personnel!$E$31=37,Personnel!$G$31="Yes"),Personnel!$C$31*0.15,0)+IF(AND(Personnel!$E$32&gt;=2,Personnel!$E$32=37,Personnel!$G$32="Yes"),Personnel!$C$32*0.15,0)+IF(AND(Personnel!$E$33&gt;=2,Personnel!$E$33=37,Personnel!$G$33="Yes"),Personnel!$C$33*0.15,0)),Actuals!AP40)</f>
        <v>0</v>
      </c>
      <c r="AQ43" s="3">
        <f>IF(ISBLANK(Actuals!AQ40),-(IF(AND(Personnel!$E$2&gt;=2,Personnel!$E$2=38,Personnel!$G$2="Yes"),Personnel!$C$2*0.15,0)+IF(AND(Personnel!$E$3&gt;=2,Personnel!$E$3=38,Personnel!$G$3="Yes"),Personnel!$C$3*0.15,0)+IF(AND(Personnel!$E$4&gt;=2,Personnel!$E$4=38,Personnel!$G$4="Yes"),Personnel!$C$4*0.15,0)+IF(AND(Personnel!$E$5&gt;=2,Personnel!$E$5=38,Personnel!$G$5="Yes"),Personnel!$C$5*0.15,0)+IF(AND(Personnel!$E$6&gt;=2,Personnel!$E$6=38,Personnel!$G$6="Yes"),Personnel!$C$6*0.15,0)+IF(AND(Personnel!$E$7&gt;=2,Personnel!$E$7=38,Personnel!$G$7="Yes"),Personnel!$C$7*0.15,0)+IF(AND(Personnel!$E$8&gt;=2,Personnel!$E$8=38,Personnel!$G$8="Yes"),Personnel!$C$8*0.15,0)+IF(AND(Personnel!$E$9&gt;=2,Personnel!$E$9=38,Personnel!$G$9="Yes"),Personnel!$C$9*0.15,0)+IF(AND(Personnel!$E$10&gt;=2,Personnel!$E$10=38,Personnel!$G$10="Yes"),Personnel!$C$10*0.15,0)+IF(AND(Personnel!$E$11&gt;=2,Personnel!$E$11=38,Personnel!$G$11="Yes"),Personnel!$C$11*0.15,0)+IF(AND(Personnel!$E$12&gt;=2,Personnel!$E$12=38,Personnel!$G$12="Yes"),Personnel!$C$12*0.15,0)+IF(AND(Personnel!$E$13&gt;=2,Personnel!$E$13=38,Personnel!$G$13="Yes"),Personnel!$C$13*0.15,0)+IF(AND(Personnel!$E$14&gt;=2,Personnel!$E$14=38,Personnel!$G$14="Yes"),Personnel!$C$14*0.15,0)+IF(AND(Personnel!$E$15&gt;=2,Personnel!$E$15=38,Personnel!$G$15="Yes"),Personnel!$C$15*0.15,0)+IF(AND(Personnel!$E$16&gt;=2,Personnel!$E$16=38,Personnel!$G$16="Yes"),Personnel!$C$16*0.15,0)+IF(AND(Personnel!$E$17&gt;=2,Personnel!$E$17=38,Personnel!$G$17="Yes"),Personnel!$C$17*0.15,0)+IF(AND(Personnel!$E$18&gt;=2,Personnel!$E$18=38,Personnel!$G$18="Yes"),Personnel!$C$18*0.15,0)+IF(AND(Personnel!$E$19&gt;=2,Personnel!$E$19=38,Personnel!$G$19="Yes"),Personnel!$C$19*0.15,0)+IF(AND(Personnel!$E$20&gt;=2,Personnel!$E$20=38,Personnel!$G$20="Yes"),Personnel!$C$20*0.15,0)+IF(AND(Personnel!$E$21&gt;=2,Personnel!$E$21=38,Personnel!$G$21="Yes"),Personnel!$C$21*0.15,0)+IF(AND(Personnel!$E$22&gt;=2,Personnel!$E$22=38,Personnel!$G$22="Yes"),Personnel!$C$22*0.15,0)+IF(AND(Personnel!$E$23&gt;=2,Personnel!$E$23=38,Personnel!$G$23="Yes"),Personnel!$C$23*0.15,0)+IF(AND(Personnel!$E$24&gt;=2,Personnel!$E$24=38,Personnel!$G$24="Yes"),Personnel!$C$24*0.15,0)+IF(AND(Personnel!$E$25&gt;=2,Personnel!$E$25=38,Personnel!$G$25="Yes"),Personnel!$C$25*0.15,0)+IF(AND(Personnel!$E$26&gt;=2,Personnel!$E$26=38,Personnel!$G$26="Yes"),Personnel!$C$26*0.15,0)+IF(AND(Personnel!$E$27&gt;=2,Personnel!$E$27=38,Personnel!$G$27="Yes"),Personnel!$C$27*0.15,0)+IF(AND(Personnel!$E$28&gt;=2,Personnel!$E$28=38,Personnel!$G$28="Yes"),Personnel!$C$28*0.15,0)+IF(AND(Personnel!$E$29&gt;=2,Personnel!$E$29=38,Personnel!$G$29="Yes"),Personnel!$C$29*0.15,0)+IF(AND(Personnel!$E$30&gt;=2,Personnel!$E$30=38,Personnel!$G$30="Yes"),Personnel!$C$30*0.15,0)+IF(AND(Personnel!$E$31&gt;=2,Personnel!$E$31=38,Personnel!$G$31="Yes"),Personnel!$C$31*0.15,0)+IF(AND(Personnel!$E$32&gt;=2,Personnel!$E$32=38,Personnel!$G$32="Yes"),Personnel!$C$32*0.15,0)+IF(AND(Personnel!$E$33&gt;=2,Personnel!$E$33=38,Personnel!$G$33="Yes"),Personnel!$C$33*0.15,0)),Actuals!AQ40)</f>
        <v>0</v>
      </c>
      <c r="AR43" s="3">
        <f>IF(ISBLANK(Actuals!AR40),-(IF(AND(Personnel!$E$2&gt;=2,Personnel!$E$2=39,Personnel!$G$2="Yes"),Personnel!$C$2*0.15,0)+IF(AND(Personnel!$E$3&gt;=2,Personnel!$E$3=39,Personnel!$G$3="Yes"),Personnel!$C$3*0.15,0)+IF(AND(Personnel!$E$4&gt;=2,Personnel!$E$4=39,Personnel!$G$4="Yes"),Personnel!$C$4*0.15,0)+IF(AND(Personnel!$E$5&gt;=2,Personnel!$E$5=39,Personnel!$G$5="Yes"),Personnel!$C$5*0.15,0)+IF(AND(Personnel!$E$6&gt;=2,Personnel!$E$6=39,Personnel!$G$6="Yes"),Personnel!$C$6*0.15,0)+IF(AND(Personnel!$E$7&gt;=2,Personnel!$E$7=39,Personnel!$G$7="Yes"),Personnel!$C$7*0.15,0)+IF(AND(Personnel!$E$8&gt;=2,Personnel!$E$8=39,Personnel!$G$8="Yes"),Personnel!$C$8*0.15,0)+IF(AND(Personnel!$E$9&gt;=2,Personnel!$E$9=39,Personnel!$G$9="Yes"),Personnel!$C$9*0.15,0)+IF(AND(Personnel!$E$10&gt;=2,Personnel!$E$10=39,Personnel!$G$10="Yes"),Personnel!$C$10*0.15,0)+IF(AND(Personnel!$E$11&gt;=2,Personnel!$E$11=39,Personnel!$G$11="Yes"),Personnel!$C$11*0.15,0)+IF(AND(Personnel!$E$12&gt;=2,Personnel!$E$12=39,Personnel!$G$12="Yes"),Personnel!$C$12*0.15,0)+IF(AND(Personnel!$E$13&gt;=2,Personnel!$E$13=39,Personnel!$G$13="Yes"),Personnel!$C$13*0.15,0)+IF(AND(Personnel!$E$14&gt;=2,Personnel!$E$14=39,Personnel!$G$14="Yes"),Personnel!$C$14*0.15,0)+IF(AND(Personnel!$E$15&gt;=2,Personnel!$E$15=39,Personnel!$G$15="Yes"),Personnel!$C$15*0.15,0)+IF(AND(Personnel!$E$16&gt;=2,Personnel!$E$16=39,Personnel!$G$16="Yes"),Personnel!$C$16*0.15,0)+IF(AND(Personnel!$E$17&gt;=2,Personnel!$E$17=39,Personnel!$G$17="Yes"),Personnel!$C$17*0.15,0)+IF(AND(Personnel!$E$18&gt;=2,Personnel!$E$18=39,Personnel!$G$18="Yes"),Personnel!$C$18*0.15,0)+IF(AND(Personnel!$E$19&gt;=2,Personnel!$E$19=39,Personnel!$G$19="Yes"),Personnel!$C$19*0.15,0)+IF(AND(Personnel!$E$20&gt;=2,Personnel!$E$20=39,Personnel!$G$20="Yes"),Personnel!$C$20*0.15,0)+IF(AND(Personnel!$E$21&gt;=2,Personnel!$E$21=39,Personnel!$G$21="Yes"),Personnel!$C$21*0.15,0)+IF(AND(Personnel!$E$22&gt;=2,Personnel!$E$22=39,Personnel!$G$22="Yes"),Personnel!$C$22*0.15,0)+IF(AND(Personnel!$E$23&gt;=2,Personnel!$E$23=39,Personnel!$G$23="Yes"),Personnel!$C$23*0.15,0)+IF(AND(Personnel!$E$24&gt;=2,Personnel!$E$24=39,Personnel!$G$24="Yes"),Personnel!$C$24*0.15,0)+IF(AND(Personnel!$E$25&gt;=2,Personnel!$E$25=39,Personnel!$G$25="Yes"),Personnel!$C$25*0.15,0)+IF(AND(Personnel!$E$26&gt;=2,Personnel!$E$26=39,Personnel!$G$26="Yes"),Personnel!$C$26*0.15,0)+IF(AND(Personnel!$E$27&gt;=2,Personnel!$E$27=39,Personnel!$G$27="Yes"),Personnel!$C$27*0.15,0)+IF(AND(Personnel!$E$28&gt;=2,Personnel!$E$28=39,Personnel!$G$28="Yes"),Personnel!$C$28*0.15,0)+IF(AND(Personnel!$E$29&gt;=2,Personnel!$E$29=39,Personnel!$G$29="Yes"),Personnel!$C$29*0.15,0)+IF(AND(Personnel!$E$30&gt;=2,Personnel!$E$30=39,Personnel!$G$30="Yes"),Personnel!$C$30*0.15,0)+IF(AND(Personnel!$E$31&gt;=2,Personnel!$E$31=39,Personnel!$G$31="Yes"),Personnel!$C$31*0.15,0)+IF(AND(Personnel!$E$32&gt;=2,Personnel!$E$32=39,Personnel!$G$32="Yes"),Personnel!$C$32*0.15,0)+IF(AND(Personnel!$E$33&gt;=2,Personnel!$E$33=39,Personnel!$G$33="Yes"),Personnel!$C$33*0.15,0)),Actuals!AR40)</f>
        <v>0</v>
      </c>
      <c r="AS43" s="3">
        <f>IF(ISBLANK(Actuals!AS40),-(IF(AND(Personnel!$E$2&gt;=2,Personnel!$E$2=40,Personnel!$G$2="Yes"),Personnel!$C$2*0.15,0)+IF(AND(Personnel!$E$3&gt;=2,Personnel!$E$3=40,Personnel!$G$3="Yes"),Personnel!$C$3*0.15,0)+IF(AND(Personnel!$E$4&gt;=2,Personnel!$E$4=40,Personnel!$G$4="Yes"),Personnel!$C$4*0.15,0)+IF(AND(Personnel!$E$5&gt;=2,Personnel!$E$5=40,Personnel!$G$5="Yes"),Personnel!$C$5*0.15,0)+IF(AND(Personnel!$E$6&gt;=2,Personnel!$E$6=40,Personnel!$G$6="Yes"),Personnel!$C$6*0.15,0)+IF(AND(Personnel!$E$7&gt;=2,Personnel!$E$7=40,Personnel!$G$7="Yes"),Personnel!$C$7*0.15,0)+IF(AND(Personnel!$E$8&gt;=2,Personnel!$E$8=40,Personnel!$G$8="Yes"),Personnel!$C$8*0.15,0)+IF(AND(Personnel!$E$9&gt;=2,Personnel!$E$9=40,Personnel!$G$9="Yes"),Personnel!$C$9*0.15,0)+IF(AND(Personnel!$E$10&gt;=2,Personnel!$E$10=40,Personnel!$G$10="Yes"),Personnel!$C$10*0.15,0)+IF(AND(Personnel!$E$11&gt;=2,Personnel!$E$11=40,Personnel!$G$11="Yes"),Personnel!$C$11*0.15,0)+IF(AND(Personnel!$E$12&gt;=2,Personnel!$E$12=40,Personnel!$G$12="Yes"),Personnel!$C$12*0.15,0)+IF(AND(Personnel!$E$13&gt;=2,Personnel!$E$13=40,Personnel!$G$13="Yes"),Personnel!$C$13*0.15,0)+IF(AND(Personnel!$E$14&gt;=2,Personnel!$E$14=40,Personnel!$G$14="Yes"),Personnel!$C$14*0.15,0)+IF(AND(Personnel!$E$15&gt;=2,Personnel!$E$15=40,Personnel!$G$15="Yes"),Personnel!$C$15*0.15,0)+IF(AND(Personnel!$E$16&gt;=2,Personnel!$E$16=40,Personnel!$G$16="Yes"),Personnel!$C$16*0.15,0)+IF(AND(Personnel!$E$17&gt;=2,Personnel!$E$17=40,Personnel!$G$17="Yes"),Personnel!$C$17*0.15,0)+IF(AND(Personnel!$E$18&gt;=2,Personnel!$E$18=40,Personnel!$G$18="Yes"),Personnel!$C$18*0.15,0)+IF(AND(Personnel!$E$19&gt;=2,Personnel!$E$19=40,Personnel!$G$19="Yes"),Personnel!$C$19*0.15,0)+IF(AND(Personnel!$E$20&gt;=2,Personnel!$E$20=40,Personnel!$G$20="Yes"),Personnel!$C$20*0.15,0)+IF(AND(Personnel!$E$21&gt;=2,Personnel!$E$21=40,Personnel!$G$21="Yes"),Personnel!$C$21*0.15,0)+IF(AND(Personnel!$E$22&gt;=2,Personnel!$E$22=40,Personnel!$G$22="Yes"),Personnel!$C$22*0.15,0)+IF(AND(Personnel!$E$23&gt;=2,Personnel!$E$23=40,Personnel!$G$23="Yes"),Personnel!$C$23*0.15,0)+IF(AND(Personnel!$E$24&gt;=2,Personnel!$E$24=40,Personnel!$G$24="Yes"),Personnel!$C$24*0.15,0)+IF(AND(Personnel!$E$25&gt;=2,Personnel!$E$25=40,Personnel!$G$25="Yes"),Personnel!$C$25*0.15,0)+IF(AND(Personnel!$E$26&gt;=2,Personnel!$E$26=40,Personnel!$G$26="Yes"),Personnel!$C$26*0.15,0)+IF(AND(Personnel!$E$27&gt;=2,Personnel!$E$27=40,Personnel!$G$27="Yes"),Personnel!$C$27*0.15,0)+IF(AND(Personnel!$E$28&gt;=2,Personnel!$E$28=40,Personnel!$G$28="Yes"),Personnel!$C$28*0.15,0)+IF(AND(Personnel!$E$29&gt;=2,Personnel!$E$29=40,Personnel!$G$29="Yes"),Personnel!$C$29*0.15,0)+IF(AND(Personnel!$E$30&gt;=2,Personnel!$E$30=40,Personnel!$G$30="Yes"),Personnel!$C$30*0.15,0)+IF(AND(Personnel!$E$31&gt;=2,Personnel!$E$31=40,Personnel!$G$31="Yes"),Personnel!$C$31*0.15,0)+IF(AND(Personnel!$E$32&gt;=2,Personnel!$E$32=40,Personnel!$G$32="Yes"),Personnel!$C$32*0.15,0)+IF(AND(Personnel!$E$33&gt;=2,Personnel!$E$33=40,Personnel!$G$33="Yes"),Personnel!$C$33*0.15,0)),Actuals!AS40)</f>
        <v>0</v>
      </c>
      <c r="AT43" s="3">
        <f>IF(ISBLANK(Actuals!AT40),-(IF(AND(Personnel!$E$2&gt;=2,Personnel!$E$2=41,Personnel!$G$2="Yes"),Personnel!$C$2*0.15,0)+IF(AND(Personnel!$E$3&gt;=2,Personnel!$E$3=41,Personnel!$G$3="Yes"),Personnel!$C$3*0.15,0)+IF(AND(Personnel!$E$4&gt;=2,Personnel!$E$4=41,Personnel!$G$4="Yes"),Personnel!$C$4*0.15,0)+IF(AND(Personnel!$E$5&gt;=2,Personnel!$E$5=41,Personnel!$G$5="Yes"),Personnel!$C$5*0.15,0)+IF(AND(Personnel!$E$6&gt;=2,Personnel!$E$6=41,Personnel!$G$6="Yes"),Personnel!$C$6*0.15,0)+IF(AND(Personnel!$E$7&gt;=2,Personnel!$E$7=41,Personnel!$G$7="Yes"),Personnel!$C$7*0.15,0)+IF(AND(Personnel!$E$8&gt;=2,Personnel!$E$8=41,Personnel!$G$8="Yes"),Personnel!$C$8*0.15,0)+IF(AND(Personnel!$E$9&gt;=2,Personnel!$E$9=41,Personnel!$G$9="Yes"),Personnel!$C$9*0.15,0)+IF(AND(Personnel!$E$10&gt;=2,Personnel!$E$10=41,Personnel!$G$10="Yes"),Personnel!$C$10*0.15,0)+IF(AND(Personnel!$E$11&gt;=2,Personnel!$E$11=41,Personnel!$G$11="Yes"),Personnel!$C$11*0.15,0)+IF(AND(Personnel!$E$12&gt;=2,Personnel!$E$12=41,Personnel!$G$12="Yes"),Personnel!$C$12*0.15,0)+IF(AND(Personnel!$E$13&gt;=2,Personnel!$E$13=41,Personnel!$G$13="Yes"),Personnel!$C$13*0.15,0)+IF(AND(Personnel!$E$14&gt;=2,Personnel!$E$14=41,Personnel!$G$14="Yes"),Personnel!$C$14*0.15,0)+IF(AND(Personnel!$E$15&gt;=2,Personnel!$E$15=41,Personnel!$G$15="Yes"),Personnel!$C$15*0.15,0)+IF(AND(Personnel!$E$16&gt;=2,Personnel!$E$16=41,Personnel!$G$16="Yes"),Personnel!$C$16*0.15,0)+IF(AND(Personnel!$E$17&gt;=2,Personnel!$E$17=41,Personnel!$G$17="Yes"),Personnel!$C$17*0.15,0)+IF(AND(Personnel!$E$18&gt;=2,Personnel!$E$18=41,Personnel!$G$18="Yes"),Personnel!$C$18*0.15,0)+IF(AND(Personnel!$E$19&gt;=2,Personnel!$E$19=41,Personnel!$G$19="Yes"),Personnel!$C$19*0.15,0)+IF(AND(Personnel!$E$20&gt;=2,Personnel!$E$20=41,Personnel!$G$20="Yes"),Personnel!$C$20*0.15,0)+IF(AND(Personnel!$E$21&gt;=2,Personnel!$E$21=41,Personnel!$G$21="Yes"),Personnel!$C$21*0.15,0)+IF(AND(Personnel!$E$22&gt;=2,Personnel!$E$22=41,Personnel!$G$22="Yes"),Personnel!$C$22*0.15,0)+IF(AND(Personnel!$E$23&gt;=2,Personnel!$E$23=41,Personnel!$G$23="Yes"),Personnel!$C$23*0.15,0)+IF(AND(Personnel!$E$24&gt;=2,Personnel!$E$24=41,Personnel!$G$24="Yes"),Personnel!$C$24*0.15,0)+IF(AND(Personnel!$E$25&gt;=2,Personnel!$E$25=41,Personnel!$G$25="Yes"),Personnel!$C$25*0.15,0)+IF(AND(Personnel!$E$26&gt;=2,Personnel!$E$26=41,Personnel!$G$26="Yes"),Personnel!$C$26*0.15,0)+IF(AND(Personnel!$E$27&gt;=2,Personnel!$E$27=41,Personnel!$G$27="Yes"),Personnel!$C$27*0.15,0)+IF(AND(Personnel!$E$28&gt;=2,Personnel!$E$28=41,Personnel!$G$28="Yes"),Personnel!$C$28*0.15,0)+IF(AND(Personnel!$E$29&gt;=2,Personnel!$E$29=41,Personnel!$G$29="Yes"),Personnel!$C$29*0.15,0)+IF(AND(Personnel!$E$30&gt;=2,Personnel!$E$30=41,Personnel!$G$30="Yes"),Personnel!$C$30*0.15,0)+IF(AND(Personnel!$E$31&gt;=2,Personnel!$E$31=41,Personnel!$G$31="Yes"),Personnel!$C$31*0.15,0)+IF(AND(Personnel!$E$32&gt;=2,Personnel!$E$32=41,Personnel!$G$32="Yes"),Personnel!$C$32*0.15,0)+IF(AND(Personnel!$E$33&gt;=2,Personnel!$E$33=41,Personnel!$G$33="Yes"),Personnel!$C$33*0.15,0)),Actuals!AT40)</f>
        <v>0</v>
      </c>
      <c r="AU43" s="3">
        <f>IF(ISBLANK(Actuals!AU40),-(IF(AND(Personnel!$E$2&gt;=2,Personnel!$E$2=42,Personnel!$G$2="Yes"),Personnel!$C$2*0.15,0)+IF(AND(Personnel!$E$3&gt;=2,Personnel!$E$3=42,Personnel!$G$3="Yes"),Personnel!$C$3*0.15,0)+IF(AND(Personnel!$E$4&gt;=2,Personnel!$E$4=42,Personnel!$G$4="Yes"),Personnel!$C$4*0.15,0)+IF(AND(Personnel!$E$5&gt;=2,Personnel!$E$5=42,Personnel!$G$5="Yes"),Personnel!$C$5*0.15,0)+IF(AND(Personnel!$E$6&gt;=2,Personnel!$E$6=42,Personnel!$G$6="Yes"),Personnel!$C$6*0.15,0)+IF(AND(Personnel!$E$7&gt;=2,Personnel!$E$7=42,Personnel!$G$7="Yes"),Personnel!$C$7*0.15,0)+IF(AND(Personnel!$E$8&gt;=2,Personnel!$E$8=42,Personnel!$G$8="Yes"),Personnel!$C$8*0.15,0)+IF(AND(Personnel!$E$9&gt;=2,Personnel!$E$9=42,Personnel!$G$9="Yes"),Personnel!$C$9*0.15,0)+IF(AND(Personnel!$E$10&gt;=2,Personnel!$E$10=42,Personnel!$G$10="Yes"),Personnel!$C$10*0.15,0)+IF(AND(Personnel!$E$11&gt;=2,Personnel!$E$11=42,Personnel!$G$11="Yes"),Personnel!$C$11*0.15,0)+IF(AND(Personnel!$E$12&gt;=2,Personnel!$E$12=42,Personnel!$G$12="Yes"),Personnel!$C$12*0.15,0)+IF(AND(Personnel!$E$13&gt;=2,Personnel!$E$13=42,Personnel!$G$13="Yes"),Personnel!$C$13*0.15,0)+IF(AND(Personnel!$E$14&gt;=2,Personnel!$E$14=42,Personnel!$G$14="Yes"),Personnel!$C$14*0.15,0)+IF(AND(Personnel!$E$15&gt;=2,Personnel!$E$15=42,Personnel!$G$15="Yes"),Personnel!$C$15*0.15,0)+IF(AND(Personnel!$E$16&gt;=2,Personnel!$E$16=42,Personnel!$G$16="Yes"),Personnel!$C$16*0.15,0)+IF(AND(Personnel!$E$17&gt;=2,Personnel!$E$17=42,Personnel!$G$17="Yes"),Personnel!$C$17*0.15,0)+IF(AND(Personnel!$E$18&gt;=2,Personnel!$E$18=42,Personnel!$G$18="Yes"),Personnel!$C$18*0.15,0)+IF(AND(Personnel!$E$19&gt;=2,Personnel!$E$19=42,Personnel!$G$19="Yes"),Personnel!$C$19*0.15,0)+IF(AND(Personnel!$E$20&gt;=2,Personnel!$E$20=42,Personnel!$G$20="Yes"),Personnel!$C$20*0.15,0)+IF(AND(Personnel!$E$21&gt;=2,Personnel!$E$21=42,Personnel!$G$21="Yes"),Personnel!$C$21*0.15,0)+IF(AND(Personnel!$E$22&gt;=2,Personnel!$E$22=42,Personnel!$G$22="Yes"),Personnel!$C$22*0.15,0)+IF(AND(Personnel!$E$23&gt;=2,Personnel!$E$23=42,Personnel!$G$23="Yes"),Personnel!$C$23*0.15,0)+IF(AND(Personnel!$E$24&gt;=2,Personnel!$E$24=42,Personnel!$G$24="Yes"),Personnel!$C$24*0.15,0)+IF(AND(Personnel!$E$25&gt;=2,Personnel!$E$25=42,Personnel!$G$25="Yes"),Personnel!$C$25*0.15,0)+IF(AND(Personnel!$E$26&gt;=2,Personnel!$E$26=42,Personnel!$G$26="Yes"),Personnel!$C$26*0.15,0)+IF(AND(Personnel!$E$27&gt;=2,Personnel!$E$27=42,Personnel!$G$27="Yes"),Personnel!$C$27*0.15,0)+IF(AND(Personnel!$E$28&gt;=2,Personnel!$E$28=42,Personnel!$G$28="Yes"),Personnel!$C$28*0.15,0)+IF(AND(Personnel!$E$29&gt;=2,Personnel!$E$29=42,Personnel!$G$29="Yes"),Personnel!$C$29*0.15,0)+IF(AND(Personnel!$E$30&gt;=2,Personnel!$E$30=42,Personnel!$G$30="Yes"),Personnel!$C$30*0.15,0)+IF(AND(Personnel!$E$31&gt;=2,Personnel!$E$31=42,Personnel!$G$31="Yes"),Personnel!$C$31*0.15,0)+IF(AND(Personnel!$E$32&gt;=2,Personnel!$E$32=42,Personnel!$G$32="Yes"),Personnel!$C$32*0.15,0)+IF(AND(Personnel!$E$33&gt;=2,Personnel!$E$33=42,Personnel!$G$33="Yes"),Personnel!$C$33*0.15,0)),Actuals!AU40)</f>
        <v>0</v>
      </c>
      <c r="AV43" s="3">
        <f>IF(ISBLANK(Actuals!AV40),-(IF(AND(Personnel!$E$2&gt;=2,Personnel!$E$2=43,Personnel!$G$2="Yes"),Personnel!$C$2*0.15,0)+IF(AND(Personnel!$E$3&gt;=2,Personnel!$E$3=43,Personnel!$G$3="Yes"),Personnel!$C$3*0.15,0)+IF(AND(Personnel!$E$4&gt;=2,Personnel!$E$4=43,Personnel!$G$4="Yes"),Personnel!$C$4*0.15,0)+IF(AND(Personnel!$E$5&gt;=2,Personnel!$E$5=43,Personnel!$G$5="Yes"),Personnel!$C$5*0.15,0)+IF(AND(Personnel!$E$6&gt;=2,Personnel!$E$6=43,Personnel!$G$6="Yes"),Personnel!$C$6*0.15,0)+IF(AND(Personnel!$E$7&gt;=2,Personnel!$E$7=43,Personnel!$G$7="Yes"),Personnel!$C$7*0.15,0)+IF(AND(Personnel!$E$8&gt;=2,Personnel!$E$8=43,Personnel!$G$8="Yes"),Personnel!$C$8*0.15,0)+IF(AND(Personnel!$E$9&gt;=2,Personnel!$E$9=43,Personnel!$G$9="Yes"),Personnel!$C$9*0.15,0)+IF(AND(Personnel!$E$10&gt;=2,Personnel!$E$10=43,Personnel!$G$10="Yes"),Personnel!$C$10*0.15,0)+IF(AND(Personnel!$E$11&gt;=2,Personnel!$E$11=43,Personnel!$G$11="Yes"),Personnel!$C$11*0.15,0)+IF(AND(Personnel!$E$12&gt;=2,Personnel!$E$12=43,Personnel!$G$12="Yes"),Personnel!$C$12*0.15,0)+IF(AND(Personnel!$E$13&gt;=2,Personnel!$E$13=43,Personnel!$G$13="Yes"),Personnel!$C$13*0.15,0)+IF(AND(Personnel!$E$14&gt;=2,Personnel!$E$14=43,Personnel!$G$14="Yes"),Personnel!$C$14*0.15,0)+IF(AND(Personnel!$E$15&gt;=2,Personnel!$E$15=43,Personnel!$G$15="Yes"),Personnel!$C$15*0.15,0)+IF(AND(Personnel!$E$16&gt;=2,Personnel!$E$16=43,Personnel!$G$16="Yes"),Personnel!$C$16*0.15,0)+IF(AND(Personnel!$E$17&gt;=2,Personnel!$E$17=43,Personnel!$G$17="Yes"),Personnel!$C$17*0.15,0)+IF(AND(Personnel!$E$18&gt;=2,Personnel!$E$18=43,Personnel!$G$18="Yes"),Personnel!$C$18*0.15,0)+IF(AND(Personnel!$E$19&gt;=2,Personnel!$E$19=43,Personnel!$G$19="Yes"),Personnel!$C$19*0.15,0)+IF(AND(Personnel!$E$20&gt;=2,Personnel!$E$20=43,Personnel!$G$20="Yes"),Personnel!$C$20*0.15,0)+IF(AND(Personnel!$E$21&gt;=2,Personnel!$E$21=43,Personnel!$G$21="Yes"),Personnel!$C$21*0.15,0)+IF(AND(Personnel!$E$22&gt;=2,Personnel!$E$22=43,Personnel!$G$22="Yes"),Personnel!$C$22*0.15,0)+IF(AND(Personnel!$E$23&gt;=2,Personnel!$E$23=43,Personnel!$G$23="Yes"),Personnel!$C$23*0.15,0)+IF(AND(Personnel!$E$24&gt;=2,Personnel!$E$24=43,Personnel!$G$24="Yes"),Personnel!$C$24*0.15,0)+IF(AND(Personnel!$E$25&gt;=2,Personnel!$E$25=43,Personnel!$G$25="Yes"),Personnel!$C$25*0.15,0)+IF(AND(Personnel!$E$26&gt;=2,Personnel!$E$26=43,Personnel!$G$26="Yes"),Personnel!$C$26*0.15,0)+IF(AND(Personnel!$E$27&gt;=2,Personnel!$E$27=43,Personnel!$G$27="Yes"),Personnel!$C$27*0.15,0)+IF(AND(Personnel!$E$28&gt;=2,Personnel!$E$28=43,Personnel!$G$28="Yes"),Personnel!$C$28*0.15,0)+IF(AND(Personnel!$E$29&gt;=2,Personnel!$E$29=43,Personnel!$G$29="Yes"),Personnel!$C$29*0.15,0)+IF(AND(Personnel!$E$30&gt;=2,Personnel!$E$30=43,Personnel!$G$30="Yes"),Personnel!$C$30*0.15,0)+IF(AND(Personnel!$E$31&gt;=2,Personnel!$E$31=43,Personnel!$G$31="Yes"),Personnel!$C$31*0.15,0)+IF(AND(Personnel!$E$32&gt;=2,Personnel!$E$32=43,Personnel!$G$32="Yes"),Personnel!$C$32*0.15,0)+IF(AND(Personnel!$E$33&gt;=2,Personnel!$E$33=43,Personnel!$G$33="Yes"),Personnel!$C$33*0.15,0)),Actuals!AV40)</f>
        <v>0</v>
      </c>
      <c r="AW43" s="3">
        <f>IF(ISBLANK(Actuals!AW40),-(IF(AND(Personnel!$E$2&gt;=2,Personnel!$E$2=44,Personnel!$G$2="Yes"),Personnel!$C$2*0.15,0)+IF(AND(Personnel!$E$3&gt;=2,Personnel!$E$3=44,Personnel!$G$3="Yes"),Personnel!$C$3*0.15,0)+IF(AND(Personnel!$E$4&gt;=2,Personnel!$E$4=44,Personnel!$G$4="Yes"),Personnel!$C$4*0.15,0)+IF(AND(Personnel!$E$5&gt;=2,Personnel!$E$5=44,Personnel!$G$5="Yes"),Personnel!$C$5*0.15,0)+IF(AND(Personnel!$E$6&gt;=2,Personnel!$E$6=44,Personnel!$G$6="Yes"),Personnel!$C$6*0.15,0)+IF(AND(Personnel!$E$7&gt;=2,Personnel!$E$7=44,Personnel!$G$7="Yes"),Personnel!$C$7*0.15,0)+IF(AND(Personnel!$E$8&gt;=2,Personnel!$E$8=44,Personnel!$G$8="Yes"),Personnel!$C$8*0.15,0)+IF(AND(Personnel!$E$9&gt;=2,Personnel!$E$9=44,Personnel!$G$9="Yes"),Personnel!$C$9*0.15,0)+IF(AND(Personnel!$E$10&gt;=2,Personnel!$E$10=44,Personnel!$G$10="Yes"),Personnel!$C$10*0.15,0)+IF(AND(Personnel!$E$11&gt;=2,Personnel!$E$11=44,Personnel!$G$11="Yes"),Personnel!$C$11*0.15,0)+IF(AND(Personnel!$E$12&gt;=2,Personnel!$E$12=44,Personnel!$G$12="Yes"),Personnel!$C$12*0.15,0)+IF(AND(Personnel!$E$13&gt;=2,Personnel!$E$13=44,Personnel!$G$13="Yes"),Personnel!$C$13*0.15,0)+IF(AND(Personnel!$E$14&gt;=2,Personnel!$E$14=44,Personnel!$G$14="Yes"),Personnel!$C$14*0.15,0)+IF(AND(Personnel!$E$15&gt;=2,Personnel!$E$15=44,Personnel!$G$15="Yes"),Personnel!$C$15*0.15,0)+IF(AND(Personnel!$E$16&gt;=2,Personnel!$E$16=44,Personnel!$G$16="Yes"),Personnel!$C$16*0.15,0)+IF(AND(Personnel!$E$17&gt;=2,Personnel!$E$17=44,Personnel!$G$17="Yes"),Personnel!$C$17*0.15,0)+IF(AND(Personnel!$E$18&gt;=2,Personnel!$E$18=44,Personnel!$G$18="Yes"),Personnel!$C$18*0.15,0)+IF(AND(Personnel!$E$19&gt;=2,Personnel!$E$19=44,Personnel!$G$19="Yes"),Personnel!$C$19*0.15,0)+IF(AND(Personnel!$E$20&gt;=2,Personnel!$E$20=44,Personnel!$G$20="Yes"),Personnel!$C$20*0.15,0)+IF(AND(Personnel!$E$21&gt;=2,Personnel!$E$21=44,Personnel!$G$21="Yes"),Personnel!$C$21*0.15,0)+IF(AND(Personnel!$E$22&gt;=2,Personnel!$E$22=44,Personnel!$G$22="Yes"),Personnel!$C$22*0.15,0)+IF(AND(Personnel!$E$23&gt;=2,Personnel!$E$23=44,Personnel!$G$23="Yes"),Personnel!$C$23*0.15,0)+IF(AND(Personnel!$E$24&gt;=2,Personnel!$E$24=44,Personnel!$G$24="Yes"),Personnel!$C$24*0.15,0)+IF(AND(Personnel!$E$25&gt;=2,Personnel!$E$25=44,Personnel!$G$25="Yes"),Personnel!$C$25*0.15,0)+IF(AND(Personnel!$E$26&gt;=2,Personnel!$E$26=44,Personnel!$G$26="Yes"),Personnel!$C$26*0.15,0)+IF(AND(Personnel!$E$27&gt;=2,Personnel!$E$27=44,Personnel!$G$27="Yes"),Personnel!$C$27*0.15,0)+IF(AND(Personnel!$E$28&gt;=2,Personnel!$E$28=44,Personnel!$G$28="Yes"),Personnel!$C$28*0.15,0)+IF(AND(Personnel!$E$29&gt;=2,Personnel!$E$29=44,Personnel!$G$29="Yes"),Personnel!$C$29*0.15,0)+IF(AND(Personnel!$E$30&gt;=2,Personnel!$E$30=44,Personnel!$G$30="Yes"),Personnel!$C$30*0.15,0)+IF(AND(Personnel!$E$31&gt;=2,Personnel!$E$31=44,Personnel!$G$31="Yes"),Personnel!$C$31*0.15,0)+IF(AND(Personnel!$E$32&gt;=2,Personnel!$E$32=44,Personnel!$G$32="Yes"),Personnel!$C$32*0.15,0)+IF(AND(Personnel!$E$33&gt;=2,Personnel!$E$33=44,Personnel!$G$33="Yes"),Personnel!$C$33*0.15,0)),Actuals!AW40)</f>
        <v>0</v>
      </c>
      <c r="AX43" s="3">
        <f>IF(ISBLANK(Actuals!AX40),-(IF(AND(Personnel!$E$2&gt;=2,Personnel!$E$2=45,Personnel!$G$2="Yes"),Personnel!$C$2*0.15,0)+IF(AND(Personnel!$E$3&gt;=2,Personnel!$E$3=45,Personnel!$G$3="Yes"),Personnel!$C$3*0.15,0)+IF(AND(Personnel!$E$4&gt;=2,Personnel!$E$4=45,Personnel!$G$4="Yes"),Personnel!$C$4*0.15,0)+IF(AND(Personnel!$E$5&gt;=2,Personnel!$E$5=45,Personnel!$G$5="Yes"),Personnel!$C$5*0.15,0)+IF(AND(Personnel!$E$6&gt;=2,Personnel!$E$6=45,Personnel!$G$6="Yes"),Personnel!$C$6*0.15,0)+IF(AND(Personnel!$E$7&gt;=2,Personnel!$E$7=45,Personnel!$G$7="Yes"),Personnel!$C$7*0.15,0)+IF(AND(Personnel!$E$8&gt;=2,Personnel!$E$8=45,Personnel!$G$8="Yes"),Personnel!$C$8*0.15,0)+IF(AND(Personnel!$E$9&gt;=2,Personnel!$E$9=45,Personnel!$G$9="Yes"),Personnel!$C$9*0.15,0)+IF(AND(Personnel!$E$10&gt;=2,Personnel!$E$10=45,Personnel!$G$10="Yes"),Personnel!$C$10*0.15,0)+IF(AND(Personnel!$E$11&gt;=2,Personnel!$E$11=45,Personnel!$G$11="Yes"),Personnel!$C$11*0.15,0)+IF(AND(Personnel!$E$12&gt;=2,Personnel!$E$12=45,Personnel!$G$12="Yes"),Personnel!$C$12*0.15,0)+IF(AND(Personnel!$E$13&gt;=2,Personnel!$E$13=45,Personnel!$G$13="Yes"),Personnel!$C$13*0.15,0)+IF(AND(Personnel!$E$14&gt;=2,Personnel!$E$14=45,Personnel!$G$14="Yes"),Personnel!$C$14*0.15,0)+IF(AND(Personnel!$E$15&gt;=2,Personnel!$E$15=45,Personnel!$G$15="Yes"),Personnel!$C$15*0.15,0)+IF(AND(Personnel!$E$16&gt;=2,Personnel!$E$16=45,Personnel!$G$16="Yes"),Personnel!$C$16*0.15,0)+IF(AND(Personnel!$E$17&gt;=2,Personnel!$E$17=45,Personnel!$G$17="Yes"),Personnel!$C$17*0.15,0)+IF(AND(Personnel!$E$18&gt;=2,Personnel!$E$18=45,Personnel!$G$18="Yes"),Personnel!$C$18*0.15,0)+IF(AND(Personnel!$E$19&gt;=2,Personnel!$E$19=45,Personnel!$G$19="Yes"),Personnel!$C$19*0.15,0)+IF(AND(Personnel!$E$20&gt;=2,Personnel!$E$20=45,Personnel!$G$20="Yes"),Personnel!$C$20*0.15,0)+IF(AND(Personnel!$E$21&gt;=2,Personnel!$E$21=45,Personnel!$G$21="Yes"),Personnel!$C$21*0.15,0)+IF(AND(Personnel!$E$22&gt;=2,Personnel!$E$22=45,Personnel!$G$22="Yes"),Personnel!$C$22*0.15,0)+IF(AND(Personnel!$E$23&gt;=2,Personnel!$E$23=45,Personnel!$G$23="Yes"),Personnel!$C$23*0.15,0)+IF(AND(Personnel!$E$24&gt;=2,Personnel!$E$24=45,Personnel!$G$24="Yes"),Personnel!$C$24*0.15,0)+IF(AND(Personnel!$E$25&gt;=2,Personnel!$E$25=45,Personnel!$G$25="Yes"),Personnel!$C$25*0.15,0)+IF(AND(Personnel!$E$26&gt;=2,Personnel!$E$26=45,Personnel!$G$26="Yes"),Personnel!$C$26*0.15,0)+IF(AND(Personnel!$E$27&gt;=2,Personnel!$E$27=45,Personnel!$G$27="Yes"),Personnel!$C$27*0.15,0)+IF(AND(Personnel!$E$28&gt;=2,Personnel!$E$28=45,Personnel!$G$28="Yes"),Personnel!$C$28*0.15,0)+IF(AND(Personnel!$E$29&gt;=2,Personnel!$E$29=45,Personnel!$G$29="Yes"),Personnel!$C$29*0.15,0)+IF(AND(Personnel!$E$30&gt;=2,Personnel!$E$30=45,Personnel!$G$30="Yes"),Personnel!$C$30*0.15,0)+IF(AND(Personnel!$E$31&gt;=2,Personnel!$E$31=45,Personnel!$G$31="Yes"),Personnel!$C$31*0.15,0)+IF(AND(Personnel!$E$32&gt;=2,Personnel!$E$32=45,Personnel!$G$32="Yes"),Personnel!$C$32*0.15,0)+IF(AND(Personnel!$E$33&gt;=2,Personnel!$E$33=45,Personnel!$G$33="Yes"),Personnel!$C$33*0.15,0)),Actuals!AX40)</f>
        <v>0</v>
      </c>
      <c r="AY43" s="3">
        <f>IF(ISBLANK(Actuals!AY40),-(IF(AND(Personnel!$E$2&gt;=2,Personnel!$E$2=46,Personnel!$G$2="Yes"),Personnel!$C$2*0.15,0)+IF(AND(Personnel!$E$3&gt;=2,Personnel!$E$3=46,Personnel!$G$3="Yes"),Personnel!$C$3*0.15,0)+IF(AND(Personnel!$E$4&gt;=2,Personnel!$E$4=46,Personnel!$G$4="Yes"),Personnel!$C$4*0.15,0)+IF(AND(Personnel!$E$5&gt;=2,Personnel!$E$5=46,Personnel!$G$5="Yes"),Personnel!$C$5*0.15,0)+IF(AND(Personnel!$E$6&gt;=2,Personnel!$E$6=46,Personnel!$G$6="Yes"),Personnel!$C$6*0.15,0)+IF(AND(Personnel!$E$7&gt;=2,Personnel!$E$7=46,Personnel!$G$7="Yes"),Personnel!$C$7*0.15,0)+IF(AND(Personnel!$E$8&gt;=2,Personnel!$E$8=46,Personnel!$G$8="Yes"),Personnel!$C$8*0.15,0)+IF(AND(Personnel!$E$9&gt;=2,Personnel!$E$9=46,Personnel!$G$9="Yes"),Personnel!$C$9*0.15,0)+IF(AND(Personnel!$E$10&gt;=2,Personnel!$E$10=46,Personnel!$G$10="Yes"),Personnel!$C$10*0.15,0)+IF(AND(Personnel!$E$11&gt;=2,Personnel!$E$11=46,Personnel!$G$11="Yes"),Personnel!$C$11*0.15,0)+IF(AND(Personnel!$E$12&gt;=2,Personnel!$E$12=46,Personnel!$G$12="Yes"),Personnel!$C$12*0.15,0)+IF(AND(Personnel!$E$13&gt;=2,Personnel!$E$13=46,Personnel!$G$13="Yes"),Personnel!$C$13*0.15,0)+IF(AND(Personnel!$E$14&gt;=2,Personnel!$E$14=46,Personnel!$G$14="Yes"),Personnel!$C$14*0.15,0)+IF(AND(Personnel!$E$15&gt;=2,Personnel!$E$15=46,Personnel!$G$15="Yes"),Personnel!$C$15*0.15,0)+IF(AND(Personnel!$E$16&gt;=2,Personnel!$E$16=46,Personnel!$G$16="Yes"),Personnel!$C$16*0.15,0)+IF(AND(Personnel!$E$17&gt;=2,Personnel!$E$17=46,Personnel!$G$17="Yes"),Personnel!$C$17*0.15,0)+IF(AND(Personnel!$E$18&gt;=2,Personnel!$E$18=46,Personnel!$G$18="Yes"),Personnel!$C$18*0.15,0)+IF(AND(Personnel!$E$19&gt;=2,Personnel!$E$19=46,Personnel!$G$19="Yes"),Personnel!$C$19*0.15,0)+IF(AND(Personnel!$E$20&gt;=2,Personnel!$E$20=46,Personnel!$G$20="Yes"),Personnel!$C$20*0.15,0)+IF(AND(Personnel!$E$21&gt;=2,Personnel!$E$21=46,Personnel!$G$21="Yes"),Personnel!$C$21*0.15,0)+IF(AND(Personnel!$E$22&gt;=2,Personnel!$E$22=46,Personnel!$G$22="Yes"),Personnel!$C$22*0.15,0)+IF(AND(Personnel!$E$23&gt;=2,Personnel!$E$23=46,Personnel!$G$23="Yes"),Personnel!$C$23*0.15,0)+IF(AND(Personnel!$E$24&gt;=2,Personnel!$E$24=46,Personnel!$G$24="Yes"),Personnel!$C$24*0.15,0)+IF(AND(Personnel!$E$25&gt;=2,Personnel!$E$25=46,Personnel!$G$25="Yes"),Personnel!$C$25*0.15,0)+IF(AND(Personnel!$E$26&gt;=2,Personnel!$E$26=46,Personnel!$G$26="Yes"),Personnel!$C$26*0.15,0)+IF(AND(Personnel!$E$27&gt;=2,Personnel!$E$27=46,Personnel!$G$27="Yes"),Personnel!$C$27*0.15,0)+IF(AND(Personnel!$E$28&gt;=2,Personnel!$E$28=46,Personnel!$G$28="Yes"),Personnel!$C$28*0.15,0)+IF(AND(Personnel!$E$29&gt;=2,Personnel!$E$29=46,Personnel!$G$29="Yes"),Personnel!$C$29*0.15,0)+IF(AND(Personnel!$E$30&gt;=2,Personnel!$E$30=46,Personnel!$G$30="Yes"),Personnel!$C$30*0.15,0)+IF(AND(Personnel!$E$31&gt;=2,Personnel!$E$31=46,Personnel!$G$31="Yes"),Personnel!$C$31*0.15,0)+IF(AND(Personnel!$E$32&gt;=2,Personnel!$E$32=46,Personnel!$G$32="Yes"),Personnel!$C$32*0.15,0)+IF(AND(Personnel!$E$33&gt;=2,Personnel!$E$33=46,Personnel!$G$33="Yes"),Personnel!$C$33*0.15,0)),Actuals!AY40)</f>
        <v>0</v>
      </c>
      <c r="AZ43" s="3">
        <f>IF(ISBLANK(Actuals!AZ40),-(IF(AND(Personnel!$E$2&gt;=2,Personnel!$E$2=47,Personnel!$G$2="Yes"),Personnel!$C$2*0.15,0)+IF(AND(Personnel!$E$3&gt;=2,Personnel!$E$3=47,Personnel!$G$3="Yes"),Personnel!$C$3*0.15,0)+IF(AND(Personnel!$E$4&gt;=2,Personnel!$E$4=47,Personnel!$G$4="Yes"),Personnel!$C$4*0.15,0)+IF(AND(Personnel!$E$5&gt;=2,Personnel!$E$5=47,Personnel!$G$5="Yes"),Personnel!$C$5*0.15,0)+IF(AND(Personnel!$E$6&gt;=2,Personnel!$E$6=47,Personnel!$G$6="Yes"),Personnel!$C$6*0.15,0)+IF(AND(Personnel!$E$7&gt;=2,Personnel!$E$7=47,Personnel!$G$7="Yes"),Personnel!$C$7*0.15,0)+IF(AND(Personnel!$E$8&gt;=2,Personnel!$E$8=47,Personnel!$G$8="Yes"),Personnel!$C$8*0.15,0)+IF(AND(Personnel!$E$9&gt;=2,Personnel!$E$9=47,Personnel!$G$9="Yes"),Personnel!$C$9*0.15,0)+IF(AND(Personnel!$E$10&gt;=2,Personnel!$E$10=47,Personnel!$G$10="Yes"),Personnel!$C$10*0.15,0)+IF(AND(Personnel!$E$11&gt;=2,Personnel!$E$11=47,Personnel!$G$11="Yes"),Personnel!$C$11*0.15,0)+IF(AND(Personnel!$E$12&gt;=2,Personnel!$E$12=47,Personnel!$G$12="Yes"),Personnel!$C$12*0.15,0)+IF(AND(Personnel!$E$13&gt;=2,Personnel!$E$13=47,Personnel!$G$13="Yes"),Personnel!$C$13*0.15,0)+IF(AND(Personnel!$E$14&gt;=2,Personnel!$E$14=47,Personnel!$G$14="Yes"),Personnel!$C$14*0.15,0)+IF(AND(Personnel!$E$15&gt;=2,Personnel!$E$15=47,Personnel!$G$15="Yes"),Personnel!$C$15*0.15,0)+IF(AND(Personnel!$E$16&gt;=2,Personnel!$E$16=47,Personnel!$G$16="Yes"),Personnel!$C$16*0.15,0)+IF(AND(Personnel!$E$17&gt;=2,Personnel!$E$17=47,Personnel!$G$17="Yes"),Personnel!$C$17*0.15,0)+IF(AND(Personnel!$E$18&gt;=2,Personnel!$E$18=47,Personnel!$G$18="Yes"),Personnel!$C$18*0.15,0)+IF(AND(Personnel!$E$19&gt;=2,Personnel!$E$19=47,Personnel!$G$19="Yes"),Personnel!$C$19*0.15,0)+IF(AND(Personnel!$E$20&gt;=2,Personnel!$E$20=47,Personnel!$G$20="Yes"),Personnel!$C$20*0.15,0)+IF(AND(Personnel!$E$21&gt;=2,Personnel!$E$21=47,Personnel!$G$21="Yes"),Personnel!$C$21*0.15,0)+IF(AND(Personnel!$E$22&gt;=2,Personnel!$E$22=47,Personnel!$G$22="Yes"),Personnel!$C$22*0.15,0)+IF(AND(Personnel!$E$23&gt;=2,Personnel!$E$23=47,Personnel!$G$23="Yes"),Personnel!$C$23*0.15,0)+IF(AND(Personnel!$E$24&gt;=2,Personnel!$E$24=47,Personnel!$G$24="Yes"),Personnel!$C$24*0.15,0)+IF(AND(Personnel!$E$25&gt;=2,Personnel!$E$25=47,Personnel!$G$25="Yes"),Personnel!$C$25*0.15,0)+IF(AND(Personnel!$E$26&gt;=2,Personnel!$E$26=47,Personnel!$G$26="Yes"),Personnel!$C$26*0.15,0)+IF(AND(Personnel!$E$27&gt;=2,Personnel!$E$27=47,Personnel!$G$27="Yes"),Personnel!$C$27*0.15,0)+IF(AND(Personnel!$E$28&gt;=2,Personnel!$E$28=47,Personnel!$G$28="Yes"),Personnel!$C$28*0.15,0)+IF(AND(Personnel!$E$29&gt;=2,Personnel!$E$29=47,Personnel!$G$29="Yes"),Personnel!$C$29*0.15,0)+IF(AND(Personnel!$E$30&gt;=2,Personnel!$E$30=47,Personnel!$G$30="Yes"),Personnel!$C$30*0.15,0)+IF(AND(Personnel!$E$31&gt;=2,Personnel!$E$31=47,Personnel!$G$31="Yes"),Personnel!$C$31*0.15,0)+IF(AND(Personnel!$E$32&gt;=2,Personnel!$E$32=47,Personnel!$G$32="Yes"),Personnel!$C$32*0.15,0)+IF(AND(Personnel!$E$33&gt;=2,Personnel!$E$33=47,Personnel!$G$33="Yes"),Personnel!$C$33*0.15,0)),Actuals!AZ40)</f>
        <v>0</v>
      </c>
      <c r="BA43" s="3">
        <f>IF(ISBLANK(Actuals!BA40),-(IF(AND(Personnel!$E$2&gt;=2,Personnel!$E$2=48,Personnel!$G$2="Yes"),Personnel!$C$2*0.15,0)+IF(AND(Personnel!$E$3&gt;=2,Personnel!$E$3=48,Personnel!$G$3="Yes"),Personnel!$C$3*0.15,0)+IF(AND(Personnel!$E$4&gt;=2,Personnel!$E$4=48,Personnel!$G$4="Yes"),Personnel!$C$4*0.15,0)+IF(AND(Personnel!$E$5&gt;=2,Personnel!$E$5=48,Personnel!$G$5="Yes"),Personnel!$C$5*0.15,0)+IF(AND(Personnel!$E$6&gt;=2,Personnel!$E$6=48,Personnel!$G$6="Yes"),Personnel!$C$6*0.15,0)+IF(AND(Personnel!$E$7&gt;=2,Personnel!$E$7=48,Personnel!$G$7="Yes"),Personnel!$C$7*0.15,0)+IF(AND(Personnel!$E$8&gt;=2,Personnel!$E$8=48,Personnel!$G$8="Yes"),Personnel!$C$8*0.15,0)+IF(AND(Personnel!$E$9&gt;=2,Personnel!$E$9=48,Personnel!$G$9="Yes"),Personnel!$C$9*0.15,0)+IF(AND(Personnel!$E$10&gt;=2,Personnel!$E$10=48,Personnel!$G$10="Yes"),Personnel!$C$10*0.15,0)+IF(AND(Personnel!$E$11&gt;=2,Personnel!$E$11=48,Personnel!$G$11="Yes"),Personnel!$C$11*0.15,0)+IF(AND(Personnel!$E$12&gt;=2,Personnel!$E$12=48,Personnel!$G$12="Yes"),Personnel!$C$12*0.15,0)+IF(AND(Personnel!$E$13&gt;=2,Personnel!$E$13=48,Personnel!$G$13="Yes"),Personnel!$C$13*0.15,0)+IF(AND(Personnel!$E$14&gt;=2,Personnel!$E$14=48,Personnel!$G$14="Yes"),Personnel!$C$14*0.15,0)+IF(AND(Personnel!$E$15&gt;=2,Personnel!$E$15=48,Personnel!$G$15="Yes"),Personnel!$C$15*0.15,0)+IF(AND(Personnel!$E$16&gt;=2,Personnel!$E$16=48,Personnel!$G$16="Yes"),Personnel!$C$16*0.15,0)+IF(AND(Personnel!$E$17&gt;=2,Personnel!$E$17=48,Personnel!$G$17="Yes"),Personnel!$C$17*0.15,0)+IF(AND(Personnel!$E$18&gt;=2,Personnel!$E$18=48,Personnel!$G$18="Yes"),Personnel!$C$18*0.15,0)+IF(AND(Personnel!$E$19&gt;=2,Personnel!$E$19=48,Personnel!$G$19="Yes"),Personnel!$C$19*0.15,0)+IF(AND(Personnel!$E$20&gt;=2,Personnel!$E$20=48,Personnel!$G$20="Yes"),Personnel!$C$20*0.15,0)+IF(AND(Personnel!$E$21&gt;=2,Personnel!$E$21=48,Personnel!$G$21="Yes"),Personnel!$C$21*0.15,0)+IF(AND(Personnel!$E$22&gt;=2,Personnel!$E$22=48,Personnel!$G$22="Yes"),Personnel!$C$22*0.15,0)+IF(AND(Personnel!$E$23&gt;=2,Personnel!$E$23=48,Personnel!$G$23="Yes"),Personnel!$C$23*0.15,0)+IF(AND(Personnel!$E$24&gt;=2,Personnel!$E$24=48,Personnel!$G$24="Yes"),Personnel!$C$24*0.15,0)+IF(AND(Personnel!$E$25&gt;=2,Personnel!$E$25=48,Personnel!$G$25="Yes"),Personnel!$C$25*0.15,0)+IF(AND(Personnel!$E$26&gt;=2,Personnel!$E$26=48,Personnel!$G$26="Yes"),Personnel!$C$26*0.15,0)+IF(AND(Personnel!$E$27&gt;=2,Personnel!$E$27=48,Personnel!$G$27="Yes"),Personnel!$C$27*0.15,0)+IF(AND(Personnel!$E$28&gt;=2,Personnel!$E$28=48,Personnel!$G$28="Yes"),Personnel!$C$28*0.15,0)+IF(AND(Personnel!$E$29&gt;=2,Personnel!$E$29=48,Personnel!$G$29="Yes"),Personnel!$C$29*0.15,0)+IF(AND(Personnel!$E$30&gt;=2,Personnel!$E$30=48,Personnel!$G$30="Yes"),Personnel!$C$30*0.15,0)+IF(AND(Personnel!$E$31&gt;=2,Personnel!$E$31=48,Personnel!$G$31="Yes"),Personnel!$C$31*0.15,0)+IF(AND(Personnel!$E$32&gt;=2,Personnel!$E$32=48,Personnel!$G$32="Yes"),Personnel!$C$32*0.15,0)+IF(AND(Personnel!$E$33&gt;=2,Personnel!$E$33=48,Personnel!$G$33="Yes"),Personnel!$C$33*0.15,0)),Actuals!BA40)</f>
        <v>0</v>
      </c>
      <c r="BB43" s="3">
        <f>IF(ISBLANK(Actuals!BB40),-(IF(AND(Personnel!$E$2&gt;=2,Personnel!$E$2=49,Personnel!$G$2="Yes"),Personnel!$C$2*0.15,0)+IF(AND(Personnel!$E$3&gt;=2,Personnel!$E$3=49,Personnel!$G$3="Yes"),Personnel!$C$3*0.15,0)+IF(AND(Personnel!$E$4&gt;=2,Personnel!$E$4=49,Personnel!$G$4="Yes"),Personnel!$C$4*0.15,0)+IF(AND(Personnel!$E$5&gt;=2,Personnel!$E$5=49,Personnel!$G$5="Yes"),Personnel!$C$5*0.15,0)+IF(AND(Personnel!$E$6&gt;=2,Personnel!$E$6=49,Personnel!$G$6="Yes"),Personnel!$C$6*0.15,0)+IF(AND(Personnel!$E$7&gt;=2,Personnel!$E$7=49,Personnel!$G$7="Yes"),Personnel!$C$7*0.15,0)+IF(AND(Personnel!$E$8&gt;=2,Personnel!$E$8=49,Personnel!$G$8="Yes"),Personnel!$C$8*0.15,0)+IF(AND(Personnel!$E$9&gt;=2,Personnel!$E$9=49,Personnel!$G$9="Yes"),Personnel!$C$9*0.15,0)+IF(AND(Personnel!$E$10&gt;=2,Personnel!$E$10=49,Personnel!$G$10="Yes"),Personnel!$C$10*0.15,0)+IF(AND(Personnel!$E$11&gt;=2,Personnel!$E$11=49,Personnel!$G$11="Yes"),Personnel!$C$11*0.15,0)+IF(AND(Personnel!$E$12&gt;=2,Personnel!$E$12=49,Personnel!$G$12="Yes"),Personnel!$C$12*0.15,0)+IF(AND(Personnel!$E$13&gt;=2,Personnel!$E$13=49,Personnel!$G$13="Yes"),Personnel!$C$13*0.15,0)+IF(AND(Personnel!$E$14&gt;=2,Personnel!$E$14=49,Personnel!$G$14="Yes"),Personnel!$C$14*0.15,0)+IF(AND(Personnel!$E$15&gt;=2,Personnel!$E$15=49,Personnel!$G$15="Yes"),Personnel!$C$15*0.15,0)+IF(AND(Personnel!$E$16&gt;=2,Personnel!$E$16=49,Personnel!$G$16="Yes"),Personnel!$C$16*0.15,0)+IF(AND(Personnel!$E$17&gt;=2,Personnel!$E$17=49,Personnel!$G$17="Yes"),Personnel!$C$17*0.15,0)+IF(AND(Personnel!$E$18&gt;=2,Personnel!$E$18=49,Personnel!$G$18="Yes"),Personnel!$C$18*0.15,0)+IF(AND(Personnel!$E$19&gt;=2,Personnel!$E$19=49,Personnel!$G$19="Yes"),Personnel!$C$19*0.15,0)+IF(AND(Personnel!$E$20&gt;=2,Personnel!$E$20=49,Personnel!$G$20="Yes"),Personnel!$C$20*0.15,0)+IF(AND(Personnel!$E$21&gt;=2,Personnel!$E$21=49,Personnel!$G$21="Yes"),Personnel!$C$21*0.15,0)+IF(AND(Personnel!$E$22&gt;=2,Personnel!$E$22=49,Personnel!$G$22="Yes"),Personnel!$C$22*0.15,0)+IF(AND(Personnel!$E$23&gt;=2,Personnel!$E$23=49,Personnel!$G$23="Yes"),Personnel!$C$23*0.15,0)+IF(AND(Personnel!$E$24&gt;=2,Personnel!$E$24=49,Personnel!$G$24="Yes"),Personnel!$C$24*0.15,0)+IF(AND(Personnel!$E$25&gt;=2,Personnel!$E$25=49,Personnel!$G$25="Yes"),Personnel!$C$25*0.15,0)+IF(AND(Personnel!$E$26&gt;=2,Personnel!$E$26=49,Personnel!$G$26="Yes"),Personnel!$C$26*0.15,0)+IF(AND(Personnel!$E$27&gt;=2,Personnel!$E$27=49,Personnel!$G$27="Yes"),Personnel!$C$27*0.15,0)+IF(AND(Personnel!$E$28&gt;=2,Personnel!$E$28=49,Personnel!$G$28="Yes"),Personnel!$C$28*0.15,0)+IF(AND(Personnel!$E$29&gt;=2,Personnel!$E$29=49,Personnel!$G$29="Yes"),Personnel!$C$29*0.15,0)+IF(AND(Personnel!$E$30&gt;=2,Personnel!$E$30=49,Personnel!$G$30="Yes"),Personnel!$C$30*0.15,0)+IF(AND(Personnel!$E$31&gt;=2,Personnel!$E$31=49,Personnel!$G$31="Yes"),Personnel!$C$31*0.15,0)+IF(AND(Personnel!$E$32&gt;=2,Personnel!$E$32=49,Personnel!$G$32="Yes"),Personnel!$C$32*0.15,0)+IF(AND(Personnel!$E$33&gt;=2,Personnel!$E$33=49,Personnel!$G$33="Yes"),Personnel!$C$33*0.15,0)),Actuals!BB40)</f>
        <v>0</v>
      </c>
      <c r="BC43" s="3">
        <f>IF(ISBLANK(Actuals!BC40),-(IF(AND(Personnel!$E$2&gt;=2,Personnel!$E$2=50,Personnel!$G$2="Yes"),Personnel!$C$2*0.15,0)+IF(AND(Personnel!$E$3&gt;=2,Personnel!$E$3=50,Personnel!$G$3="Yes"),Personnel!$C$3*0.15,0)+IF(AND(Personnel!$E$4&gt;=2,Personnel!$E$4=50,Personnel!$G$4="Yes"),Personnel!$C$4*0.15,0)+IF(AND(Personnel!$E$5&gt;=2,Personnel!$E$5=50,Personnel!$G$5="Yes"),Personnel!$C$5*0.15,0)+IF(AND(Personnel!$E$6&gt;=2,Personnel!$E$6=50,Personnel!$G$6="Yes"),Personnel!$C$6*0.15,0)+IF(AND(Personnel!$E$7&gt;=2,Personnel!$E$7=50,Personnel!$G$7="Yes"),Personnel!$C$7*0.15,0)+IF(AND(Personnel!$E$8&gt;=2,Personnel!$E$8=50,Personnel!$G$8="Yes"),Personnel!$C$8*0.15,0)+IF(AND(Personnel!$E$9&gt;=2,Personnel!$E$9=50,Personnel!$G$9="Yes"),Personnel!$C$9*0.15,0)+IF(AND(Personnel!$E$10&gt;=2,Personnel!$E$10=50,Personnel!$G$10="Yes"),Personnel!$C$10*0.15,0)+IF(AND(Personnel!$E$11&gt;=2,Personnel!$E$11=50,Personnel!$G$11="Yes"),Personnel!$C$11*0.15,0)+IF(AND(Personnel!$E$12&gt;=2,Personnel!$E$12=50,Personnel!$G$12="Yes"),Personnel!$C$12*0.15,0)+IF(AND(Personnel!$E$13&gt;=2,Personnel!$E$13=50,Personnel!$G$13="Yes"),Personnel!$C$13*0.15,0)+IF(AND(Personnel!$E$14&gt;=2,Personnel!$E$14=50,Personnel!$G$14="Yes"),Personnel!$C$14*0.15,0)+IF(AND(Personnel!$E$15&gt;=2,Personnel!$E$15=50,Personnel!$G$15="Yes"),Personnel!$C$15*0.15,0)+IF(AND(Personnel!$E$16&gt;=2,Personnel!$E$16=50,Personnel!$G$16="Yes"),Personnel!$C$16*0.15,0)+IF(AND(Personnel!$E$17&gt;=2,Personnel!$E$17=50,Personnel!$G$17="Yes"),Personnel!$C$17*0.15,0)+IF(AND(Personnel!$E$18&gt;=2,Personnel!$E$18=50,Personnel!$G$18="Yes"),Personnel!$C$18*0.15,0)+IF(AND(Personnel!$E$19&gt;=2,Personnel!$E$19=50,Personnel!$G$19="Yes"),Personnel!$C$19*0.15,0)+IF(AND(Personnel!$E$20&gt;=2,Personnel!$E$20=50,Personnel!$G$20="Yes"),Personnel!$C$20*0.15,0)+IF(AND(Personnel!$E$21&gt;=2,Personnel!$E$21=50,Personnel!$G$21="Yes"),Personnel!$C$21*0.15,0)+IF(AND(Personnel!$E$22&gt;=2,Personnel!$E$22=50,Personnel!$G$22="Yes"),Personnel!$C$22*0.15,0)+IF(AND(Personnel!$E$23&gt;=2,Personnel!$E$23=50,Personnel!$G$23="Yes"),Personnel!$C$23*0.15,0)+IF(AND(Personnel!$E$24&gt;=2,Personnel!$E$24=50,Personnel!$G$24="Yes"),Personnel!$C$24*0.15,0)+IF(AND(Personnel!$E$25&gt;=2,Personnel!$E$25=50,Personnel!$G$25="Yes"),Personnel!$C$25*0.15,0)+IF(AND(Personnel!$E$26&gt;=2,Personnel!$E$26=50,Personnel!$G$26="Yes"),Personnel!$C$26*0.15,0)+IF(AND(Personnel!$E$27&gt;=2,Personnel!$E$27=50,Personnel!$G$27="Yes"),Personnel!$C$27*0.15,0)+IF(AND(Personnel!$E$28&gt;=2,Personnel!$E$28=50,Personnel!$G$28="Yes"),Personnel!$C$28*0.15,0)+IF(AND(Personnel!$E$29&gt;=2,Personnel!$E$29=50,Personnel!$G$29="Yes"),Personnel!$C$29*0.15,0)+IF(AND(Personnel!$E$30&gt;=2,Personnel!$E$30=50,Personnel!$G$30="Yes"),Personnel!$C$30*0.15,0)+IF(AND(Personnel!$E$31&gt;=2,Personnel!$E$31=50,Personnel!$G$31="Yes"),Personnel!$C$31*0.15,0)+IF(AND(Personnel!$E$32&gt;=2,Personnel!$E$32=50,Personnel!$G$32="Yes"),Personnel!$C$32*0.15,0)+IF(AND(Personnel!$E$33&gt;=2,Personnel!$E$33=50,Personnel!$G$33="Yes"),Personnel!$C$33*0.15,0)),Actuals!BC40)</f>
        <v>0</v>
      </c>
      <c r="BD43" s="3">
        <f>IF(ISBLANK(Actuals!BD40),-(IF(AND(Personnel!$E$2&gt;=2,Personnel!$E$2=51,Personnel!$G$2="Yes"),Personnel!$C$2*0.15,0)+IF(AND(Personnel!$E$3&gt;=2,Personnel!$E$3=51,Personnel!$G$3="Yes"),Personnel!$C$3*0.15,0)+IF(AND(Personnel!$E$4&gt;=2,Personnel!$E$4=51,Personnel!$G$4="Yes"),Personnel!$C$4*0.15,0)+IF(AND(Personnel!$E$5&gt;=2,Personnel!$E$5=51,Personnel!$G$5="Yes"),Personnel!$C$5*0.15,0)+IF(AND(Personnel!$E$6&gt;=2,Personnel!$E$6=51,Personnel!$G$6="Yes"),Personnel!$C$6*0.15,0)+IF(AND(Personnel!$E$7&gt;=2,Personnel!$E$7=51,Personnel!$G$7="Yes"),Personnel!$C$7*0.15,0)+IF(AND(Personnel!$E$8&gt;=2,Personnel!$E$8=51,Personnel!$G$8="Yes"),Personnel!$C$8*0.15,0)+IF(AND(Personnel!$E$9&gt;=2,Personnel!$E$9=51,Personnel!$G$9="Yes"),Personnel!$C$9*0.15,0)+IF(AND(Personnel!$E$10&gt;=2,Personnel!$E$10=51,Personnel!$G$10="Yes"),Personnel!$C$10*0.15,0)+IF(AND(Personnel!$E$11&gt;=2,Personnel!$E$11=51,Personnel!$G$11="Yes"),Personnel!$C$11*0.15,0)+IF(AND(Personnel!$E$12&gt;=2,Personnel!$E$12=51,Personnel!$G$12="Yes"),Personnel!$C$12*0.15,0)+IF(AND(Personnel!$E$13&gt;=2,Personnel!$E$13=51,Personnel!$G$13="Yes"),Personnel!$C$13*0.15,0)+IF(AND(Personnel!$E$14&gt;=2,Personnel!$E$14=51,Personnel!$G$14="Yes"),Personnel!$C$14*0.15,0)+IF(AND(Personnel!$E$15&gt;=2,Personnel!$E$15=51,Personnel!$G$15="Yes"),Personnel!$C$15*0.15,0)+IF(AND(Personnel!$E$16&gt;=2,Personnel!$E$16=51,Personnel!$G$16="Yes"),Personnel!$C$16*0.15,0)+IF(AND(Personnel!$E$17&gt;=2,Personnel!$E$17=51,Personnel!$G$17="Yes"),Personnel!$C$17*0.15,0)+IF(AND(Personnel!$E$18&gt;=2,Personnel!$E$18=51,Personnel!$G$18="Yes"),Personnel!$C$18*0.15,0)+IF(AND(Personnel!$E$19&gt;=2,Personnel!$E$19=51,Personnel!$G$19="Yes"),Personnel!$C$19*0.15,0)+IF(AND(Personnel!$E$20&gt;=2,Personnel!$E$20=51,Personnel!$G$20="Yes"),Personnel!$C$20*0.15,0)+IF(AND(Personnel!$E$21&gt;=2,Personnel!$E$21=51,Personnel!$G$21="Yes"),Personnel!$C$21*0.15,0)+IF(AND(Personnel!$E$22&gt;=2,Personnel!$E$22=51,Personnel!$G$22="Yes"),Personnel!$C$22*0.15,0)+IF(AND(Personnel!$E$23&gt;=2,Personnel!$E$23=51,Personnel!$G$23="Yes"),Personnel!$C$23*0.15,0)+IF(AND(Personnel!$E$24&gt;=2,Personnel!$E$24=51,Personnel!$G$24="Yes"),Personnel!$C$24*0.15,0)+IF(AND(Personnel!$E$25&gt;=2,Personnel!$E$25=51,Personnel!$G$25="Yes"),Personnel!$C$25*0.15,0)+IF(AND(Personnel!$E$26&gt;=2,Personnel!$E$26=51,Personnel!$G$26="Yes"),Personnel!$C$26*0.15,0)+IF(AND(Personnel!$E$27&gt;=2,Personnel!$E$27=51,Personnel!$G$27="Yes"),Personnel!$C$27*0.15,0)+IF(AND(Personnel!$E$28&gt;=2,Personnel!$E$28=51,Personnel!$G$28="Yes"),Personnel!$C$28*0.15,0)+IF(AND(Personnel!$E$29&gt;=2,Personnel!$E$29=51,Personnel!$G$29="Yes"),Personnel!$C$29*0.15,0)+IF(AND(Personnel!$E$30&gt;=2,Personnel!$E$30=51,Personnel!$G$30="Yes"),Personnel!$C$30*0.15,0)+IF(AND(Personnel!$E$31&gt;=2,Personnel!$E$31=51,Personnel!$G$31="Yes"),Personnel!$C$31*0.15,0)+IF(AND(Personnel!$E$32&gt;=2,Personnel!$E$32=51,Personnel!$G$32="Yes"),Personnel!$C$32*0.15,0)+IF(AND(Personnel!$E$33&gt;=2,Personnel!$E$33=51,Personnel!$G$33="Yes"),Personnel!$C$33*0.15,0)),Actuals!BD40)</f>
        <v>0</v>
      </c>
      <c r="BE43" s="3">
        <f>IF(ISBLANK(Actuals!BE40),-(IF(AND(Personnel!$E$2&gt;=2,Personnel!$E$2=52,Personnel!$G$2="Yes"),Personnel!$C$2*0.15,0)+IF(AND(Personnel!$E$3&gt;=2,Personnel!$E$3=52,Personnel!$G$3="Yes"),Personnel!$C$3*0.15,0)+IF(AND(Personnel!$E$4&gt;=2,Personnel!$E$4=52,Personnel!$G$4="Yes"),Personnel!$C$4*0.15,0)+IF(AND(Personnel!$E$5&gt;=2,Personnel!$E$5=52,Personnel!$G$5="Yes"),Personnel!$C$5*0.15,0)+IF(AND(Personnel!$E$6&gt;=2,Personnel!$E$6=52,Personnel!$G$6="Yes"),Personnel!$C$6*0.15,0)+IF(AND(Personnel!$E$7&gt;=2,Personnel!$E$7=52,Personnel!$G$7="Yes"),Personnel!$C$7*0.15,0)+IF(AND(Personnel!$E$8&gt;=2,Personnel!$E$8=52,Personnel!$G$8="Yes"),Personnel!$C$8*0.15,0)+IF(AND(Personnel!$E$9&gt;=2,Personnel!$E$9=52,Personnel!$G$9="Yes"),Personnel!$C$9*0.15,0)+IF(AND(Personnel!$E$10&gt;=2,Personnel!$E$10=52,Personnel!$G$10="Yes"),Personnel!$C$10*0.15,0)+IF(AND(Personnel!$E$11&gt;=2,Personnel!$E$11=52,Personnel!$G$11="Yes"),Personnel!$C$11*0.15,0)+IF(AND(Personnel!$E$12&gt;=2,Personnel!$E$12=52,Personnel!$G$12="Yes"),Personnel!$C$12*0.15,0)+IF(AND(Personnel!$E$13&gt;=2,Personnel!$E$13=52,Personnel!$G$13="Yes"),Personnel!$C$13*0.15,0)+IF(AND(Personnel!$E$14&gt;=2,Personnel!$E$14=52,Personnel!$G$14="Yes"),Personnel!$C$14*0.15,0)+IF(AND(Personnel!$E$15&gt;=2,Personnel!$E$15=52,Personnel!$G$15="Yes"),Personnel!$C$15*0.15,0)+IF(AND(Personnel!$E$16&gt;=2,Personnel!$E$16=52,Personnel!$G$16="Yes"),Personnel!$C$16*0.15,0)+IF(AND(Personnel!$E$17&gt;=2,Personnel!$E$17=52,Personnel!$G$17="Yes"),Personnel!$C$17*0.15,0)+IF(AND(Personnel!$E$18&gt;=2,Personnel!$E$18=52,Personnel!$G$18="Yes"),Personnel!$C$18*0.15,0)+IF(AND(Personnel!$E$19&gt;=2,Personnel!$E$19=52,Personnel!$G$19="Yes"),Personnel!$C$19*0.15,0)+IF(AND(Personnel!$E$20&gt;=2,Personnel!$E$20=52,Personnel!$G$20="Yes"),Personnel!$C$20*0.15,0)+IF(AND(Personnel!$E$21&gt;=2,Personnel!$E$21=52,Personnel!$G$21="Yes"),Personnel!$C$21*0.15,0)+IF(AND(Personnel!$E$22&gt;=2,Personnel!$E$22=52,Personnel!$G$22="Yes"),Personnel!$C$22*0.15,0)+IF(AND(Personnel!$E$23&gt;=2,Personnel!$E$23=52,Personnel!$G$23="Yes"),Personnel!$C$23*0.15,0)+IF(AND(Personnel!$E$24&gt;=2,Personnel!$E$24=52,Personnel!$G$24="Yes"),Personnel!$C$24*0.15,0)+IF(AND(Personnel!$E$25&gt;=2,Personnel!$E$25=52,Personnel!$G$25="Yes"),Personnel!$C$25*0.15,0)+IF(AND(Personnel!$E$26&gt;=2,Personnel!$E$26=52,Personnel!$G$26="Yes"),Personnel!$C$26*0.15,0)+IF(AND(Personnel!$E$27&gt;=2,Personnel!$E$27=52,Personnel!$G$27="Yes"),Personnel!$C$27*0.15,0)+IF(AND(Personnel!$E$28&gt;=2,Personnel!$E$28=52,Personnel!$G$28="Yes"),Personnel!$C$28*0.15,0)+IF(AND(Personnel!$E$29&gt;=2,Personnel!$E$29=52,Personnel!$G$29="Yes"),Personnel!$C$29*0.15,0)+IF(AND(Personnel!$E$30&gt;=2,Personnel!$E$30=52,Personnel!$G$30="Yes"),Personnel!$C$30*0.15,0)+IF(AND(Personnel!$E$31&gt;=2,Personnel!$E$31=52,Personnel!$G$31="Yes"),Personnel!$C$31*0.15,0)+IF(AND(Personnel!$E$32&gt;=2,Personnel!$E$32=52,Personnel!$G$32="Yes"),Personnel!$C$32*0.15,0)+IF(AND(Personnel!$E$33&gt;=2,Personnel!$E$33=52,Personnel!$G$33="Yes"),Personnel!$C$33*0.15,0)),Actuals!BE40)</f>
        <v>0</v>
      </c>
      <c r="BF43" s="3">
        <f>IF(ISBLANK(Actuals!BF40),-(IF(AND(Personnel!$E$2&gt;=2,Personnel!$E$2=53,Personnel!$G$2="Yes"),Personnel!$C$2*0.15,0)+IF(AND(Personnel!$E$3&gt;=2,Personnel!$E$3=53,Personnel!$G$3="Yes"),Personnel!$C$3*0.15,0)+IF(AND(Personnel!$E$4&gt;=2,Personnel!$E$4=53,Personnel!$G$4="Yes"),Personnel!$C$4*0.15,0)+IF(AND(Personnel!$E$5&gt;=2,Personnel!$E$5=53,Personnel!$G$5="Yes"),Personnel!$C$5*0.15,0)+IF(AND(Personnel!$E$6&gt;=2,Personnel!$E$6=53,Personnel!$G$6="Yes"),Personnel!$C$6*0.15,0)+IF(AND(Personnel!$E$7&gt;=2,Personnel!$E$7=53,Personnel!$G$7="Yes"),Personnel!$C$7*0.15,0)+IF(AND(Personnel!$E$8&gt;=2,Personnel!$E$8=53,Personnel!$G$8="Yes"),Personnel!$C$8*0.15,0)+IF(AND(Personnel!$E$9&gt;=2,Personnel!$E$9=53,Personnel!$G$9="Yes"),Personnel!$C$9*0.15,0)+IF(AND(Personnel!$E$10&gt;=2,Personnel!$E$10=53,Personnel!$G$10="Yes"),Personnel!$C$10*0.15,0)+IF(AND(Personnel!$E$11&gt;=2,Personnel!$E$11=53,Personnel!$G$11="Yes"),Personnel!$C$11*0.15,0)+IF(AND(Personnel!$E$12&gt;=2,Personnel!$E$12=53,Personnel!$G$12="Yes"),Personnel!$C$12*0.15,0)+IF(AND(Personnel!$E$13&gt;=2,Personnel!$E$13=53,Personnel!$G$13="Yes"),Personnel!$C$13*0.15,0)+IF(AND(Personnel!$E$14&gt;=2,Personnel!$E$14=53,Personnel!$G$14="Yes"),Personnel!$C$14*0.15,0)+IF(AND(Personnel!$E$15&gt;=2,Personnel!$E$15=53,Personnel!$G$15="Yes"),Personnel!$C$15*0.15,0)+IF(AND(Personnel!$E$16&gt;=2,Personnel!$E$16=53,Personnel!$G$16="Yes"),Personnel!$C$16*0.15,0)+IF(AND(Personnel!$E$17&gt;=2,Personnel!$E$17=53,Personnel!$G$17="Yes"),Personnel!$C$17*0.15,0)+IF(AND(Personnel!$E$18&gt;=2,Personnel!$E$18=53,Personnel!$G$18="Yes"),Personnel!$C$18*0.15,0)+IF(AND(Personnel!$E$19&gt;=2,Personnel!$E$19=53,Personnel!$G$19="Yes"),Personnel!$C$19*0.15,0)+IF(AND(Personnel!$E$20&gt;=2,Personnel!$E$20=53,Personnel!$G$20="Yes"),Personnel!$C$20*0.15,0)+IF(AND(Personnel!$E$21&gt;=2,Personnel!$E$21=53,Personnel!$G$21="Yes"),Personnel!$C$21*0.15,0)+IF(AND(Personnel!$E$22&gt;=2,Personnel!$E$22=53,Personnel!$G$22="Yes"),Personnel!$C$22*0.15,0)+IF(AND(Personnel!$E$23&gt;=2,Personnel!$E$23=53,Personnel!$G$23="Yes"),Personnel!$C$23*0.15,0)+IF(AND(Personnel!$E$24&gt;=2,Personnel!$E$24=53,Personnel!$G$24="Yes"),Personnel!$C$24*0.15,0)+IF(AND(Personnel!$E$25&gt;=2,Personnel!$E$25=53,Personnel!$G$25="Yes"),Personnel!$C$25*0.15,0)+IF(AND(Personnel!$E$26&gt;=2,Personnel!$E$26=53,Personnel!$G$26="Yes"),Personnel!$C$26*0.15,0)+IF(AND(Personnel!$E$27&gt;=2,Personnel!$E$27=53,Personnel!$G$27="Yes"),Personnel!$C$27*0.15,0)+IF(AND(Personnel!$E$28&gt;=2,Personnel!$E$28=53,Personnel!$G$28="Yes"),Personnel!$C$28*0.15,0)+IF(AND(Personnel!$E$29&gt;=2,Personnel!$E$29=53,Personnel!$G$29="Yes"),Personnel!$C$29*0.15,0)+IF(AND(Personnel!$E$30&gt;=2,Personnel!$E$30=53,Personnel!$G$30="Yes"),Personnel!$C$30*0.15,0)+IF(AND(Personnel!$E$31&gt;=2,Personnel!$E$31=53,Personnel!$G$31="Yes"),Personnel!$C$31*0.15,0)+IF(AND(Personnel!$E$32&gt;=2,Personnel!$E$32=53,Personnel!$G$32="Yes"),Personnel!$C$32*0.15,0)+IF(AND(Personnel!$E$33&gt;=2,Personnel!$E$33=53,Personnel!$G$33="Yes"),Personnel!$C$33*0.15,0)),Actuals!BF40)</f>
        <v>0</v>
      </c>
      <c r="BG43" s="3">
        <f>IF(ISBLANK(Actuals!BG40),-(IF(AND(Personnel!$E$2&gt;=2,Personnel!$E$2=54,Personnel!$G$2="Yes"),Personnel!$C$2*0.15,0)+IF(AND(Personnel!$E$3&gt;=2,Personnel!$E$3=54,Personnel!$G$3="Yes"),Personnel!$C$3*0.15,0)+IF(AND(Personnel!$E$4&gt;=2,Personnel!$E$4=54,Personnel!$G$4="Yes"),Personnel!$C$4*0.15,0)+IF(AND(Personnel!$E$5&gt;=2,Personnel!$E$5=54,Personnel!$G$5="Yes"),Personnel!$C$5*0.15,0)+IF(AND(Personnel!$E$6&gt;=2,Personnel!$E$6=54,Personnel!$G$6="Yes"),Personnel!$C$6*0.15,0)+IF(AND(Personnel!$E$7&gt;=2,Personnel!$E$7=54,Personnel!$G$7="Yes"),Personnel!$C$7*0.15,0)+IF(AND(Personnel!$E$8&gt;=2,Personnel!$E$8=54,Personnel!$G$8="Yes"),Personnel!$C$8*0.15,0)+IF(AND(Personnel!$E$9&gt;=2,Personnel!$E$9=54,Personnel!$G$9="Yes"),Personnel!$C$9*0.15,0)+IF(AND(Personnel!$E$10&gt;=2,Personnel!$E$10=54,Personnel!$G$10="Yes"),Personnel!$C$10*0.15,0)+IF(AND(Personnel!$E$11&gt;=2,Personnel!$E$11=54,Personnel!$G$11="Yes"),Personnel!$C$11*0.15,0)+IF(AND(Personnel!$E$12&gt;=2,Personnel!$E$12=54,Personnel!$G$12="Yes"),Personnel!$C$12*0.15,0)+IF(AND(Personnel!$E$13&gt;=2,Personnel!$E$13=54,Personnel!$G$13="Yes"),Personnel!$C$13*0.15,0)+IF(AND(Personnel!$E$14&gt;=2,Personnel!$E$14=54,Personnel!$G$14="Yes"),Personnel!$C$14*0.15,0)+IF(AND(Personnel!$E$15&gt;=2,Personnel!$E$15=54,Personnel!$G$15="Yes"),Personnel!$C$15*0.15,0)+IF(AND(Personnel!$E$16&gt;=2,Personnel!$E$16=54,Personnel!$G$16="Yes"),Personnel!$C$16*0.15,0)+IF(AND(Personnel!$E$17&gt;=2,Personnel!$E$17=54,Personnel!$G$17="Yes"),Personnel!$C$17*0.15,0)+IF(AND(Personnel!$E$18&gt;=2,Personnel!$E$18=54,Personnel!$G$18="Yes"),Personnel!$C$18*0.15,0)+IF(AND(Personnel!$E$19&gt;=2,Personnel!$E$19=54,Personnel!$G$19="Yes"),Personnel!$C$19*0.15,0)+IF(AND(Personnel!$E$20&gt;=2,Personnel!$E$20=54,Personnel!$G$20="Yes"),Personnel!$C$20*0.15,0)+IF(AND(Personnel!$E$21&gt;=2,Personnel!$E$21=54,Personnel!$G$21="Yes"),Personnel!$C$21*0.15,0)+IF(AND(Personnel!$E$22&gt;=2,Personnel!$E$22=54,Personnel!$G$22="Yes"),Personnel!$C$22*0.15,0)+IF(AND(Personnel!$E$23&gt;=2,Personnel!$E$23=54,Personnel!$G$23="Yes"),Personnel!$C$23*0.15,0)+IF(AND(Personnel!$E$24&gt;=2,Personnel!$E$24=54,Personnel!$G$24="Yes"),Personnel!$C$24*0.15,0)+IF(AND(Personnel!$E$25&gt;=2,Personnel!$E$25=54,Personnel!$G$25="Yes"),Personnel!$C$25*0.15,0)+IF(AND(Personnel!$E$26&gt;=2,Personnel!$E$26=54,Personnel!$G$26="Yes"),Personnel!$C$26*0.15,0)+IF(AND(Personnel!$E$27&gt;=2,Personnel!$E$27=54,Personnel!$G$27="Yes"),Personnel!$C$27*0.15,0)+IF(AND(Personnel!$E$28&gt;=2,Personnel!$E$28=54,Personnel!$G$28="Yes"),Personnel!$C$28*0.15,0)+IF(AND(Personnel!$E$29&gt;=2,Personnel!$E$29=54,Personnel!$G$29="Yes"),Personnel!$C$29*0.15,0)+IF(AND(Personnel!$E$30&gt;=2,Personnel!$E$30=54,Personnel!$G$30="Yes"),Personnel!$C$30*0.15,0)+IF(AND(Personnel!$E$31&gt;=2,Personnel!$E$31=54,Personnel!$G$31="Yes"),Personnel!$C$31*0.15,0)+IF(AND(Personnel!$E$32&gt;=2,Personnel!$E$32=54,Personnel!$G$32="Yes"),Personnel!$C$32*0.15,0)+IF(AND(Personnel!$E$33&gt;=2,Personnel!$E$33=54,Personnel!$G$33="Yes"),Personnel!$C$33*0.15,0)),Actuals!BG40)</f>
        <v>0</v>
      </c>
      <c r="BH43" s="3">
        <f>IF(ISBLANK(Actuals!BH40),-(IF(AND(Personnel!$E$2&gt;=2,Personnel!$E$2=55,Personnel!$G$2="Yes"),Personnel!$C$2*0.15,0)+IF(AND(Personnel!$E$3&gt;=2,Personnel!$E$3=55,Personnel!$G$3="Yes"),Personnel!$C$3*0.15,0)+IF(AND(Personnel!$E$4&gt;=2,Personnel!$E$4=55,Personnel!$G$4="Yes"),Personnel!$C$4*0.15,0)+IF(AND(Personnel!$E$5&gt;=2,Personnel!$E$5=55,Personnel!$G$5="Yes"),Personnel!$C$5*0.15,0)+IF(AND(Personnel!$E$6&gt;=2,Personnel!$E$6=55,Personnel!$G$6="Yes"),Personnel!$C$6*0.15,0)+IF(AND(Personnel!$E$7&gt;=2,Personnel!$E$7=55,Personnel!$G$7="Yes"),Personnel!$C$7*0.15,0)+IF(AND(Personnel!$E$8&gt;=2,Personnel!$E$8=55,Personnel!$G$8="Yes"),Personnel!$C$8*0.15,0)+IF(AND(Personnel!$E$9&gt;=2,Personnel!$E$9=55,Personnel!$G$9="Yes"),Personnel!$C$9*0.15,0)+IF(AND(Personnel!$E$10&gt;=2,Personnel!$E$10=55,Personnel!$G$10="Yes"),Personnel!$C$10*0.15,0)+IF(AND(Personnel!$E$11&gt;=2,Personnel!$E$11=55,Personnel!$G$11="Yes"),Personnel!$C$11*0.15,0)+IF(AND(Personnel!$E$12&gt;=2,Personnel!$E$12=55,Personnel!$G$12="Yes"),Personnel!$C$12*0.15,0)+IF(AND(Personnel!$E$13&gt;=2,Personnel!$E$13=55,Personnel!$G$13="Yes"),Personnel!$C$13*0.15,0)+IF(AND(Personnel!$E$14&gt;=2,Personnel!$E$14=55,Personnel!$G$14="Yes"),Personnel!$C$14*0.15,0)+IF(AND(Personnel!$E$15&gt;=2,Personnel!$E$15=55,Personnel!$G$15="Yes"),Personnel!$C$15*0.15,0)+IF(AND(Personnel!$E$16&gt;=2,Personnel!$E$16=55,Personnel!$G$16="Yes"),Personnel!$C$16*0.15,0)+IF(AND(Personnel!$E$17&gt;=2,Personnel!$E$17=55,Personnel!$G$17="Yes"),Personnel!$C$17*0.15,0)+IF(AND(Personnel!$E$18&gt;=2,Personnel!$E$18=55,Personnel!$G$18="Yes"),Personnel!$C$18*0.15,0)+IF(AND(Personnel!$E$19&gt;=2,Personnel!$E$19=55,Personnel!$G$19="Yes"),Personnel!$C$19*0.15,0)+IF(AND(Personnel!$E$20&gt;=2,Personnel!$E$20=55,Personnel!$G$20="Yes"),Personnel!$C$20*0.15,0)+IF(AND(Personnel!$E$21&gt;=2,Personnel!$E$21=55,Personnel!$G$21="Yes"),Personnel!$C$21*0.15,0)+IF(AND(Personnel!$E$22&gt;=2,Personnel!$E$22=55,Personnel!$G$22="Yes"),Personnel!$C$22*0.15,0)+IF(AND(Personnel!$E$23&gt;=2,Personnel!$E$23=55,Personnel!$G$23="Yes"),Personnel!$C$23*0.15,0)+IF(AND(Personnel!$E$24&gt;=2,Personnel!$E$24=55,Personnel!$G$24="Yes"),Personnel!$C$24*0.15,0)+IF(AND(Personnel!$E$25&gt;=2,Personnel!$E$25=55,Personnel!$G$25="Yes"),Personnel!$C$25*0.15,0)+IF(AND(Personnel!$E$26&gt;=2,Personnel!$E$26=55,Personnel!$G$26="Yes"),Personnel!$C$26*0.15,0)+IF(AND(Personnel!$E$27&gt;=2,Personnel!$E$27=55,Personnel!$G$27="Yes"),Personnel!$C$27*0.15,0)+IF(AND(Personnel!$E$28&gt;=2,Personnel!$E$28=55,Personnel!$G$28="Yes"),Personnel!$C$28*0.15,0)+IF(AND(Personnel!$E$29&gt;=2,Personnel!$E$29=55,Personnel!$G$29="Yes"),Personnel!$C$29*0.15,0)+IF(AND(Personnel!$E$30&gt;=2,Personnel!$E$30=55,Personnel!$G$30="Yes"),Personnel!$C$30*0.15,0)+IF(AND(Personnel!$E$31&gt;=2,Personnel!$E$31=55,Personnel!$G$31="Yes"),Personnel!$C$31*0.15,0)+IF(AND(Personnel!$E$32&gt;=2,Personnel!$E$32=55,Personnel!$G$32="Yes"),Personnel!$C$32*0.15,0)+IF(AND(Personnel!$E$33&gt;=2,Personnel!$E$33=55,Personnel!$G$33="Yes"),Personnel!$C$33*0.15,0)),Actuals!BH40)</f>
        <v>0</v>
      </c>
      <c r="BI43" s="3">
        <f>IF(ISBLANK(Actuals!BI40),-(IF(AND(Personnel!$E$2&gt;=2,Personnel!$E$2=56,Personnel!$G$2="Yes"),Personnel!$C$2*0.15,0)+IF(AND(Personnel!$E$3&gt;=2,Personnel!$E$3=56,Personnel!$G$3="Yes"),Personnel!$C$3*0.15,0)+IF(AND(Personnel!$E$4&gt;=2,Personnel!$E$4=56,Personnel!$G$4="Yes"),Personnel!$C$4*0.15,0)+IF(AND(Personnel!$E$5&gt;=2,Personnel!$E$5=56,Personnel!$G$5="Yes"),Personnel!$C$5*0.15,0)+IF(AND(Personnel!$E$6&gt;=2,Personnel!$E$6=56,Personnel!$G$6="Yes"),Personnel!$C$6*0.15,0)+IF(AND(Personnel!$E$7&gt;=2,Personnel!$E$7=56,Personnel!$G$7="Yes"),Personnel!$C$7*0.15,0)+IF(AND(Personnel!$E$8&gt;=2,Personnel!$E$8=56,Personnel!$G$8="Yes"),Personnel!$C$8*0.15,0)+IF(AND(Personnel!$E$9&gt;=2,Personnel!$E$9=56,Personnel!$G$9="Yes"),Personnel!$C$9*0.15,0)+IF(AND(Personnel!$E$10&gt;=2,Personnel!$E$10=56,Personnel!$G$10="Yes"),Personnel!$C$10*0.15,0)+IF(AND(Personnel!$E$11&gt;=2,Personnel!$E$11=56,Personnel!$G$11="Yes"),Personnel!$C$11*0.15,0)+IF(AND(Personnel!$E$12&gt;=2,Personnel!$E$12=56,Personnel!$G$12="Yes"),Personnel!$C$12*0.15,0)+IF(AND(Personnel!$E$13&gt;=2,Personnel!$E$13=56,Personnel!$G$13="Yes"),Personnel!$C$13*0.15,0)+IF(AND(Personnel!$E$14&gt;=2,Personnel!$E$14=56,Personnel!$G$14="Yes"),Personnel!$C$14*0.15,0)+IF(AND(Personnel!$E$15&gt;=2,Personnel!$E$15=56,Personnel!$G$15="Yes"),Personnel!$C$15*0.15,0)+IF(AND(Personnel!$E$16&gt;=2,Personnel!$E$16=56,Personnel!$G$16="Yes"),Personnel!$C$16*0.15,0)+IF(AND(Personnel!$E$17&gt;=2,Personnel!$E$17=56,Personnel!$G$17="Yes"),Personnel!$C$17*0.15,0)+IF(AND(Personnel!$E$18&gt;=2,Personnel!$E$18=56,Personnel!$G$18="Yes"),Personnel!$C$18*0.15,0)+IF(AND(Personnel!$E$19&gt;=2,Personnel!$E$19=56,Personnel!$G$19="Yes"),Personnel!$C$19*0.15,0)+IF(AND(Personnel!$E$20&gt;=2,Personnel!$E$20=56,Personnel!$G$20="Yes"),Personnel!$C$20*0.15,0)+IF(AND(Personnel!$E$21&gt;=2,Personnel!$E$21=56,Personnel!$G$21="Yes"),Personnel!$C$21*0.15,0)+IF(AND(Personnel!$E$22&gt;=2,Personnel!$E$22=56,Personnel!$G$22="Yes"),Personnel!$C$22*0.15,0)+IF(AND(Personnel!$E$23&gt;=2,Personnel!$E$23=56,Personnel!$G$23="Yes"),Personnel!$C$23*0.15,0)+IF(AND(Personnel!$E$24&gt;=2,Personnel!$E$24=56,Personnel!$G$24="Yes"),Personnel!$C$24*0.15,0)+IF(AND(Personnel!$E$25&gt;=2,Personnel!$E$25=56,Personnel!$G$25="Yes"),Personnel!$C$25*0.15,0)+IF(AND(Personnel!$E$26&gt;=2,Personnel!$E$26=56,Personnel!$G$26="Yes"),Personnel!$C$26*0.15,0)+IF(AND(Personnel!$E$27&gt;=2,Personnel!$E$27=56,Personnel!$G$27="Yes"),Personnel!$C$27*0.15,0)+IF(AND(Personnel!$E$28&gt;=2,Personnel!$E$28=56,Personnel!$G$28="Yes"),Personnel!$C$28*0.15,0)+IF(AND(Personnel!$E$29&gt;=2,Personnel!$E$29=56,Personnel!$G$29="Yes"),Personnel!$C$29*0.15,0)+IF(AND(Personnel!$E$30&gt;=2,Personnel!$E$30=56,Personnel!$G$30="Yes"),Personnel!$C$30*0.15,0)+IF(AND(Personnel!$E$31&gt;=2,Personnel!$E$31=56,Personnel!$G$31="Yes"),Personnel!$C$31*0.15,0)+IF(AND(Personnel!$E$32&gt;=2,Personnel!$E$32=56,Personnel!$G$32="Yes"),Personnel!$C$32*0.15,0)+IF(AND(Personnel!$E$33&gt;=2,Personnel!$E$33=56,Personnel!$G$33="Yes"),Personnel!$C$33*0.15,0)),Actuals!BI40)</f>
        <v>0</v>
      </c>
      <c r="BJ43" s="3">
        <f>IF(ISBLANK(Actuals!BJ40),-(IF(AND(Personnel!$E$2&gt;=2,Personnel!$E$2=57,Personnel!$G$2="Yes"),Personnel!$C$2*0.15,0)+IF(AND(Personnel!$E$3&gt;=2,Personnel!$E$3=57,Personnel!$G$3="Yes"),Personnel!$C$3*0.15,0)+IF(AND(Personnel!$E$4&gt;=2,Personnel!$E$4=57,Personnel!$G$4="Yes"),Personnel!$C$4*0.15,0)+IF(AND(Personnel!$E$5&gt;=2,Personnel!$E$5=57,Personnel!$G$5="Yes"),Personnel!$C$5*0.15,0)+IF(AND(Personnel!$E$6&gt;=2,Personnel!$E$6=57,Personnel!$G$6="Yes"),Personnel!$C$6*0.15,0)+IF(AND(Personnel!$E$7&gt;=2,Personnel!$E$7=57,Personnel!$G$7="Yes"),Personnel!$C$7*0.15,0)+IF(AND(Personnel!$E$8&gt;=2,Personnel!$E$8=57,Personnel!$G$8="Yes"),Personnel!$C$8*0.15,0)+IF(AND(Personnel!$E$9&gt;=2,Personnel!$E$9=57,Personnel!$G$9="Yes"),Personnel!$C$9*0.15,0)+IF(AND(Personnel!$E$10&gt;=2,Personnel!$E$10=57,Personnel!$G$10="Yes"),Personnel!$C$10*0.15,0)+IF(AND(Personnel!$E$11&gt;=2,Personnel!$E$11=57,Personnel!$G$11="Yes"),Personnel!$C$11*0.15,0)+IF(AND(Personnel!$E$12&gt;=2,Personnel!$E$12=57,Personnel!$G$12="Yes"),Personnel!$C$12*0.15,0)+IF(AND(Personnel!$E$13&gt;=2,Personnel!$E$13=57,Personnel!$G$13="Yes"),Personnel!$C$13*0.15,0)+IF(AND(Personnel!$E$14&gt;=2,Personnel!$E$14=57,Personnel!$G$14="Yes"),Personnel!$C$14*0.15,0)+IF(AND(Personnel!$E$15&gt;=2,Personnel!$E$15=57,Personnel!$G$15="Yes"),Personnel!$C$15*0.15,0)+IF(AND(Personnel!$E$16&gt;=2,Personnel!$E$16=57,Personnel!$G$16="Yes"),Personnel!$C$16*0.15,0)+IF(AND(Personnel!$E$17&gt;=2,Personnel!$E$17=57,Personnel!$G$17="Yes"),Personnel!$C$17*0.15,0)+IF(AND(Personnel!$E$18&gt;=2,Personnel!$E$18=57,Personnel!$G$18="Yes"),Personnel!$C$18*0.15,0)+IF(AND(Personnel!$E$19&gt;=2,Personnel!$E$19=57,Personnel!$G$19="Yes"),Personnel!$C$19*0.15,0)+IF(AND(Personnel!$E$20&gt;=2,Personnel!$E$20=57,Personnel!$G$20="Yes"),Personnel!$C$20*0.15,0)+IF(AND(Personnel!$E$21&gt;=2,Personnel!$E$21=57,Personnel!$G$21="Yes"),Personnel!$C$21*0.15,0)+IF(AND(Personnel!$E$22&gt;=2,Personnel!$E$22=57,Personnel!$G$22="Yes"),Personnel!$C$22*0.15,0)+IF(AND(Personnel!$E$23&gt;=2,Personnel!$E$23=57,Personnel!$G$23="Yes"),Personnel!$C$23*0.15,0)+IF(AND(Personnel!$E$24&gt;=2,Personnel!$E$24=57,Personnel!$G$24="Yes"),Personnel!$C$24*0.15,0)+IF(AND(Personnel!$E$25&gt;=2,Personnel!$E$25=57,Personnel!$G$25="Yes"),Personnel!$C$25*0.15,0)+IF(AND(Personnel!$E$26&gt;=2,Personnel!$E$26=57,Personnel!$G$26="Yes"),Personnel!$C$26*0.15,0)+IF(AND(Personnel!$E$27&gt;=2,Personnel!$E$27=57,Personnel!$G$27="Yes"),Personnel!$C$27*0.15,0)+IF(AND(Personnel!$E$28&gt;=2,Personnel!$E$28=57,Personnel!$G$28="Yes"),Personnel!$C$28*0.15,0)+IF(AND(Personnel!$E$29&gt;=2,Personnel!$E$29=57,Personnel!$G$29="Yes"),Personnel!$C$29*0.15,0)+IF(AND(Personnel!$E$30&gt;=2,Personnel!$E$30=57,Personnel!$G$30="Yes"),Personnel!$C$30*0.15,0)+IF(AND(Personnel!$E$31&gt;=2,Personnel!$E$31=57,Personnel!$G$31="Yes"),Personnel!$C$31*0.15,0)+IF(AND(Personnel!$E$32&gt;=2,Personnel!$E$32=57,Personnel!$G$32="Yes"),Personnel!$C$32*0.15,0)+IF(AND(Personnel!$E$33&gt;=2,Personnel!$E$33=57,Personnel!$G$33="Yes"),Personnel!$C$33*0.15,0)),Actuals!BJ40)</f>
        <v>0</v>
      </c>
      <c r="BK43" s="3">
        <f>IF(ISBLANK(Actuals!BK40),-(IF(AND(Personnel!$E$2&gt;=2,Personnel!$E$2=58,Personnel!$G$2="Yes"),Personnel!$C$2*0.15,0)+IF(AND(Personnel!$E$3&gt;=2,Personnel!$E$3=58,Personnel!$G$3="Yes"),Personnel!$C$3*0.15,0)+IF(AND(Personnel!$E$4&gt;=2,Personnel!$E$4=58,Personnel!$G$4="Yes"),Personnel!$C$4*0.15,0)+IF(AND(Personnel!$E$5&gt;=2,Personnel!$E$5=58,Personnel!$G$5="Yes"),Personnel!$C$5*0.15,0)+IF(AND(Personnel!$E$6&gt;=2,Personnel!$E$6=58,Personnel!$G$6="Yes"),Personnel!$C$6*0.15,0)+IF(AND(Personnel!$E$7&gt;=2,Personnel!$E$7=58,Personnel!$G$7="Yes"),Personnel!$C$7*0.15,0)+IF(AND(Personnel!$E$8&gt;=2,Personnel!$E$8=58,Personnel!$G$8="Yes"),Personnel!$C$8*0.15,0)+IF(AND(Personnel!$E$9&gt;=2,Personnel!$E$9=58,Personnel!$G$9="Yes"),Personnel!$C$9*0.15,0)+IF(AND(Personnel!$E$10&gt;=2,Personnel!$E$10=58,Personnel!$G$10="Yes"),Personnel!$C$10*0.15,0)+IF(AND(Personnel!$E$11&gt;=2,Personnel!$E$11=58,Personnel!$G$11="Yes"),Personnel!$C$11*0.15,0)+IF(AND(Personnel!$E$12&gt;=2,Personnel!$E$12=58,Personnel!$G$12="Yes"),Personnel!$C$12*0.15,0)+IF(AND(Personnel!$E$13&gt;=2,Personnel!$E$13=58,Personnel!$G$13="Yes"),Personnel!$C$13*0.15,0)+IF(AND(Personnel!$E$14&gt;=2,Personnel!$E$14=58,Personnel!$G$14="Yes"),Personnel!$C$14*0.15,0)+IF(AND(Personnel!$E$15&gt;=2,Personnel!$E$15=58,Personnel!$G$15="Yes"),Personnel!$C$15*0.15,0)+IF(AND(Personnel!$E$16&gt;=2,Personnel!$E$16=58,Personnel!$G$16="Yes"),Personnel!$C$16*0.15,0)+IF(AND(Personnel!$E$17&gt;=2,Personnel!$E$17=58,Personnel!$G$17="Yes"),Personnel!$C$17*0.15,0)+IF(AND(Personnel!$E$18&gt;=2,Personnel!$E$18=58,Personnel!$G$18="Yes"),Personnel!$C$18*0.15,0)+IF(AND(Personnel!$E$19&gt;=2,Personnel!$E$19=58,Personnel!$G$19="Yes"),Personnel!$C$19*0.15,0)+IF(AND(Personnel!$E$20&gt;=2,Personnel!$E$20=58,Personnel!$G$20="Yes"),Personnel!$C$20*0.15,0)+IF(AND(Personnel!$E$21&gt;=2,Personnel!$E$21=58,Personnel!$G$21="Yes"),Personnel!$C$21*0.15,0)+IF(AND(Personnel!$E$22&gt;=2,Personnel!$E$22=58,Personnel!$G$22="Yes"),Personnel!$C$22*0.15,0)+IF(AND(Personnel!$E$23&gt;=2,Personnel!$E$23=58,Personnel!$G$23="Yes"),Personnel!$C$23*0.15,0)+IF(AND(Personnel!$E$24&gt;=2,Personnel!$E$24=58,Personnel!$G$24="Yes"),Personnel!$C$24*0.15,0)+IF(AND(Personnel!$E$25&gt;=2,Personnel!$E$25=58,Personnel!$G$25="Yes"),Personnel!$C$25*0.15,0)+IF(AND(Personnel!$E$26&gt;=2,Personnel!$E$26=58,Personnel!$G$26="Yes"),Personnel!$C$26*0.15,0)+IF(AND(Personnel!$E$27&gt;=2,Personnel!$E$27=58,Personnel!$G$27="Yes"),Personnel!$C$27*0.15,0)+IF(AND(Personnel!$E$28&gt;=2,Personnel!$E$28=58,Personnel!$G$28="Yes"),Personnel!$C$28*0.15,0)+IF(AND(Personnel!$E$29&gt;=2,Personnel!$E$29=58,Personnel!$G$29="Yes"),Personnel!$C$29*0.15,0)+IF(AND(Personnel!$E$30&gt;=2,Personnel!$E$30=58,Personnel!$G$30="Yes"),Personnel!$C$30*0.15,0)+IF(AND(Personnel!$E$31&gt;=2,Personnel!$E$31=58,Personnel!$G$31="Yes"),Personnel!$C$31*0.15,0)+IF(AND(Personnel!$E$32&gt;=2,Personnel!$E$32=58,Personnel!$G$32="Yes"),Personnel!$C$32*0.15,0)+IF(AND(Personnel!$E$33&gt;=2,Personnel!$E$33=58,Personnel!$G$33="Yes"),Personnel!$C$33*0.15,0)),Actuals!BK40)</f>
        <v>0</v>
      </c>
      <c r="BL43" s="3">
        <f>IF(ISBLANK(Actuals!BL40),-(IF(AND(Personnel!$E$2&gt;=2,Personnel!$E$2=59,Personnel!$G$2="Yes"),Personnel!$C$2*0.15,0)+IF(AND(Personnel!$E$3&gt;=2,Personnel!$E$3=59,Personnel!$G$3="Yes"),Personnel!$C$3*0.15,0)+IF(AND(Personnel!$E$4&gt;=2,Personnel!$E$4=59,Personnel!$G$4="Yes"),Personnel!$C$4*0.15,0)+IF(AND(Personnel!$E$5&gt;=2,Personnel!$E$5=59,Personnel!$G$5="Yes"),Personnel!$C$5*0.15,0)+IF(AND(Personnel!$E$6&gt;=2,Personnel!$E$6=59,Personnel!$G$6="Yes"),Personnel!$C$6*0.15,0)+IF(AND(Personnel!$E$7&gt;=2,Personnel!$E$7=59,Personnel!$G$7="Yes"),Personnel!$C$7*0.15,0)+IF(AND(Personnel!$E$8&gt;=2,Personnel!$E$8=59,Personnel!$G$8="Yes"),Personnel!$C$8*0.15,0)+IF(AND(Personnel!$E$9&gt;=2,Personnel!$E$9=59,Personnel!$G$9="Yes"),Personnel!$C$9*0.15,0)+IF(AND(Personnel!$E$10&gt;=2,Personnel!$E$10=59,Personnel!$G$10="Yes"),Personnel!$C$10*0.15,0)+IF(AND(Personnel!$E$11&gt;=2,Personnel!$E$11=59,Personnel!$G$11="Yes"),Personnel!$C$11*0.15,0)+IF(AND(Personnel!$E$12&gt;=2,Personnel!$E$12=59,Personnel!$G$12="Yes"),Personnel!$C$12*0.15,0)+IF(AND(Personnel!$E$13&gt;=2,Personnel!$E$13=59,Personnel!$G$13="Yes"),Personnel!$C$13*0.15,0)+IF(AND(Personnel!$E$14&gt;=2,Personnel!$E$14=59,Personnel!$G$14="Yes"),Personnel!$C$14*0.15,0)+IF(AND(Personnel!$E$15&gt;=2,Personnel!$E$15=59,Personnel!$G$15="Yes"),Personnel!$C$15*0.15,0)+IF(AND(Personnel!$E$16&gt;=2,Personnel!$E$16=59,Personnel!$G$16="Yes"),Personnel!$C$16*0.15,0)+IF(AND(Personnel!$E$17&gt;=2,Personnel!$E$17=59,Personnel!$G$17="Yes"),Personnel!$C$17*0.15,0)+IF(AND(Personnel!$E$18&gt;=2,Personnel!$E$18=59,Personnel!$G$18="Yes"),Personnel!$C$18*0.15,0)+IF(AND(Personnel!$E$19&gt;=2,Personnel!$E$19=59,Personnel!$G$19="Yes"),Personnel!$C$19*0.15,0)+IF(AND(Personnel!$E$20&gt;=2,Personnel!$E$20=59,Personnel!$G$20="Yes"),Personnel!$C$20*0.15,0)+IF(AND(Personnel!$E$21&gt;=2,Personnel!$E$21=59,Personnel!$G$21="Yes"),Personnel!$C$21*0.15,0)+IF(AND(Personnel!$E$22&gt;=2,Personnel!$E$22=59,Personnel!$G$22="Yes"),Personnel!$C$22*0.15,0)+IF(AND(Personnel!$E$23&gt;=2,Personnel!$E$23=59,Personnel!$G$23="Yes"),Personnel!$C$23*0.15,0)+IF(AND(Personnel!$E$24&gt;=2,Personnel!$E$24=59,Personnel!$G$24="Yes"),Personnel!$C$24*0.15,0)+IF(AND(Personnel!$E$25&gt;=2,Personnel!$E$25=59,Personnel!$G$25="Yes"),Personnel!$C$25*0.15,0)+IF(AND(Personnel!$E$26&gt;=2,Personnel!$E$26=59,Personnel!$G$26="Yes"),Personnel!$C$26*0.15,0)+IF(AND(Personnel!$E$27&gt;=2,Personnel!$E$27=59,Personnel!$G$27="Yes"),Personnel!$C$27*0.15,0)+IF(AND(Personnel!$E$28&gt;=2,Personnel!$E$28=59,Personnel!$G$28="Yes"),Personnel!$C$28*0.15,0)+IF(AND(Personnel!$E$29&gt;=2,Personnel!$E$29=59,Personnel!$G$29="Yes"),Personnel!$C$29*0.15,0)+IF(AND(Personnel!$E$30&gt;=2,Personnel!$E$30=59,Personnel!$G$30="Yes"),Personnel!$C$30*0.15,0)+IF(AND(Personnel!$E$31&gt;=2,Personnel!$E$31=59,Personnel!$G$31="Yes"),Personnel!$C$31*0.15,0)+IF(AND(Personnel!$E$32&gt;=2,Personnel!$E$32=59,Personnel!$G$32="Yes"),Personnel!$C$32*0.15,0)+IF(AND(Personnel!$E$33&gt;=2,Personnel!$E$33=59,Personnel!$G$33="Yes"),Personnel!$C$33*0.15,0)),Actuals!BL40)</f>
        <v>0</v>
      </c>
      <c r="BM43" s="3">
        <f>IF(ISBLANK(Actuals!BM40),-(IF(AND(Personnel!$E$2&gt;=2,Personnel!$E$2=60,Personnel!$G$2="Yes"),Personnel!$C$2*0.15,0)+IF(AND(Personnel!$E$3&gt;=2,Personnel!$E$3=60,Personnel!$G$3="Yes"),Personnel!$C$3*0.15,0)+IF(AND(Personnel!$E$4&gt;=2,Personnel!$E$4=60,Personnel!$G$4="Yes"),Personnel!$C$4*0.15,0)+IF(AND(Personnel!$E$5&gt;=2,Personnel!$E$5=60,Personnel!$G$5="Yes"),Personnel!$C$5*0.15,0)+IF(AND(Personnel!$E$6&gt;=2,Personnel!$E$6=60,Personnel!$G$6="Yes"),Personnel!$C$6*0.15,0)+IF(AND(Personnel!$E$7&gt;=2,Personnel!$E$7=60,Personnel!$G$7="Yes"),Personnel!$C$7*0.15,0)+IF(AND(Personnel!$E$8&gt;=2,Personnel!$E$8=60,Personnel!$G$8="Yes"),Personnel!$C$8*0.15,0)+IF(AND(Personnel!$E$9&gt;=2,Personnel!$E$9=60,Personnel!$G$9="Yes"),Personnel!$C$9*0.15,0)+IF(AND(Personnel!$E$10&gt;=2,Personnel!$E$10=60,Personnel!$G$10="Yes"),Personnel!$C$10*0.15,0)+IF(AND(Personnel!$E$11&gt;=2,Personnel!$E$11=60,Personnel!$G$11="Yes"),Personnel!$C$11*0.15,0)+IF(AND(Personnel!$E$12&gt;=2,Personnel!$E$12=60,Personnel!$G$12="Yes"),Personnel!$C$12*0.15,0)+IF(AND(Personnel!$E$13&gt;=2,Personnel!$E$13=60,Personnel!$G$13="Yes"),Personnel!$C$13*0.15,0)+IF(AND(Personnel!$E$14&gt;=2,Personnel!$E$14=60,Personnel!$G$14="Yes"),Personnel!$C$14*0.15,0)+IF(AND(Personnel!$E$15&gt;=2,Personnel!$E$15=60,Personnel!$G$15="Yes"),Personnel!$C$15*0.15,0)+IF(AND(Personnel!$E$16&gt;=2,Personnel!$E$16=60,Personnel!$G$16="Yes"),Personnel!$C$16*0.15,0)+IF(AND(Personnel!$E$17&gt;=2,Personnel!$E$17=60,Personnel!$G$17="Yes"),Personnel!$C$17*0.15,0)+IF(AND(Personnel!$E$18&gt;=2,Personnel!$E$18=60,Personnel!$G$18="Yes"),Personnel!$C$18*0.15,0)+IF(AND(Personnel!$E$19&gt;=2,Personnel!$E$19=60,Personnel!$G$19="Yes"),Personnel!$C$19*0.15,0)+IF(AND(Personnel!$E$20&gt;=2,Personnel!$E$20=60,Personnel!$G$20="Yes"),Personnel!$C$20*0.15,0)+IF(AND(Personnel!$E$21&gt;=2,Personnel!$E$21=60,Personnel!$G$21="Yes"),Personnel!$C$21*0.15,0)+IF(AND(Personnel!$E$22&gt;=2,Personnel!$E$22=60,Personnel!$G$22="Yes"),Personnel!$C$22*0.15,0)+IF(AND(Personnel!$E$23&gt;=2,Personnel!$E$23=60,Personnel!$G$23="Yes"),Personnel!$C$23*0.15,0)+IF(AND(Personnel!$E$24&gt;=2,Personnel!$E$24=60,Personnel!$G$24="Yes"),Personnel!$C$24*0.15,0)+IF(AND(Personnel!$E$25&gt;=2,Personnel!$E$25=60,Personnel!$G$25="Yes"),Personnel!$C$25*0.15,0)+IF(AND(Personnel!$E$26&gt;=2,Personnel!$E$26=60,Personnel!$G$26="Yes"),Personnel!$C$26*0.15,0)+IF(AND(Personnel!$E$27&gt;=2,Personnel!$E$27=60,Personnel!$G$27="Yes"),Personnel!$C$27*0.15,0)+IF(AND(Personnel!$E$28&gt;=2,Personnel!$E$28=60,Personnel!$G$28="Yes"),Personnel!$C$28*0.15,0)+IF(AND(Personnel!$E$29&gt;=2,Personnel!$E$29=60,Personnel!$G$29="Yes"),Personnel!$C$29*0.15,0)+IF(AND(Personnel!$E$30&gt;=2,Personnel!$E$30=60,Personnel!$G$30="Yes"),Personnel!$C$30*0.15,0)+IF(AND(Personnel!$E$31&gt;=2,Personnel!$E$31=60,Personnel!$G$31="Yes"),Personnel!$C$31*0.15,0)+IF(AND(Personnel!$E$32&gt;=2,Personnel!$E$32=60,Personnel!$G$32="Yes"),Personnel!$C$32*0.15,0)+IF(AND(Personnel!$E$33&gt;=2,Personnel!$E$33=60,Personnel!$G$33="Yes"),Personnel!$C$33*0.15,0)),Actuals!BM40)</f>
        <v>0</v>
      </c>
      <c r="BN43" s="3">
        <f>IF(ISBLANK(Actuals!BN40),-(IF(AND(Personnel!$E$2&gt;=2,Personnel!$E$2=61,Personnel!$G$2="Yes"),Personnel!$C$2*0.15,0)+IF(AND(Personnel!$E$3&gt;=2,Personnel!$E$3=61,Personnel!$G$3="Yes"),Personnel!$C$3*0.15,0)+IF(AND(Personnel!$E$4&gt;=2,Personnel!$E$4=61,Personnel!$G$4="Yes"),Personnel!$C$4*0.15,0)+IF(AND(Personnel!$E$5&gt;=2,Personnel!$E$5=61,Personnel!$G$5="Yes"),Personnel!$C$5*0.15,0)+IF(AND(Personnel!$E$6&gt;=2,Personnel!$E$6=61,Personnel!$G$6="Yes"),Personnel!$C$6*0.15,0)+IF(AND(Personnel!$E$7&gt;=2,Personnel!$E$7=61,Personnel!$G$7="Yes"),Personnel!$C$7*0.15,0)+IF(AND(Personnel!$E$8&gt;=2,Personnel!$E$8=61,Personnel!$G$8="Yes"),Personnel!$C$8*0.15,0)+IF(AND(Personnel!$E$9&gt;=2,Personnel!$E$9=61,Personnel!$G$9="Yes"),Personnel!$C$9*0.15,0)+IF(AND(Personnel!$E$10&gt;=2,Personnel!$E$10=61,Personnel!$G$10="Yes"),Personnel!$C$10*0.15,0)+IF(AND(Personnel!$E$11&gt;=2,Personnel!$E$11=61,Personnel!$G$11="Yes"),Personnel!$C$11*0.15,0)+IF(AND(Personnel!$E$12&gt;=2,Personnel!$E$12=61,Personnel!$G$12="Yes"),Personnel!$C$12*0.15,0)+IF(AND(Personnel!$E$13&gt;=2,Personnel!$E$13=61,Personnel!$G$13="Yes"),Personnel!$C$13*0.15,0)+IF(AND(Personnel!$E$14&gt;=2,Personnel!$E$14=61,Personnel!$G$14="Yes"),Personnel!$C$14*0.15,0)+IF(AND(Personnel!$E$15&gt;=2,Personnel!$E$15=61,Personnel!$G$15="Yes"),Personnel!$C$15*0.15,0)+IF(AND(Personnel!$E$16&gt;=2,Personnel!$E$16=61,Personnel!$G$16="Yes"),Personnel!$C$16*0.15,0)+IF(AND(Personnel!$E$17&gt;=2,Personnel!$E$17=61,Personnel!$G$17="Yes"),Personnel!$C$17*0.15,0)+IF(AND(Personnel!$E$18&gt;=2,Personnel!$E$18=61,Personnel!$G$18="Yes"),Personnel!$C$18*0.15,0)+IF(AND(Personnel!$E$19&gt;=2,Personnel!$E$19=61,Personnel!$G$19="Yes"),Personnel!$C$19*0.15,0)+IF(AND(Personnel!$E$20&gt;=2,Personnel!$E$20=61,Personnel!$G$20="Yes"),Personnel!$C$20*0.15,0)+IF(AND(Personnel!$E$21&gt;=2,Personnel!$E$21=61,Personnel!$G$21="Yes"),Personnel!$C$21*0.15,0)+IF(AND(Personnel!$E$22&gt;=2,Personnel!$E$22=61,Personnel!$G$22="Yes"),Personnel!$C$22*0.15,0)+IF(AND(Personnel!$E$23&gt;=2,Personnel!$E$23=61,Personnel!$G$23="Yes"),Personnel!$C$23*0.15,0)+IF(AND(Personnel!$E$24&gt;=2,Personnel!$E$24=61,Personnel!$G$24="Yes"),Personnel!$C$24*0.15,0)+IF(AND(Personnel!$E$25&gt;=2,Personnel!$E$25=61,Personnel!$G$25="Yes"),Personnel!$C$25*0.15,0)+IF(AND(Personnel!$E$26&gt;=2,Personnel!$E$26=61,Personnel!$G$26="Yes"),Personnel!$C$26*0.15,0)+IF(AND(Personnel!$E$27&gt;=2,Personnel!$E$27=61,Personnel!$G$27="Yes"),Personnel!$C$27*0.15,0)+IF(AND(Personnel!$E$28&gt;=2,Personnel!$E$28=61,Personnel!$G$28="Yes"),Personnel!$C$28*0.15,0)+IF(AND(Personnel!$E$29&gt;=2,Personnel!$E$29=61,Personnel!$G$29="Yes"),Personnel!$C$29*0.15,0)+IF(AND(Personnel!$E$30&gt;=2,Personnel!$E$30=61,Personnel!$G$30="Yes"),Personnel!$C$30*0.15,0)+IF(AND(Personnel!$E$31&gt;=2,Personnel!$E$31=61,Personnel!$G$31="Yes"),Personnel!$C$31*0.15,0)+IF(AND(Personnel!$E$32&gt;=2,Personnel!$E$32=61,Personnel!$G$32="Yes"),Personnel!$C$32*0.15,0)+IF(AND(Personnel!$E$33&gt;=2,Personnel!$E$33=61,Personnel!$G$33="Yes"),Personnel!$C$33*0.15,0)),Actuals!BN40)</f>
        <v>0</v>
      </c>
      <c r="BO43" s="3">
        <f>IF(ISBLANK(Actuals!BO40),-(IF(AND(Personnel!$E$2&gt;=2,Personnel!$E$2=62,Personnel!$G$2="Yes"),Personnel!$C$2*0.15,0)+IF(AND(Personnel!$E$3&gt;=2,Personnel!$E$3=62,Personnel!$G$3="Yes"),Personnel!$C$3*0.15,0)+IF(AND(Personnel!$E$4&gt;=2,Personnel!$E$4=62,Personnel!$G$4="Yes"),Personnel!$C$4*0.15,0)+IF(AND(Personnel!$E$5&gt;=2,Personnel!$E$5=62,Personnel!$G$5="Yes"),Personnel!$C$5*0.15,0)+IF(AND(Personnel!$E$6&gt;=2,Personnel!$E$6=62,Personnel!$G$6="Yes"),Personnel!$C$6*0.15,0)+IF(AND(Personnel!$E$7&gt;=2,Personnel!$E$7=62,Personnel!$G$7="Yes"),Personnel!$C$7*0.15,0)+IF(AND(Personnel!$E$8&gt;=2,Personnel!$E$8=62,Personnel!$G$8="Yes"),Personnel!$C$8*0.15,0)+IF(AND(Personnel!$E$9&gt;=2,Personnel!$E$9=62,Personnel!$G$9="Yes"),Personnel!$C$9*0.15,0)+IF(AND(Personnel!$E$10&gt;=2,Personnel!$E$10=62,Personnel!$G$10="Yes"),Personnel!$C$10*0.15,0)+IF(AND(Personnel!$E$11&gt;=2,Personnel!$E$11=62,Personnel!$G$11="Yes"),Personnel!$C$11*0.15,0)+IF(AND(Personnel!$E$12&gt;=2,Personnel!$E$12=62,Personnel!$G$12="Yes"),Personnel!$C$12*0.15,0)+IF(AND(Personnel!$E$13&gt;=2,Personnel!$E$13=62,Personnel!$G$13="Yes"),Personnel!$C$13*0.15,0)+IF(AND(Personnel!$E$14&gt;=2,Personnel!$E$14=62,Personnel!$G$14="Yes"),Personnel!$C$14*0.15,0)+IF(AND(Personnel!$E$15&gt;=2,Personnel!$E$15=62,Personnel!$G$15="Yes"),Personnel!$C$15*0.15,0)+IF(AND(Personnel!$E$16&gt;=2,Personnel!$E$16=62,Personnel!$G$16="Yes"),Personnel!$C$16*0.15,0)+IF(AND(Personnel!$E$17&gt;=2,Personnel!$E$17=62,Personnel!$G$17="Yes"),Personnel!$C$17*0.15,0)+IF(AND(Personnel!$E$18&gt;=2,Personnel!$E$18=62,Personnel!$G$18="Yes"),Personnel!$C$18*0.15,0)+IF(AND(Personnel!$E$19&gt;=2,Personnel!$E$19=62,Personnel!$G$19="Yes"),Personnel!$C$19*0.15,0)+IF(AND(Personnel!$E$20&gt;=2,Personnel!$E$20=62,Personnel!$G$20="Yes"),Personnel!$C$20*0.15,0)+IF(AND(Personnel!$E$21&gt;=2,Personnel!$E$21=62,Personnel!$G$21="Yes"),Personnel!$C$21*0.15,0)+IF(AND(Personnel!$E$22&gt;=2,Personnel!$E$22=62,Personnel!$G$22="Yes"),Personnel!$C$22*0.15,0)+IF(AND(Personnel!$E$23&gt;=2,Personnel!$E$23=62,Personnel!$G$23="Yes"),Personnel!$C$23*0.15,0)+IF(AND(Personnel!$E$24&gt;=2,Personnel!$E$24=62,Personnel!$G$24="Yes"),Personnel!$C$24*0.15,0)+IF(AND(Personnel!$E$25&gt;=2,Personnel!$E$25=62,Personnel!$G$25="Yes"),Personnel!$C$25*0.15,0)+IF(AND(Personnel!$E$26&gt;=2,Personnel!$E$26=62,Personnel!$G$26="Yes"),Personnel!$C$26*0.15,0)+IF(AND(Personnel!$E$27&gt;=2,Personnel!$E$27=62,Personnel!$G$27="Yes"),Personnel!$C$27*0.15,0)+IF(AND(Personnel!$E$28&gt;=2,Personnel!$E$28=62,Personnel!$G$28="Yes"),Personnel!$C$28*0.15,0)+IF(AND(Personnel!$E$29&gt;=2,Personnel!$E$29=62,Personnel!$G$29="Yes"),Personnel!$C$29*0.15,0)+IF(AND(Personnel!$E$30&gt;=2,Personnel!$E$30=62,Personnel!$G$30="Yes"),Personnel!$C$30*0.15,0)+IF(AND(Personnel!$E$31&gt;=2,Personnel!$E$31=62,Personnel!$G$31="Yes"),Personnel!$C$31*0.15,0)+IF(AND(Personnel!$E$32&gt;=2,Personnel!$E$32=62,Personnel!$G$32="Yes"),Personnel!$C$32*0.15,0)+IF(AND(Personnel!$E$33&gt;=2,Personnel!$E$33=62,Personnel!$G$33="Yes"),Personnel!$C$33*0.15,0)),Actuals!BO40)</f>
        <v>0</v>
      </c>
      <c r="BP43" s="3">
        <f>IF(ISBLANK(Actuals!BP40),-(IF(AND(Personnel!$E$2&gt;=2,Personnel!$E$2=63,Personnel!$G$2="Yes"),Personnel!$C$2*0.15,0)+IF(AND(Personnel!$E$3&gt;=2,Personnel!$E$3=63,Personnel!$G$3="Yes"),Personnel!$C$3*0.15,0)+IF(AND(Personnel!$E$4&gt;=2,Personnel!$E$4=63,Personnel!$G$4="Yes"),Personnel!$C$4*0.15,0)+IF(AND(Personnel!$E$5&gt;=2,Personnel!$E$5=63,Personnel!$G$5="Yes"),Personnel!$C$5*0.15,0)+IF(AND(Personnel!$E$6&gt;=2,Personnel!$E$6=63,Personnel!$G$6="Yes"),Personnel!$C$6*0.15,0)+IF(AND(Personnel!$E$7&gt;=2,Personnel!$E$7=63,Personnel!$G$7="Yes"),Personnel!$C$7*0.15,0)+IF(AND(Personnel!$E$8&gt;=2,Personnel!$E$8=63,Personnel!$G$8="Yes"),Personnel!$C$8*0.15,0)+IF(AND(Personnel!$E$9&gt;=2,Personnel!$E$9=63,Personnel!$G$9="Yes"),Personnel!$C$9*0.15,0)+IF(AND(Personnel!$E$10&gt;=2,Personnel!$E$10=63,Personnel!$G$10="Yes"),Personnel!$C$10*0.15,0)+IF(AND(Personnel!$E$11&gt;=2,Personnel!$E$11=63,Personnel!$G$11="Yes"),Personnel!$C$11*0.15,0)+IF(AND(Personnel!$E$12&gt;=2,Personnel!$E$12=63,Personnel!$G$12="Yes"),Personnel!$C$12*0.15,0)+IF(AND(Personnel!$E$13&gt;=2,Personnel!$E$13=63,Personnel!$G$13="Yes"),Personnel!$C$13*0.15,0)+IF(AND(Personnel!$E$14&gt;=2,Personnel!$E$14=63,Personnel!$G$14="Yes"),Personnel!$C$14*0.15,0)+IF(AND(Personnel!$E$15&gt;=2,Personnel!$E$15=63,Personnel!$G$15="Yes"),Personnel!$C$15*0.15,0)+IF(AND(Personnel!$E$16&gt;=2,Personnel!$E$16=63,Personnel!$G$16="Yes"),Personnel!$C$16*0.15,0)+IF(AND(Personnel!$E$17&gt;=2,Personnel!$E$17=63,Personnel!$G$17="Yes"),Personnel!$C$17*0.15,0)+IF(AND(Personnel!$E$18&gt;=2,Personnel!$E$18=63,Personnel!$G$18="Yes"),Personnel!$C$18*0.15,0)+IF(AND(Personnel!$E$19&gt;=2,Personnel!$E$19=63,Personnel!$G$19="Yes"),Personnel!$C$19*0.15,0)+IF(AND(Personnel!$E$20&gt;=2,Personnel!$E$20=63,Personnel!$G$20="Yes"),Personnel!$C$20*0.15,0)+IF(AND(Personnel!$E$21&gt;=2,Personnel!$E$21=63,Personnel!$G$21="Yes"),Personnel!$C$21*0.15,0)+IF(AND(Personnel!$E$22&gt;=2,Personnel!$E$22=63,Personnel!$G$22="Yes"),Personnel!$C$22*0.15,0)+IF(AND(Personnel!$E$23&gt;=2,Personnel!$E$23=63,Personnel!$G$23="Yes"),Personnel!$C$23*0.15,0)+IF(AND(Personnel!$E$24&gt;=2,Personnel!$E$24=63,Personnel!$G$24="Yes"),Personnel!$C$24*0.15,0)+IF(AND(Personnel!$E$25&gt;=2,Personnel!$E$25=63,Personnel!$G$25="Yes"),Personnel!$C$25*0.15,0)+IF(AND(Personnel!$E$26&gt;=2,Personnel!$E$26=63,Personnel!$G$26="Yes"),Personnel!$C$26*0.15,0)+IF(AND(Personnel!$E$27&gt;=2,Personnel!$E$27=63,Personnel!$G$27="Yes"),Personnel!$C$27*0.15,0)+IF(AND(Personnel!$E$28&gt;=2,Personnel!$E$28=63,Personnel!$G$28="Yes"),Personnel!$C$28*0.15,0)+IF(AND(Personnel!$E$29&gt;=2,Personnel!$E$29=63,Personnel!$G$29="Yes"),Personnel!$C$29*0.15,0)+IF(AND(Personnel!$E$30&gt;=2,Personnel!$E$30=63,Personnel!$G$30="Yes"),Personnel!$C$30*0.15,0)+IF(AND(Personnel!$E$31&gt;=2,Personnel!$E$31=63,Personnel!$G$31="Yes"),Personnel!$C$31*0.15,0)+IF(AND(Personnel!$E$32&gt;=2,Personnel!$E$32=63,Personnel!$G$32="Yes"),Personnel!$C$32*0.15,0)+IF(AND(Personnel!$E$33&gt;=2,Personnel!$E$33=63,Personnel!$G$33="Yes"),Personnel!$C$33*0.15,0)),Actuals!BP40)</f>
        <v>0</v>
      </c>
      <c r="BQ43" s="3">
        <f>IF(ISBLANK(Actuals!BQ40),-(IF(AND(Personnel!$E$2&gt;=2,Personnel!$E$2=64,Personnel!$G$2="Yes"),Personnel!$C$2*0.15,0)+IF(AND(Personnel!$E$3&gt;=2,Personnel!$E$3=64,Personnel!$G$3="Yes"),Personnel!$C$3*0.15,0)+IF(AND(Personnel!$E$4&gt;=2,Personnel!$E$4=64,Personnel!$G$4="Yes"),Personnel!$C$4*0.15,0)+IF(AND(Personnel!$E$5&gt;=2,Personnel!$E$5=64,Personnel!$G$5="Yes"),Personnel!$C$5*0.15,0)+IF(AND(Personnel!$E$6&gt;=2,Personnel!$E$6=64,Personnel!$G$6="Yes"),Personnel!$C$6*0.15,0)+IF(AND(Personnel!$E$7&gt;=2,Personnel!$E$7=64,Personnel!$G$7="Yes"),Personnel!$C$7*0.15,0)+IF(AND(Personnel!$E$8&gt;=2,Personnel!$E$8=64,Personnel!$G$8="Yes"),Personnel!$C$8*0.15,0)+IF(AND(Personnel!$E$9&gt;=2,Personnel!$E$9=64,Personnel!$G$9="Yes"),Personnel!$C$9*0.15,0)+IF(AND(Personnel!$E$10&gt;=2,Personnel!$E$10=64,Personnel!$G$10="Yes"),Personnel!$C$10*0.15,0)+IF(AND(Personnel!$E$11&gt;=2,Personnel!$E$11=64,Personnel!$G$11="Yes"),Personnel!$C$11*0.15,0)+IF(AND(Personnel!$E$12&gt;=2,Personnel!$E$12=64,Personnel!$G$12="Yes"),Personnel!$C$12*0.15,0)+IF(AND(Personnel!$E$13&gt;=2,Personnel!$E$13=64,Personnel!$G$13="Yes"),Personnel!$C$13*0.15,0)+IF(AND(Personnel!$E$14&gt;=2,Personnel!$E$14=64,Personnel!$G$14="Yes"),Personnel!$C$14*0.15,0)+IF(AND(Personnel!$E$15&gt;=2,Personnel!$E$15=64,Personnel!$G$15="Yes"),Personnel!$C$15*0.15,0)+IF(AND(Personnel!$E$16&gt;=2,Personnel!$E$16=64,Personnel!$G$16="Yes"),Personnel!$C$16*0.15,0)+IF(AND(Personnel!$E$17&gt;=2,Personnel!$E$17=64,Personnel!$G$17="Yes"),Personnel!$C$17*0.15,0)+IF(AND(Personnel!$E$18&gt;=2,Personnel!$E$18=64,Personnel!$G$18="Yes"),Personnel!$C$18*0.15,0)+IF(AND(Personnel!$E$19&gt;=2,Personnel!$E$19=64,Personnel!$G$19="Yes"),Personnel!$C$19*0.15,0)+IF(AND(Personnel!$E$20&gt;=2,Personnel!$E$20=64,Personnel!$G$20="Yes"),Personnel!$C$20*0.15,0)+IF(AND(Personnel!$E$21&gt;=2,Personnel!$E$21=64,Personnel!$G$21="Yes"),Personnel!$C$21*0.15,0)+IF(AND(Personnel!$E$22&gt;=2,Personnel!$E$22=64,Personnel!$G$22="Yes"),Personnel!$C$22*0.15,0)+IF(AND(Personnel!$E$23&gt;=2,Personnel!$E$23=64,Personnel!$G$23="Yes"),Personnel!$C$23*0.15,0)+IF(AND(Personnel!$E$24&gt;=2,Personnel!$E$24=64,Personnel!$G$24="Yes"),Personnel!$C$24*0.15,0)+IF(AND(Personnel!$E$25&gt;=2,Personnel!$E$25=64,Personnel!$G$25="Yes"),Personnel!$C$25*0.15,0)+IF(AND(Personnel!$E$26&gt;=2,Personnel!$E$26=64,Personnel!$G$26="Yes"),Personnel!$C$26*0.15,0)+IF(AND(Personnel!$E$27&gt;=2,Personnel!$E$27=64,Personnel!$G$27="Yes"),Personnel!$C$27*0.15,0)+IF(AND(Personnel!$E$28&gt;=2,Personnel!$E$28=64,Personnel!$G$28="Yes"),Personnel!$C$28*0.15,0)+IF(AND(Personnel!$E$29&gt;=2,Personnel!$E$29=64,Personnel!$G$29="Yes"),Personnel!$C$29*0.15,0)+IF(AND(Personnel!$E$30&gt;=2,Personnel!$E$30=64,Personnel!$G$30="Yes"),Personnel!$C$30*0.15,0)+IF(AND(Personnel!$E$31&gt;=2,Personnel!$E$31=64,Personnel!$G$31="Yes"),Personnel!$C$31*0.15,0)+IF(AND(Personnel!$E$32&gt;=2,Personnel!$E$32=64,Personnel!$G$32="Yes"),Personnel!$C$32*0.15,0)+IF(AND(Personnel!$E$33&gt;=2,Personnel!$E$33=64,Personnel!$G$33="Yes"),Personnel!$C$33*0.15,0)),Actuals!BQ40)</f>
        <v>0</v>
      </c>
      <c r="BR43" s="3">
        <f>IF(ISBLANK(Actuals!BR40),-(IF(AND(Personnel!$E$2&gt;=2,Personnel!$E$2=65,Personnel!$G$2="Yes"),Personnel!$C$2*0.15,0)+IF(AND(Personnel!$E$3&gt;=2,Personnel!$E$3=65,Personnel!$G$3="Yes"),Personnel!$C$3*0.15,0)+IF(AND(Personnel!$E$4&gt;=2,Personnel!$E$4=65,Personnel!$G$4="Yes"),Personnel!$C$4*0.15,0)+IF(AND(Personnel!$E$5&gt;=2,Personnel!$E$5=65,Personnel!$G$5="Yes"),Personnel!$C$5*0.15,0)+IF(AND(Personnel!$E$6&gt;=2,Personnel!$E$6=65,Personnel!$G$6="Yes"),Personnel!$C$6*0.15,0)+IF(AND(Personnel!$E$7&gt;=2,Personnel!$E$7=65,Personnel!$G$7="Yes"),Personnel!$C$7*0.15,0)+IF(AND(Personnel!$E$8&gt;=2,Personnel!$E$8=65,Personnel!$G$8="Yes"),Personnel!$C$8*0.15,0)+IF(AND(Personnel!$E$9&gt;=2,Personnel!$E$9=65,Personnel!$G$9="Yes"),Personnel!$C$9*0.15,0)+IF(AND(Personnel!$E$10&gt;=2,Personnel!$E$10=65,Personnel!$G$10="Yes"),Personnel!$C$10*0.15,0)+IF(AND(Personnel!$E$11&gt;=2,Personnel!$E$11=65,Personnel!$G$11="Yes"),Personnel!$C$11*0.15,0)+IF(AND(Personnel!$E$12&gt;=2,Personnel!$E$12=65,Personnel!$G$12="Yes"),Personnel!$C$12*0.15,0)+IF(AND(Personnel!$E$13&gt;=2,Personnel!$E$13=65,Personnel!$G$13="Yes"),Personnel!$C$13*0.15,0)+IF(AND(Personnel!$E$14&gt;=2,Personnel!$E$14=65,Personnel!$G$14="Yes"),Personnel!$C$14*0.15,0)+IF(AND(Personnel!$E$15&gt;=2,Personnel!$E$15=65,Personnel!$G$15="Yes"),Personnel!$C$15*0.15,0)+IF(AND(Personnel!$E$16&gt;=2,Personnel!$E$16=65,Personnel!$G$16="Yes"),Personnel!$C$16*0.15,0)+IF(AND(Personnel!$E$17&gt;=2,Personnel!$E$17=65,Personnel!$G$17="Yes"),Personnel!$C$17*0.15,0)+IF(AND(Personnel!$E$18&gt;=2,Personnel!$E$18=65,Personnel!$G$18="Yes"),Personnel!$C$18*0.15,0)+IF(AND(Personnel!$E$19&gt;=2,Personnel!$E$19=65,Personnel!$G$19="Yes"),Personnel!$C$19*0.15,0)+IF(AND(Personnel!$E$20&gt;=2,Personnel!$E$20=65,Personnel!$G$20="Yes"),Personnel!$C$20*0.15,0)+IF(AND(Personnel!$E$21&gt;=2,Personnel!$E$21=65,Personnel!$G$21="Yes"),Personnel!$C$21*0.15,0)+IF(AND(Personnel!$E$22&gt;=2,Personnel!$E$22=65,Personnel!$G$22="Yes"),Personnel!$C$22*0.15,0)+IF(AND(Personnel!$E$23&gt;=2,Personnel!$E$23=65,Personnel!$G$23="Yes"),Personnel!$C$23*0.15,0)+IF(AND(Personnel!$E$24&gt;=2,Personnel!$E$24=65,Personnel!$G$24="Yes"),Personnel!$C$24*0.15,0)+IF(AND(Personnel!$E$25&gt;=2,Personnel!$E$25=65,Personnel!$G$25="Yes"),Personnel!$C$25*0.15,0)+IF(AND(Personnel!$E$26&gt;=2,Personnel!$E$26=65,Personnel!$G$26="Yes"),Personnel!$C$26*0.15,0)+IF(AND(Personnel!$E$27&gt;=2,Personnel!$E$27=65,Personnel!$G$27="Yes"),Personnel!$C$27*0.15,0)+IF(AND(Personnel!$E$28&gt;=2,Personnel!$E$28=65,Personnel!$G$28="Yes"),Personnel!$C$28*0.15,0)+IF(AND(Personnel!$E$29&gt;=2,Personnel!$E$29=65,Personnel!$G$29="Yes"),Personnel!$C$29*0.15,0)+IF(AND(Personnel!$E$30&gt;=2,Personnel!$E$30=65,Personnel!$G$30="Yes"),Personnel!$C$30*0.15,0)+IF(AND(Personnel!$E$31&gt;=2,Personnel!$E$31=65,Personnel!$G$31="Yes"),Personnel!$C$31*0.15,0)+IF(AND(Personnel!$E$32&gt;=2,Personnel!$E$32=65,Personnel!$G$32="Yes"),Personnel!$C$32*0.15,0)+IF(AND(Personnel!$E$33&gt;=2,Personnel!$E$33=65,Personnel!$G$33="Yes"),Personnel!$C$33*0.15,0)),Actuals!BR40)</f>
        <v>0</v>
      </c>
      <c r="BS43" s="3">
        <f>IF(ISBLANK(Actuals!BS40),-(IF(AND(Personnel!$E$2&gt;=2,Personnel!$E$2=66,Personnel!$G$2="Yes"),Personnel!$C$2*0.15,0)+IF(AND(Personnel!$E$3&gt;=2,Personnel!$E$3=66,Personnel!$G$3="Yes"),Personnel!$C$3*0.15,0)+IF(AND(Personnel!$E$4&gt;=2,Personnel!$E$4=66,Personnel!$G$4="Yes"),Personnel!$C$4*0.15,0)+IF(AND(Personnel!$E$5&gt;=2,Personnel!$E$5=66,Personnel!$G$5="Yes"),Personnel!$C$5*0.15,0)+IF(AND(Personnel!$E$6&gt;=2,Personnel!$E$6=66,Personnel!$G$6="Yes"),Personnel!$C$6*0.15,0)+IF(AND(Personnel!$E$7&gt;=2,Personnel!$E$7=66,Personnel!$G$7="Yes"),Personnel!$C$7*0.15,0)+IF(AND(Personnel!$E$8&gt;=2,Personnel!$E$8=66,Personnel!$G$8="Yes"),Personnel!$C$8*0.15,0)+IF(AND(Personnel!$E$9&gt;=2,Personnel!$E$9=66,Personnel!$G$9="Yes"),Personnel!$C$9*0.15,0)+IF(AND(Personnel!$E$10&gt;=2,Personnel!$E$10=66,Personnel!$G$10="Yes"),Personnel!$C$10*0.15,0)+IF(AND(Personnel!$E$11&gt;=2,Personnel!$E$11=66,Personnel!$G$11="Yes"),Personnel!$C$11*0.15,0)+IF(AND(Personnel!$E$12&gt;=2,Personnel!$E$12=66,Personnel!$G$12="Yes"),Personnel!$C$12*0.15,0)+IF(AND(Personnel!$E$13&gt;=2,Personnel!$E$13=66,Personnel!$G$13="Yes"),Personnel!$C$13*0.15,0)+IF(AND(Personnel!$E$14&gt;=2,Personnel!$E$14=66,Personnel!$G$14="Yes"),Personnel!$C$14*0.15,0)+IF(AND(Personnel!$E$15&gt;=2,Personnel!$E$15=66,Personnel!$G$15="Yes"),Personnel!$C$15*0.15,0)+IF(AND(Personnel!$E$16&gt;=2,Personnel!$E$16=66,Personnel!$G$16="Yes"),Personnel!$C$16*0.15,0)+IF(AND(Personnel!$E$17&gt;=2,Personnel!$E$17=66,Personnel!$G$17="Yes"),Personnel!$C$17*0.15,0)+IF(AND(Personnel!$E$18&gt;=2,Personnel!$E$18=66,Personnel!$G$18="Yes"),Personnel!$C$18*0.15,0)+IF(AND(Personnel!$E$19&gt;=2,Personnel!$E$19=66,Personnel!$G$19="Yes"),Personnel!$C$19*0.15,0)+IF(AND(Personnel!$E$20&gt;=2,Personnel!$E$20=66,Personnel!$G$20="Yes"),Personnel!$C$20*0.15,0)+IF(AND(Personnel!$E$21&gt;=2,Personnel!$E$21=66,Personnel!$G$21="Yes"),Personnel!$C$21*0.15,0)+IF(AND(Personnel!$E$22&gt;=2,Personnel!$E$22=66,Personnel!$G$22="Yes"),Personnel!$C$22*0.15,0)+IF(AND(Personnel!$E$23&gt;=2,Personnel!$E$23=66,Personnel!$G$23="Yes"),Personnel!$C$23*0.15,0)+IF(AND(Personnel!$E$24&gt;=2,Personnel!$E$24=66,Personnel!$G$24="Yes"),Personnel!$C$24*0.15,0)+IF(AND(Personnel!$E$25&gt;=2,Personnel!$E$25=66,Personnel!$G$25="Yes"),Personnel!$C$25*0.15,0)+IF(AND(Personnel!$E$26&gt;=2,Personnel!$E$26=66,Personnel!$G$26="Yes"),Personnel!$C$26*0.15,0)+IF(AND(Personnel!$E$27&gt;=2,Personnel!$E$27=66,Personnel!$G$27="Yes"),Personnel!$C$27*0.15,0)+IF(AND(Personnel!$E$28&gt;=2,Personnel!$E$28=66,Personnel!$G$28="Yes"),Personnel!$C$28*0.15,0)+IF(AND(Personnel!$E$29&gt;=2,Personnel!$E$29=66,Personnel!$G$29="Yes"),Personnel!$C$29*0.15,0)+IF(AND(Personnel!$E$30&gt;=2,Personnel!$E$30=66,Personnel!$G$30="Yes"),Personnel!$C$30*0.15,0)+IF(AND(Personnel!$E$31&gt;=2,Personnel!$E$31=66,Personnel!$G$31="Yes"),Personnel!$C$31*0.15,0)+IF(AND(Personnel!$E$32&gt;=2,Personnel!$E$32=66,Personnel!$G$32="Yes"),Personnel!$C$32*0.15,0)+IF(AND(Personnel!$E$33&gt;=2,Personnel!$E$33=66,Personnel!$G$33="Yes"),Personnel!$C$33*0.15,0)),Actuals!BS40)</f>
        <v>0</v>
      </c>
      <c r="BT43" s="3">
        <f>IF(ISBLANK(Actuals!BT40),-(IF(AND(Personnel!$E$2&gt;=2,Personnel!$E$2=67,Personnel!$G$2="Yes"),Personnel!$C$2*0.15,0)+IF(AND(Personnel!$E$3&gt;=2,Personnel!$E$3=67,Personnel!$G$3="Yes"),Personnel!$C$3*0.15,0)+IF(AND(Personnel!$E$4&gt;=2,Personnel!$E$4=67,Personnel!$G$4="Yes"),Personnel!$C$4*0.15,0)+IF(AND(Personnel!$E$5&gt;=2,Personnel!$E$5=67,Personnel!$G$5="Yes"),Personnel!$C$5*0.15,0)+IF(AND(Personnel!$E$6&gt;=2,Personnel!$E$6=67,Personnel!$G$6="Yes"),Personnel!$C$6*0.15,0)+IF(AND(Personnel!$E$7&gt;=2,Personnel!$E$7=67,Personnel!$G$7="Yes"),Personnel!$C$7*0.15,0)+IF(AND(Personnel!$E$8&gt;=2,Personnel!$E$8=67,Personnel!$G$8="Yes"),Personnel!$C$8*0.15,0)+IF(AND(Personnel!$E$9&gt;=2,Personnel!$E$9=67,Personnel!$G$9="Yes"),Personnel!$C$9*0.15,0)+IF(AND(Personnel!$E$10&gt;=2,Personnel!$E$10=67,Personnel!$G$10="Yes"),Personnel!$C$10*0.15,0)+IF(AND(Personnel!$E$11&gt;=2,Personnel!$E$11=67,Personnel!$G$11="Yes"),Personnel!$C$11*0.15,0)+IF(AND(Personnel!$E$12&gt;=2,Personnel!$E$12=67,Personnel!$G$12="Yes"),Personnel!$C$12*0.15,0)+IF(AND(Personnel!$E$13&gt;=2,Personnel!$E$13=67,Personnel!$G$13="Yes"),Personnel!$C$13*0.15,0)+IF(AND(Personnel!$E$14&gt;=2,Personnel!$E$14=67,Personnel!$G$14="Yes"),Personnel!$C$14*0.15,0)+IF(AND(Personnel!$E$15&gt;=2,Personnel!$E$15=67,Personnel!$G$15="Yes"),Personnel!$C$15*0.15,0)+IF(AND(Personnel!$E$16&gt;=2,Personnel!$E$16=67,Personnel!$G$16="Yes"),Personnel!$C$16*0.15,0)+IF(AND(Personnel!$E$17&gt;=2,Personnel!$E$17=67,Personnel!$G$17="Yes"),Personnel!$C$17*0.15,0)+IF(AND(Personnel!$E$18&gt;=2,Personnel!$E$18=67,Personnel!$G$18="Yes"),Personnel!$C$18*0.15,0)+IF(AND(Personnel!$E$19&gt;=2,Personnel!$E$19=67,Personnel!$G$19="Yes"),Personnel!$C$19*0.15,0)+IF(AND(Personnel!$E$20&gt;=2,Personnel!$E$20=67,Personnel!$G$20="Yes"),Personnel!$C$20*0.15,0)+IF(AND(Personnel!$E$21&gt;=2,Personnel!$E$21=67,Personnel!$G$21="Yes"),Personnel!$C$21*0.15,0)+IF(AND(Personnel!$E$22&gt;=2,Personnel!$E$22=67,Personnel!$G$22="Yes"),Personnel!$C$22*0.15,0)+IF(AND(Personnel!$E$23&gt;=2,Personnel!$E$23=67,Personnel!$G$23="Yes"),Personnel!$C$23*0.15,0)+IF(AND(Personnel!$E$24&gt;=2,Personnel!$E$24=67,Personnel!$G$24="Yes"),Personnel!$C$24*0.15,0)+IF(AND(Personnel!$E$25&gt;=2,Personnel!$E$25=67,Personnel!$G$25="Yes"),Personnel!$C$25*0.15,0)+IF(AND(Personnel!$E$26&gt;=2,Personnel!$E$26=67,Personnel!$G$26="Yes"),Personnel!$C$26*0.15,0)+IF(AND(Personnel!$E$27&gt;=2,Personnel!$E$27=67,Personnel!$G$27="Yes"),Personnel!$C$27*0.15,0)+IF(AND(Personnel!$E$28&gt;=2,Personnel!$E$28=67,Personnel!$G$28="Yes"),Personnel!$C$28*0.15,0)+IF(AND(Personnel!$E$29&gt;=2,Personnel!$E$29=67,Personnel!$G$29="Yes"),Personnel!$C$29*0.15,0)+IF(AND(Personnel!$E$30&gt;=2,Personnel!$E$30=67,Personnel!$G$30="Yes"),Personnel!$C$30*0.15,0)+IF(AND(Personnel!$E$31&gt;=2,Personnel!$E$31=67,Personnel!$G$31="Yes"),Personnel!$C$31*0.15,0)+IF(AND(Personnel!$E$32&gt;=2,Personnel!$E$32=67,Personnel!$G$32="Yes"),Personnel!$C$32*0.15,0)+IF(AND(Personnel!$E$33&gt;=2,Personnel!$E$33=67,Personnel!$G$33="Yes"),Personnel!$C$33*0.15,0)),Actuals!BT40)</f>
        <v>0</v>
      </c>
      <c r="BU43" s="3">
        <f>IF(ISBLANK(Actuals!BU40),-(IF(AND(Personnel!$E$2&gt;=2,Personnel!$E$2=68,Personnel!$G$2="Yes"),Personnel!$C$2*0.15,0)+IF(AND(Personnel!$E$3&gt;=2,Personnel!$E$3=68,Personnel!$G$3="Yes"),Personnel!$C$3*0.15,0)+IF(AND(Personnel!$E$4&gt;=2,Personnel!$E$4=68,Personnel!$G$4="Yes"),Personnel!$C$4*0.15,0)+IF(AND(Personnel!$E$5&gt;=2,Personnel!$E$5=68,Personnel!$G$5="Yes"),Personnel!$C$5*0.15,0)+IF(AND(Personnel!$E$6&gt;=2,Personnel!$E$6=68,Personnel!$G$6="Yes"),Personnel!$C$6*0.15,0)+IF(AND(Personnel!$E$7&gt;=2,Personnel!$E$7=68,Personnel!$G$7="Yes"),Personnel!$C$7*0.15,0)+IF(AND(Personnel!$E$8&gt;=2,Personnel!$E$8=68,Personnel!$G$8="Yes"),Personnel!$C$8*0.15,0)+IF(AND(Personnel!$E$9&gt;=2,Personnel!$E$9=68,Personnel!$G$9="Yes"),Personnel!$C$9*0.15,0)+IF(AND(Personnel!$E$10&gt;=2,Personnel!$E$10=68,Personnel!$G$10="Yes"),Personnel!$C$10*0.15,0)+IF(AND(Personnel!$E$11&gt;=2,Personnel!$E$11=68,Personnel!$G$11="Yes"),Personnel!$C$11*0.15,0)+IF(AND(Personnel!$E$12&gt;=2,Personnel!$E$12=68,Personnel!$G$12="Yes"),Personnel!$C$12*0.15,0)+IF(AND(Personnel!$E$13&gt;=2,Personnel!$E$13=68,Personnel!$G$13="Yes"),Personnel!$C$13*0.15,0)+IF(AND(Personnel!$E$14&gt;=2,Personnel!$E$14=68,Personnel!$G$14="Yes"),Personnel!$C$14*0.15,0)+IF(AND(Personnel!$E$15&gt;=2,Personnel!$E$15=68,Personnel!$G$15="Yes"),Personnel!$C$15*0.15,0)+IF(AND(Personnel!$E$16&gt;=2,Personnel!$E$16=68,Personnel!$G$16="Yes"),Personnel!$C$16*0.15,0)+IF(AND(Personnel!$E$17&gt;=2,Personnel!$E$17=68,Personnel!$G$17="Yes"),Personnel!$C$17*0.15,0)+IF(AND(Personnel!$E$18&gt;=2,Personnel!$E$18=68,Personnel!$G$18="Yes"),Personnel!$C$18*0.15,0)+IF(AND(Personnel!$E$19&gt;=2,Personnel!$E$19=68,Personnel!$G$19="Yes"),Personnel!$C$19*0.15,0)+IF(AND(Personnel!$E$20&gt;=2,Personnel!$E$20=68,Personnel!$G$20="Yes"),Personnel!$C$20*0.15,0)+IF(AND(Personnel!$E$21&gt;=2,Personnel!$E$21=68,Personnel!$G$21="Yes"),Personnel!$C$21*0.15,0)+IF(AND(Personnel!$E$22&gt;=2,Personnel!$E$22=68,Personnel!$G$22="Yes"),Personnel!$C$22*0.15,0)+IF(AND(Personnel!$E$23&gt;=2,Personnel!$E$23=68,Personnel!$G$23="Yes"),Personnel!$C$23*0.15,0)+IF(AND(Personnel!$E$24&gt;=2,Personnel!$E$24=68,Personnel!$G$24="Yes"),Personnel!$C$24*0.15,0)+IF(AND(Personnel!$E$25&gt;=2,Personnel!$E$25=68,Personnel!$G$25="Yes"),Personnel!$C$25*0.15,0)+IF(AND(Personnel!$E$26&gt;=2,Personnel!$E$26=68,Personnel!$G$26="Yes"),Personnel!$C$26*0.15,0)+IF(AND(Personnel!$E$27&gt;=2,Personnel!$E$27=68,Personnel!$G$27="Yes"),Personnel!$C$27*0.15,0)+IF(AND(Personnel!$E$28&gt;=2,Personnel!$E$28=68,Personnel!$G$28="Yes"),Personnel!$C$28*0.15,0)+IF(AND(Personnel!$E$29&gt;=2,Personnel!$E$29=68,Personnel!$G$29="Yes"),Personnel!$C$29*0.15,0)+IF(AND(Personnel!$E$30&gt;=2,Personnel!$E$30=68,Personnel!$G$30="Yes"),Personnel!$C$30*0.15,0)+IF(AND(Personnel!$E$31&gt;=2,Personnel!$E$31=68,Personnel!$G$31="Yes"),Personnel!$C$31*0.15,0)+IF(AND(Personnel!$E$32&gt;=2,Personnel!$E$32=68,Personnel!$G$32="Yes"),Personnel!$C$32*0.15,0)+IF(AND(Personnel!$E$33&gt;=2,Personnel!$E$33=68,Personnel!$G$33="Yes"),Personnel!$C$33*0.15,0)),Actuals!BU40)</f>
        <v>0</v>
      </c>
      <c r="BV43" s="3">
        <f>IF(ISBLANK(Actuals!BV40),-(IF(AND(Personnel!$E$2&gt;=2,Personnel!$E$2=69,Personnel!$G$2="Yes"),Personnel!$C$2*0.15,0)+IF(AND(Personnel!$E$3&gt;=2,Personnel!$E$3=69,Personnel!$G$3="Yes"),Personnel!$C$3*0.15,0)+IF(AND(Personnel!$E$4&gt;=2,Personnel!$E$4=69,Personnel!$G$4="Yes"),Personnel!$C$4*0.15,0)+IF(AND(Personnel!$E$5&gt;=2,Personnel!$E$5=69,Personnel!$G$5="Yes"),Personnel!$C$5*0.15,0)+IF(AND(Personnel!$E$6&gt;=2,Personnel!$E$6=69,Personnel!$G$6="Yes"),Personnel!$C$6*0.15,0)+IF(AND(Personnel!$E$7&gt;=2,Personnel!$E$7=69,Personnel!$G$7="Yes"),Personnel!$C$7*0.15,0)+IF(AND(Personnel!$E$8&gt;=2,Personnel!$E$8=69,Personnel!$G$8="Yes"),Personnel!$C$8*0.15,0)+IF(AND(Personnel!$E$9&gt;=2,Personnel!$E$9=69,Personnel!$G$9="Yes"),Personnel!$C$9*0.15,0)+IF(AND(Personnel!$E$10&gt;=2,Personnel!$E$10=69,Personnel!$G$10="Yes"),Personnel!$C$10*0.15,0)+IF(AND(Personnel!$E$11&gt;=2,Personnel!$E$11=69,Personnel!$G$11="Yes"),Personnel!$C$11*0.15,0)+IF(AND(Personnel!$E$12&gt;=2,Personnel!$E$12=69,Personnel!$G$12="Yes"),Personnel!$C$12*0.15,0)+IF(AND(Personnel!$E$13&gt;=2,Personnel!$E$13=69,Personnel!$G$13="Yes"),Personnel!$C$13*0.15,0)+IF(AND(Personnel!$E$14&gt;=2,Personnel!$E$14=69,Personnel!$G$14="Yes"),Personnel!$C$14*0.15,0)+IF(AND(Personnel!$E$15&gt;=2,Personnel!$E$15=69,Personnel!$G$15="Yes"),Personnel!$C$15*0.15,0)+IF(AND(Personnel!$E$16&gt;=2,Personnel!$E$16=69,Personnel!$G$16="Yes"),Personnel!$C$16*0.15,0)+IF(AND(Personnel!$E$17&gt;=2,Personnel!$E$17=69,Personnel!$G$17="Yes"),Personnel!$C$17*0.15,0)+IF(AND(Personnel!$E$18&gt;=2,Personnel!$E$18=69,Personnel!$G$18="Yes"),Personnel!$C$18*0.15,0)+IF(AND(Personnel!$E$19&gt;=2,Personnel!$E$19=69,Personnel!$G$19="Yes"),Personnel!$C$19*0.15,0)+IF(AND(Personnel!$E$20&gt;=2,Personnel!$E$20=69,Personnel!$G$20="Yes"),Personnel!$C$20*0.15,0)+IF(AND(Personnel!$E$21&gt;=2,Personnel!$E$21=69,Personnel!$G$21="Yes"),Personnel!$C$21*0.15,0)+IF(AND(Personnel!$E$22&gt;=2,Personnel!$E$22=69,Personnel!$G$22="Yes"),Personnel!$C$22*0.15,0)+IF(AND(Personnel!$E$23&gt;=2,Personnel!$E$23=69,Personnel!$G$23="Yes"),Personnel!$C$23*0.15,0)+IF(AND(Personnel!$E$24&gt;=2,Personnel!$E$24=69,Personnel!$G$24="Yes"),Personnel!$C$24*0.15,0)+IF(AND(Personnel!$E$25&gt;=2,Personnel!$E$25=69,Personnel!$G$25="Yes"),Personnel!$C$25*0.15,0)+IF(AND(Personnel!$E$26&gt;=2,Personnel!$E$26=69,Personnel!$G$26="Yes"),Personnel!$C$26*0.15,0)+IF(AND(Personnel!$E$27&gt;=2,Personnel!$E$27=69,Personnel!$G$27="Yes"),Personnel!$C$27*0.15,0)+IF(AND(Personnel!$E$28&gt;=2,Personnel!$E$28=69,Personnel!$G$28="Yes"),Personnel!$C$28*0.15,0)+IF(AND(Personnel!$E$29&gt;=2,Personnel!$E$29=69,Personnel!$G$29="Yes"),Personnel!$C$29*0.15,0)+IF(AND(Personnel!$E$30&gt;=2,Personnel!$E$30=69,Personnel!$G$30="Yes"),Personnel!$C$30*0.15,0)+IF(AND(Personnel!$E$31&gt;=2,Personnel!$E$31=69,Personnel!$G$31="Yes"),Personnel!$C$31*0.15,0)+IF(AND(Personnel!$E$32&gt;=2,Personnel!$E$32=69,Personnel!$G$32="Yes"),Personnel!$C$32*0.15,0)+IF(AND(Personnel!$E$33&gt;=2,Personnel!$E$33=69,Personnel!$G$33="Yes"),Personnel!$C$33*0.15,0)),Actuals!BV40)</f>
        <v>0</v>
      </c>
      <c r="BW43" s="3">
        <f>IF(ISBLANK(Actuals!BW40),-(IF(AND(Personnel!$E$2&gt;=2,Personnel!$E$2=70,Personnel!$G$2="Yes"),Personnel!$C$2*0.15,0)+IF(AND(Personnel!$E$3&gt;=2,Personnel!$E$3=70,Personnel!$G$3="Yes"),Personnel!$C$3*0.15,0)+IF(AND(Personnel!$E$4&gt;=2,Personnel!$E$4=70,Personnel!$G$4="Yes"),Personnel!$C$4*0.15,0)+IF(AND(Personnel!$E$5&gt;=2,Personnel!$E$5=70,Personnel!$G$5="Yes"),Personnel!$C$5*0.15,0)+IF(AND(Personnel!$E$6&gt;=2,Personnel!$E$6=70,Personnel!$G$6="Yes"),Personnel!$C$6*0.15,0)+IF(AND(Personnel!$E$7&gt;=2,Personnel!$E$7=70,Personnel!$G$7="Yes"),Personnel!$C$7*0.15,0)+IF(AND(Personnel!$E$8&gt;=2,Personnel!$E$8=70,Personnel!$G$8="Yes"),Personnel!$C$8*0.15,0)+IF(AND(Personnel!$E$9&gt;=2,Personnel!$E$9=70,Personnel!$G$9="Yes"),Personnel!$C$9*0.15,0)+IF(AND(Personnel!$E$10&gt;=2,Personnel!$E$10=70,Personnel!$G$10="Yes"),Personnel!$C$10*0.15,0)+IF(AND(Personnel!$E$11&gt;=2,Personnel!$E$11=70,Personnel!$G$11="Yes"),Personnel!$C$11*0.15,0)+IF(AND(Personnel!$E$12&gt;=2,Personnel!$E$12=70,Personnel!$G$12="Yes"),Personnel!$C$12*0.15,0)+IF(AND(Personnel!$E$13&gt;=2,Personnel!$E$13=70,Personnel!$G$13="Yes"),Personnel!$C$13*0.15,0)+IF(AND(Personnel!$E$14&gt;=2,Personnel!$E$14=70,Personnel!$G$14="Yes"),Personnel!$C$14*0.15,0)+IF(AND(Personnel!$E$15&gt;=2,Personnel!$E$15=70,Personnel!$G$15="Yes"),Personnel!$C$15*0.15,0)+IF(AND(Personnel!$E$16&gt;=2,Personnel!$E$16=70,Personnel!$G$16="Yes"),Personnel!$C$16*0.15,0)+IF(AND(Personnel!$E$17&gt;=2,Personnel!$E$17=70,Personnel!$G$17="Yes"),Personnel!$C$17*0.15,0)+IF(AND(Personnel!$E$18&gt;=2,Personnel!$E$18=70,Personnel!$G$18="Yes"),Personnel!$C$18*0.15,0)+IF(AND(Personnel!$E$19&gt;=2,Personnel!$E$19=70,Personnel!$G$19="Yes"),Personnel!$C$19*0.15,0)+IF(AND(Personnel!$E$20&gt;=2,Personnel!$E$20=70,Personnel!$G$20="Yes"),Personnel!$C$20*0.15,0)+IF(AND(Personnel!$E$21&gt;=2,Personnel!$E$21=70,Personnel!$G$21="Yes"),Personnel!$C$21*0.15,0)+IF(AND(Personnel!$E$22&gt;=2,Personnel!$E$22=70,Personnel!$G$22="Yes"),Personnel!$C$22*0.15,0)+IF(AND(Personnel!$E$23&gt;=2,Personnel!$E$23=70,Personnel!$G$23="Yes"),Personnel!$C$23*0.15,0)+IF(AND(Personnel!$E$24&gt;=2,Personnel!$E$24=70,Personnel!$G$24="Yes"),Personnel!$C$24*0.15,0)+IF(AND(Personnel!$E$25&gt;=2,Personnel!$E$25=70,Personnel!$G$25="Yes"),Personnel!$C$25*0.15,0)+IF(AND(Personnel!$E$26&gt;=2,Personnel!$E$26=70,Personnel!$G$26="Yes"),Personnel!$C$26*0.15,0)+IF(AND(Personnel!$E$27&gt;=2,Personnel!$E$27=70,Personnel!$G$27="Yes"),Personnel!$C$27*0.15,0)+IF(AND(Personnel!$E$28&gt;=2,Personnel!$E$28=70,Personnel!$G$28="Yes"),Personnel!$C$28*0.15,0)+IF(AND(Personnel!$E$29&gt;=2,Personnel!$E$29=70,Personnel!$G$29="Yes"),Personnel!$C$29*0.15,0)+IF(AND(Personnel!$E$30&gt;=2,Personnel!$E$30=70,Personnel!$G$30="Yes"),Personnel!$C$30*0.15,0)+IF(AND(Personnel!$E$31&gt;=2,Personnel!$E$31=70,Personnel!$G$31="Yes"),Personnel!$C$31*0.15,0)+IF(AND(Personnel!$E$32&gt;=2,Personnel!$E$32=70,Personnel!$G$32="Yes"),Personnel!$C$32*0.15,0)+IF(AND(Personnel!$E$33&gt;=2,Personnel!$E$33=70,Personnel!$G$33="Yes"),Personnel!$C$33*0.15,0)),Actuals!BW40)</f>
        <v>0</v>
      </c>
      <c r="BX43" s="3">
        <f>IF(ISBLANK(Actuals!BX40),-(IF(AND(Personnel!$E$2&gt;=2,Personnel!$E$2=71,Personnel!$G$2="Yes"),Personnel!$C$2*0.15,0)+IF(AND(Personnel!$E$3&gt;=2,Personnel!$E$3=71,Personnel!$G$3="Yes"),Personnel!$C$3*0.15,0)+IF(AND(Personnel!$E$4&gt;=2,Personnel!$E$4=71,Personnel!$G$4="Yes"),Personnel!$C$4*0.15,0)+IF(AND(Personnel!$E$5&gt;=2,Personnel!$E$5=71,Personnel!$G$5="Yes"),Personnel!$C$5*0.15,0)+IF(AND(Personnel!$E$6&gt;=2,Personnel!$E$6=71,Personnel!$G$6="Yes"),Personnel!$C$6*0.15,0)+IF(AND(Personnel!$E$7&gt;=2,Personnel!$E$7=71,Personnel!$G$7="Yes"),Personnel!$C$7*0.15,0)+IF(AND(Personnel!$E$8&gt;=2,Personnel!$E$8=71,Personnel!$G$8="Yes"),Personnel!$C$8*0.15,0)+IF(AND(Personnel!$E$9&gt;=2,Personnel!$E$9=71,Personnel!$G$9="Yes"),Personnel!$C$9*0.15,0)+IF(AND(Personnel!$E$10&gt;=2,Personnel!$E$10=71,Personnel!$G$10="Yes"),Personnel!$C$10*0.15,0)+IF(AND(Personnel!$E$11&gt;=2,Personnel!$E$11=71,Personnel!$G$11="Yes"),Personnel!$C$11*0.15,0)+IF(AND(Personnel!$E$12&gt;=2,Personnel!$E$12=71,Personnel!$G$12="Yes"),Personnel!$C$12*0.15,0)+IF(AND(Personnel!$E$13&gt;=2,Personnel!$E$13=71,Personnel!$G$13="Yes"),Personnel!$C$13*0.15,0)+IF(AND(Personnel!$E$14&gt;=2,Personnel!$E$14=71,Personnel!$G$14="Yes"),Personnel!$C$14*0.15,0)+IF(AND(Personnel!$E$15&gt;=2,Personnel!$E$15=71,Personnel!$G$15="Yes"),Personnel!$C$15*0.15,0)+IF(AND(Personnel!$E$16&gt;=2,Personnel!$E$16=71,Personnel!$G$16="Yes"),Personnel!$C$16*0.15,0)+IF(AND(Personnel!$E$17&gt;=2,Personnel!$E$17=71,Personnel!$G$17="Yes"),Personnel!$C$17*0.15,0)+IF(AND(Personnel!$E$18&gt;=2,Personnel!$E$18=71,Personnel!$G$18="Yes"),Personnel!$C$18*0.15,0)+IF(AND(Personnel!$E$19&gt;=2,Personnel!$E$19=71,Personnel!$G$19="Yes"),Personnel!$C$19*0.15,0)+IF(AND(Personnel!$E$20&gt;=2,Personnel!$E$20=71,Personnel!$G$20="Yes"),Personnel!$C$20*0.15,0)+IF(AND(Personnel!$E$21&gt;=2,Personnel!$E$21=71,Personnel!$G$21="Yes"),Personnel!$C$21*0.15,0)+IF(AND(Personnel!$E$22&gt;=2,Personnel!$E$22=71,Personnel!$G$22="Yes"),Personnel!$C$22*0.15,0)+IF(AND(Personnel!$E$23&gt;=2,Personnel!$E$23=71,Personnel!$G$23="Yes"),Personnel!$C$23*0.15,0)+IF(AND(Personnel!$E$24&gt;=2,Personnel!$E$24=71,Personnel!$G$24="Yes"),Personnel!$C$24*0.15,0)+IF(AND(Personnel!$E$25&gt;=2,Personnel!$E$25=71,Personnel!$G$25="Yes"),Personnel!$C$25*0.15,0)+IF(AND(Personnel!$E$26&gt;=2,Personnel!$E$26=71,Personnel!$G$26="Yes"),Personnel!$C$26*0.15,0)+IF(AND(Personnel!$E$27&gt;=2,Personnel!$E$27=71,Personnel!$G$27="Yes"),Personnel!$C$27*0.15,0)+IF(AND(Personnel!$E$28&gt;=2,Personnel!$E$28=71,Personnel!$G$28="Yes"),Personnel!$C$28*0.15,0)+IF(AND(Personnel!$E$29&gt;=2,Personnel!$E$29=71,Personnel!$G$29="Yes"),Personnel!$C$29*0.15,0)+IF(AND(Personnel!$E$30&gt;=2,Personnel!$E$30=71,Personnel!$G$30="Yes"),Personnel!$C$30*0.15,0)+IF(AND(Personnel!$E$31&gt;=2,Personnel!$E$31=71,Personnel!$G$31="Yes"),Personnel!$C$31*0.15,0)+IF(AND(Personnel!$E$32&gt;=2,Personnel!$E$32=71,Personnel!$G$32="Yes"),Personnel!$C$32*0.15,0)+IF(AND(Personnel!$E$33&gt;=2,Personnel!$E$33=71,Personnel!$G$33="Yes"),Personnel!$C$33*0.15,0)),Actuals!BX40)</f>
        <v>0</v>
      </c>
      <c r="BY43" s="3">
        <f>IF(ISBLANK(Actuals!BY40),-(IF(AND(Personnel!$E$2&gt;=2,Personnel!$E$2=72,Personnel!$G$2="Yes"),Personnel!$C$2*0.15,0)+IF(AND(Personnel!$E$3&gt;=2,Personnel!$E$3=72,Personnel!$G$3="Yes"),Personnel!$C$3*0.15,0)+IF(AND(Personnel!$E$4&gt;=2,Personnel!$E$4=72,Personnel!$G$4="Yes"),Personnel!$C$4*0.15,0)+IF(AND(Personnel!$E$5&gt;=2,Personnel!$E$5=72,Personnel!$G$5="Yes"),Personnel!$C$5*0.15,0)+IF(AND(Personnel!$E$6&gt;=2,Personnel!$E$6=72,Personnel!$G$6="Yes"),Personnel!$C$6*0.15,0)+IF(AND(Personnel!$E$7&gt;=2,Personnel!$E$7=72,Personnel!$G$7="Yes"),Personnel!$C$7*0.15,0)+IF(AND(Personnel!$E$8&gt;=2,Personnel!$E$8=72,Personnel!$G$8="Yes"),Personnel!$C$8*0.15,0)+IF(AND(Personnel!$E$9&gt;=2,Personnel!$E$9=72,Personnel!$G$9="Yes"),Personnel!$C$9*0.15,0)+IF(AND(Personnel!$E$10&gt;=2,Personnel!$E$10=72,Personnel!$G$10="Yes"),Personnel!$C$10*0.15,0)+IF(AND(Personnel!$E$11&gt;=2,Personnel!$E$11=72,Personnel!$G$11="Yes"),Personnel!$C$11*0.15,0)+IF(AND(Personnel!$E$12&gt;=2,Personnel!$E$12=72,Personnel!$G$12="Yes"),Personnel!$C$12*0.15,0)+IF(AND(Personnel!$E$13&gt;=2,Personnel!$E$13=72,Personnel!$G$13="Yes"),Personnel!$C$13*0.15,0)+IF(AND(Personnel!$E$14&gt;=2,Personnel!$E$14=72,Personnel!$G$14="Yes"),Personnel!$C$14*0.15,0)+IF(AND(Personnel!$E$15&gt;=2,Personnel!$E$15=72,Personnel!$G$15="Yes"),Personnel!$C$15*0.15,0)+IF(AND(Personnel!$E$16&gt;=2,Personnel!$E$16=72,Personnel!$G$16="Yes"),Personnel!$C$16*0.15,0)+IF(AND(Personnel!$E$17&gt;=2,Personnel!$E$17=72,Personnel!$G$17="Yes"),Personnel!$C$17*0.15,0)+IF(AND(Personnel!$E$18&gt;=2,Personnel!$E$18=72,Personnel!$G$18="Yes"),Personnel!$C$18*0.15,0)+IF(AND(Personnel!$E$19&gt;=2,Personnel!$E$19=72,Personnel!$G$19="Yes"),Personnel!$C$19*0.15,0)+IF(AND(Personnel!$E$20&gt;=2,Personnel!$E$20=72,Personnel!$G$20="Yes"),Personnel!$C$20*0.15,0)+IF(AND(Personnel!$E$21&gt;=2,Personnel!$E$21=72,Personnel!$G$21="Yes"),Personnel!$C$21*0.15,0)+IF(AND(Personnel!$E$22&gt;=2,Personnel!$E$22=72,Personnel!$G$22="Yes"),Personnel!$C$22*0.15,0)+IF(AND(Personnel!$E$23&gt;=2,Personnel!$E$23=72,Personnel!$G$23="Yes"),Personnel!$C$23*0.15,0)+IF(AND(Personnel!$E$24&gt;=2,Personnel!$E$24=72,Personnel!$G$24="Yes"),Personnel!$C$24*0.15,0)+IF(AND(Personnel!$E$25&gt;=2,Personnel!$E$25=72,Personnel!$G$25="Yes"),Personnel!$C$25*0.15,0)+IF(AND(Personnel!$E$26&gt;=2,Personnel!$E$26=72,Personnel!$G$26="Yes"),Personnel!$C$26*0.15,0)+IF(AND(Personnel!$E$27&gt;=2,Personnel!$E$27=72,Personnel!$G$27="Yes"),Personnel!$C$27*0.15,0)+IF(AND(Personnel!$E$28&gt;=2,Personnel!$E$28=72,Personnel!$G$28="Yes"),Personnel!$C$28*0.15,0)+IF(AND(Personnel!$E$29&gt;=2,Personnel!$E$29=72,Personnel!$G$29="Yes"),Personnel!$C$29*0.15,0)+IF(AND(Personnel!$E$30&gt;=2,Personnel!$E$30=72,Personnel!$G$30="Yes"),Personnel!$C$30*0.15,0)+IF(AND(Personnel!$E$31&gt;=2,Personnel!$E$31=72,Personnel!$G$31="Yes"),Personnel!$C$31*0.15,0)+IF(AND(Personnel!$E$32&gt;=2,Personnel!$E$32=72,Personnel!$G$32="Yes"),Personnel!$C$32*0.15,0)+IF(AND(Personnel!$E$33&gt;=2,Personnel!$E$33=72,Personnel!$G$33="Yes"),Personnel!$C$33*0.15,0)),Actuals!BY40)</f>
        <v>0</v>
      </c>
      <c r="BZ43" s="3">
        <f>IF(ISBLANK(Actuals!BZ40),-(IF(AND(Personnel!$E$2&gt;=2,Personnel!$E$2=73,Personnel!$G$2="Yes"),Personnel!$C$2*0.15,0)+IF(AND(Personnel!$E$3&gt;=2,Personnel!$E$3=73,Personnel!$G$3="Yes"),Personnel!$C$3*0.15,0)+IF(AND(Personnel!$E$4&gt;=2,Personnel!$E$4=73,Personnel!$G$4="Yes"),Personnel!$C$4*0.15,0)+IF(AND(Personnel!$E$5&gt;=2,Personnel!$E$5=73,Personnel!$G$5="Yes"),Personnel!$C$5*0.15,0)+IF(AND(Personnel!$E$6&gt;=2,Personnel!$E$6=73,Personnel!$G$6="Yes"),Personnel!$C$6*0.15,0)+IF(AND(Personnel!$E$7&gt;=2,Personnel!$E$7=73,Personnel!$G$7="Yes"),Personnel!$C$7*0.15,0)+IF(AND(Personnel!$E$8&gt;=2,Personnel!$E$8=73,Personnel!$G$8="Yes"),Personnel!$C$8*0.15,0)+IF(AND(Personnel!$E$9&gt;=2,Personnel!$E$9=73,Personnel!$G$9="Yes"),Personnel!$C$9*0.15,0)+IF(AND(Personnel!$E$10&gt;=2,Personnel!$E$10=73,Personnel!$G$10="Yes"),Personnel!$C$10*0.15,0)+IF(AND(Personnel!$E$11&gt;=2,Personnel!$E$11=73,Personnel!$G$11="Yes"),Personnel!$C$11*0.15,0)+IF(AND(Personnel!$E$12&gt;=2,Personnel!$E$12=73,Personnel!$G$12="Yes"),Personnel!$C$12*0.15,0)+IF(AND(Personnel!$E$13&gt;=2,Personnel!$E$13=73,Personnel!$G$13="Yes"),Personnel!$C$13*0.15,0)+IF(AND(Personnel!$E$14&gt;=2,Personnel!$E$14=73,Personnel!$G$14="Yes"),Personnel!$C$14*0.15,0)+IF(AND(Personnel!$E$15&gt;=2,Personnel!$E$15=73,Personnel!$G$15="Yes"),Personnel!$C$15*0.15,0)+IF(AND(Personnel!$E$16&gt;=2,Personnel!$E$16=73,Personnel!$G$16="Yes"),Personnel!$C$16*0.15,0)+IF(AND(Personnel!$E$17&gt;=2,Personnel!$E$17=73,Personnel!$G$17="Yes"),Personnel!$C$17*0.15,0)+IF(AND(Personnel!$E$18&gt;=2,Personnel!$E$18=73,Personnel!$G$18="Yes"),Personnel!$C$18*0.15,0)+IF(AND(Personnel!$E$19&gt;=2,Personnel!$E$19=73,Personnel!$G$19="Yes"),Personnel!$C$19*0.15,0)+IF(AND(Personnel!$E$20&gt;=2,Personnel!$E$20=73,Personnel!$G$20="Yes"),Personnel!$C$20*0.15,0)+IF(AND(Personnel!$E$21&gt;=2,Personnel!$E$21=73,Personnel!$G$21="Yes"),Personnel!$C$21*0.15,0)+IF(AND(Personnel!$E$22&gt;=2,Personnel!$E$22=73,Personnel!$G$22="Yes"),Personnel!$C$22*0.15,0)+IF(AND(Personnel!$E$23&gt;=2,Personnel!$E$23=73,Personnel!$G$23="Yes"),Personnel!$C$23*0.15,0)+IF(AND(Personnel!$E$24&gt;=2,Personnel!$E$24=73,Personnel!$G$24="Yes"),Personnel!$C$24*0.15,0)+IF(AND(Personnel!$E$25&gt;=2,Personnel!$E$25=73,Personnel!$G$25="Yes"),Personnel!$C$25*0.15,0)+IF(AND(Personnel!$E$26&gt;=2,Personnel!$E$26=73,Personnel!$G$26="Yes"),Personnel!$C$26*0.15,0)+IF(AND(Personnel!$E$27&gt;=2,Personnel!$E$27=73,Personnel!$G$27="Yes"),Personnel!$C$27*0.15,0)+IF(AND(Personnel!$E$28&gt;=2,Personnel!$E$28=73,Personnel!$G$28="Yes"),Personnel!$C$28*0.15,0)+IF(AND(Personnel!$E$29&gt;=2,Personnel!$E$29=73,Personnel!$G$29="Yes"),Personnel!$C$29*0.15,0)+IF(AND(Personnel!$E$30&gt;=2,Personnel!$E$30=73,Personnel!$G$30="Yes"),Personnel!$C$30*0.15,0)+IF(AND(Personnel!$E$31&gt;=2,Personnel!$E$31=73,Personnel!$G$31="Yes"),Personnel!$C$31*0.15,0)+IF(AND(Personnel!$E$32&gt;=2,Personnel!$E$32=73,Personnel!$G$32="Yes"),Personnel!$C$32*0.15,0)+IF(AND(Personnel!$E$33&gt;=2,Personnel!$E$33=73,Personnel!$G$33="Yes"),Personnel!$C$33*0.15,0)),Actuals!BZ40)</f>
        <v>0</v>
      </c>
      <c r="CA43" s="3">
        <f>IF(ISBLANK(Actuals!CA40),-(IF(AND(Personnel!$E$2&gt;=2,Personnel!$E$2=74,Personnel!$G$2="Yes"),Personnel!$C$2*0.15,0)+IF(AND(Personnel!$E$3&gt;=2,Personnel!$E$3=74,Personnel!$G$3="Yes"),Personnel!$C$3*0.15,0)+IF(AND(Personnel!$E$4&gt;=2,Personnel!$E$4=74,Personnel!$G$4="Yes"),Personnel!$C$4*0.15,0)+IF(AND(Personnel!$E$5&gt;=2,Personnel!$E$5=74,Personnel!$G$5="Yes"),Personnel!$C$5*0.15,0)+IF(AND(Personnel!$E$6&gt;=2,Personnel!$E$6=74,Personnel!$G$6="Yes"),Personnel!$C$6*0.15,0)+IF(AND(Personnel!$E$7&gt;=2,Personnel!$E$7=74,Personnel!$G$7="Yes"),Personnel!$C$7*0.15,0)+IF(AND(Personnel!$E$8&gt;=2,Personnel!$E$8=74,Personnel!$G$8="Yes"),Personnel!$C$8*0.15,0)+IF(AND(Personnel!$E$9&gt;=2,Personnel!$E$9=74,Personnel!$G$9="Yes"),Personnel!$C$9*0.15,0)+IF(AND(Personnel!$E$10&gt;=2,Personnel!$E$10=74,Personnel!$G$10="Yes"),Personnel!$C$10*0.15,0)+IF(AND(Personnel!$E$11&gt;=2,Personnel!$E$11=74,Personnel!$G$11="Yes"),Personnel!$C$11*0.15,0)+IF(AND(Personnel!$E$12&gt;=2,Personnel!$E$12=74,Personnel!$G$12="Yes"),Personnel!$C$12*0.15,0)+IF(AND(Personnel!$E$13&gt;=2,Personnel!$E$13=74,Personnel!$G$13="Yes"),Personnel!$C$13*0.15,0)+IF(AND(Personnel!$E$14&gt;=2,Personnel!$E$14=74,Personnel!$G$14="Yes"),Personnel!$C$14*0.15,0)+IF(AND(Personnel!$E$15&gt;=2,Personnel!$E$15=74,Personnel!$G$15="Yes"),Personnel!$C$15*0.15,0)+IF(AND(Personnel!$E$16&gt;=2,Personnel!$E$16=74,Personnel!$G$16="Yes"),Personnel!$C$16*0.15,0)+IF(AND(Personnel!$E$17&gt;=2,Personnel!$E$17=74,Personnel!$G$17="Yes"),Personnel!$C$17*0.15,0)+IF(AND(Personnel!$E$18&gt;=2,Personnel!$E$18=74,Personnel!$G$18="Yes"),Personnel!$C$18*0.15,0)+IF(AND(Personnel!$E$19&gt;=2,Personnel!$E$19=74,Personnel!$G$19="Yes"),Personnel!$C$19*0.15,0)+IF(AND(Personnel!$E$20&gt;=2,Personnel!$E$20=74,Personnel!$G$20="Yes"),Personnel!$C$20*0.15,0)+IF(AND(Personnel!$E$21&gt;=2,Personnel!$E$21=74,Personnel!$G$21="Yes"),Personnel!$C$21*0.15,0)+IF(AND(Personnel!$E$22&gt;=2,Personnel!$E$22=74,Personnel!$G$22="Yes"),Personnel!$C$22*0.15,0)+IF(AND(Personnel!$E$23&gt;=2,Personnel!$E$23=74,Personnel!$G$23="Yes"),Personnel!$C$23*0.15,0)+IF(AND(Personnel!$E$24&gt;=2,Personnel!$E$24=74,Personnel!$G$24="Yes"),Personnel!$C$24*0.15,0)+IF(AND(Personnel!$E$25&gt;=2,Personnel!$E$25=74,Personnel!$G$25="Yes"),Personnel!$C$25*0.15,0)+IF(AND(Personnel!$E$26&gt;=2,Personnel!$E$26=74,Personnel!$G$26="Yes"),Personnel!$C$26*0.15,0)+IF(AND(Personnel!$E$27&gt;=2,Personnel!$E$27=74,Personnel!$G$27="Yes"),Personnel!$C$27*0.15,0)+IF(AND(Personnel!$E$28&gt;=2,Personnel!$E$28=74,Personnel!$G$28="Yes"),Personnel!$C$28*0.15,0)+IF(AND(Personnel!$E$29&gt;=2,Personnel!$E$29=74,Personnel!$G$29="Yes"),Personnel!$C$29*0.15,0)+IF(AND(Personnel!$E$30&gt;=2,Personnel!$E$30=74,Personnel!$G$30="Yes"),Personnel!$C$30*0.15,0)+IF(AND(Personnel!$E$31&gt;=2,Personnel!$E$31=74,Personnel!$G$31="Yes"),Personnel!$C$31*0.15,0)+IF(AND(Personnel!$E$32&gt;=2,Personnel!$E$32=74,Personnel!$G$32="Yes"),Personnel!$C$32*0.15,0)+IF(AND(Personnel!$E$33&gt;=2,Personnel!$E$33=74,Personnel!$G$33="Yes"),Personnel!$C$33*0.15,0)),Actuals!CA40)</f>
        <v>0</v>
      </c>
      <c r="CB43" s="3">
        <f>IF(ISBLANK(Actuals!CB40),-(IF(AND(Personnel!$E$2&gt;=2,Personnel!$E$2=75,Personnel!$G$2="Yes"),Personnel!$C$2*0.15,0)+IF(AND(Personnel!$E$3&gt;=2,Personnel!$E$3=75,Personnel!$G$3="Yes"),Personnel!$C$3*0.15,0)+IF(AND(Personnel!$E$4&gt;=2,Personnel!$E$4=75,Personnel!$G$4="Yes"),Personnel!$C$4*0.15,0)+IF(AND(Personnel!$E$5&gt;=2,Personnel!$E$5=75,Personnel!$G$5="Yes"),Personnel!$C$5*0.15,0)+IF(AND(Personnel!$E$6&gt;=2,Personnel!$E$6=75,Personnel!$G$6="Yes"),Personnel!$C$6*0.15,0)+IF(AND(Personnel!$E$7&gt;=2,Personnel!$E$7=75,Personnel!$G$7="Yes"),Personnel!$C$7*0.15,0)+IF(AND(Personnel!$E$8&gt;=2,Personnel!$E$8=75,Personnel!$G$8="Yes"),Personnel!$C$8*0.15,0)+IF(AND(Personnel!$E$9&gt;=2,Personnel!$E$9=75,Personnel!$G$9="Yes"),Personnel!$C$9*0.15,0)+IF(AND(Personnel!$E$10&gt;=2,Personnel!$E$10=75,Personnel!$G$10="Yes"),Personnel!$C$10*0.15,0)+IF(AND(Personnel!$E$11&gt;=2,Personnel!$E$11=75,Personnel!$G$11="Yes"),Personnel!$C$11*0.15,0)+IF(AND(Personnel!$E$12&gt;=2,Personnel!$E$12=75,Personnel!$G$12="Yes"),Personnel!$C$12*0.15,0)+IF(AND(Personnel!$E$13&gt;=2,Personnel!$E$13=75,Personnel!$G$13="Yes"),Personnel!$C$13*0.15,0)+IF(AND(Personnel!$E$14&gt;=2,Personnel!$E$14=75,Personnel!$G$14="Yes"),Personnel!$C$14*0.15,0)+IF(AND(Personnel!$E$15&gt;=2,Personnel!$E$15=75,Personnel!$G$15="Yes"),Personnel!$C$15*0.15,0)+IF(AND(Personnel!$E$16&gt;=2,Personnel!$E$16=75,Personnel!$G$16="Yes"),Personnel!$C$16*0.15,0)+IF(AND(Personnel!$E$17&gt;=2,Personnel!$E$17=75,Personnel!$G$17="Yes"),Personnel!$C$17*0.15,0)+IF(AND(Personnel!$E$18&gt;=2,Personnel!$E$18=75,Personnel!$G$18="Yes"),Personnel!$C$18*0.15,0)+IF(AND(Personnel!$E$19&gt;=2,Personnel!$E$19=75,Personnel!$G$19="Yes"),Personnel!$C$19*0.15,0)+IF(AND(Personnel!$E$20&gt;=2,Personnel!$E$20=75,Personnel!$G$20="Yes"),Personnel!$C$20*0.15,0)+IF(AND(Personnel!$E$21&gt;=2,Personnel!$E$21=75,Personnel!$G$21="Yes"),Personnel!$C$21*0.15,0)+IF(AND(Personnel!$E$22&gt;=2,Personnel!$E$22=75,Personnel!$G$22="Yes"),Personnel!$C$22*0.15,0)+IF(AND(Personnel!$E$23&gt;=2,Personnel!$E$23=75,Personnel!$G$23="Yes"),Personnel!$C$23*0.15,0)+IF(AND(Personnel!$E$24&gt;=2,Personnel!$E$24=75,Personnel!$G$24="Yes"),Personnel!$C$24*0.15,0)+IF(AND(Personnel!$E$25&gt;=2,Personnel!$E$25=75,Personnel!$G$25="Yes"),Personnel!$C$25*0.15,0)+IF(AND(Personnel!$E$26&gt;=2,Personnel!$E$26=75,Personnel!$G$26="Yes"),Personnel!$C$26*0.15,0)+IF(AND(Personnel!$E$27&gt;=2,Personnel!$E$27=75,Personnel!$G$27="Yes"),Personnel!$C$27*0.15,0)+IF(AND(Personnel!$E$28&gt;=2,Personnel!$E$28=75,Personnel!$G$28="Yes"),Personnel!$C$28*0.15,0)+IF(AND(Personnel!$E$29&gt;=2,Personnel!$E$29=75,Personnel!$G$29="Yes"),Personnel!$C$29*0.15,0)+IF(AND(Personnel!$E$30&gt;=2,Personnel!$E$30=75,Personnel!$G$30="Yes"),Personnel!$C$30*0.15,0)+IF(AND(Personnel!$E$31&gt;=2,Personnel!$E$31=75,Personnel!$G$31="Yes"),Personnel!$C$31*0.15,0)+IF(AND(Personnel!$E$32&gt;=2,Personnel!$E$32=75,Personnel!$G$32="Yes"),Personnel!$C$32*0.15,0)+IF(AND(Personnel!$E$33&gt;=2,Personnel!$E$33=75,Personnel!$G$33="Yes"),Personnel!$C$33*0.15,0)),Actuals!CB40)</f>
        <v>0</v>
      </c>
      <c r="CC43" s="3">
        <f>IF(ISBLANK(Actuals!CC40),-(IF(AND(Personnel!$E$2&gt;=2,Personnel!$E$2=76,Personnel!$G$2="Yes"),Personnel!$C$2*0.15,0)+IF(AND(Personnel!$E$3&gt;=2,Personnel!$E$3=76,Personnel!$G$3="Yes"),Personnel!$C$3*0.15,0)+IF(AND(Personnel!$E$4&gt;=2,Personnel!$E$4=76,Personnel!$G$4="Yes"),Personnel!$C$4*0.15,0)+IF(AND(Personnel!$E$5&gt;=2,Personnel!$E$5=76,Personnel!$G$5="Yes"),Personnel!$C$5*0.15,0)+IF(AND(Personnel!$E$6&gt;=2,Personnel!$E$6=76,Personnel!$G$6="Yes"),Personnel!$C$6*0.15,0)+IF(AND(Personnel!$E$7&gt;=2,Personnel!$E$7=76,Personnel!$G$7="Yes"),Personnel!$C$7*0.15,0)+IF(AND(Personnel!$E$8&gt;=2,Personnel!$E$8=76,Personnel!$G$8="Yes"),Personnel!$C$8*0.15,0)+IF(AND(Personnel!$E$9&gt;=2,Personnel!$E$9=76,Personnel!$G$9="Yes"),Personnel!$C$9*0.15,0)+IF(AND(Personnel!$E$10&gt;=2,Personnel!$E$10=76,Personnel!$G$10="Yes"),Personnel!$C$10*0.15,0)+IF(AND(Personnel!$E$11&gt;=2,Personnel!$E$11=76,Personnel!$G$11="Yes"),Personnel!$C$11*0.15,0)+IF(AND(Personnel!$E$12&gt;=2,Personnel!$E$12=76,Personnel!$G$12="Yes"),Personnel!$C$12*0.15,0)+IF(AND(Personnel!$E$13&gt;=2,Personnel!$E$13=76,Personnel!$G$13="Yes"),Personnel!$C$13*0.15,0)+IF(AND(Personnel!$E$14&gt;=2,Personnel!$E$14=76,Personnel!$G$14="Yes"),Personnel!$C$14*0.15,0)+IF(AND(Personnel!$E$15&gt;=2,Personnel!$E$15=76,Personnel!$G$15="Yes"),Personnel!$C$15*0.15,0)+IF(AND(Personnel!$E$16&gt;=2,Personnel!$E$16=76,Personnel!$G$16="Yes"),Personnel!$C$16*0.15,0)+IF(AND(Personnel!$E$17&gt;=2,Personnel!$E$17=76,Personnel!$G$17="Yes"),Personnel!$C$17*0.15,0)+IF(AND(Personnel!$E$18&gt;=2,Personnel!$E$18=76,Personnel!$G$18="Yes"),Personnel!$C$18*0.15,0)+IF(AND(Personnel!$E$19&gt;=2,Personnel!$E$19=76,Personnel!$G$19="Yes"),Personnel!$C$19*0.15,0)+IF(AND(Personnel!$E$20&gt;=2,Personnel!$E$20=76,Personnel!$G$20="Yes"),Personnel!$C$20*0.15,0)+IF(AND(Personnel!$E$21&gt;=2,Personnel!$E$21=76,Personnel!$G$21="Yes"),Personnel!$C$21*0.15,0)+IF(AND(Personnel!$E$22&gt;=2,Personnel!$E$22=76,Personnel!$G$22="Yes"),Personnel!$C$22*0.15,0)+IF(AND(Personnel!$E$23&gt;=2,Personnel!$E$23=76,Personnel!$G$23="Yes"),Personnel!$C$23*0.15,0)+IF(AND(Personnel!$E$24&gt;=2,Personnel!$E$24=76,Personnel!$G$24="Yes"),Personnel!$C$24*0.15,0)+IF(AND(Personnel!$E$25&gt;=2,Personnel!$E$25=76,Personnel!$G$25="Yes"),Personnel!$C$25*0.15,0)+IF(AND(Personnel!$E$26&gt;=2,Personnel!$E$26=76,Personnel!$G$26="Yes"),Personnel!$C$26*0.15,0)+IF(AND(Personnel!$E$27&gt;=2,Personnel!$E$27=76,Personnel!$G$27="Yes"),Personnel!$C$27*0.15,0)+IF(AND(Personnel!$E$28&gt;=2,Personnel!$E$28=76,Personnel!$G$28="Yes"),Personnel!$C$28*0.15,0)+IF(AND(Personnel!$E$29&gt;=2,Personnel!$E$29=76,Personnel!$G$29="Yes"),Personnel!$C$29*0.15,0)+IF(AND(Personnel!$E$30&gt;=2,Personnel!$E$30=76,Personnel!$G$30="Yes"),Personnel!$C$30*0.15,0)+IF(AND(Personnel!$E$31&gt;=2,Personnel!$E$31=76,Personnel!$G$31="Yes"),Personnel!$C$31*0.15,0)+IF(AND(Personnel!$E$32&gt;=2,Personnel!$E$32=76,Personnel!$G$32="Yes"),Personnel!$C$32*0.15,0)+IF(AND(Personnel!$E$33&gt;=2,Personnel!$E$33=76,Personnel!$G$33="Yes"),Personnel!$C$33*0.15,0)),Actuals!CC40)</f>
        <v>0</v>
      </c>
      <c r="CD43" s="3">
        <f>IF(ISBLANK(Actuals!CD40),-(IF(AND(Personnel!$E$2&gt;=2,Personnel!$E$2=77,Personnel!$G$2="Yes"),Personnel!$C$2*0.15,0)+IF(AND(Personnel!$E$3&gt;=2,Personnel!$E$3=77,Personnel!$G$3="Yes"),Personnel!$C$3*0.15,0)+IF(AND(Personnel!$E$4&gt;=2,Personnel!$E$4=77,Personnel!$G$4="Yes"),Personnel!$C$4*0.15,0)+IF(AND(Personnel!$E$5&gt;=2,Personnel!$E$5=77,Personnel!$G$5="Yes"),Personnel!$C$5*0.15,0)+IF(AND(Personnel!$E$6&gt;=2,Personnel!$E$6=77,Personnel!$G$6="Yes"),Personnel!$C$6*0.15,0)+IF(AND(Personnel!$E$7&gt;=2,Personnel!$E$7=77,Personnel!$G$7="Yes"),Personnel!$C$7*0.15,0)+IF(AND(Personnel!$E$8&gt;=2,Personnel!$E$8=77,Personnel!$G$8="Yes"),Personnel!$C$8*0.15,0)+IF(AND(Personnel!$E$9&gt;=2,Personnel!$E$9=77,Personnel!$G$9="Yes"),Personnel!$C$9*0.15,0)+IF(AND(Personnel!$E$10&gt;=2,Personnel!$E$10=77,Personnel!$G$10="Yes"),Personnel!$C$10*0.15,0)+IF(AND(Personnel!$E$11&gt;=2,Personnel!$E$11=77,Personnel!$G$11="Yes"),Personnel!$C$11*0.15,0)+IF(AND(Personnel!$E$12&gt;=2,Personnel!$E$12=77,Personnel!$G$12="Yes"),Personnel!$C$12*0.15,0)+IF(AND(Personnel!$E$13&gt;=2,Personnel!$E$13=77,Personnel!$G$13="Yes"),Personnel!$C$13*0.15,0)+IF(AND(Personnel!$E$14&gt;=2,Personnel!$E$14=77,Personnel!$G$14="Yes"),Personnel!$C$14*0.15,0)+IF(AND(Personnel!$E$15&gt;=2,Personnel!$E$15=77,Personnel!$G$15="Yes"),Personnel!$C$15*0.15,0)+IF(AND(Personnel!$E$16&gt;=2,Personnel!$E$16=77,Personnel!$G$16="Yes"),Personnel!$C$16*0.15,0)+IF(AND(Personnel!$E$17&gt;=2,Personnel!$E$17=77,Personnel!$G$17="Yes"),Personnel!$C$17*0.15,0)+IF(AND(Personnel!$E$18&gt;=2,Personnel!$E$18=77,Personnel!$G$18="Yes"),Personnel!$C$18*0.15,0)+IF(AND(Personnel!$E$19&gt;=2,Personnel!$E$19=77,Personnel!$G$19="Yes"),Personnel!$C$19*0.15,0)+IF(AND(Personnel!$E$20&gt;=2,Personnel!$E$20=77,Personnel!$G$20="Yes"),Personnel!$C$20*0.15,0)+IF(AND(Personnel!$E$21&gt;=2,Personnel!$E$21=77,Personnel!$G$21="Yes"),Personnel!$C$21*0.15,0)+IF(AND(Personnel!$E$22&gt;=2,Personnel!$E$22=77,Personnel!$G$22="Yes"),Personnel!$C$22*0.15,0)+IF(AND(Personnel!$E$23&gt;=2,Personnel!$E$23=77,Personnel!$G$23="Yes"),Personnel!$C$23*0.15,0)+IF(AND(Personnel!$E$24&gt;=2,Personnel!$E$24=77,Personnel!$G$24="Yes"),Personnel!$C$24*0.15,0)+IF(AND(Personnel!$E$25&gt;=2,Personnel!$E$25=77,Personnel!$G$25="Yes"),Personnel!$C$25*0.15,0)+IF(AND(Personnel!$E$26&gt;=2,Personnel!$E$26=77,Personnel!$G$26="Yes"),Personnel!$C$26*0.15,0)+IF(AND(Personnel!$E$27&gt;=2,Personnel!$E$27=77,Personnel!$G$27="Yes"),Personnel!$C$27*0.15,0)+IF(AND(Personnel!$E$28&gt;=2,Personnel!$E$28=77,Personnel!$G$28="Yes"),Personnel!$C$28*0.15,0)+IF(AND(Personnel!$E$29&gt;=2,Personnel!$E$29=77,Personnel!$G$29="Yes"),Personnel!$C$29*0.15,0)+IF(AND(Personnel!$E$30&gt;=2,Personnel!$E$30=77,Personnel!$G$30="Yes"),Personnel!$C$30*0.15,0)+IF(AND(Personnel!$E$31&gt;=2,Personnel!$E$31=77,Personnel!$G$31="Yes"),Personnel!$C$31*0.15,0)+IF(AND(Personnel!$E$32&gt;=2,Personnel!$E$32=77,Personnel!$G$32="Yes"),Personnel!$C$32*0.15,0)+IF(AND(Personnel!$E$33&gt;=2,Personnel!$E$33=77,Personnel!$G$33="Yes"),Personnel!$C$33*0.15,0)),Actuals!CD40)</f>
        <v>0</v>
      </c>
      <c r="CE43" s="3">
        <f>IF(ISBLANK(Actuals!CE40),-(IF(AND(Personnel!$E$2&gt;=2,Personnel!$E$2=78,Personnel!$G$2="Yes"),Personnel!$C$2*0.15,0)+IF(AND(Personnel!$E$3&gt;=2,Personnel!$E$3=78,Personnel!$G$3="Yes"),Personnel!$C$3*0.15,0)+IF(AND(Personnel!$E$4&gt;=2,Personnel!$E$4=78,Personnel!$G$4="Yes"),Personnel!$C$4*0.15,0)+IF(AND(Personnel!$E$5&gt;=2,Personnel!$E$5=78,Personnel!$G$5="Yes"),Personnel!$C$5*0.15,0)+IF(AND(Personnel!$E$6&gt;=2,Personnel!$E$6=78,Personnel!$G$6="Yes"),Personnel!$C$6*0.15,0)+IF(AND(Personnel!$E$7&gt;=2,Personnel!$E$7=78,Personnel!$G$7="Yes"),Personnel!$C$7*0.15,0)+IF(AND(Personnel!$E$8&gt;=2,Personnel!$E$8=78,Personnel!$G$8="Yes"),Personnel!$C$8*0.15,0)+IF(AND(Personnel!$E$9&gt;=2,Personnel!$E$9=78,Personnel!$G$9="Yes"),Personnel!$C$9*0.15,0)+IF(AND(Personnel!$E$10&gt;=2,Personnel!$E$10=78,Personnel!$G$10="Yes"),Personnel!$C$10*0.15,0)+IF(AND(Personnel!$E$11&gt;=2,Personnel!$E$11=78,Personnel!$G$11="Yes"),Personnel!$C$11*0.15,0)+IF(AND(Personnel!$E$12&gt;=2,Personnel!$E$12=78,Personnel!$G$12="Yes"),Personnel!$C$12*0.15,0)+IF(AND(Personnel!$E$13&gt;=2,Personnel!$E$13=78,Personnel!$G$13="Yes"),Personnel!$C$13*0.15,0)+IF(AND(Personnel!$E$14&gt;=2,Personnel!$E$14=78,Personnel!$G$14="Yes"),Personnel!$C$14*0.15,0)+IF(AND(Personnel!$E$15&gt;=2,Personnel!$E$15=78,Personnel!$G$15="Yes"),Personnel!$C$15*0.15,0)+IF(AND(Personnel!$E$16&gt;=2,Personnel!$E$16=78,Personnel!$G$16="Yes"),Personnel!$C$16*0.15,0)+IF(AND(Personnel!$E$17&gt;=2,Personnel!$E$17=78,Personnel!$G$17="Yes"),Personnel!$C$17*0.15,0)+IF(AND(Personnel!$E$18&gt;=2,Personnel!$E$18=78,Personnel!$G$18="Yes"),Personnel!$C$18*0.15,0)+IF(AND(Personnel!$E$19&gt;=2,Personnel!$E$19=78,Personnel!$G$19="Yes"),Personnel!$C$19*0.15,0)+IF(AND(Personnel!$E$20&gt;=2,Personnel!$E$20=78,Personnel!$G$20="Yes"),Personnel!$C$20*0.15,0)+IF(AND(Personnel!$E$21&gt;=2,Personnel!$E$21=78,Personnel!$G$21="Yes"),Personnel!$C$21*0.15,0)+IF(AND(Personnel!$E$22&gt;=2,Personnel!$E$22=78,Personnel!$G$22="Yes"),Personnel!$C$22*0.15,0)+IF(AND(Personnel!$E$23&gt;=2,Personnel!$E$23=78,Personnel!$G$23="Yes"),Personnel!$C$23*0.15,0)+IF(AND(Personnel!$E$24&gt;=2,Personnel!$E$24=78,Personnel!$G$24="Yes"),Personnel!$C$24*0.15,0)+IF(AND(Personnel!$E$25&gt;=2,Personnel!$E$25=78,Personnel!$G$25="Yes"),Personnel!$C$25*0.15,0)+IF(AND(Personnel!$E$26&gt;=2,Personnel!$E$26=78,Personnel!$G$26="Yes"),Personnel!$C$26*0.15,0)+IF(AND(Personnel!$E$27&gt;=2,Personnel!$E$27=78,Personnel!$G$27="Yes"),Personnel!$C$27*0.15,0)+IF(AND(Personnel!$E$28&gt;=2,Personnel!$E$28=78,Personnel!$G$28="Yes"),Personnel!$C$28*0.15,0)+IF(AND(Personnel!$E$29&gt;=2,Personnel!$E$29=78,Personnel!$G$29="Yes"),Personnel!$C$29*0.15,0)+IF(AND(Personnel!$E$30&gt;=2,Personnel!$E$30=78,Personnel!$G$30="Yes"),Personnel!$C$30*0.15,0)+IF(AND(Personnel!$E$31&gt;=2,Personnel!$E$31=78,Personnel!$G$31="Yes"),Personnel!$C$31*0.15,0)+IF(AND(Personnel!$E$32&gt;=2,Personnel!$E$32=78,Personnel!$G$32="Yes"),Personnel!$C$32*0.15,0)+IF(AND(Personnel!$E$33&gt;=2,Personnel!$E$33=78,Personnel!$G$33="Yes"),Personnel!$C$33*0.15,0)),Actuals!CE40)</f>
        <v>0</v>
      </c>
      <c r="CF43" s="3">
        <f>IF(ISBLANK(Actuals!CF40),-(IF(AND(Personnel!$E$2&gt;=2,Personnel!$E$2=79,Personnel!$G$2="Yes"),Personnel!$C$2*0.15,0)+IF(AND(Personnel!$E$3&gt;=2,Personnel!$E$3=79,Personnel!$G$3="Yes"),Personnel!$C$3*0.15,0)+IF(AND(Personnel!$E$4&gt;=2,Personnel!$E$4=79,Personnel!$G$4="Yes"),Personnel!$C$4*0.15,0)+IF(AND(Personnel!$E$5&gt;=2,Personnel!$E$5=79,Personnel!$G$5="Yes"),Personnel!$C$5*0.15,0)+IF(AND(Personnel!$E$6&gt;=2,Personnel!$E$6=79,Personnel!$G$6="Yes"),Personnel!$C$6*0.15,0)+IF(AND(Personnel!$E$7&gt;=2,Personnel!$E$7=79,Personnel!$G$7="Yes"),Personnel!$C$7*0.15,0)+IF(AND(Personnel!$E$8&gt;=2,Personnel!$E$8=79,Personnel!$G$8="Yes"),Personnel!$C$8*0.15,0)+IF(AND(Personnel!$E$9&gt;=2,Personnel!$E$9=79,Personnel!$G$9="Yes"),Personnel!$C$9*0.15,0)+IF(AND(Personnel!$E$10&gt;=2,Personnel!$E$10=79,Personnel!$G$10="Yes"),Personnel!$C$10*0.15,0)+IF(AND(Personnel!$E$11&gt;=2,Personnel!$E$11=79,Personnel!$G$11="Yes"),Personnel!$C$11*0.15,0)+IF(AND(Personnel!$E$12&gt;=2,Personnel!$E$12=79,Personnel!$G$12="Yes"),Personnel!$C$12*0.15,0)+IF(AND(Personnel!$E$13&gt;=2,Personnel!$E$13=79,Personnel!$G$13="Yes"),Personnel!$C$13*0.15,0)+IF(AND(Personnel!$E$14&gt;=2,Personnel!$E$14=79,Personnel!$G$14="Yes"),Personnel!$C$14*0.15,0)+IF(AND(Personnel!$E$15&gt;=2,Personnel!$E$15=79,Personnel!$G$15="Yes"),Personnel!$C$15*0.15,0)+IF(AND(Personnel!$E$16&gt;=2,Personnel!$E$16=79,Personnel!$G$16="Yes"),Personnel!$C$16*0.15,0)+IF(AND(Personnel!$E$17&gt;=2,Personnel!$E$17=79,Personnel!$G$17="Yes"),Personnel!$C$17*0.15,0)+IF(AND(Personnel!$E$18&gt;=2,Personnel!$E$18=79,Personnel!$G$18="Yes"),Personnel!$C$18*0.15,0)+IF(AND(Personnel!$E$19&gt;=2,Personnel!$E$19=79,Personnel!$G$19="Yes"),Personnel!$C$19*0.15,0)+IF(AND(Personnel!$E$20&gt;=2,Personnel!$E$20=79,Personnel!$G$20="Yes"),Personnel!$C$20*0.15,0)+IF(AND(Personnel!$E$21&gt;=2,Personnel!$E$21=79,Personnel!$G$21="Yes"),Personnel!$C$21*0.15,0)+IF(AND(Personnel!$E$22&gt;=2,Personnel!$E$22=79,Personnel!$G$22="Yes"),Personnel!$C$22*0.15,0)+IF(AND(Personnel!$E$23&gt;=2,Personnel!$E$23=79,Personnel!$G$23="Yes"),Personnel!$C$23*0.15,0)+IF(AND(Personnel!$E$24&gt;=2,Personnel!$E$24=79,Personnel!$G$24="Yes"),Personnel!$C$24*0.15,0)+IF(AND(Personnel!$E$25&gt;=2,Personnel!$E$25=79,Personnel!$G$25="Yes"),Personnel!$C$25*0.15,0)+IF(AND(Personnel!$E$26&gt;=2,Personnel!$E$26=79,Personnel!$G$26="Yes"),Personnel!$C$26*0.15,0)+IF(AND(Personnel!$E$27&gt;=2,Personnel!$E$27=79,Personnel!$G$27="Yes"),Personnel!$C$27*0.15,0)+IF(AND(Personnel!$E$28&gt;=2,Personnel!$E$28=79,Personnel!$G$28="Yes"),Personnel!$C$28*0.15,0)+IF(AND(Personnel!$E$29&gt;=2,Personnel!$E$29=79,Personnel!$G$29="Yes"),Personnel!$C$29*0.15,0)+IF(AND(Personnel!$E$30&gt;=2,Personnel!$E$30=79,Personnel!$G$30="Yes"),Personnel!$C$30*0.15,0)+IF(AND(Personnel!$E$31&gt;=2,Personnel!$E$31=79,Personnel!$G$31="Yes"),Personnel!$C$31*0.15,0)+IF(AND(Personnel!$E$32&gt;=2,Personnel!$E$32=79,Personnel!$G$32="Yes"),Personnel!$C$32*0.15,0)+IF(AND(Personnel!$E$33&gt;=2,Personnel!$E$33=79,Personnel!$G$33="Yes"),Personnel!$C$33*0.15,0)),Actuals!CF40)</f>
        <v>0</v>
      </c>
      <c r="CG43" s="3">
        <f>IF(ISBLANK(Actuals!CG40),-(IF(AND(Personnel!$E$2&gt;=2,Personnel!$E$2=80,Personnel!$G$2="Yes"),Personnel!$C$2*0.15,0)+IF(AND(Personnel!$E$3&gt;=2,Personnel!$E$3=80,Personnel!$G$3="Yes"),Personnel!$C$3*0.15,0)+IF(AND(Personnel!$E$4&gt;=2,Personnel!$E$4=80,Personnel!$G$4="Yes"),Personnel!$C$4*0.15,0)+IF(AND(Personnel!$E$5&gt;=2,Personnel!$E$5=80,Personnel!$G$5="Yes"),Personnel!$C$5*0.15,0)+IF(AND(Personnel!$E$6&gt;=2,Personnel!$E$6=80,Personnel!$G$6="Yes"),Personnel!$C$6*0.15,0)+IF(AND(Personnel!$E$7&gt;=2,Personnel!$E$7=80,Personnel!$G$7="Yes"),Personnel!$C$7*0.15,0)+IF(AND(Personnel!$E$8&gt;=2,Personnel!$E$8=80,Personnel!$G$8="Yes"),Personnel!$C$8*0.15,0)+IF(AND(Personnel!$E$9&gt;=2,Personnel!$E$9=80,Personnel!$G$9="Yes"),Personnel!$C$9*0.15,0)+IF(AND(Personnel!$E$10&gt;=2,Personnel!$E$10=80,Personnel!$G$10="Yes"),Personnel!$C$10*0.15,0)+IF(AND(Personnel!$E$11&gt;=2,Personnel!$E$11=80,Personnel!$G$11="Yes"),Personnel!$C$11*0.15,0)+IF(AND(Personnel!$E$12&gt;=2,Personnel!$E$12=80,Personnel!$G$12="Yes"),Personnel!$C$12*0.15,0)+IF(AND(Personnel!$E$13&gt;=2,Personnel!$E$13=80,Personnel!$G$13="Yes"),Personnel!$C$13*0.15,0)+IF(AND(Personnel!$E$14&gt;=2,Personnel!$E$14=80,Personnel!$G$14="Yes"),Personnel!$C$14*0.15,0)+IF(AND(Personnel!$E$15&gt;=2,Personnel!$E$15=80,Personnel!$G$15="Yes"),Personnel!$C$15*0.15,0)+IF(AND(Personnel!$E$16&gt;=2,Personnel!$E$16=80,Personnel!$G$16="Yes"),Personnel!$C$16*0.15,0)+IF(AND(Personnel!$E$17&gt;=2,Personnel!$E$17=80,Personnel!$G$17="Yes"),Personnel!$C$17*0.15,0)+IF(AND(Personnel!$E$18&gt;=2,Personnel!$E$18=80,Personnel!$G$18="Yes"),Personnel!$C$18*0.15,0)+IF(AND(Personnel!$E$19&gt;=2,Personnel!$E$19=80,Personnel!$G$19="Yes"),Personnel!$C$19*0.15,0)+IF(AND(Personnel!$E$20&gt;=2,Personnel!$E$20=80,Personnel!$G$20="Yes"),Personnel!$C$20*0.15,0)+IF(AND(Personnel!$E$21&gt;=2,Personnel!$E$21=80,Personnel!$G$21="Yes"),Personnel!$C$21*0.15,0)+IF(AND(Personnel!$E$22&gt;=2,Personnel!$E$22=80,Personnel!$G$22="Yes"),Personnel!$C$22*0.15,0)+IF(AND(Personnel!$E$23&gt;=2,Personnel!$E$23=80,Personnel!$G$23="Yes"),Personnel!$C$23*0.15,0)+IF(AND(Personnel!$E$24&gt;=2,Personnel!$E$24=80,Personnel!$G$24="Yes"),Personnel!$C$24*0.15,0)+IF(AND(Personnel!$E$25&gt;=2,Personnel!$E$25=80,Personnel!$G$25="Yes"),Personnel!$C$25*0.15,0)+IF(AND(Personnel!$E$26&gt;=2,Personnel!$E$26=80,Personnel!$G$26="Yes"),Personnel!$C$26*0.15,0)+IF(AND(Personnel!$E$27&gt;=2,Personnel!$E$27=80,Personnel!$G$27="Yes"),Personnel!$C$27*0.15,0)+IF(AND(Personnel!$E$28&gt;=2,Personnel!$E$28=80,Personnel!$G$28="Yes"),Personnel!$C$28*0.15,0)+IF(AND(Personnel!$E$29&gt;=2,Personnel!$E$29=80,Personnel!$G$29="Yes"),Personnel!$C$29*0.15,0)+IF(AND(Personnel!$E$30&gt;=2,Personnel!$E$30=80,Personnel!$G$30="Yes"),Personnel!$C$30*0.15,0)+IF(AND(Personnel!$E$31&gt;=2,Personnel!$E$31=80,Personnel!$G$31="Yes"),Personnel!$C$31*0.15,0)+IF(AND(Personnel!$E$32&gt;=2,Personnel!$E$32=80,Personnel!$G$32="Yes"),Personnel!$C$32*0.15,0)+IF(AND(Personnel!$E$33&gt;=2,Personnel!$E$33=80,Personnel!$G$33="Yes"),Personnel!$C$33*0.15,0)),Actuals!CG40)</f>
        <v>0</v>
      </c>
      <c r="CH43" s="3">
        <f>IF(ISBLANK(Actuals!CH40),-(IF(AND(Personnel!$E$2&gt;=2,Personnel!$E$2=81,Personnel!$G$2="Yes"),Personnel!$C$2*0.15,0)+IF(AND(Personnel!$E$3&gt;=2,Personnel!$E$3=81,Personnel!$G$3="Yes"),Personnel!$C$3*0.15,0)+IF(AND(Personnel!$E$4&gt;=2,Personnel!$E$4=81,Personnel!$G$4="Yes"),Personnel!$C$4*0.15,0)+IF(AND(Personnel!$E$5&gt;=2,Personnel!$E$5=81,Personnel!$G$5="Yes"),Personnel!$C$5*0.15,0)+IF(AND(Personnel!$E$6&gt;=2,Personnel!$E$6=81,Personnel!$G$6="Yes"),Personnel!$C$6*0.15,0)+IF(AND(Personnel!$E$7&gt;=2,Personnel!$E$7=81,Personnel!$G$7="Yes"),Personnel!$C$7*0.15,0)+IF(AND(Personnel!$E$8&gt;=2,Personnel!$E$8=81,Personnel!$G$8="Yes"),Personnel!$C$8*0.15,0)+IF(AND(Personnel!$E$9&gt;=2,Personnel!$E$9=81,Personnel!$G$9="Yes"),Personnel!$C$9*0.15,0)+IF(AND(Personnel!$E$10&gt;=2,Personnel!$E$10=81,Personnel!$G$10="Yes"),Personnel!$C$10*0.15,0)+IF(AND(Personnel!$E$11&gt;=2,Personnel!$E$11=81,Personnel!$G$11="Yes"),Personnel!$C$11*0.15,0)+IF(AND(Personnel!$E$12&gt;=2,Personnel!$E$12=81,Personnel!$G$12="Yes"),Personnel!$C$12*0.15,0)+IF(AND(Personnel!$E$13&gt;=2,Personnel!$E$13=81,Personnel!$G$13="Yes"),Personnel!$C$13*0.15,0)+IF(AND(Personnel!$E$14&gt;=2,Personnel!$E$14=81,Personnel!$G$14="Yes"),Personnel!$C$14*0.15,0)+IF(AND(Personnel!$E$15&gt;=2,Personnel!$E$15=81,Personnel!$G$15="Yes"),Personnel!$C$15*0.15,0)+IF(AND(Personnel!$E$16&gt;=2,Personnel!$E$16=81,Personnel!$G$16="Yes"),Personnel!$C$16*0.15,0)+IF(AND(Personnel!$E$17&gt;=2,Personnel!$E$17=81,Personnel!$G$17="Yes"),Personnel!$C$17*0.15,0)+IF(AND(Personnel!$E$18&gt;=2,Personnel!$E$18=81,Personnel!$G$18="Yes"),Personnel!$C$18*0.15,0)+IF(AND(Personnel!$E$19&gt;=2,Personnel!$E$19=81,Personnel!$G$19="Yes"),Personnel!$C$19*0.15,0)+IF(AND(Personnel!$E$20&gt;=2,Personnel!$E$20=81,Personnel!$G$20="Yes"),Personnel!$C$20*0.15,0)+IF(AND(Personnel!$E$21&gt;=2,Personnel!$E$21=81,Personnel!$G$21="Yes"),Personnel!$C$21*0.15,0)+IF(AND(Personnel!$E$22&gt;=2,Personnel!$E$22=81,Personnel!$G$22="Yes"),Personnel!$C$22*0.15,0)+IF(AND(Personnel!$E$23&gt;=2,Personnel!$E$23=81,Personnel!$G$23="Yes"),Personnel!$C$23*0.15,0)+IF(AND(Personnel!$E$24&gt;=2,Personnel!$E$24=81,Personnel!$G$24="Yes"),Personnel!$C$24*0.15,0)+IF(AND(Personnel!$E$25&gt;=2,Personnel!$E$25=81,Personnel!$G$25="Yes"),Personnel!$C$25*0.15,0)+IF(AND(Personnel!$E$26&gt;=2,Personnel!$E$26=81,Personnel!$G$26="Yes"),Personnel!$C$26*0.15,0)+IF(AND(Personnel!$E$27&gt;=2,Personnel!$E$27=81,Personnel!$G$27="Yes"),Personnel!$C$27*0.15,0)+IF(AND(Personnel!$E$28&gt;=2,Personnel!$E$28=81,Personnel!$G$28="Yes"),Personnel!$C$28*0.15,0)+IF(AND(Personnel!$E$29&gt;=2,Personnel!$E$29=81,Personnel!$G$29="Yes"),Personnel!$C$29*0.15,0)+IF(AND(Personnel!$E$30&gt;=2,Personnel!$E$30=81,Personnel!$G$30="Yes"),Personnel!$C$30*0.15,0)+IF(AND(Personnel!$E$31&gt;=2,Personnel!$E$31=81,Personnel!$G$31="Yes"),Personnel!$C$31*0.15,0)+IF(AND(Personnel!$E$32&gt;=2,Personnel!$E$32=81,Personnel!$G$32="Yes"),Personnel!$C$32*0.15,0)+IF(AND(Personnel!$E$33&gt;=2,Personnel!$E$33=81,Personnel!$G$33="Yes"),Personnel!$C$33*0.15,0)),Actuals!CH40)</f>
        <v>0</v>
      </c>
      <c r="CI43" s="3">
        <f>IF(ISBLANK(Actuals!CI40),-(IF(AND(Personnel!$E$2&gt;=2,Personnel!$E$2=82,Personnel!$G$2="Yes"),Personnel!$C$2*0.15,0)+IF(AND(Personnel!$E$3&gt;=2,Personnel!$E$3=82,Personnel!$G$3="Yes"),Personnel!$C$3*0.15,0)+IF(AND(Personnel!$E$4&gt;=2,Personnel!$E$4=82,Personnel!$G$4="Yes"),Personnel!$C$4*0.15,0)+IF(AND(Personnel!$E$5&gt;=2,Personnel!$E$5=82,Personnel!$G$5="Yes"),Personnel!$C$5*0.15,0)+IF(AND(Personnel!$E$6&gt;=2,Personnel!$E$6=82,Personnel!$G$6="Yes"),Personnel!$C$6*0.15,0)+IF(AND(Personnel!$E$7&gt;=2,Personnel!$E$7=82,Personnel!$G$7="Yes"),Personnel!$C$7*0.15,0)+IF(AND(Personnel!$E$8&gt;=2,Personnel!$E$8=82,Personnel!$G$8="Yes"),Personnel!$C$8*0.15,0)+IF(AND(Personnel!$E$9&gt;=2,Personnel!$E$9=82,Personnel!$G$9="Yes"),Personnel!$C$9*0.15,0)+IF(AND(Personnel!$E$10&gt;=2,Personnel!$E$10=82,Personnel!$G$10="Yes"),Personnel!$C$10*0.15,0)+IF(AND(Personnel!$E$11&gt;=2,Personnel!$E$11=82,Personnel!$G$11="Yes"),Personnel!$C$11*0.15,0)+IF(AND(Personnel!$E$12&gt;=2,Personnel!$E$12=82,Personnel!$G$12="Yes"),Personnel!$C$12*0.15,0)+IF(AND(Personnel!$E$13&gt;=2,Personnel!$E$13=82,Personnel!$G$13="Yes"),Personnel!$C$13*0.15,0)+IF(AND(Personnel!$E$14&gt;=2,Personnel!$E$14=82,Personnel!$G$14="Yes"),Personnel!$C$14*0.15,0)+IF(AND(Personnel!$E$15&gt;=2,Personnel!$E$15=82,Personnel!$G$15="Yes"),Personnel!$C$15*0.15,0)+IF(AND(Personnel!$E$16&gt;=2,Personnel!$E$16=82,Personnel!$G$16="Yes"),Personnel!$C$16*0.15,0)+IF(AND(Personnel!$E$17&gt;=2,Personnel!$E$17=82,Personnel!$G$17="Yes"),Personnel!$C$17*0.15,0)+IF(AND(Personnel!$E$18&gt;=2,Personnel!$E$18=82,Personnel!$G$18="Yes"),Personnel!$C$18*0.15,0)+IF(AND(Personnel!$E$19&gt;=2,Personnel!$E$19=82,Personnel!$G$19="Yes"),Personnel!$C$19*0.15,0)+IF(AND(Personnel!$E$20&gt;=2,Personnel!$E$20=82,Personnel!$G$20="Yes"),Personnel!$C$20*0.15,0)+IF(AND(Personnel!$E$21&gt;=2,Personnel!$E$21=82,Personnel!$G$21="Yes"),Personnel!$C$21*0.15,0)+IF(AND(Personnel!$E$22&gt;=2,Personnel!$E$22=82,Personnel!$G$22="Yes"),Personnel!$C$22*0.15,0)+IF(AND(Personnel!$E$23&gt;=2,Personnel!$E$23=82,Personnel!$G$23="Yes"),Personnel!$C$23*0.15,0)+IF(AND(Personnel!$E$24&gt;=2,Personnel!$E$24=82,Personnel!$G$24="Yes"),Personnel!$C$24*0.15,0)+IF(AND(Personnel!$E$25&gt;=2,Personnel!$E$25=82,Personnel!$G$25="Yes"),Personnel!$C$25*0.15,0)+IF(AND(Personnel!$E$26&gt;=2,Personnel!$E$26=82,Personnel!$G$26="Yes"),Personnel!$C$26*0.15,0)+IF(AND(Personnel!$E$27&gt;=2,Personnel!$E$27=82,Personnel!$G$27="Yes"),Personnel!$C$27*0.15,0)+IF(AND(Personnel!$E$28&gt;=2,Personnel!$E$28=82,Personnel!$G$28="Yes"),Personnel!$C$28*0.15,0)+IF(AND(Personnel!$E$29&gt;=2,Personnel!$E$29=82,Personnel!$G$29="Yes"),Personnel!$C$29*0.15,0)+IF(AND(Personnel!$E$30&gt;=2,Personnel!$E$30=82,Personnel!$G$30="Yes"),Personnel!$C$30*0.15,0)+IF(AND(Personnel!$E$31&gt;=2,Personnel!$E$31=82,Personnel!$G$31="Yes"),Personnel!$C$31*0.15,0)+IF(AND(Personnel!$E$32&gt;=2,Personnel!$E$32=82,Personnel!$G$32="Yes"),Personnel!$C$32*0.15,0)+IF(AND(Personnel!$E$33&gt;=2,Personnel!$E$33=82,Personnel!$G$33="Yes"),Personnel!$C$33*0.15,0)),Actuals!CI40)</f>
        <v>0</v>
      </c>
      <c r="CJ43" s="3">
        <f>IF(ISBLANK(Actuals!CJ40),-(IF(AND(Personnel!$E$2&gt;=2,Personnel!$E$2=83,Personnel!$G$2="Yes"),Personnel!$C$2*0.15,0)+IF(AND(Personnel!$E$3&gt;=2,Personnel!$E$3=83,Personnel!$G$3="Yes"),Personnel!$C$3*0.15,0)+IF(AND(Personnel!$E$4&gt;=2,Personnel!$E$4=83,Personnel!$G$4="Yes"),Personnel!$C$4*0.15,0)+IF(AND(Personnel!$E$5&gt;=2,Personnel!$E$5=83,Personnel!$G$5="Yes"),Personnel!$C$5*0.15,0)+IF(AND(Personnel!$E$6&gt;=2,Personnel!$E$6=83,Personnel!$G$6="Yes"),Personnel!$C$6*0.15,0)+IF(AND(Personnel!$E$7&gt;=2,Personnel!$E$7=83,Personnel!$G$7="Yes"),Personnel!$C$7*0.15,0)+IF(AND(Personnel!$E$8&gt;=2,Personnel!$E$8=83,Personnel!$G$8="Yes"),Personnel!$C$8*0.15,0)+IF(AND(Personnel!$E$9&gt;=2,Personnel!$E$9=83,Personnel!$G$9="Yes"),Personnel!$C$9*0.15,0)+IF(AND(Personnel!$E$10&gt;=2,Personnel!$E$10=83,Personnel!$G$10="Yes"),Personnel!$C$10*0.15,0)+IF(AND(Personnel!$E$11&gt;=2,Personnel!$E$11=83,Personnel!$G$11="Yes"),Personnel!$C$11*0.15,0)+IF(AND(Personnel!$E$12&gt;=2,Personnel!$E$12=83,Personnel!$G$12="Yes"),Personnel!$C$12*0.15,0)+IF(AND(Personnel!$E$13&gt;=2,Personnel!$E$13=83,Personnel!$G$13="Yes"),Personnel!$C$13*0.15,0)+IF(AND(Personnel!$E$14&gt;=2,Personnel!$E$14=83,Personnel!$G$14="Yes"),Personnel!$C$14*0.15,0)+IF(AND(Personnel!$E$15&gt;=2,Personnel!$E$15=83,Personnel!$G$15="Yes"),Personnel!$C$15*0.15,0)+IF(AND(Personnel!$E$16&gt;=2,Personnel!$E$16=83,Personnel!$G$16="Yes"),Personnel!$C$16*0.15,0)+IF(AND(Personnel!$E$17&gt;=2,Personnel!$E$17=83,Personnel!$G$17="Yes"),Personnel!$C$17*0.15,0)+IF(AND(Personnel!$E$18&gt;=2,Personnel!$E$18=83,Personnel!$G$18="Yes"),Personnel!$C$18*0.15,0)+IF(AND(Personnel!$E$19&gt;=2,Personnel!$E$19=83,Personnel!$G$19="Yes"),Personnel!$C$19*0.15,0)+IF(AND(Personnel!$E$20&gt;=2,Personnel!$E$20=83,Personnel!$G$20="Yes"),Personnel!$C$20*0.15,0)+IF(AND(Personnel!$E$21&gt;=2,Personnel!$E$21=83,Personnel!$G$21="Yes"),Personnel!$C$21*0.15,0)+IF(AND(Personnel!$E$22&gt;=2,Personnel!$E$22=83,Personnel!$G$22="Yes"),Personnel!$C$22*0.15,0)+IF(AND(Personnel!$E$23&gt;=2,Personnel!$E$23=83,Personnel!$G$23="Yes"),Personnel!$C$23*0.15,0)+IF(AND(Personnel!$E$24&gt;=2,Personnel!$E$24=83,Personnel!$G$24="Yes"),Personnel!$C$24*0.15,0)+IF(AND(Personnel!$E$25&gt;=2,Personnel!$E$25=83,Personnel!$G$25="Yes"),Personnel!$C$25*0.15,0)+IF(AND(Personnel!$E$26&gt;=2,Personnel!$E$26=83,Personnel!$G$26="Yes"),Personnel!$C$26*0.15,0)+IF(AND(Personnel!$E$27&gt;=2,Personnel!$E$27=83,Personnel!$G$27="Yes"),Personnel!$C$27*0.15,0)+IF(AND(Personnel!$E$28&gt;=2,Personnel!$E$28=83,Personnel!$G$28="Yes"),Personnel!$C$28*0.15,0)+IF(AND(Personnel!$E$29&gt;=2,Personnel!$E$29=83,Personnel!$G$29="Yes"),Personnel!$C$29*0.15,0)+IF(AND(Personnel!$E$30&gt;=2,Personnel!$E$30=83,Personnel!$G$30="Yes"),Personnel!$C$30*0.15,0)+IF(AND(Personnel!$E$31&gt;=2,Personnel!$E$31=83,Personnel!$G$31="Yes"),Personnel!$C$31*0.15,0)+IF(AND(Personnel!$E$32&gt;=2,Personnel!$E$32=83,Personnel!$G$32="Yes"),Personnel!$C$32*0.15,0)+IF(AND(Personnel!$E$33&gt;=2,Personnel!$E$33=83,Personnel!$G$33="Yes"),Personnel!$C$33*0.15,0)),Actuals!CJ40)</f>
        <v>0</v>
      </c>
      <c r="CK43" s="3">
        <f>IF(ISBLANK(Actuals!CK40),-(IF(AND(Personnel!$E$2&gt;=2,Personnel!$E$2=84,Personnel!$G$2="Yes"),Personnel!$C$2*0.15,0)+IF(AND(Personnel!$E$3&gt;=2,Personnel!$E$3=84,Personnel!$G$3="Yes"),Personnel!$C$3*0.15,0)+IF(AND(Personnel!$E$4&gt;=2,Personnel!$E$4=84,Personnel!$G$4="Yes"),Personnel!$C$4*0.15,0)+IF(AND(Personnel!$E$5&gt;=2,Personnel!$E$5=84,Personnel!$G$5="Yes"),Personnel!$C$5*0.15,0)+IF(AND(Personnel!$E$6&gt;=2,Personnel!$E$6=84,Personnel!$G$6="Yes"),Personnel!$C$6*0.15,0)+IF(AND(Personnel!$E$7&gt;=2,Personnel!$E$7=84,Personnel!$G$7="Yes"),Personnel!$C$7*0.15,0)+IF(AND(Personnel!$E$8&gt;=2,Personnel!$E$8=84,Personnel!$G$8="Yes"),Personnel!$C$8*0.15,0)+IF(AND(Personnel!$E$9&gt;=2,Personnel!$E$9=84,Personnel!$G$9="Yes"),Personnel!$C$9*0.15,0)+IF(AND(Personnel!$E$10&gt;=2,Personnel!$E$10=84,Personnel!$G$10="Yes"),Personnel!$C$10*0.15,0)+IF(AND(Personnel!$E$11&gt;=2,Personnel!$E$11=84,Personnel!$G$11="Yes"),Personnel!$C$11*0.15,0)+IF(AND(Personnel!$E$12&gt;=2,Personnel!$E$12=84,Personnel!$G$12="Yes"),Personnel!$C$12*0.15,0)+IF(AND(Personnel!$E$13&gt;=2,Personnel!$E$13=84,Personnel!$G$13="Yes"),Personnel!$C$13*0.15,0)+IF(AND(Personnel!$E$14&gt;=2,Personnel!$E$14=84,Personnel!$G$14="Yes"),Personnel!$C$14*0.15,0)+IF(AND(Personnel!$E$15&gt;=2,Personnel!$E$15=84,Personnel!$G$15="Yes"),Personnel!$C$15*0.15,0)+IF(AND(Personnel!$E$16&gt;=2,Personnel!$E$16=84,Personnel!$G$16="Yes"),Personnel!$C$16*0.15,0)+IF(AND(Personnel!$E$17&gt;=2,Personnel!$E$17=84,Personnel!$G$17="Yes"),Personnel!$C$17*0.15,0)+IF(AND(Personnel!$E$18&gt;=2,Personnel!$E$18=84,Personnel!$G$18="Yes"),Personnel!$C$18*0.15,0)+IF(AND(Personnel!$E$19&gt;=2,Personnel!$E$19=84,Personnel!$G$19="Yes"),Personnel!$C$19*0.15,0)+IF(AND(Personnel!$E$20&gt;=2,Personnel!$E$20=84,Personnel!$G$20="Yes"),Personnel!$C$20*0.15,0)+IF(AND(Personnel!$E$21&gt;=2,Personnel!$E$21=84,Personnel!$G$21="Yes"),Personnel!$C$21*0.15,0)+IF(AND(Personnel!$E$22&gt;=2,Personnel!$E$22=84,Personnel!$G$22="Yes"),Personnel!$C$22*0.15,0)+IF(AND(Personnel!$E$23&gt;=2,Personnel!$E$23=84,Personnel!$G$23="Yes"),Personnel!$C$23*0.15,0)+IF(AND(Personnel!$E$24&gt;=2,Personnel!$E$24=84,Personnel!$G$24="Yes"),Personnel!$C$24*0.15,0)+IF(AND(Personnel!$E$25&gt;=2,Personnel!$E$25=84,Personnel!$G$25="Yes"),Personnel!$C$25*0.15,0)+IF(AND(Personnel!$E$26&gt;=2,Personnel!$E$26=84,Personnel!$G$26="Yes"),Personnel!$C$26*0.15,0)+IF(AND(Personnel!$E$27&gt;=2,Personnel!$E$27=84,Personnel!$G$27="Yes"),Personnel!$C$27*0.15,0)+IF(AND(Personnel!$E$28&gt;=2,Personnel!$E$28=84,Personnel!$G$28="Yes"),Personnel!$C$28*0.15,0)+IF(AND(Personnel!$E$29&gt;=2,Personnel!$E$29=84,Personnel!$G$29="Yes"),Personnel!$C$29*0.15,0)+IF(AND(Personnel!$E$30&gt;=2,Personnel!$E$30=84,Personnel!$G$30="Yes"),Personnel!$C$30*0.15,0)+IF(AND(Personnel!$E$31&gt;=2,Personnel!$E$31=84,Personnel!$G$31="Yes"),Personnel!$C$31*0.15,0)+IF(AND(Personnel!$E$32&gt;=2,Personnel!$E$32=84,Personnel!$G$32="Yes"),Personnel!$C$32*0.15,0)+IF(AND(Personnel!$E$33&gt;=2,Personnel!$E$33=84,Personnel!$G$33="Yes"),Personnel!$C$33*0.15,0)),Actuals!CK40)</f>
        <v>0</v>
      </c>
      <c r="CL43" s="3">
        <f>IF(ISBLANK(Actuals!CL40),-(IF(AND(Personnel!$E$2&gt;=2,Personnel!$E$2=85,Personnel!$G$2="Yes"),Personnel!$C$2*0.15,0)+IF(AND(Personnel!$E$3&gt;=2,Personnel!$E$3=85,Personnel!$G$3="Yes"),Personnel!$C$3*0.15,0)+IF(AND(Personnel!$E$4&gt;=2,Personnel!$E$4=85,Personnel!$G$4="Yes"),Personnel!$C$4*0.15,0)+IF(AND(Personnel!$E$5&gt;=2,Personnel!$E$5=85,Personnel!$G$5="Yes"),Personnel!$C$5*0.15,0)+IF(AND(Personnel!$E$6&gt;=2,Personnel!$E$6=85,Personnel!$G$6="Yes"),Personnel!$C$6*0.15,0)+IF(AND(Personnel!$E$7&gt;=2,Personnel!$E$7=85,Personnel!$G$7="Yes"),Personnel!$C$7*0.15,0)+IF(AND(Personnel!$E$8&gt;=2,Personnel!$E$8=85,Personnel!$G$8="Yes"),Personnel!$C$8*0.15,0)+IF(AND(Personnel!$E$9&gt;=2,Personnel!$E$9=85,Personnel!$G$9="Yes"),Personnel!$C$9*0.15,0)+IF(AND(Personnel!$E$10&gt;=2,Personnel!$E$10=85,Personnel!$G$10="Yes"),Personnel!$C$10*0.15,0)+IF(AND(Personnel!$E$11&gt;=2,Personnel!$E$11=85,Personnel!$G$11="Yes"),Personnel!$C$11*0.15,0)+IF(AND(Personnel!$E$12&gt;=2,Personnel!$E$12=85,Personnel!$G$12="Yes"),Personnel!$C$12*0.15,0)+IF(AND(Personnel!$E$13&gt;=2,Personnel!$E$13=85,Personnel!$G$13="Yes"),Personnel!$C$13*0.15,0)+IF(AND(Personnel!$E$14&gt;=2,Personnel!$E$14=85,Personnel!$G$14="Yes"),Personnel!$C$14*0.15,0)+IF(AND(Personnel!$E$15&gt;=2,Personnel!$E$15=85,Personnel!$G$15="Yes"),Personnel!$C$15*0.15,0)+IF(AND(Personnel!$E$16&gt;=2,Personnel!$E$16=85,Personnel!$G$16="Yes"),Personnel!$C$16*0.15,0)+IF(AND(Personnel!$E$17&gt;=2,Personnel!$E$17=85,Personnel!$G$17="Yes"),Personnel!$C$17*0.15,0)+IF(AND(Personnel!$E$18&gt;=2,Personnel!$E$18=85,Personnel!$G$18="Yes"),Personnel!$C$18*0.15,0)+IF(AND(Personnel!$E$19&gt;=2,Personnel!$E$19=85,Personnel!$G$19="Yes"),Personnel!$C$19*0.15,0)+IF(AND(Personnel!$E$20&gt;=2,Personnel!$E$20=85,Personnel!$G$20="Yes"),Personnel!$C$20*0.15,0)+IF(AND(Personnel!$E$21&gt;=2,Personnel!$E$21=85,Personnel!$G$21="Yes"),Personnel!$C$21*0.15,0)+IF(AND(Personnel!$E$22&gt;=2,Personnel!$E$22=85,Personnel!$G$22="Yes"),Personnel!$C$22*0.15,0)+IF(AND(Personnel!$E$23&gt;=2,Personnel!$E$23=85,Personnel!$G$23="Yes"),Personnel!$C$23*0.15,0)+IF(AND(Personnel!$E$24&gt;=2,Personnel!$E$24=85,Personnel!$G$24="Yes"),Personnel!$C$24*0.15,0)+IF(AND(Personnel!$E$25&gt;=2,Personnel!$E$25=85,Personnel!$G$25="Yes"),Personnel!$C$25*0.15,0)+IF(AND(Personnel!$E$26&gt;=2,Personnel!$E$26=85,Personnel!$G$26="Yes"),Personnel!$C$26*0.15,0)+IF(AND(Personnel!$E$27&gt;=2,Personnel!$E$27=85,Personnel!$G$27="Yes"),Personnel!$C$27*0.15,0)+IF(AND(Personnel!$E$28&gt;=2,Personnel!$E$28=85,Personnel!$G$28="Yes"),Personnel!$C$28*0.15,0)+IF(AND(Personnel!$E$29&gt;=2,Personnel!$E$29=85,Personnel!$G$29="Yes"),Personnel!$C$29*0.15,0)+IF(AND(Personnel!$E$30&gt;=2,Personnel!$E$30=85,Personnel!$G$30="Yes"),Personnel!$C$30*0.15,0)+IF(AND(Personnel!$E$31&gt;=2,Personnel!$E$31=85,Personnel!$G$31="Yes"),Personnel!$C$31*0.15,0)+IF(AND(Personnel!$E$32&gt;=2,Personnel!$E$32=85,Personnel!$G$32="Yes"),Personnel!$C$32*0.15,0)+IF(AND(Personnel!$E$33&gt;=2,Personnel!$E$33=85,Personnel!$G$33="Yes"),Personnel!$C$33*0.15,0)),Actuals!CL40)</f>
        <v>0</v>
      </c>
      <c r="CM43" s="3">
        <f>IF(ISBLANK(Actuals!CM40),-(IF(AND(Personnel!$E$2&gt;=2,Personnel!$E$2=86,Personnel!$G$2="Yes"),Personnel!$C$2*0.15,0)+IF(AND(Personnel!$E$3&gt;=2,Personnel!$E$3=86,Personnel!$G$3="Yes"),Personnel!$C$3*0.15,0)+IF(AND(Personnel!$E$4&gt;=2,Personnel!$E$4=86,Personnel!$G$4="Yes"),Personnel!$C$4*0.15,0)+IF(AND(Personnel!$E$5&gt;=2,Personnel!$E$5=86,Personnel!$G$5="Yes"),Personnel!$C$5*0.15,0)+IF(AND(Personnel!$E$6&gt;=2,Personnel!$E$6=86,Personnel!$G$6="Yes"),Personnel!$C$6*0.15,0)+IF(AND(Personnel!$E$7&gt;=2,Personnel!$E$7=86,Personnel!$G$7="Yes"),Personnel!$C$7*0.15,0)+IF(AND(Personnel!$E$8&gt;=2,Personnel!$E$8=86,Personnel!$G$8="Yes"),Personnel!$C$8*0.15,0)+IF(AND(Personnel!$E$9&gt;=2,Personnel!$E$9=86,Personnel!$G$9="Yes"),Personnel!$C$9*0.15,0)+IF(AND(Personnel!$E$10&gt;=2,Personnel!$E$10=86,Personnel!$G$10="Yes"),Personnel!$C$10*0.15,0)+IF(AND(Personnel!$E$11&gt;=2,Personnel!$E$11=86,Personnel!$G$11="Yes"),Personnel!$C$11*0.15,0)+IF(AND(Personnel!$E$12&gt;=2,Personnel!$E$12=86,Personnel!$G$12="Yes"),Personnel!$C$12*0.15,0)+IF(AND(Personnel!$E$13&gt;=2,Personnel!$E$13=86,Personnel!$G$13="Yes"),Personnel!$C$13*0.15,0)+IF(AND(Personnel!$E$14&gt;=2,Personnel!$E$14=86,Personnel!$G$14="Yes"),Personnel!$C$14*0.15,0)+IF(AND(Personnel!$E$15&gt;=2,Personnel!$E$15=86,Personnel!$G$15="Yes"),Personnel!$C$15*0.15,0)+IF(AND(Personnel!$E$16&gt;=2,Personnel!$E$16=86,Personnel!$G$16="Yes"),Personnel!$C$16*0.15,0)+IF(AND(Personnel!$E$17&gt;=2,Personnel!$E$17=86,Personnel!$G$17="Yes"),Personnel!$C$17*0.15,0)+IF(AND(Personnel!$E$18&gt;=2,Personnel!$E$18=86,Personnel!$G$18="Yes"),Personnel!$C$18*0.15,0)+IF(AND(Personnel!$E$19&gt;=2,Personnel!$E$19=86,Personnel!$G$19="Yes"),Personnel!$C$19*0.15,0)+IF(AND(Personnel!$E$20&gt;=2,Personnel!$E$20=86,Personnel!$G$20="Yes"),Personnel!$C$20*0.15,0)+IF(AND(Personnel!$E$21&gt;=2,Personnel!$E$21=86,Personnel!$G$21="Yes"),Personnel!$C$21*0.15,0)+IF(AND(Personnel!$E$22&gt;=2,Personnel!$E$22=86,Personnel!$G$22="Yes"),Personnel!$C$22*0.15,0)+IF(AND(Personnel!$E$23&gt;=2,Personnel!$E$23=86,Personnel!$G$23="Yes"),Personnel!$C$23*0.15,0)+IF(AND(Personnel!$E$24&gt;=2,Personnel!$E$24=86,Personnel!$G$24="Yes"),Personnel!$C$24*0.15,0)+IF(AND(Personnel!$E$25&gt;=2,Personnel!$E$25=86,Personnel!$G$25="Yes"),Personnel!$C$25*0.15,0)+IF(AND(Personnel!$E$26&gt;=2,Personnel!$E$26=86,Personnel!$G$26="Yes"),Personnel!$C$26*0.15,0)+IF(AND(Personnel!$E$27&gt;=2,Personnel!$E$27=86,Personnel!$G$27="Yes"),Personnel!$C$27*0.15,0)+IF(AND(Personnel!$E$28&gt;=2,Personnel!$E$28=86,Personnel!$G$28="Yes"),Personnel!$C$28*0.15,0)+IF(AND(Personnel!$E$29&gt;=2,Personnel!$E$29=86,Personnel!$G$29="Yes"),Personnel!$C$29*0.15,0)+IF(AND(Personnel!$E$30&gt;=2,Personnel!$E$30=86,Personnel!$G$30="Yes"),Personnel!$C$30*0.15,0)+IF(AND(Personnel!$E$31&gt;=2,Personnel!$E$31=86,Personnel!$G$31="Yes"),Personnel!$C$31*0.15,0)+IF(AND(Personnel!$E$32&gt;=2,Personnel!$E$32=86,Personnel!$G$32="Yes"),Personnel!$C$32*0.15,0)+IF(AND(Personnel!$E$33&gt;=2,Personnel!$E$33=86,Personnel!$G$33="Yes"),Personnel!$C$33*0.15,0)),Actuals!CM40)</f>
        <v>0</v>
      </c>
      <c r="CN43" s="3">
        <f>IF(ISBLANK(Actuals!CN40),-(IF(AND(Personnel!$E$2&gt;=2,Personnel!$E$2=87,Personnel!$G$2="Yes"),Personnel!$C$2*0.15,0)+IF(AND(Personnel!$E$3&gt;=2,Personnel!$E$3=87,Personnel!$G$3="Yes"),Personnel!$C$3*0.15,0)+IF(AND(Personnel!$E$4&gt;=2,Personnel!$E$4=87,Personnel!$G$4="Yes"),Personnel!$C$4*0.15,0)+IF(AND(Personnel!$E$5&gt;=2,Personnel!$E$5=87,Personnel!$G$5="Yes"),Personnel!$C$5*0.15,0)+IF(AND(Personnel!$E$6&gt;=2,Personnel!$E$6=87,Personnel!$G$6="Yes"),Personnel!$C$6*0.15,0)+IF(AND(Personnel!$E$7&gt;=2,Personnel!$E$7=87,Personnel!$G$7="Yes"),Personnel!$C$7*0.15,0)+IF(AND(Personnel!$E$8&gt;=2,Personnel!$E$8=87,Personnel!$G$8="Yes"),Personnel!$C$8*0.15,0)+IF(AND(Personnel!$E$9&gt;=2,Personnel!$E$9=87,Personnel!$G$9="Yes"),Personnel!$C$9*0.15,0)+IF(AND(Personnel!$E$10&gt;=2,Personnel!$E$10=87,Personnel!$G$10="Yes"),Personnel!$C$10*0.15,0)+IF(AND(Personnel!$E$11&gt;=2,Personnel!$E$11=87,Personnel!$G$11="Yes"),Personnel!$C$11*0.15,0)+IF(AND(Personnel!$E$12&gt;=2,Personnel!$E$12=87,Personnel!$G$12="Yes"),Personnel!$C$12*0.15,0)+IF(AND(Personnel!$E$13&gt;=2,Personnel!$E$13=87,Personnel!$G$13="Yes"),Personnel!$C$13*0.15,0)+IF(AND(Personnel!$E$14&gt;=2,Personnel!$E$14=87,Personnel!$G$14="Yes"),Personnel!$C$14*0.15,0)+IF(AND(Personnel!$E$15&gt;=2,Personnel!$E$15=87,Personnel!$G$15="Yes"),Personnel!$C$15*0.15,0)+IF(AND(Personnel!$E$16&gt;=2,Personnel!$E$16=87,Personnel!$G$16="Yes"),Personnel!$C$16*0.15,0)+IF(AND(Personnel!$E$17&gt;=2,Personnel!$E$17=87,Personnel!$G$17="Yes"),Personnel!$C$17*0.15,0)+IF(AND(Personnel!$E$18&gt;=2,Personnel!$E$18=87,Personnel!$G$18="Yes"),Personnel!$C$18*0.15,0)+IF(AND(Personnel!$E$19&gt;=2,Personnel!$E$19=87,Personnel!$G$19="Yes"),Personnel!$C$19*0.15,0)+IF(AND(Personnel!$E$20&gt;=2,Personnel!$E$20=87,Personnel!$G$20="Yes"),Personnel!$C$20*0.15,0)+IF(AND(Personnel!$E$21&gt;=2,Personnel!$E$21=87,Personnel!$G$21="Yes"),Personnel!$C$21*0.15,0)+IF(AND(Personnel!$E$22&gt;=2,Personnel!$E$22=87,Personnel!$G$22="Yes"),Personnel!$C$22*0.15,0)+IF(AND(Personnel!$E$23&gt;=2,Personnel!$E$23=87,Personnel!$G$23="Yes"),Personnel!$C$23*0.15,0)+IF(AND(Personnel!$E$24&gt;=2,Personnel!$E$24=87,Personnel!$G$24="Yes"),Personnel!$C$24*0.15,0)+IF(AND(Personnel!$E$25&gt;=2,Personnel!$E$25=87,Personnel!$G$25="Yes"),Personnel!$C$25*0.15,0)+IF(AND(Personnel!$E$26&gt;=2,Personnel!$E$26=87,Personnel!$G$26="Yes"),Personnel!$C$26*0.15,0)+IF(AND(Personnel!$E$27&gt;=2,Personnel!$E$27=87,Personnel!$G$27="Yes"),Personnel!$C$27*0.15,0)+IF(AND(Personnel!$E$28&gt;=2,Personnel!$E$28=87,Personnel!$G$28="Yes"),Personnel!$C$28*0.15,0)+IF(AND(Personnel!$E$29&gt;=2,Personnel!$E$29=87,Personnel!$G$29="Yes"),Personnel!$C$29*0.15,0)+IF(AND(Personnel!$E$30&gt;=2,Personnel!$E$30=87,Personnel!$G$30="Yes"),Personnel!$C$30*0.15,0)+IF(AND(Personnel!$E$31&gt;=2,Personnel!$E$31=87,Personnel!$G$31="Yes"),Personnel!$C$31*0.15,0)+IF(AND(Personnel!$E$32&gt;=2,Personnel!$E$32=87,Personnel!$G$32="Yes"),Personnel!$C$32*0.15,0)+IF(AND(Personnel!$E$33&gt;=2,Personnel!$E$33=87,Personnel!$G$33="Yes"),Personnel!$C$33*0.15,0)),Actuals!CN40)</f>
        <v>0</v>
      </c>
      <c r="CO43" s="3">
        <f>IF(ISBLANK(Actuals!CO40),-(IF(AND(Personnel!$E$2&gt;=2,Personnel!$E$2=88,Personnel!$G$2="Yes"),Personnel!$C$2*0.15,0)+IF(AND(Personnel!$E$3&gt;=2,Personnel!$E$3=88,Personnel!$G$3="Yes"),Personnel!$C$3*0.15,0)+IF(AND(Personnel!$E$4&gt;=2,Personnel!$E$4=88,Personnel!$G$4="Yes"),Personnel!$C$4*0.15,0)+IF(AND(Personnel!$E$5&gt;=2,Personnel!$E$5=88,Personnel!$G$5="Yes"),Personnel!$C$5*0.15,0)+IF(AND(Personnel!$E$6&gt;=2,Personnel!$E$6=88,Personnel!$G$6="Yes"),Personnel!$C$6*0.15,0)+IF(AND(Personnel!$E$7&gt;=2,Personnel!$E$7=88,Personnel!$G$7="Yes"),Personnel!$C$7*0.15,0)+IF(AND(Personnel!$E$8&gt;=2,Personnel!$E$8=88,Personnel!$G$8="Yes"),Personnel!$C$8*0.15,0)+IF(AND(Personnel!$E$9&gt;=2,Personnel!$E$9=88,Personnel!$G$9="Yes"),Personnel!$C$9*0.15,0)+IF(AND(Personnel!$E$10&gt;=2,Personnel!$E$10=88,Personnel!$G$10="Yes"),Personnel!$C$10*0.15,0)+IF(AND(Personnel!$E$11&gt;=2,Personnel!$E$11=88,Personnel!$G$11="Yes"),Personnel!$C$11*0.15,0)+IF(AND(Personnel!$E$12&gt;=2,Personnel!$E$12=88,Personnel!$G$12="Yes"),Personnel!$C$12*0.15,0)+IF(AND(Personnel!$E$13&gt;=2,Personnel!$E$13=88,Personnel!$G$13="Yes"),Personnel!$C$13*0.15,0)+IF(AND(Personnel!$E$14&gt;=2,Personnel!$E$14=88,Personnel!$G$14="Yes"),Personnel!$C$14*0.15,0)+IF(AND(Personnel!$E$15&gt;=2,Personnel!$E$15=88,Personnel!$G$15="Yes"),Personnel!$C$15*0.15,0)+IF(AND(Personnel!$E$16&gt;=2,Personnel!$E$16=88,Personnel!$G$16="Yes"),Personnel!$C$16*0.15,0)+IF(AND(Personnel!$E$17&gt;=2,Personnel!$E$17=88,Personnel!$G$17="Yes"),Personnel!$C$17*0.15,0)+IF(AND(Personnel!$E$18&gt;=2,Personnel!$E$18=88,Personnel!$G$18="Yes"),Personnel!$C$18*0.15,0)+IF(AND(Personnel!$E$19&gt;=2,Personnel!$E$19=88,Personnel!$G$19="Yes"),Personnel!$C$19*0.15,0)+IF(AND(Personnel!$E$20&gt;=2,Personnel!$E$20=88,Personnel!$G$20="Yes"),Personnel!$C$20*0.15,0)+IF(AND(Personnel!$E$21&gt;=2,Personnel!$E$21=88,Personnel!$G$21="Yes"),Personnel!$C$21*0.15,0)+IF(AND(Personnel!$E$22&gt;=2,Personnel!$E$22=88,Personnel!$G$22="Yes"),Personnel!$C$22*0.15,0)+IF(AND(Personnel!$E$23&gt;=2,Personnel!$E$23=88,Personnel!$G$23="Yes"),Personnel!$C$23*0.15,0)+IF(AND(Personnel!$E$24&gt;=2,Personnel!$E$24=88,Personnel!$G$24="Yes"),Personnel!$C$24*0.15,0)+IF(AND(Personnel!$E$25&gt;=2,Personnel!$E$25=88,Personnel!$G$25="Yes"),Personnel!$C$25*0.15,0)+IF(AND(Personnel!$E$26&gt;=2,Personnel!$E$26=88,Personnel!$G$26="Yes"),Personnel!$C$26*0.15,0)+IF(AND(Personnel!$E$27&gt;=2,Personnel!$E$27=88,Personnel!$G$27="Yes"),Personnel!$C$27*0.15,0)+IF(AND(Personnel!$E$28&gt;=2,Personnel!$E$28=88,Personnel!$G$28="Yes"),Personnel!$C$28*0.15,0)+IF(AND(Personnel!$E$29&gt;=2,Personnel!$E$29=88,Personnel!$G$29="Yes"),Personnel!$C$29*0.15,0)+IF(AND(Personnel!$E$30&gt;=2,Personnel!$E$30=88,Personnel!$G$30="Yes"),Personnel!$C$30*0.15,0)+IF(AND(Personnel!$E$31&gt;=2,Personnel!$E$31=88,Personnel!$G$31="Yes"),Personnel!$C$31*0.15,0)+IF(AND(Personnel!$E$32&gt;=2,Personnel!$E$32=88,Personnel!$G$32="Yes"),Personnel!$C$32*0.15,0)+IF(AND(Personnel!$E$33&gt;=2,Personnel!$E$33=88,Personnel!$G$33="Yes"),Personnel!$C$33*0.15,0)),Actuals!CO40)</f>
        <v>0</v>
      </c>
      <c r="CP43" s="3">
        <f>IF(ISBLANK(Actuals!CP40),-(IF(AND(Personnel!$E$2&gt;=2,Personnel!$E$2=89,Personnel!$G$2="Yes"),Personnel!$C$2*0.15,0)+IF(AND(Personnel!$E$3&gt;=2,Personnel!$E$3=89,Personnel!$G$3="Yes"),Personnel!$C$3*0.15,0)+IF(AND(Personnel!$E$4&gt;=2,Personnel!$E$4=89,Personnel!$G$4="Yes"),Personnel!$C$4*0.15,0)+IF(AND(Personnel!$E$5&gt;=2,Personnel!$E$5=89,Personnel!$G$5="Yes"),Personnel!$C$5*0.15,0)+IF(AND(Personnel!$E$6&gt;=2,Personnel!$E$6=89,Personnel!$G$6="Yes"),Personnel!$C$6*0.15,0)+IF(AND(Personnel!$E$7&gt;=2,Personnel!$E$7=89,Personnel!$G$7="Yes"),Personnel!$C$7*0.15,0)+IF(AND(Personnel!$E$8&gt;=2,Personnel!$E$8=89,Personnel!$G$8="Yes"),Personnel!$C$8*0.15,0)+IF(AND(Personnel!$E$9&gt;=2,Personnel!$E$9=89,Personnel!$G$9="Yes"),Personnel!$C$9*0.15,0)+IF(AND(Personnel!$E$10&gt;=2,Personnel!$E$10=89,Personnel!$G$10="Yes"),Personnel!$C$10*0.15,0)+IF(AND(Personnel!$E$11&gt;=2,Personnel!$E$11=89,Personnel!$G$11="Yes"),Personnel!$C$11*0.15,0)+IF(AND(Personnel!$E$12&gt;=2,Personnel!$E$12=89,Personnel!$G$12="Yes"),Personnel!$C$12*0.15,0)+IF(AND(Personnel!$E$13&gt;=2,Personnel!$E$13=89,Personnel!$G$13="Yes"),Personnel!$C$13*0.15,0)+IF(AND(Personnel!$E$14&gt;=2,Personnel!$E$14=89,Personnel!$G$14="Yes"),Personnel!$C$14*0.15,0)+IF(AND(Personnel!$E$15&gt;=2,Personnel!$E$15=89,Personnel!$G$15="Yes"),Personnel!$C$15*0.15,0)+IF(AND(Personnel!$E$16&gt;=2,Personnel!$E$16=89,Personnel!$G$16="Yes"),Personnel!$C$16*0.15,0)+IF(AND(Personnel!$E$17&gt;=2,Personnel!$E$17=89,Personnel!$G$17="Yes"),Personnel!$C$17*0.15,0)+IF(AND(Personnel!$E$18&gt;=2,Personnel!$E$18=89,Personnel!$G$18="Yes"),Personnel!$C$18*0.15,0)+IF(AND(Personnel!$E$19&gt;=2,Personnel!$E$19=89,Personnel!$G$19="Yes"),Personnel!$C$19*0.15,0)+IF(AND(Personnel!$E$20&gt;=2,Personnel!$E$20=89,Personnel!$G$20="Yes"),Personnel!$C$20*0.15,0)+IF(AND(Personnel!$E$21&gt;=2,Personnel!$E$21=89,Personnel!$G$21="Yes"),Personnel!$C$21*0.15,0)+IF(AND(Personnel!$E$22&gt;=2,Personnel!$E$22=89,Personnel!$G$22="Yes"),Personnel!$C$22*0.15,0)+IF(AND(Personnel!$E$23&gt;=2,Personnel!$E$23=89,Personnel!$G$23="Yes"),Personnel!$C$23*0.15,0)+IF(AND(Personnel!$E$24&gt;=2,Personnel!$E$24=89,Personnel!$G$24="Yes"),Personnel!$C$24*0.15,0)+IF(AND(Personnel!$E$25&gt;=2,Personnel!$E$25=89,Personnel!$G$25="Yes"),Personnel!$C$25*0.15,0)+IF(AND(Personnel!$E$26&gt;=2,Personnel!$E$26=89,Personnel!$G$26="Yes"),Personnel!$C$26*0.15,0)+IF(AND(Personnel!$E$27&gt;=2,Personnel!$E$27=89,Personnel!$G$27="Yes"),Personnel!$C$27*0.15,0)+IF(AND(Personnel!$E$28&gt;=2,Personnel!$E$28=89,Personnel!$G$28="Yes"),Personnel!$C$28*0.15,0)+IF(AND(Personnel!$E$29&gt;=2,Personnel!$E$29=89,Personnel!$G$29="Yes"),Personnel!$C$29*0.15,0)+IF(AND(Personnel!$E$30&gt;=2,Personnel!$E$30=89,Personnel!$G$30="Yes"),Personnel!$C$30*0.15,0)+IF(AND(Personnel!$E$31&gt;=2,Personnel!$E$31=89,Personnel!$G$31="Yes"),Personnel!$C$31*0.15,0)+IF(AND(Personnel!$E$32&gt;=2,Personnel!$E$32=89,Personnel!$G$32="Yes"),Personnel!$C$32*0.15,0)+IF(AND(Personnel!$E$33&gt;=2,Personnel!$E$33=89,Personnel!$G$33="Yes"),Personnel!$C$33*0.15,0)),Actuals!CP40)</f>
        <v>0</v>
      </c>
      <c r="CQ43" s="3">
        <f>IF(ISBLANK(Actuals!CQ40),-(IF(AND(Personnel!$E$2&gt;=2,Personnel!$E$2=90,Personnel!$G$2="Yes"),Personnel!$C$2*0.15,0)+IF(AND(Personnel!$E$3&gt;=2,Personnel!$E$3=90,Personnel!$G$3="Yes"),Personnel!$C$3*0.15,0)+IF(AND(Personnel!$E$4&gt;=2,Personnel!$E$4=90,Personnel!$G$4="Yes"),Personnel!$C$4*0.15,0)+IF(AND(Personnel!$E$5&gt;=2,Personnel!$E$5=90,Personnel!$G$5="Yes"),Personnel!$C$5*0.15,0)+IF(AND(Personnel!$E$6&gt;=2,Personnel!$E$6=90,Personnel!$G$6="Yes"),Personnel!$C$6*0.15,0)+IF(AND(Personnel!$E$7&gt;=2,Personnel!$E$7=90,Personnel!$G$7="Yes"),Personnel!$C$7*0.15,0)+IF(AND(Personnel!$E$8&gt;=2,Personnel!$E$8=90,Personnel!$G$8="Yes"),Personnel!$C$8*0.15,0)+IF(AND(Personnel!$E$9&gt;=2,Personnel!$E$9=90,Personnel!$G$9="Yes"),Personnel!$C$9*0.15,0)+IF(AND(Personnel!$E$10&gt;=2,Personnel!$E$10=90,Personnel!$G$10="Yes"),Personnel!$C$10*0.15,0)+IF(AND(Personnel!$E$11&gt;=2,Personnel!$E$11=90,Personnel!$G$11="Yes"),Personnel!$C$11*0.15,0)+IF(AND(Personnel!$E$12&gt;=2,Personnel!$E$12=90,Personnel!$G$12="Yes"),Personnel!$C$12*0.15,0)+IF(AND(Personnel!$E$13&gt;=2,Personnel!$E$13=90,Personnel!$G$13="Yes"),Personnel!$C$13*0.15,0)+IF(AND(Personnel!$E$14&gt;=2,Personnel!$E$14=90,Personnel!$G$14="Yes"),Personnel!$C$14*0.15,0)+IF(AND(Personnel!$E$15&gt;=2,Personnel!$E$15=90,Personnel!$G$15="Yes"),Personnel!$C$15*0.15,0)+IF(AND(Personnel!$E$16&gt;=2,Personnel!$E$16=90,Personnel!$G$16="Yes"),Personnel!$C$16*0.15,0)+IF(AND(Personnel!$E$17&gt;=2,Personnel!$E$17=90,Personnel!$G$17="Yes"),Personnel!$C$17*0.15,0)+IF(AND(Personnel!$E$18&gt;=2,Personnel!$E$18=90,Personnel!$G$18="Yes"),Personnel!$C$18*0.15,0)+IF(AND(Personnel!$E$19&gt;=2,Personnel!$E$19=90,Personnel!$G$19="Yes"),Personnel!$C$19*0.15,0)+IF(AND(Personnel!$E$20&gt;=2,Personnel!$E$20=90,Personnel!$G$20="Yes"),Personnel!$C$20*0.15,0)+IF(AND(Personnel!$E$21&gt;=2,Personnel!$E$21=90,Personnel!$G$21="Yes"),Personnel!$C$21*0.15,0)+IF(AND(Personnel!$E$22&gt;=2,Personnel!$E$22=90,Personnel!$G$22="Yes"),Personnel!$C$22*0.15,0)+IF(AND(Personnel!$E$23&gt;=2,Personnel!$E$23=90,Personnel!$G$23="Yes"),Personnel!$C$23*0.15,0)+IF(AND(Personnel!$E$24&gt;=2,Personnel!$E$24=90,Personnel!$G$24="Yes"),Personnel!$C$24*0.15,0)+IF(AND(Personnel!$E$25&gt;=2,Personnel!$E$25=90,Personnel!$G$25="Yes"),Personnel!$C$25*0.15,0)+IF(AND(Personnel!$E$26&gt;=2,Personnel!$E$26=90,Personnel!$G$26="Yes"),Personnel!$C$26*0.15,0)+IF(AND(Personnel!$E$27&gt;=2,Personnel!$E$27=90,Personnel!$G$27="Yes"),Personnel!$C$27*0.15,0)+IF(AND(Personnel!$E$28&gt;=2,Personnel!$E$28=90,Personnel!$G$28="Yes"),Personnel!$C$28*0.15,0)+IF(AND(Personnel!$E$29&gt;=2,Personnel!$E$29=90,Personnel!$G$29="Yes"),Personnel!$C$29*0.15,0)+IF(AND(Personnel!$E$30&gt;=2,Personnel!$E$30=90,Personnel!$G$30="Yes"),Personnel!$C$30*0.15,0)+IF(AND(Personnel!$E$31&gt;=2,Personnel!$E$31=90,Personnel!$G$31="Yes"),Personnel!$C$31*0.15,0)+IF(AND(Personnel!$E$32&gt;=2,Personnel!$E$32=90,Personnel!$G$32="Yes"),Personnel!$C$32*0.15,0)+IF(AND(Personnel!$E$33&gt;=2,Personnel!$E$33=90,Personnel!$G$33="Yes"),Personnel!$C$33*0.15,0)),Actuals!CQ40)</f>
        <v>0</v>
      </c>
      <c r="CR43" s="3">
        <f>IF(ISBLANK(Actuals!CR40),-(IF(AND(Personnel!$E$2&gt;=2,Personnel!$E$2=91,Personnel!$G$2="Yes"),Personnel!$C$2*0.15,0)+IF(AND(Personnel!$E$3&gt;=2,Personnel!$E$3=91,Personnel!$G$3="Yes"),Personnel!$C$3*0.15,0)+IF(AND(Personnel!$E$4&gt;=2,Personnel!$E$4=91,Personnel!$G$4="Yes"),Personnel!$C$4*0.15,0)+IF(AND(Personnel!$E$5&gt;=2,Personnel!$E$5=91,Personnel!$G$5="Yes"),Personnel!$C$5*0.15,0)+IF(AND(Personnel!$E$6&gt;=2,Personnel!$E$6=91,Personnel!$G$6="Yes"),Personnel!$C$6*0.15,0)+IF(AND(Personnel!$E$7&gt;=2,Personnel!$E$7=91,Personnel!$G$7="Yes"),Personnel!$C$7*0.15,0)+IF(AND(Personnel!$E$8&gt;=2,Personnel!$E$8=91,Personnel!$G$8="Yes"),Personnel!$C$8*0.15,0)+IF(AND(Personnel!$E$9&gt;=2,Personnel!$E$9=91,Personnel!$G$9="Yes"),Personnel!$C$9*0.15,0)+IF(AND(Personnel!$E$10&gt;=2,Personnel!$E$10=91,Personnel!$G$10="Yes"),Personnel!$C$10*0.15,0)+IF(AND(Personnel!$E$11&gt;=2,Personnel!$E$11=91,Personnel!$G$11="Yes"),Personnel!$C$11*0.15,0)+IF(AND(Personnel!$E$12&gt;=2,Personnel!$E$12=91,Personnel!$G$12="Yes"),Personnel!$C$12*0.15,0)+IF(AND(Personnel!$E$13&gt;=2,Personnel!$E$13=91,Personnel!$G$13="Yes"),Personnel!$C$13*0.15,0)+IF(AND(Personnel!$E$14&gt;=2,Personnel!$E$14=91,Personnel!$G$14="Yes"),Personnel!$C$14*0.15,0)+IF(AND(Personnel!$E$15&gt;=2,Personnel!$E$15=91,Personnel!$G$15="Yes"),Personnel!$C$15*0.15,0)+IF(AND(Personnel!$E$16&gt;=2,Personnel!$E$16=91,Personnel!$G$16="Yes"),Personnel!$C$16*0.15,0)+IF(AND(Personnel!$E$17&gt;=2,Personnel!$E$17=91,Personnel!$G$17="Yes"),Personnel!$C$17*0.15,0)+IF(AND(Personnel!$E$18&gt;=2,Personnel!$E$18=91,Personnel!$G$18="Yes"),Personnel!$C$18*0.15,0)+IF(AND(Personnel!$E$19&gt;=2,Personnel!$E$19=91,Personnel!$G$19="Yes"),Personnel!$C$19*0.15,0)+IF(AND(Personnel!$E$20&gt;=2,Personnel!$E$20=91,Personnel!$G$20="Yes"),Personnel!$C$20*0.15,0)+IF(AND(Personnel!$E$21&gt;=2,Personnel!$E$21=91,Personnel!$G$21="Yes"),Personnel!$C$21*0.15,0)+IF(AND(Personnel!$E$22&gt;=2,Personnel!$E$22=91,Personnel!$G$22="Yes"),Personnel!$C$22*0.15,0)+IF(AND(Personnel!$E$23&gt;=2,Personnel!$E$23=91,Personnel!$G$23="Yes"),Personnel!$C$23*0.15,0)+IF(AND(Personnel!$E$24&gt;=2,Personnel!$E$24=91,Personnel!$G$24="Yes"),Personnel!$C$24*0.15,0)+IF(AND(Personnel!$E$25&gt;=2,Personnel!$E$25=91,Personnel!$G$25="Yes"),Personnel!$C$25*0.15,0)+IF(AND(Personnel!$E$26&gt;=2,Personnel!$E$26=91,Personnel!$G$26="Yes"),Personnel!$C$26*0.15,0)+IF(AND(Personnel!$E$27&gt;=2,Personnel!$E$27=91,Personnel!$G$27="Yes"),Personnel!$C$27*0.15,0)+IF(AND(Personnel!$E$28&gt;=2,Personnel!$E$28=91,Personnel!$G$28="Yes"),Personnel!$C$28*0.15,0)+IF(AND(Personnel!$E$29&gt;=2,Personnel!$E$29=91,Personnel!$G$29="Yes"),Personnel!$C$29*0.15,0)+IF(AND(Personnel!$E$30&gt;=2,Personnel!$E$30=91,Personnel!$G$30="Yes"),Personnel!$C$30*0.15,0)+IF(AND(Personnel!$E$31&gt;=2,Personnel!$E$31=91,Personnel!$G$31="Yes"),Personnel!$C$31*0.15,0)+IF(AND(Personnel!$E$32&gt;=2,Personnel!$E$32=91,Personnel!$G$32="Yes"),Personnel!$C$32*0.15,0)+IF(AND(Personnel!$E$33&gt;=2,Personnel!$E$33=91,Personnel!$G$33="Yes"),Personnel!$C$33*0.15,0)),Actuals!CR40)</f>
        <v>0</v>
      </c>
      <c r="CS43" s="3">
        <f>IF(ISBLANK(Actuals!CS40),-(IF(AND(Personnel!$E$2&gt;=2,Personnel!$E$2=92,Personnel!$G$2="Yes"),Personnel!$C$2*0.15,0)+IF(AND(Personnel!$E$3&gt;=2,Personnel!$E$3=92,Personnel!$G$3="Yes"),Personnel!$C$3*0.15,0)+IF(AND(Personnel!$E$4&gt;=2,Personnel!$E$4=92,Personnel!$G$4="Yes"),Personnel!$C$4*0.15,0)+IF(AND(Personnel!$E$5&gt;=2,Personnel!$E$5=92,Personnel!$G$5="Yes"),Personnel!$C$5*0.15,0)+IF(AND(Personnel!$E$6&gt;=2,Personnel!$E$6=92,Personnel!$G$6="Yes"),Personnel!$C$6*0.15,0)+IF(AND(Personnel!$E$7&gt;=2,Personnel!$E$7=92,Personnel!$G$7="Yes"),Personnel!$C$7*0.15,0)+IF(AND(Personnel!$E$8&gt;=2,Personnel!$E$8=92,Personnel!$G$8="Yes"),Personnel!$C$8*0.15,0)+IF(AND(Personnel!$E$9&gt;=2,Personnel!$E$9=92,Personnel!$G$9="Yes"),Personnel!$C$9*0.15,0)+IF(AND(Personnel!$E$10&gt;=2,Personnel!$E$10=92,Personnel!$G$10="Yes"),Personnel!$C$10*0.15,0)+IF(AND(Personnel!$E$11&gt;=2,Personnel!$E$11=92,Personnel!$G$11="Yes"),Personnel!$C$11*0.15,0)+IF(AND(Personnel!$E$12&gt;=2,Personnel!$E$12=92,Personnel!$G$12="Yes"),Personnel!$C$12*0.15,0)+IF(AND(Personnel!$E$13&gt;=2,Personnel!$E$13=92,Personnel!$G$13="Yes"),Personnel!$C$13*0.15,0)+IF(AND(Personnel!$E$14&gt;=2,Personnel!$E$14=92,Personnel!$G$14="Yes"),Personnel!$C$14*0.15,0)+IF(AND(Personnel!$E$15&gt;=2,Personnel!$E$15=92,Personnel!$G$15="Yes"),Personnel!$C$15*0.15,0)+IF(AND(Personnel!$E$16&gt;=2,Personnel!$E$16=92,Personnel!$G$16="Yes"),Personnel!$C$16*0.15,0)+IF(AND(Personnel!$E$17&gt;=2,Personnel!$E$17=92,Personnel!$G$17="Yes"),Personnel!$C$17*0.15,0)+IF(AND(Personnel!$E$18&gt;=2,Personnel!$E$18=92,Personnel!$G$18="Yes"),Personnel!$C$18*0.15,0)+IF(AND(Personnel!$E$19&gt;=2,Personnel!$E$19=92,Personnel!$G$19="Yes"),Personnel!$C$19*0.15,0)+IF(AND(Personnel!$E$20&gt;=2,Personnel!$E$20=92,Personnel!$G$20="Yes"),Personnel!$C$20*0.15,0)+IF(AND(Personnel!$E$21&gt;=2,Personnel!$E$21=92,Personnel!$G$21="Yes"),Personnel!$C$21*0.15,0)+IF(AND(Personnel!$E$22&gt;=2,Personnel!$E$22=92,Personnel!$G$22="Yes"),Personnel!$C$22*0.15,0)+IF(AND(Personnel!$E$23&gt;=2,Personnel!$E$23=92,Personnel!$G$23="Yes"),Personnel!$C$23*0.15,0)+IF(AND(Personnel!$E$24&gt;=2,Personnel!$E$24=92,Personnel!$G$24="Yes"),Personnel!$C$24*0.15,0)+IF(AND(Personnel!$E$25&gt;=2,Personnel!$E$25=92,Personnel!$G$25="Yes"),Personnel!$C$25*0.15,0)+IF(AND(Personnel!$E$26&gt;=2,Personnel!$E$26=92,Personnel!$G$26="Yes"),Personnel!$C$26*0.15,0)+IF(AND(Personnel!$E$27&gt;=2,Personnel!$E$27=92,Personnel!$G$27="Yes"),Personnel!$C$27*0.15,0)+IF(AND(Personnel!$E$28&gt;=2,Personnel!$E$28=92,Personnel!$G$28="Yes"),Personnel!$C$28*0.15,0)+IF(AND(Personnel!$E$29&gt;=2,Personnel!$E$29=92,Personnel!$G$29="Yes"),Personnel!$C$29*0.15,0)+IF(AND(Personnel!$E$30&gt;=2,Personnel!$E$30=92,Personnel!$G$30="Yes"),Personnel!$C$30*0.15,0)+IF(AND(Personnel!$E$31&gt;=2,Personnel!$E$31=92,Personnel!$G$31="Yes"),Personnel!$C$31*0.15,0)+IF(AND(Personnel!$E$32&gt;=2,Personnel!$E$32=92,Personnel!$G$32="Yes"),Personnel!$C$32*0.15,0)+IF(AND(Personnel!$E$33&gt;=2,Personnel!$E$33=92,Personnel!$G$33="Yes"),Personnel!$C$33*0.15,0)),Actuals!CS40)</f>
        <v>0</v>
      </c>
      <c r="CT43" s="3">
        <f>IF(ISBLANK(Actuals!CT40),-(IF(AND(Personnel!$E$2&gt;=2,Personnel!$E$2=93,Personnel!$G$2="Yes"),Personnel!$C$2*0.15,0)+IF(AND(Personnel!$E$3&gt;=2,Personnel!$E$3=93,Personnel!$G$3="Yes"),Personnel!$C$3*0.15,0)+IF(AND(Personnel!$E$4&gt;=2,Personnel!$E$4=93,Personnel!$G$4="Yes"),Personnel!$C$4*0.15,0)+IF(AND(Personnel!$E$5&gt;=2,Personnel!$E$5=93,Personnel!$G$5="Yes"),Personnel!$C$5*0.15,0)+IF(AND(Personnel!$E$6&gt;=2,Personnel!$E$6=93,Personnel!$G$6="Yes"),Personnel!$C$6*0.15,0)+IF(AND(Personnel!$E$7&gt;=2,Personnel!$E$7=93,Personnel!$G$7="Yes"),Personnel!$C$7*0.15,0)+IF(AND(Personnel!$E$8&gt;=2,Personnel!$E$8=93,Personnel!$G$8="Yes"),Personnel!$C$8*0.15,0)+IF(AND(Personnel!$E$9&gt;=2,Personnel!$E$9=93,Personnel!$G$9="Yes"),Personnel!$C$9*0.15,0)+IF(AND(Personnel!$E$10&gt;=2,Personnel!$E$10=93,Personnel!$G$10="Yes"),Personnel!$C$10*0.15,0)+IF(AND(Personnel!$E$11&gt;=2,Personnel!$E$11=93,Personnel!$G$11="Yes"),Personnel!$C$11*0.15,0)+IF(AND(Personnel!$E$12&gt;=2,Personnel!$E$12=93,Personnel!$G$12="Yes"),Personnel!$C$12*0.15,0)+IF(AND(Personnel!$E$13&gt;=2,Personnel!$E$13=93,Personnel!$G$13="Yes"),Personnel!$C$13*0.15,0)+IF(AND(Personnel!$E$14&gt;=2,Personnel!$E$14=93,Personnel!$G$14="Yes"),Personnel!$C$14*0.15,0)+IF(AND(Personnel!$E$15&gt;=2,Personnel!$E$15=93,Personnel!$G$15="Yes"),Personnel!$C$15*0.15,0)+IF(AND(Personnel!$E$16&gt;=2,Personnel!$E$16=93,Personnel!$G$16="Yes"),Personnel!$C$16*0.15,0)+IF(AND(Personnel!$E$17&gt;=2,Personnel!$E$17=93,Personnel!$G$17="Yes"),Personnel!$C$17*0.15,0)+IF(AND(Personnel!$E$18&gt;=2,Personnel!$E$18=93,Personnel!$G$18="Yes"),Personnel!$C$18*0.15,0)+IF(AND(Personnel!$E$19&gt;=2,Personnel!$E$19=93,Personnel!$G$19="Yes"),Personnel!$C$19*0.15,0)+IF(AND(Personnel!$E$20&gt;=2,Personnel!$E$20=93,Personnel!$G$20="Yes"),Personnel!$C$20*0.15,0)+IF(AND(Personnel!$E$21&gt;=2,Personnel!$E$21=93,Personnel!$G$21="Yes"),Personnel!$C$21*0.15,0)+IF(AND(Personnel!$E$22&gt;=2,Personnel!$E$22=93,Personnel!$G$22="Yes"),Personnel!$C$22*0.15,0)+IF(AND(Personnel!$E$23&gt;=2,Personnel!$E$23=93,Personnel!$G$23="Yes"),Personnel!$C$23*0.15,0)+IF(AND(Personnel!$E$24&gt;=2,Personnel!$E$24=93,Personnel!$G$24="Yes"),Personnel!$C$24*0.15,0)+IF(AND(Personnel!$E$25&gt;=2,Personnel!$E$25=93,Personnel!$G$25="Yes"),Personnel!$C$25*0.15,0)+IF(AND(Personnel!$E$26&gt;=2,Personnel!$E$26=93,Personnel!$G$26="Yes"),Personnel!$C$26*0.15,0)+IF(AND(Personnel!$E$27&gt;=2,Personnel!$E$27=93,Personnel!$G$27="Yes"),Personnel!$C$27*0.15,0)+IF(AND(Personnel!$E$28&gt;=2,Personnel!$E$28=93,Personnel!$G$28="Yes"),Personnel!$C$28*0.15,0)+IF(AND(Personnel!$E$29&gt;=2,Personnel!$E$29=93,Personnel!$G$29="Yes"),Personnel!$C$29*0.15,0)+IF(AND(Personnel!$E$30&gt;=2,Personnel!$E$30=93,Personnel!$G$30="Yes"),Personnel!$C$30*0.15,0)+IF(AND(Personnel!$E$31&gt;=2,Personnel!$E$31=93,Personnel!$G$31="Yes"),Personnel!$C$31*0.15,0)+IF(AND(Personnel!$E$32&gt;=2,Personnel!$E$32=93,Personnel!$G$32="Yes"),Personnel!$C$32*0.15,0)+IF(AND(Personnel!$E$33&gt;=2,Personnel!$E$33=93,Personnel!$G$33="Yes"),Personnel!$C$33*0.15,0)),Actuals!CT40)</f>
        <v>0</v>
      </c>
      <c r="CU43" s="3">
        <f>IF(ISBLANK(Actuals!CU40),-(IF(AND(Personnel!$E$2&gt;=2,Personnel!$E$2=94,Personnel!$G$2="Yes"),Personnel!$C$2*0.15,0)+IF(AND(Personnel!$E$3&gt;=2,Personnel!$E$3=94,Personnel!$G$3="Yes"),Personnel!$C$3*0.15,0)+IF(AND(Personnel!$E$4&gt;=2,Personnel!$E$4=94,Personnel!$G$4="Yes"),Personnel!$C$4*0.15,0)+IF(AND(Personnel!$E$5&gt;=2,Personnel!$E$5=94,Personnel!$G$5="Yes"),Personnel!$C$5*0.15,0)+IF(AND(Personnel!$E$6&gt;=2,Personnel!$E$6=94,Personnel!$G$6="Yes"),Personnel!$C$6*0.15,0)+IF(AND(Personnel!$E$7&gt;=2,Personnel!$E$7=94,Personnel!$G$7="Yes"),Personnel!$C$7*0.15,0)+IF(AND(Personnel!$E$8&gt;=2,Personnel!$E$8=94,Personnel!$G$8="Yes"),Personnel!$C$8*0.15,0)+IF(AND(Personnel!$E$9&gt;=2,Personnel!$E$9=94,Personnel!$G$9="Yes"),Personnel!$C$9*0.15,0)+IF(AND(Personnel!$E$10&gt;=2,Personnel!$E$10=94,Personnel!$G$10="Yes"),Personnel!$C$10*0.15,0)+IF(AND(Personnel!$E$11&gt;=2,Personnel!$E$11=94,Personnel!$G$11="Yes"),Personnel!$C$11*0.15,0)+IF(AND(Personnel!$E$12&gt;=2,Personnel!$E$12=94,Personnel!$G$12="Yes"),Personnel!$C$12*0.15,0)+IF(AND(Personnel!$E$13&gt;=2,Personnel!$E$13=94,Personnel!$G$13="Yes"),Personnel!$C$13*0.15,0)+IF(AND(Personnel!$E$14&gt;=2,Personnel!$E$14=94,Personnel!$G$14="Yes"),Personnel!$C$14*0.15,0)+IF(AND(Personnel!$E$15&gt;=2,Personnel!$E$15=94,Personnel!$G$15="Yes"),Personnel!$C$15*0.15,0)+IF(AND(Personnel!$E$16&gt;=2,Personnel!$E$16=94,Personnel!$G$16="Yes"),Personnel!$C$16*0.15,0)+IF(AND(Personnel!$E$17&gt;=2,Personnel!$E$17=94,Personnel!$G$17="Yes"),Personnel!$C$17*0.15,0)+IF(AND(Personnel!$E$18&gt;=2,Personnel!$E$18=94,Personnel!$G$18="Yes"),Personnel!$C$18*0.15,0)+IF(AND(Personnel!$E$19&gt;=2,Personnel!$E$19=94,Personnel!$G$19="Yes"),Personnel!$C$19*0.15,0)+IF(AND(Personnel!$E$20&gt;=2,Personnel!$E$20=94,Personnel!$G$20="Yes"),Personnel!$C$20*0.15,0)+IF(AND(Personnel!$E$21&gt;=2,Personnel!$E$21=94,Personnel!$G$21="Yes"),Personnel!$C$21*0.15,0)+IF(AND(Personnel!$E$22&gt;=2,Personnel!$E$22=94,Personnel!$G$22="Yes"),Personnel!$C$22*0.15,0)+IF(AND(Personnel!$E$23&gt;=2,Personnel!$E$23=94,Personnel!$G$23="Yes"),Personnel!$C$23*0.15,0)+IF(AND(Personnel!$E$24&gt;=2,Personnel!$E$24=94,Personnel!$G$24="Yes"),Personnel!$C$24*0.15,0)+IF(AND(Personnel!$E$25&gt;=2,Personnel!$E$25=94,Personnel!$G$25="Yes"),Personnel!$C$25*0.15,0)+IF(AND(Personnel!$E$26&gt;=2,Personnel!$E$26=94,Personnel!$G$26="Yes"),Personnel!$C$26*0.15,0)+IF(AND(Personnel!$E$27&gt;=2,Personnel!$E$27=94,Personnel!$G$27="Yes"),Personnel!$C$27*0.15,0)+IF(AND(Personnel!$E$28&gt;=2,Personnel!$E$28=94,Personnel!$G$28="Yes"),Personnel!$C$28*0.15,0)+IF(AND(Personnel!$E$29&gt;=2,Personnel!$E$29=94,Personnel!$G$29="Yes"),Personnel!$C$29*0.15,0)+IF(AND(Personnel!$E$30&gt;=2,Personnel!$E$30=94,Personnel!$G$30="Yes"),Personnel!$C$30*0.15,0)+IF(AND(Personnel!$E$31&gt;=2,Personnel!$E$31=94,Personnel!$G$31="Yes"),Personnel!$C$31*0.15,0)+IF(AND(Personnel!$E$32&gt;=2,Personnel!$E$32=94,Personnel!$G$32="Yes"),Personnel!$C$32*0.15,0)+IF(AND(Personnel!$E$33&gt;=2,Personnel!$E$33=94,Personnel!$G$33="Yes"),Personnel!$C$33*0.15,0)),Actuals!CU40)</f>
        <v>0</v>
      </c>
      <c r="CV43" s="3">
        <f>IF(ISBLANK(Actuals!CV40),-(IF(AND(Personnel!$E$2&gt;=2,Personnel!$E$2=95,Personnel!$G$2="Yes"),Personnel!$C$2*0.15,0)+IF(AND(Personnel!$E$3&gt;=2,Personnel!$E$3=95,Personnel!$G$3="Yes"),Personnel!$C$3*0.15,0)+IF(AND(Personnel!$E$4&gt;=2,Personnel!$E$4=95,Personnel!$G$4="Yes"),Personnel!$C$4*0.15,0)+IF(AND(Personnel!$E$5&gt;=2,Personnel!$E$5=95,Personnel!$G$5="Yes"),Personnel!$C$5*0.15,0)+IF(AND(Personnel!$E$6&gt;=2,Personnel!$E$6=95,Personnel!$G$6="Yes"),Personnel!$C$6*0.15,0)+IF(AND(Personnel!$E$7&gt;=2,Personnel!$E$7=95,Personnel!$G$7="Yes"),Personnel!$C$7*0.15,0)+IF(AND(Personnel!$E$8&gt;=2,Personnel!$E$8=95,Personnel!$G$8="Yes"),Personnel!$C$8*0.15,0)+IF(AND(Personnel!$E$9&gt;=2,Personnel!$E$9=95,Personnel!$G$9="Yes"),Personnel!$C$9*0.15,0)+IF(AND(Personnel!$E$10&gt;=2,Personnel!$E$10=95,Personnel!$G$10="Yes"),Personnel!$C$10*0.15,0)+IF(AND(Personnel!$E$11&gt;=2,Personnel!$E$11=95,Personnel!$G$11="Yes"),Personnel!$C$11*0.15,0)+IF(AND(Personnel!$E$12&gt;=2,Personnel!$E$12=95,Personnel!$G$12="Yes"),Personnel!$C$12*0.15,0)+IF(AND(Personnel!$E$13&gt;=2,Personnel!$E$13=95,Personnel!$G$13="Yes"),Personnel!$C$13*0.15,0)+IF(AND(Personnel!$E$14&gt;=2,Personnel!$E$14=95,Personnel!$G$14="Yes"),Personnel!$C$14*0.15,0)+IF(AND(Personnel!$E$15&gt;=2,Personnel!$E$15=95,Personnel!$G$15="Yes"),Personnel!$C$15*0.15,0)+IF(AND(Personnel!$E$16&gt;=2,Personnel!$E$16=95,Personnel!$G$16="Yes"),Personnel!$C$16*0.15,0)+IF(AND(Personnel!$E$17&gt;=2,Personnel!$E$17=95,Personnel!$G$17="Yes"),Personnel!$C$17*0.15,0)+IF(AND(Personnel!$E$18&gt;=2,Personnel!$E$18=95,Personnel!$G$18="Yes"),Personnel!$C$18*0.15,0)+IF(AND(Personnel!$E$19&gt;=2,Personnel!$E$19=95,Personnel!$G$19="Yes"),Personnel!$C$19*0.15,0)+IF(AND(Personnel!$E$20&gt;=2,Personnel!$E$20=95,Personnel!$G$20="Yes"),Personnel!$C$20*0.15,0)+IF(AND(Personnel!$E$21&gt;=2,Personnel!$E$21=95,Personnel!$G$21="Yes"),Personnel!$C$21*0.15,0)+IF(AND(Personnel!$E$22&gt;=2,Personnel!$E$22=95,Personnel!$G$22="Yes"),Personnel!$C$22*0.15,0)+IF(AND(Personnel!$E$23&gt;=2,Personnel!$E$23=95,Personnel!$G$23="Yes"),Personnel!$C$23*0.15,0)+IF(AND(Personnel!$E$24&gt;=2,Personnel!$E$24=95,Personnel!$G$24="Yes"),Personnel!$C$24*0.15,0)+IF(AND(Personnel!$E$25&gt;=2,Personnel!$E$25=95,Personnel!$G$25="Yes"),Personnel!$C$25*0.15,0)+IF(AND(Personnel!$E$26&gt;=2,Personnel!$E$26=95,Personnel!$G$26="Yes"),Personnel!$C$26*0.15,0)+IF(AND(Personnel!$E$27&gt;=2,Personnel!$E$27=95,Personnel!$G$27="Yes"),Personnel!$C$27*0.15,0)+IF(AND(Personnel!$E$28&gt;=2,Personnel!$E$28=95,Personnel!$G$28="Yes"),Personnel!$C$28*0.15,0)+IF(AND(Personnel!$E$29&gt;=2,Personnel!$E$29=95,Personnel!$G$29="Yes"),Personnel!$C$29*0.15,0)+IF(AND(Personnel!$E$30&gt;=2,Personnel!$E$30=95,Personnel!$G$30="Yes"),Personnel!$C$30*0.15,0)+IF(AND(Personnel!$E$31&gt;=2,Personnel!$E$31=95,Personnel!$G$31="Yes"),Personnel!$C$31*0.15,0)+IF(AND(Personnel!$E$32&gt;=2,Personnel!$E$32=95,Personnel!$G$32="Yes"),Personnel!$C$32*0.15,0)+IF(AND(Personnel!$E$33&gt;=2,Personnel!$E$33=95,Personnel!$G$33="Yes"),Personnel!$C$33*0.15,0)),Actuals!CV40)</f>
        <v>0</v>
      </c>
      <c r="CW43" s="3">
        <f>IF(ISBLANK(Actuals!CW40),-(IF(AND(Personnel!$E$2&gt;=2,Personnel!$E$2=96,Personnel!$G$2="Yes"),Personnel!$C$2*0.15,0)+IF(AND(Personnel!$E$3&gt;=2,Personnel!$E$3=96,Personnel!$G$3="Yes"),Personnel!$C$3*0.15,0)+IF(AND(Personnel!$E$4&gt;=2,Personnel!$E$4=96,Personnel!$G$4="Yes"),Personnel!$C$4*0.15,0)+IF(AND(Personnel!$E$5&gt;=2,Personnel!$E$5=96,Personnel!$G$5="Yes"),Personnel!$C$5*0.15,0)+IF(AND(Personnel!$E$6&gt;=2,Personnel!$E$6=96,Personnel!$G$6="Yes"),Personnel!$C$6*0.15,0)+IF(AND(Personnel!$E$7&gt;=2,Personnel!$E$7=96,Personnel!$G$7="Yes"),Personnel!$C$7*0.15,0)+IF(AND(Personnel!$E$8&gt;=2,Personnel!$E$8=96,Personnel!$G$8="Yes"),Personnel!$C$8*0.15,0)+IF(AND(Personnel!$E$9&gt;=2,Personnel!$E$9=96,Personnel!$G$9="Yes"),Personnel!$C$9*0.15,0)+IF(AND(Personnel!$E$10&gt;=2,Personnel!$E$10=96,Personnel!$G$10="Yes"),Personnel!$C$10*0.15,0)+IF(AND(Personnel!$E$11&gt;=2,Personnel!$E$11=96,Personnel!$G$11="Yes"),Personnel!$C$11*0.15,0)+IF(AND(Personnel!$E$12&gt;=2,Personnel!$E$12=96,Personnel!$G$12="Yes"),Personnel!$C$12*0.15,0)+IF(AND(Personnel!$E$13&gt;=2,Personnel!$E$13=96,Personnel!$G$13="Yes"),Personnel!$C$13*0.15,0)+IF(AND(Personnel!$E$14&gt;=2,Personnel!$E$14=96,Personnel!$G$14="Yes"),Personnel!$C$14*0.15,0)+IF(AND(Personnel!$E$15&gt;=2,Personnel!$E$15=96,Personnel!$G$15="Yes"),Personnel!$C$15*0.15,0)+IF(AND(Personnel!$E$16&gt;=2,Personnel!$E$16=96,Personnel!$G$16="Yes"),Personnel!$C$16*0.15,0)+IF(AND(Personnel!$E$17&gt;=2,Personnel!$E$17=96,Personnel!$G$17="Yes"),Personnel!$C$17*0.15,0)+IF(AND(Personnel!$E$18&gt;=2,Personnel!$E$18=96,Personnel!$G$18="Yes"),Personnel!$C$18*0.15,0)+IF(AND(Personnel!$E$19&gt;=2,Personnel!$E$19=96,Personnel!$G$19="Yes"),Personnel!$C$19*0.15,0)+IF(AND(Personnel!$E$20&gt;=2,Personnel!$E$20=96,Personnel!$G$20="Yes"),Personnel!$C$20*0.15,0)+IF(AND(Personnel!$E$21&gt;=2,Personnel!$E$21=96,Personnel!$G$21="Yes"),Personnel!$C$21*0.15,0)+IF(AND(Personnel!$E$22&gt;=2,Personnel!$E$22=96,Personnel!$G$22="Yes"),Personnel!$C$22*0.15,0)+IF(AND(Personnel!$E$23&gt;=2,Personnel!$E$23=96,Personnel!$G$23="Yes"),Personnel!$C$23*0.15,0)+IF(AND(Personnel!$E$24&gt;=2,Personnel!$E$24=96,Personnel!$G$24="Yes"),Personnel!$C$24*0.15,0)+IF(AND(Personnel!$E$25&gt;=2,Personnel!$E$25=96,Personnel!$G$25="Yes"),Personnel!$C$25*0.15,0)+IF(AND(Personnel!$E$26&gt;=2,Personnel!$E$26=96,Personnel!$G$26="Yes"),Personnel!$C$26*0.15,0)+IF(AND(Personnel!$E$27&gt;=2,Personnel!$E$27=96,Personnel!$G$27="Yes"),Personnel!$C$27*0.15,0)+IF(AND(Personnel!$E$28&gt;=2,Personnel!$E$28=96,Personnel!$G$28="Yes"),Personnel!$C$28*0.15,0)+IF(AND(Personnel!$E$29&gt;=2,Personnel!$E$29=96,Personnel!$G$29="Yes"),Personnel!$C$29*0.15,0)+IF(AND(Personnel!$E$30&gt;=2,Personnel!$E$30=96,Personnel!$G$30="Yes"),Personnel!$C$30*0.15,0)+IF(AND(Personnel!$E$31&gt;=2,Personnel!$E$31=96,Personnel!$G$31="Yes"),Personnel!$C$31*0.15,0)+IF(AND(Personnel!$E$32&gt;=2,Personnel!$E$32=96,Personnel!$G$32="Yes"),Personnel!$C$32*0.15,0)+IF(AND(Personnel!$E$33&gt;=2,Personnel!$E$33=96,Personnel!$G$33="Yes"),Personnel!$C$33*0.15,0)),Actuals!CW40)</f>
        <v>0</v>
      </c>
      <c r="CX43" s="3">
        <f>IF(ISBLANK(Actuals!CX40),-(IF(AND(Personnel!$E$2&gt;=2,Personnel!$E$2=97,Personnel!$G$2="Yes"),Personnel!$C$2*0.15,0)+IF(AND(Personnel!$E$3&gt;=2,Personnel!$E$3=97,Personnel!$G$3="Yes"),Personnel!$C$3*0.15,0)+IF(AND(Personnel!$E$4&gt;=2,Personnel!$E$4=97,Personnel!$G$4="Yes"),Personnel!$C$4*0.15,0)+IF(AND(Personnel!$E$5&gt;=2,Personnel!$E$5=97,Personnel!$G$5="Yes"),Personnel!$C$5*0.15,0)+IF(AND(Personnel!$E$6&gt;=2,Personnel!$E$6=97,Personnel!$G$6="Yes"),Personnel!$C$6*0.15,0)+IF(AND(Personnel!$E$7&gt;=2,Personnel!$E$7=97,Personnel!$G$7="Yes"),Personnel!$C$7*0.15,0)+IF(AND(Personnel!$E$8&gt;=2,Personnel!$E$8=97,Personnel!$G$8="Yes"),Personnel!$C$8*0.15,0)+IF(AND(Personnel!$E$9&gt;=2,Personnel!$E$9=97,Personnel!$G$9="Yes"),Personnel!$C$9*0.15,0)+IF(AND(Personnel!$E$10&gt;=2,Personnel!$E$10=97,Personnel!$G$10="Yes"),Personnel!$C$10*0.15,0)+IF(AND(Personnel!$E$11&gt;=2,Personnel!$E$11=97,Personnel!$G$11="Yes"),Personnel!$C$11*0.15,0)+IF(AND(Personnel!$E$12&gt;=2,Personnel!$E$12=97,Personnel!$G$12="Yes"),Personnel!$C$12*0.15,0)+IF(AND(Personnel!$E$13&gt;=2,Personnel!$E$13=97,Personnel!$G$13="Yes"),Personnel!$C$13*0.15,0)+IF(AND(Personnel!$E$14&gt;=2,Personnel!$E$14=97,Personnel!$G$14="Yes"),Personnel!$C$14*0.15,0)+IF(AND(Personnel!$E$15&gt;=2,Personnel!$E$15=97,Personnel!$G$15="Yes"),Personnel!$C$15*0.15,0)+IF(AND(Personnel!$E$16&gt;=2,Personnel!$E$16=97,Personnel!$G$16="Yes"),Personnel!$C$16*0.15,0)+IF(AND(Personnel!$E$17&gt;=2,Personnel!$E$17=97,Personnel!$G$17="Yes"),Personnel!$C$17*0.15,0)+IF(AND(Personnel!$E$18&gt;=2,Personnel!$E$18=97,Personnel!$G$18="Yes"),Personnel!$C$18*0.15,0)+IF(AND(Personnel!$E$19&gt;=2,Personnel!$E$19=97,Personnel!$G$19="Yes"),Personnel!$C$19*0.15,0)+IF(AND(Personnel!$E$20&gt;=2,Personnel!$E$20=97,Personnel!$G$20="Yes"),Personnel!$C$20*0.15,0)+IF(AND(Personnel!$E$21&gt;=2,Personnel!$E$21=97,Personnel!$G$21="Yes"),Personnel!$C$21*0.15,0)+IF(AND(Personnel!$E$22&gt;=2,Personnel!$E$22=97,Personnel!$G$22="Yes"),Personnel!$C$22*0.15,0)+IF(AND(Personnel!$E$23&gt;=2,Personnel!$E$23=97,Personnel!$G$23="Yes"),Personnel!$C$23*0.15,0)+IF(AND(Personnel!$E$24&gt;=2,Personnel!$E$24=97,Personnel!$G$24="Yes"),Personnel!$C$24*0.15,0)+IF(AND(Personnel!$E$25&gt;=2,Personnel!$E$25=97,Personnel!$G$25="Yes"),Personnel!$C$25*0.15,0)+IF(AND(Personnel!$E$26&gt;=2,Personnel!$E$26=97,Personnel!$G$26="Yes"),Personnel!$C$26*0.15,0)+IF(AND(Personnel!$E$27&gt;=2,Personnel!$E$27=97,Personnel!$G$27="Yes"),Personnel!$C$27*0.15,0)+IF(AND(Personnel!$E$28&gt;=2,Personnel!$E$28=97,Personnel!$G$28="Yes"),Personnel!$C$28*0.15,0)+IF(AND(Personnel!$E$29&gt;=2,Personnel!$E$29=97,Personnel!$G$29="Yes"),Personnel!$C$29*0.15,0)+IF(AND(Personnel!$E$30&gt;=2,Personnel!$E$30=97,Personnel!$G$30="Yes"),Personnel!$C$30*0.15,0)+IF(AND(Personnel!$E$31&gt;=2,Personnel!$E$31=97,Personnel!$G$31="Yes"),Personnel!$C$31*0.15,0)+IF(AND(Personnel!$E$32&gt;=2,Personnel!$E$32=97,Personnel!$G$32="Yes"),Personnel!$C$32*0.15,0)+IF(AND(Personnel!$E$33&gt;=2,Personnel!$E$33=97,Personnel!$G$33="Yes"),Personnel!$C$33*0.15,0)),Actuals!CX40)</f>
        <v>0</v>
      </c>
      <c r="CY43" s="3">
        <f>IF(ISBLANK(Actuals!CY40),-(IF(AND(Personnel!$E$2&gt;=2,Personnel!$E$2=98,Personnel!$G$2="Yes"),Personnel!$C$2*0.15,0)+IF(AND(Personnel!$E$3&gt;=2,Personnel!$E$3=98,Personnel!$G$3="Yes"),Personnel!$C$3*0.15,0)+IF(AND(Personnel!$E$4&gt;=2,Personnel!$E$4=98,Personnel!$G$4="Yes"),Personnel!$C$4*0.15,0)+IF(AND(Personnel!$E$5&gt;=2,Personnel!$E$5=98,Personnel!$G$5="Yes"),Personnel!$C$5*0.15,0)+IF(AND(Personnel!$E$6&gt;=2,Personnel!$E$6=98,Personnel!$G$6="Yes"),Personnel!$C$6*0.15,0)+IF(AND(Personnel!$E$7&gt;=2,Personnel!$E$7=98,Personnel!$G$7="Yes"),Personnel!$C$7*0.15,0)+IF(AND(Personnel!$E$8&gt;=2,Personnel!$E$8=98,Personnel!$G$8="Yes"),Personnel!$C$8*0.15,0)+IF(AND(Personnel!$E$9&gt;=2,Personnel!$E$9=98,Personnel!$G$9="Yes"),Personnel!$C$9*0.15,0)+IF(AND(Personnel!$E$10&gt;=2,Personnel!$E$10=98,Personnel!$G$10="Yes"),Personnel!$C$10*0.15,0)+IF(AND(Personnel!$E$11&gt;=2,Personnel!$E$11=98,Personnel!$G$11="Yes"),Personnel!$C$11*0.15,0)+IF(AND(Personnel!$E$12&gt;=2,Personnel!$E$12=98,Personnel!$G$12="Yes"),Personnel!$C$12*0.15,0)+IF(AND(Personnel!$E$13&gt;=2,Personnel!$E$13=98,Personnel!$G$13="Yes"),Personnel!$C$13*0.15,0)+IF(AND(Personnel!$E$14&gt;=2,Personnel!$E$14=98,Personnel!$G$14="Yes"),Personnel!$C$14*0.15,0)+IF(AND(Personnel!$E$15&gt;=2,Personnel!$E$15=98,Personnel!$G$15="Yes"),Personnel!$C$15*0.15,0)+IF(AND(Personnel!$E$16&gt;=2,Personnel!$E$16=98,Personnel!$G$16="Yes"),Personnel!$C$16*0.15,0)+IF(AND(Personnel!$E$17&gt;=2,Personnel!$E$17=98,Personnel!$G$17="Yes"),Personnel!$C$17*0.15,0)+IF(AND(Personnel!$E$18&gt;=2,Personnel!$E$18=98,Personnel!$G$18="Yes"),Personnel!$C$18*0.15,0)+IF(AND(Personnel!$E$19&gt;=2,Personnel!$E$19=98,Personnel!$G$19="Yes"),Personnel!$C$19*0.15,0)+IF(AND(Personnel!$E$20&gt;=2,Personnel!$E$20=98,Personnel!$G$20="Yes"),Personnel!$C$20*0.15,0)+IF(AND(Personnel!$E$21&gt;=2,Personnel!$E$21=98,Personnel!$G$21="Yes"),Personnel!$C$21*0.15,0)+IF(AND(Personnel!$E$22&gt;=2,Personnel!$E$22=98,Personnel!$G$22="Yes"),Personnel!$C$22*0.15,0)+IF(AND(Personnel!$E$23&gt;=2,Personnel!$E$23=98,Personnel!$G$23="Yes"),Personnel!$C$23*0.15,0)+IF(AND(Personnel!$E$24&gt;=2,Personnel!$E$24=98,Personnel!$G$24="Yes"),Personnel!$C$24*0.15,0)+IF(AND(Personnel!$E$25&gt;=2,Personnel!$E$25=98,Personnel!$G$25="Yes"),Personnel!$C$25*0.15,0)+IF(AND(Personnel!$E$26&gt;=2,Personnel!$E$26=98,Personnel!$G$26="Yes"),Personnel!$C$26*0.15,0)+IF(AND(Personnel!$E$27&gt;=2,Personnel!$E$27=98,Personnel!$G$27="Yes"),Personnel!$C$27*0.15,0)+IF(AND(Personnel!$E$28&gt;=2,Personnel!$E$28=98,Personnel!$G$28="Yes"),Personnel!$C$28*0.15,0)+IF(AND(Personnel!$E$29&gt;=2,Personnel!$E$29=98,Personnel!$G$29="Yes"),Personnel!$C$29*0.15,0)+IF(AND(Personnel!$E$30&gt;=2,Personnel!$E$30=98,Personnel!$G$30="Yes"),Personnel!$C$30*0.15,0)+IF(AND(Personnel!$E$31&gt;=2,Personnel!$E$31=98,Personnel!$G$31="Yes"),Personnel!$C$31*0.15,0)+IF(AND(Personnel!$E$32&gt;=2,Personnel!$E$32=98,Personnel!$G$32="Yes"),Personnel!$C$32*0.15,0)+IF(AND(Personnel!$E$33&gt;=2,Personnel!$E$33=98,Personnel!$G$33="Yes"),Personnel!$C$33*0.15,0)),Actuals!CY40)</f>
        <v>0</v>
      </c>
      <c r="CZ43" s="3">
        <f>IF(ISBLANK(Actuals!CZ40),-(IF(AND(Personnel!$E$2&gt;=2,Personnel!$E$2=99,Personnel!$G$2="Yes"),Personnel!$C$2*0.15,0)+IF(AND(Personnel!$E$3&gt;=2,Personnel!$E$3=99,Personnel!$G$3="Yes"),Personnel!$C$3*0.15,0)+IF(AND(Personnel!$E$4&gt;=2,Personnel!$E$4=99,Personnel!$G$4="Yes"),Personnel!$C$4*0.15,0)+IF(AND(Personnel!$E$5&gt;=2,Personnel!$E$5=99,Personnel!$G$5="Yes"),Personnel!$C$5*0.15,0)+IF(AND(Personnel!$E$6&gt;=2,Personnel!$E$6=99,Personnel!$G$6="Yes"),Personnel!$C$6*0.15,0)+IF(AND(Personnel!$E$7&gt;=2,Personnel!$E$7=99,Personnel!$G$7="Yes"),Personnel!$C$7*0.15,0)+IF(AND(Personnel!$E$8&gt;=2,Personnel!$E$8=99,Personnel!$G$8="Yes"),Personnel!$C$8*0.15,0)+IF(AND(Personnel!$E$9&gt;=2,Personnel!$E$9=99,Personnel!$G$9="Yes"),Personnel!$C$9*0.15,0)+IF(AND(Personnel!$E$10&gt;=2,Personnel!$E$10=99,Personnel!$G$10="Yes"),Personnel!$C$10*0.15,0)+IF(AND(Personnel!$E$11&gt;=2,Personnel!$E$11=99,Personnel!$G$11="Yes"),Personnel!$C$11*0.15,0)+IF(AND(Personnel!$E$12&gt;=2,Personnel!$E$12=99,Personnel!$G$12="Yes"),Personnel!$C$12*0.15,0)+IF(AND(Personnel!$E$13&gt;=2,Personnel!$E$13=99,Personnel!$G$13="Yes"),Personnel!$C$13*0.15,0)+IF(AND(Personnel!$E$14&gt;=2,Personnel!$E$14=99,Personnel!$G$14="Yes"),Personnel!$C$14*0.15,0)+IF(AND(Personnel!$E$15&gt;=2,Personnel!$E$15=99,Personnel!$G$15="Yes"),Personnel!$C$15*0.15,0)+IF(AND(Personnel!$E$16&gt;=2,Personnel!$E$16=99,Personnel!$G$16="Yes"),Personnel!$C$16*0.15,0)+IF(AND(Personnel!$E$17&gt;=2,Personnel!$E$17=99,Personnel!$G$17="Yes"),Personnel!$C$17*0.15,0)+IF(AND(Personnel!$E$18&gt;=2,Personnel!$E$18=99,Personnel!$G$18="Yes"),Personnel!$C$18*0.15,0)+IF(AND(Personnel!$E$19&gt;=2,Personnel!$E$19=99,Personnel!$G$19="Yes"),Personnel!$C$19*0.15,0)+IF(AND(Personnel!$E$20&gt;=2,Personnel!$E$20=99,Personnel!$G$20="Yes"),Personnel!$C$20*0.15,0)+IF(AND(Personnel!$E$21&gt;=2,Personnel!$E$21=99,Personnel!$G$21="Yes"),Personnel!$C$21*0.15,0)+IF(AND(Personnel!$E$22&gt;=2,Personnel!$E$22=99,Personnel!$G$22="Yes"),Personnel!$C$22*0.15,0)+IF(AND(Personnel!$E$23&gt;=2,Personnel!$E$23=99,Personnel!$G$23="Yes"),Personnel!$C$23*0.15,0)+IF(AND(Personnel!$E$24&gt;=2,Personnel!$E$24=99,Personnel!$G$24="Yes"),Personnel!$C$24*0.15,0)+IF(AND(Personnel!$E$25&gt;=2,Personnel!$E$25=99,Personnel!$G$25="Yes"),Personnel!$C$25*0.15,0)+IF(AND(Personnel!$E$26&gt;=2,Personnel!$E$26=99,Personnel!$G$26="Yes"),Personnel!$C$26*0.15,0)+IF(AND(Personnel!$E$27&gt;=2,Personnel!$E$27=99,Personnel!$G$27="Yes"),Personnel!$C$27*0.15,0)+IF(AND(Personnel!$E$28&gt;=2,Personnel!$E$28=99,Personnel!$G$28="Yes"),Personnel!$C$28*0.15,0)+IF(AND(Personnel!$E$29&gt;=2,Personnel!$E$29=99,Personnel!$G$29="Yes"),Personnel!$C$29*0.15,0)+IF(AND(Personnel!$E$30&gt;=2,Personnel!$E$30=99,Personnel!$G$30="Yes"),Personnel!$C$30*0.15,0)+IF(AND(Personnel!$E$31&gt;=2,Personnel!$E$31=99,Personnel!$G$31="Yes"),Personnel!$C$31*0.15,0)+IF(AND(Personnel!$E$32&gt;=2,Personnel!$E$32=99,Personnel!$G$32="Yes"),Personnel!$C$32*0.15,0)+IF(AND(Personnel!$E$33&gt;=2,Personnel!$E$33=99,Personnel!$G$33="Yes"),Personnel!$C$33*0.15,0)),Actuals!CZ40)</f>
        <v>0</v>
      </c>
      <c r="DA43" s="3">
        <f>IF(ISBLANK(Actuals!DA40),-(IF(AND(Personnel!$E$2&gt;=2,Personnel!$E$2=100,Personnel!$G$2="Yes"),Personnel!$C$2*0.15,0)+IF(AND(Personnel!$E$3&gt;=2,Personnel!$E$3=100,Personnel!$G$3="Yes"),Personnel!$C$3*0.15,0)+IF(AND(Personnel!$E$4&gt;=2,Personnel!$E$4=100,Personnel!$G$4="Yes"),Personnel!$C$4*0.15,0)+IF(AND(Personnel!$E$5&gt;=2,Personnel!$E$5=100,Personnel!$G$5="Yes"),Personnel!$C$5*0.15,0)+IF(AND(Personnel!$E$6&gt;=2,Personnel!$E$6=100,Personnel!$G$6="Yes"),Personnel!$C$6*0.15,0)+IF(AND(Personnel!$E$7&gt;=2,Personnel!$E$7=100,Personnel!$G$7="Yes"),Personnel!$C$7*0.15,0)+IF(AND(Personnel!$E$8&gt;=2,Personnel!$E$8=100,Personnel!$G$8="Yes"),Personnel!$C$8*0.15,0)+IF(AND(Personnel!$E$9&gt;=2,Personnel!$E$9=100,Personnel!$G$9="Yes"),Personnel!$C$9*0.15,0)+IF(AND(Personnel!$E$10&gt;=2,Personnel!$E$10=100,Personnel!$G$10="Yes"),Personnel!$C$10*0.15,0)+IF(AND(Personnel!$E$11&gt;=2,Personnel!$E$11=100,Personnel!$G$11="Yes"),Personnel!$C$11*0.15,0)+IF(AND(Personnel!$E$12&gt;=2,Personnel!$E$12=100,Personnel!$G$12="Yes"),Personnel!$C$12*0.15,0)+IF(AND(Personnel!$E$13&gt;=2,Personnel!$E$13=100,Personnel!$G$13="Yes"),Personnel!$C$13*0.15,0)+IF(AND(Personnel!$E$14&gt;=2,Personnel!$E$14=100,Personnel!$G$14="Yes"),Personnel!$C$14*0.15,0)+IF(AND(Personnel!$E$15&gt;=2,Personnel!$E$15=100,Personnel!$G$15="Yes"),Personnel!$C$15*0.15,0)+IF(AND(Personnel!$E$16&gt;=2,Personnel!$E$16=100,Personnel!$G$16="Yes"),Personnel!$C$16*0.15,0)+IF(AND(Personnel!$E$17&gt;=2,Personnel!$E$17=100,Personnel!$G$17="Yes"),Personnel!$C$17*0.15,0)+IF(AND(Personnel!$E$18&gt;=2,Personnel!$E$18=100,Personnel!$G$18="Yes"),Personnel!$C$18*0.15,0)+IF(AND(Personnel!$E$19&gt;=2,Personnel!$E$19=100,Personnel!$G$19="Yes"),Personnel!$C$19*0.15,0)+IF(AND(Personnel!$E$20&gt;=2,Personnel!$E$20=100,Personnel!$G$20="Yes"),Personnel!$C$20*0.15,0)+IF(AND(Personnel!$E$21&gt;=2,Personnel!$E$21=100,Personnel!$G$21="Yes"),Personnel!$C$21*0.15,0)+IF(AND(Personnel!$E$22&gt;=2,Personnel!$E$22=100,Personnel!$G$22="Yes"),Personnel!$C$22*0.15,0)+IF(AND(Personnel!$E$23&gt;=2,Personnel!$E$23=100,Personnel!$G$23="Yes"),Personnel!$C$23*0.15,0)+IF(AND(Personnel!$E$24&gt;=2,Personnel!$E$24=100,Personnel!$G$24="Yes"),Personnel!$C$24*0.15,0)+IF(AND(Personnel!$E$25&gt;=2,Personnel!$E$25=100,Personnel!$G$25="Yes"),Personnel!$C$25*0.15,0)+IF(AND(Personnel!$E$26&gt;=2,Personnel!$E$26=100,Personnel!$G$26="Yes"),Personnel!$C$26*0.15,0)+IF(AND(Personnel!$E$27&gt;=2,Personnel!$E$27=100,Personnel!$G$27="Yes"),Personnel!$C$27*0.15,0)+IF(AND(Personnel!$E$28&gt;=2,Personnel!$E$28=100,Personnel!$G$28="Yes"),Personnel!$C$28*0.15,0)+IF(AND(Personnel!$E$29&gt;=2,Personnel!$E$29=100,Personnel!$G$29="Yes"),Personnel!$C$29*0.15,0)+IF(AND(Personnel!$E$30&gt;=2,Personnel!$E$30=100,Personnel!$G$30="Yes"),Personnel!$C$30*0.15,0)+IF(AND(Personnel!$E$31&gt;=2,Personnel!$E$31=100,Personnel!$G$31="Yes"),Personnel!$C$31*0.15,0)+IF(AND(Personnel!$E$32&gt;=2,Personnel!$E$32=100,Personnel!$G$32="Yes"),Personnel!$C$32*0.15,0)+IF(AND(Personnel!$E$33&gt;=2,Personnel!$E$33=100,Personnel!$G$33="Yes"),Personnel!$C$33*0.15,0)),Actuals!DA40)</f>
        <v>0</v>
      </c>
      <c r="DB43" s="3">
        <f>IF(ISBLANK(Actuals!DB40),-(IF(AND(Personnel!$E$2&gt;=2,Personnel!$E$2=101,Personnel!$G$2="Yes"),Personnel!$C$2*0.15,0)+IF(AND(Personnel!$E$3&gt;=2,Personnel!$E$3=101,Personnel!$G$3="Yes"),Personnel!$C$3*0.15,0)+IF(AND(Personnel!$E$4&gt;=2,Personnel!$E$4=101,Personnel!$G$4="Yes"),Personnel!$C$4*0.15,0)+IF(AND(Personnel!$E$5&gt;=2,Personnel!$E$5=101,Personnel!$G$5="Yes"),Personnel!$C$5*0.15,0)+IF(AND(Personnel!$E$6&gt;=2,Personnel!$E$6=101,Personnel!$G$6="Yes"),Personnel!$C$6*0.15,0)+IF(AND(Personnel!$E$7&gt;=2,Personnel!$E$7=101,Personnel!$G$7="Yes"),Personnel!$C$7*0.15,0)+IF(AND(Personnel!$E$8&gt;=2,Personnel!$E$8=101,Personnel!$G$8="Yes"),Personnel!$C$8*0.15,0)+IF(AND(Personnel!$E$9&gt;=2,Personnel!$E$9=101,Personnel!$G$9="Yes"),Personnel!$C$9*0.15,0)+IF(AND(Personnel!$E$10&gt;=2,Personnel!$E$10=101,Personnel!$G$10="Yes"),Personnel!$C$10*0.15,0)+IF(AND(Personnel!$E$11&gt;=2,Personnel!$E$11=101,Personnel!$G$11="Yes"),Personnel!$C$11*0.15,0)+IF(AND(Personnel!$E$12&gt;=2,Personnel!$E$12=101,Personnel!$G$12="Yes"),Personnel!$C$12*0.15,0)+IF(AND(Personnel!$E$13&gt;=2,Personnel!$E$13=101,Personnel!$G$13="Yes"),Personnel!$C$13*0.15,0)+IF(AND(Personnel!$E$14&gt;=2,Personnel!$E$14=101,Personnel!$G$14="Yes"),Personnel!$C$14*0.15,0)+IF(AND(Personnel!$E$15&gt;=2,Personnel!$E$15=101,Personnel!$G$15="Yes"),Personnel!$C$15*0.15,0)+IF(AND(Personnel!$E$16&gt;=2,Personnel!$E$16=101,Personnel!$G$16="Yes"),Personnel!$C$16*0.15,0)+IF(AND(Personnel!$E$17&gt;=2,Personnel!$E$17=101,Personnel!$G$17="Yes"),Personnel!$C$17*0.15,0)+IF(AND(Personnel!$E$18&gt;=2,Personnel!$E$18=101,Personnel!$G$18="Yes"),Personnel!$C$18*0.15,0)+IF(AND(Personnel!$E$19&gt;=2,Personnel!$E$19=101,Personnel!$G$19="Yes"),Personnel!$C$19*0.15,0)+IF(AND(Personnel!$E$20&gt;=2,Personnel!$E$20=101,Personnel!$G$20="Yes"),Personnel!$C$20*0.15,0)+IF(AND(Personnel!$E$21&gt;=2,Personnel!$E$21=101,Personnel!$G$21="Yes"),Personnel!$C$21*0.15,0)+IF(AND(Personnel!$E$22&gt;=2,Personnel!$E$22=101,Personnel!$G$22="Yes"),Personnel!$C$22*0.15,0)+IF(AND(Personnel!$E$23&gt;=2,Personnel!$E$23=101,Personnel!$G$23="Yes"),Personnel!$C$23*0.15,0)+IF(AND(Personnel!$E$24&gt;=2,Personnel!$E$24=101,Personnel!$G$24="Yes"),Personnel!$C$24*0.15,0)+IF(AND(Personnel!$E$25&gt;=2,Personnel!$E$25=101,Personnel!$G$25="Yes"),Personnel!$C$25*0.15,0)+IF(AND(Personnel!$E$26&gt;=2,Personnel!$E$26=101,Personnel!$G$26="Yes"),Personnel!$C$26*0.15,0)+IF(AND(Personnel!$E$27&gt;=2,Personnel!$E$27=101,Personnel!$G$27="Yes"),Personnel!$C$27*0.15,0)+IF(AND(Personnel!$E$28&gt;=2,Personnel!$E$28=101,Personnel!$G$28="Yes"),Personnel!$C$28*0.15,0)+IF(AND(Personnel!$E$29&gt;=2,Personnel!$E$29=101,Personnel!$G$29="Yes"),Personnel!$C$29*0.15,0)+IF(AND(Personnel!$E$30&gt;=2,Personnel!$E$30=101,Personnel!$G$30="Yes"),Personnel!$C$30*0.15,0)+IF(AND(Personnel!$E$31&gt;=2,Personnel!$E$31=101,Personnel!$G$31="Yes"),Personnel!$C$31*0.15,0)+IF(AND(Personnel!$E$32&gt;=2,Personnel!$E$32=101,Personnel!$G$32="Yes"),Personnel!$C$32*0.15,0)+IF(AND(Personnel!$E$33&gt;=2,Personnel!$E$33=101,Personnel!$G$33="Yes"),Personnel!$C$33*0.15,0)),Actuals!DB40)</f>
        <v>0</v>
      </c>
      <c r="DC43" s="3">
        <f>IF(ISBLANK(Actuals!DC40),-(IF(AND(Personnel!$E$2&gt;=2,Personnel!$E$2=102,Personnel!$G$2="Yes"),Personnel!$C$2*0.15,0)+IF(AND(Personnel!$E$3&gt;=2,Personnel!$E$3=102,Personnel!$G$3="Yes"),Personnel!$C$3*0.15,0)+IF(AND(Personnel!$E$4&gt;=2,Personnel!$E$4=102,Personnel!$G$4="Yes"),Personnel!$C$4*0.15,0)+IF(AND(Personnel!$E$5&gt;=2,Personnel!$E$5=102,Personnel!$G$5="Yes"),Personnel!$C$5*0.15,0)+IF(AND(Personnel!$E$6&gt;=2,Personnel!$E$6=102,Personnel!$G$6="Yes"),Personnel!$C$6*0.15,0)+IF(AND(Personnel!$E$7&gt;=2,Personnel!$E$7=102,Personnel!$G$7="Yes"),Personnel!$C$7*0.15,0)+IF(AND(Personnel!$E$8&gt;=2,Personnel!$E$8=102,Personnel!$G$8="Yes"),Personnel!$C$8*0.15,0)+IF(AND(Personnel!$E$9&gt;=2,Personnel!$E$9=102,Personnel!$G$9="Yes"),Personnel!$C$9*0.15,0)+IF(AND(Personnel!$E$10&gt;=2,Personnel!$E$10=102,Personnel!$G$10="Yes"),Personnel!$C$10*0.15,0)+IF(AND(Personnel!$E$11&gt;=2,Personnel!$E$11=102,Personnel!$G$11="Yes"),Personnel!$C$11*0.15,0)+IF(AND(Personnel!$E$12&gt;=2,Personnel!$E$12=102,Personnel!$G$12="Yes"),Personnel!$C$12*0.15,0)+IF(AND(Personnel!$E$13&gt;=2,Personnel!$E$13=102,Personnel!$G$13="Yes"),Personnel!$C$13*0.15,0)+IF(AND(Personnel!$E$14&gt;=2,Personnel!$E$14=102,Personnel!$G$14="Yes"),Personnel!$C$14*0.15,0)+IF(AND(Personnel!$E$15&gt;=2,Personnel!$E$15=102,Personnel!$G$15="Yes"),Personnel!$C$15*0.15,0)+IF(AND(Personnel!$E$16&gt;=2,Personnel!$E$16=102,Personnel!$G$16="Yes"),Personnel!$C$16*0.15,0)+IF(AND(Personnel!$E$17&gt;=2,Personnel!$E$17=102,Personnel!$G$17="Yes"),Personnel!$C$17*0.15,0)+IF(AND(Personnel!$E$18&gt;=2,Personnel!$E$18=102,Personnel!$G$18="Yes"),Personnel!$C$18*0.15,0)+IF(AND(Personnel!$E$19&gt;=2,Personnel!$E$19=102,Personnel!$G$19="Yes"),Personnel!$C$19*0.15,0)+IF(AND(Personnel!$E$20&gt;=2,Personnel!$E$20=102,Personnel!$G$20="Yes"),Personnel!$C$20*0.15,0)+IF(AND(Personnel!$E$21&gt;=2,Personnel!$E$21=102,Personnel!$G$21="Yes"),Personnel!$C$21*0.15,0)+IF(AND(Personnel!$E$22&gt;=2,Personnel!$E$22=102,Personnel!$G$22="Yes"),Personnel!$C$22*0.15,0)+IF(AND(Personnel!$E$23&gt;=2,Personnel!$E$23=102,Personnel!$G$23="Yes"),Personnel!$C$23*0.15,0)+IF(AND(Personnel!$E$24&gt;=2,Personnel!$E$24=102,Personnel!$G$24="Yes"),Personnel!$C$24*0.15,0)+IF(AND(Personnel!$E$25&gt;=2,Personnel!$E$25=102,Personnel!$G$25="Yes"),Personnel!$C$25*0.15,0)+IF(AND(Personnel!$E$26&gt;=2,Personnel!$E$26=102,Personnel!$G$26="Yes"),Personnel!$C$26*0.15,0)+IF(AND(Personnel!$E$27&gt;=2,Personnel!$E$27=102,Personnel!$G$27="Yes"),Personnel!$C$27*0.15,0)+IF(AND(Personnel!$E$28&gt;=2,Personnel!$E$28=102,Personnel!$G$28="Yes"),Personnel!$C$28*0.15,0)+IF(AND(Personnel!$E$29&gt;=2,Personnel!$E$29=102,Personnel!$G$29="Yes"),Personnel!$C$29*0.15,0)+IF(AND(Personnel!$E$30&gt;=2,Personnel!$E$30=102,Personnel!$G$30="Yes"),Personnel!$C$30*0.15,0)+IF(AND(Personnel!$E$31&gt;=2,Personnel!$E$31=102,Personnel!$G$31="Yes"),Personnel!$C$31*0.15,0)+IF(AND(Personnel!$E$32&gt;=2,Personnel!$E$32=102,Personnel!$G$32="Yes"),Personnel!$C$32*0.15,0)+IF(AND(Personnel!$E$33&gt;=2,Personnel!$E$33=102,Personnel!$G$33="Yes"),Personnel!$C$33*0.15,0)),Actuals!DC40)</f>
        <v>0</v>
      </c>
      <c r="DD43" s="3">
        <f>IF(ISBLANK(Actuals!DD40),-(IF(AND(Personnel!$E$2&gt;=2,Personnel!$E$2=103,Personnel!$G$2="Yes"),Personnel!$C$2*0.15,0)+IF(AND(Personnel!$E$3&gt;=2,Personnel!$E$3=103,Personnel!$G$3="Yes"),Personnel!$C$3*0.15,0)+IF(AND(Personnel!$E$4&gt;=2,Personnel!$E$4=103,Personnel!$G$4="Yes"),Personnel!$C$4*0.15,0)+IF(AND(Personnel!$E$5&gt;=2,Personnel!$E$5=103,Personnel!$G$5="Yes"),Personnel!$C$5*0.15,0)+IF(AND(Personnel!$E$6&gt;=2,Personnel!$E$6=103,Personnel!$G$6="Yes"),Personnel!$C$6*0.15,0)+IF(AND(Personnel!$E$7&gt;=2,Personnel!$E$7=103,Personnel!$G$7="Yes"),Personnel!$C$7*0.15,0)+IF(AND(Personnel!$E$8&gt;=2,Personnel!$E$8=103,Personnel!$G$8="Yes"),Personnel!$C$8*0.15,0)+IF(AND(Personnel!$E$9&gt;=2,Personnel!$E$9=103,Personnel!$G$9="Yes"),Personnel!$C$9*0.15,0)+IF(AND(Personnel!$E$10&gt;=2,Personnel!$E$10=103,Personnel!$G$10="Yes"),Personnel!$C$10*0.15,0)+IF(AND(Personnel!$E$11&gt;=2,Personnel!$E$11=103,Personnel!$G$11="Yes"),Personnel!$C$11*0.15,0)+IF(AND(Personnel!$E$12&gt;=2,Personnel!$E$12=103,Personnel!$G$12="Yes"),Personnel!$C$12*0.15,0)+IF(AND(Personnel!$E$13&gt;=2,Personnel!$E$13=103,Personnel!$G$13="Yes"),Personnel!$C$13*0.15,0)+IF(AND(Personnel!$E$14&gt;=2,Personnel!$E$14=103,Personnel!$G$14="Yes"),Personnel!$C$14*0.15,0)+IF(AND(Personnel!$E$15&gt;=2,Personnel!$E$15=103,Personnel!$G$15="Yes"),Personnel!$C$15*0.15,0)+IF(AND(Personnel!$E$16&gt;=2,Personnel!$E$16=103,Personnel!$G$16="Yes"),Personnel!$C$16*0.15,0)+IF(AND(Personnel!$E$17&gt;=2,Personnel!$E$17=103,Personnel!$G$17="Yes"),Personnel!$C$17*0.15,0)+IF(AND(Personnel!$E$18&gt;=2,Personnel!$E$18=103,Personnel!$G$18="Yes"),Personnel!$C$18*0.15,0)+IF(AND(Personnel!$E$19&gt;=2,Personnel!$E$19=103,Personnel!$G$19="Yes"),Personnel!$C$19*0.15,0)+IF(AND(Personnel!$E$20&gt;=2,Personnel!$E$20=103,Personnel!$G$20="Yes"),Personnel!$C$20*0.15,0)+IF(AND(Personnel!$E$21&gt;=2,Personnel!$E$21=103,Personnel!$G$21="Yes"),Personnel!$C$21*0.15,0)+IF(AND(Personnel!$E$22&gt;=2,Personnel!$E$22=103,Personnel!$G$22="Yes"),Personnel!$C$22*0.15,0)+IF(AND(Personnel!$E$23&gt;=2,Personnel!$E$23=103,Personnel!$G$23="Yes"),Personnel!$C$23*0.15,0)+IF(AND(Personnel!$E$24&gt;=2,Personnel!$E$24=103,Personnel!$G$24="Yes"),Personnel!$C$24*0.15,0)+IF(AND(Personnel!$E$25&gt;=2,Personnel!$E$25=103,Personnel!$G$25="Yes"),Personnel!$C$25*0.15,0)+IF(AND(Personnel!$E$26&gt;=2,Personnel!$E$26=103,Personnel!$G$26="Yes"),Personnel!$C$26*0.15,0)+IF(AND(Personnel!$E$27&gt;=2,Personnel!$E$27=103,Personnel!$G$27="Yes"),Personnel!$C$27*0.15,0)+IF(AND(Personnel!$E$28&gt;=2,Personnel!$E$28=103,Personnel!$G$28="Yes"),Personnel!$C$28*0.15,0)+IF(AND(Personnel!$E$29&gt;=2,Personnel!$E$29=103,Personnel!$G$29="Yes"),Personnel!$C$29*0.15,0)+IF(AND(Personnel!$E$30&gt;=2,Personnel!$E$30=103,Personnel!$G$30="Yes"),Personnel!$C$30*0.15,0)+IF(AND(Personnel!$E$31&gt;=2,Personnel!$E$31=103,Personnel!$G$31="Yes"),Personnel!$C$31*0.15,0)+IF(AND(Personnel!$E$32&gt;=2,Personnel!$E$32=103,Personnel!$G$32="Yes"),Personnel!$C$32*0.15,0)+IF(AND(Personnel!$E$33&gt;=2,Personnel!$E$33=103,Personnel!$G$33="Yes"),Personnel!$C$33*0.15,0)),Actuals!DD40)</f>
        <v>0</v>
      </c>
      <c r="DE43" s="3">
        <f>IF(ISBLANK(Actuals!DE40),-(IF(AND(Personnel!$E$2&gt;=2,Personnel!$E$2=104,Personnel!$G$2="Yes"),Personnel!$C$2*0.15,0)+IF(AND(Personnel!$E$3&gt;=2,Personnel!$E$3=104,Personnel!$G$3="Yes"),Personnel!$C$3*0.15,0)+IF(AND(Personnel!$E$4&gt;=2,Personnel!$E$4=104,Personnel!$G$4="Yes"),Personnel!$C$4*0.15,0)+IF(AND(Personnel!$E$5&gt;=2,Personnel!$E$5=104,Personnel!$G$5="Yes"),Personnel!$C$5*0.15,0)+IF(AND(Personnel!$E$6&gt;=2,Personnel!$E$6=104,Personnel!$G$6="Yes"),Personnel!$C$6*0.15,0)+IF(AND(Personnel!$E$7&gt;=2,Personnel!$E$7=104,Personnel!$G$7="Yes"),Personnel!$C$7*0.15,0)+IF(AND(Personnel!$E$8&gt;=2,Personnel!$E$8=104,Personnel!$G$8="Yes"),Personnel!$C$8*0.15,0)+IF(AND(Personnel!$E$9&gt;=2,Personnel!$E$9=104,Personnel!$G$9="Yes"),Personnel!$C$9*0.15,0)+IF(AND(Personnel!$E$10&gt;=2,Personnel!$E$10=104,Personnel!$G$10="Yes"),Personnel!$C$10*0.15,0)+IF(AND(Personnel!$E$11&gt;=2,Personnel!$E$11=104,Personnel!$G$11="Yes"),Personnel!$C$11*0.15,0)+IF(AND(Personnel!$E$12&gt;=2,Personnel!$E$12=104,Personnel!$G$12="Yes"),Personnel!$C$12*0.15,0)+IF(AND(Personnel!$E$13&gt;=2,Personnel!$E$13=104,Personnel!$G$13="Yes"),Personnel!$C$13*0.15,0)+IF(AND(Personnel!$E$14&gt;=2,Personnel!$E$14=104,Personnel!$G$14="Yes"),Personnel!$C$14*0.15,0)+IF(AND(Personnel!$E$15&gt;=2,Personnel!$E$15=104,Personnel!$G$15="Yes"),Personnel!$C$15*0.15,0)+IF(AND(Personnel!$E$16&gt;=2,Personnel!$E$16=104,Personnel!$G$16="Yes"),Personnel!$C$16*0.15,0)+IF(AND(Personnel!$E$17&gt;=2,Personnel!$E$17=104,Personnel!$G$17="Yes"),Personnel!$C$17*0.15,0)+IF(AND(Personnel!$E$18&gt;=2,Personnel!$E$18=104,Personnel!$G$18="Yes"),Personnel!$C$18*0.15,0)+IF(AND(Personnel!$E$19&gt;=2,Personnel!$E$19=104,Personnel!$G$19="Yes"),Personnel!$C$19*0.15,0)+IF(AND(Personnel!$E$20&gt;=2,Personnel!$E$20=104,Personnel!$G$20="Yes"),Personnel!$C$20*0.15,0)+IF(AND(Personnel!$E$21&gt;=2,Personnel!$E$21=104,Personnel!$G$21="Yes"),Personnel!$C$21*0.15,0)+IF(AND(Personnel!$E$22&gt;=2,Personnel!$E$22=104,Personnel!$G$22="Yes"),Personnel!$C$22*0.15,0)+IF(AND(Personnel!$E$23&gt;=2,Personnel!$E$23=104,Personnel!$G$23="Yes"),Personnel!$C$23*0.15,0)+IF(AND(Personnel!$E$24&gt;=2,Personnel!$E$24=104,Personnel!$G$24="Yes"),Personnel!$C$24*0.15,0)+IF(AND(Personnel!$E$25&gt;=2,Personnel!$E$25=104,Personnel!$G$25="Yes"),Personnel!$C$25*0.15,0)+IF(AND(Personnel!$E$26&gt;=2,Personnel!$E$26=104,Personnel!$G$26="Yes"),Personnel!$C$26*0.15,0)+IF(AND(Personnel!$E$27&gt;=2,Personnel!$E$27=104,Personnel!$G$27="Yes"),Personnel!$C$27*0.15,0)+IF(AND(Personnel!$E$28&gt;=2,Personnel!$E$28=104,Personnel!$G$28="Yes"),Personnel!$C$28*0.15,0)+IF(AND(Personnel!$E$29&gt;=2,Personnel!$E$29=104,Personnel!$G$29="Yes"),Personnel!$C$29*0.15,0)+IF(AND(Personnel!$E$30&gt;=2,Personnel!$E$30=104,Personnel!$G$30="Yes"),Personnel!$C$30*0.15,0)+IF(AND(Personnel!$E$31&gt;=2,Personnel!$E$31=104,Personnel!$G$31="Yes"),Personnel!$C$31*0.15,0)+IF(AND(Personnel!$E$32&gt;=2,Personnel!$E$32=104,Personnel!$G$32="Yes"),Personnel!$C$32*0.15,0)+IF(AND(Personnel!$E$33&gt;=2,Personnel!$E$33=104,Personnel!$G$33="Yes"),Personnel!$C$33*0.15,0)),Actuals!DE40)</f>
        <v>0</v>
      </c>
      <c r="DF43" s="3">
        <f>IF(ISBLANK(Actuals!DF40),-(IF(AND(Personnel!$E$2&gt;=2,Personnel!$E$2=105,Personnel!$G$2="Yes"),Personnel!$C$2*0.15,0)+IF(AND(Personnel!$E$3&gt;=2,Personnel!$E$3=105,Personnel!$G$3="Yes"),Personnel!$C$3*0.15,0)+IF(AND(Personnel!$E$4&gt;=2,Personnel!$E$4=105,Personnel!$G$4="Yes"),Personnel!$C$4*0.15,0)+IF(AND(Personnel!$E$5&gt;=2,Personnel!$E$5=105,Personnel!$G$5="Yes"),Personnel!$C$5*0.15,0)+IF(AND(Personnel!$E$6&gt;=2,Personnel!$E$6=105,Personnel!$G$6="Yes"),Personnel!$C$6*0.15,0)+IF(AND(Personnel!$E$7&gt;=2,Personnel!$E$7=105,Personnel!$G$7="Yes"),Personnel!$C$7*0.15,0)+IF(AND(Personnel!$E$8&gt;=2,Personnel!$E$8=105,Personnel!$G$8="Yes"),Personnel!$C$8*0.15,0)+IF(AND(Personnel!$E$9&gt;=2,Personnel!$E$9=105,Personnel!$G$9="Yes"),Personnel!$C$9*0.15,0)+IF(AND(Personnel!$E$10&gt;=2,Personnel!$E$10=105,Personnel!$G$10="Yes"),Personnel!$C$10*0.15,0)+IF(AND(Personnel!$E$11&gt;=2,Personnel!$E$11=105,Personnel!$G$11="Yes"),Personnel!$C$11*0.15,0)+IF(AND(Personnel!$E$12&gt;=2,Personnel!$E$12=105,Personnel!$G$12="Yes"),Personnel!$C$12*0.15,0)+IF(AND(Personnel!$E$13&gt;=2,Personnel!$E$13=105,Personnel!$G$13="Yes"),Personnel!$C$13*0.15,0)+IF(AND(Personnel!$E$14&gt;=2,Personnel!$E$14=105,Personnel!$G$14="Yes"),Personnel!$C$14*0.15,0)+IF(AND(Personnel!$E$15&gt;=2,Personnel!$E$15=105,Personnel!$G$15="Yes"),Personnel!$C$15*0.15,0)+IF(AND(Personnel!$E$16&gt;=2,Personnel!$E$16=105,Personnel!$G$16="Yes"),Personnel!$C$16*0.15,0)+IF(AND(Personnel!$E$17&gt;=2,Personnel!$E$17=105,Personnel!$G$17="Yes"),Personnel!$C$17*0.15,0)+IF(AND(Personnel!$E$18&gt;=2,Personnel!$E$18=105,Personnel!$G$18="Yes"),Personnel!$C$18*0.15,0)+IF(AND(Personnel!$E$19&gt;=2,Personnel!$E$19=105,Personnel!$G$19="Yes"),Personnel!$C$19*0.15,0)+IF(AND(Personnel!$E$20&gt;=2,Personnel!$E$20=105,Personnel!$G$20="Yes"),Personnel!$C$20*0.15,0)+IF(AND(Personnel!$E$21&gt;=2,Personnel!$E$21=105,Personnel!$G$21="Yes"),Personnel!$C$21*0.15,0)+IF(AND(Personnel!$E$22&gt;=2,Personnel!$E$22=105,Personnel!$G$22="Yes"),Personnel!$C$22*0.15,0)+IF(AND(Personnel!$E$23&gt;=2,Personnel!$E$23=105,Personnel!$G$23="Yes"),Personnel!$C$23*0.15,0)+IF(AND(Personnel!$E$24&gt;=2,Personnel!$E$24=105,Personnel!$G$24="Yes"),Personnel!$C$24*0.15,0)+IF(AND(Personnel!$E$25&gt;=2,Personnel!$E$25=105,Personnel!$G$25="Yes"),Personnel!$C$25*0.15,0)+IF(AND(Personnel!$E$26&gt;=2,Personnel!$E$26=105,Personnel!$G$26="Yes"),Personnel!$C$26*0.15,0)+IF(AND(Personnel!$E$27&gt;=2,Personnel!$E$27=105,Personnel!$G$27="Yes"),Personnel!$C$27*0.15,0)+IF(AND(Personnel!$E$28&gt;=2,Personnel!$E$28=105,Personnel!$G$28="Yes"),Personnel!$C$28*0.15,0)+IF(AND(Personnel!$E$29&gt;=2,Personnel!$E$29=105,Personnel!$G$29="Yes"),Personnel!$C$29*0.15,0)+IF(AND(Personnel!$E$30&gt;=2,Personnel!$E$30=105,Personnel!$G$30="Yes"),Personnel!$C$30*0.15,0)+IF(AND(Personnel!$E$31&gt;=2,Personnel!$E$31=105,Personnel!$G$31="Yes"),Personnel!$C$31*0.15,0)+IF(AND(Personnel!$E$32&gt;=2,Personnel!$E$32=105,Personnel!$G$32="Yes"),Personnel!$C$32*0.15,0)+IF(AND(Personnel!$E$33&gt;=2,Personnel!$E$33=105,Personnel!$G$33="Yes"),Personnel!$C$33*0.15,0)),Actuals!DF40)</f>
        <v>0</v>
      </c>
    </row>
    <row r="44" spans="1:110" ht="15" customHeight="1" x14ac:dyDescent="0.25">
      <c r="A44" s="13" t="s">
        <v>84</v>
      </c>
      <c r="B44" s="302"/>
      <c r="C44" s="3">
        <f>IF(ISBLANK(Actuals!C41),0,Actuals!C41)</f>
        <v>-165</v>
      </c>
      <c r="D44" s="3">
        <f>IF(ISBLANK(Actuals!D41),0,Actuals!D41)</f>
        <v>0</v>
      </c>
      <c r="E44" s="3">
        <f>IF(ISBLANK(Actuals!E41),0,Actuals!E41)</f>
        <v>0</v>
      </c>
      <c r="F44" s="3">
        <f>IF(ISBLANK(Actuals!F41),-55*Escalation!$B$2,Actuals!F41)</f>
        <v>-165</v>
      </c>
      <c r="G44" s="3">
        <f>IF(ISBLANK(Actuals!G41),-55*Escalation!$B$3,Actuals!G41)</f>
        <v>-55</v>
      </c>
      <c r="H44" s="3">
        <f>IF(ISBLANK(Actuals!H41),-55*Escalation!$B$4,Actuals!H41)</f>
        <v>-55</v>
      </c>
      <c r="I44" s="3">
        <f>IF(ISBLANK(Actuals!I41),-55*Escalation!$B$5,Actuals!I41)</f>
        <v>-55</v>
      </c>
      <c r="J44" s="3">
        <f>IF(ISBLANK(Actuals!J41),-55*Escalation!$B$6,Actuals!J41)</f>
        <v>-55</v>
      </c>
      <c r="K44" s="3">
        <f>IF(ISBLANK(Actuals!K41),-55*Escalation!$B$7,Actuals!K41)</f>
        <v>-55</v>
      </c>
      <c r="L44" s="3">
        <f>IF(ISBLANK(Actuals!L41),-55*Escalation!$B$8,Actuals!L41)</f>
        <v>-55</v>
      </c>
      <c r="M44" s="3">
        <f>IF(ISBLANK(Actuals!M41),-55*Escalation!$B$9,Actuals!M41)</f>
        <v>-55</v>
      </c>
      <c r="N44" s="3">
        <f>IF(ISBLANK(Actuals!N41),-55*Escalation!$B$10,Actuals!N41)</f>
        <v>-55</v>
      </c>
      <c r="O44" s="3">
        <f>IF(ISBLANK(Actuals!O41),-55*Escalation!$B$11,Actuals!O41)</f>
        <v>-55</v>
      </c>
      <c r="P44" s="3">
        <f>IF(ISBLANK(Actuals!P41),-55*Escalation!$B$12,Actuals!P41)</f>
        <v>-55</v>
      </c>
      <c r="Q44" s="3">
        <f>IF(ISBLANK(Actuals!Q41),-55*Escalation!$B$13,Actuals!Q41)</f>
        <v>-55</v>
      </c>
      <c r="R44" s="3">
        <f>IF(ISBLANK(Actuals!R41),-55*Escalation!$B$14,Actuals!R41)</f>
        <v>-56.1</v>
      </c>
      <c r="S44" s="3">
        <f>IF(ISBLANK(Actuals!S41),-55*Escalation!$B$15,Actuals!S41)</f>
        <v>-56.1</v>
      </c>
      <c r="T44" s="3">
        <f>IF(ISBLANK(Actuals!T41),-55*Escalation!$B$16,Actuals!T41)</f>
        <v>-56.1</v>
      </c>
      <c r="U44" s="3">
        <f>IF(ISBLANK(Actuals!U41),-55*Escalation!$B$17,Actuals!U41)</f>
        <v>-56.1</v>
      </c>
      <c r="V44" s="3">
        <f>IF(ISBLANK(Actuals!V41),-55*Escalation!$B$18,Actuals!V41)</f>
        <v>-56.1</v>
      </c>
      <c r="W44" s="3">
        <f>IF(ISBLANK(Actuals!W41),-55*Escalation!$B$19,Actuals!W41)</f>
        <v>-56.1</v>
      </c>
      <c r="X44" s="3">
        <f>IF(ISBLANK(Actuals!X41),-55*Escalation!$B$20,Actuals!X41)</f>
        <v>-56.1</v>
      </c>
      <c r="Y44" s="3">
        <f>IF(ISBLANK(Actuals!Y41),-55*Escalation!$B$21,Actuals!Y41)</f>
        <v>-56.1</v>
      </c>
      <c r="Z44" s="3">
        <f>IF(ISBLANK(Actuals!Z41),-55*Escalation!$B$22,Actuals!Z41)</f>
        <v>-56.1</v>
      </c>
      <c r="AA44" s="3">
        <f>IF(ISBLANK(Actuals!AA41),-55*Escalation!$B$23,Actuals!AA41)</f>
        <v>-56.1</v>
      </c>
      <c r="AB44" s="3">
        <f>IF(ISBLANK(Actuals!AB41),-55*Escalation!$B$24,Actuals!AB41)</f>
        <v>-56.1</v>
      </c>
      <c r="AC44" s="3">
        <f>IF(ISBLANK(Actuals!AC41),-55*Escalation!$B$25,Actuals!AC41)</f>
        <v>-56.1</v>
      </c>
      <c r="AD44" s="3">
        <f>IF(ISBLANK(Actuals!AD41),-55*Escalation!$B$26,Actuals!AD41)</f>
        <v>-57.222000000000001</v>
      </c>
      <c r="AE44" s="3">
        <f>IF(ISBLANK(Actuals!AE41),-55*Escalation!$B$27,Actuals!AE41)</f>
        <v>-57.222000000000001</v>
      </c>
      <c r="AF44" s="3">
        <f>IF(ISBLANK(Actuals!AF41),-55*Escalation!$B$28,Actuals!AF41)</f>
        <v>-57.222000000000001</v>
      </c>
      <c r="AG44" s="3">
        <f>IF(ISBLANK(Actuals!AG41),-55*Escalation!$B$29,Actuals!AG41)</f>
        <v>-57.222000000000001</v>
      </c>
      <c r="AH44" s="3">
        <f>IF(ISBLANK(Actuals!AH41),-55*Escalation!$B$30,Actuals!AH41)</f>
        <v>-57.222000000000001</v>
      </c>
      <c r="AI44" s="3">
        <f>IF(ISBLANK(Actuals!AI41),-55*Escalation!$B$31,Actuals!AI41)</f>
        <v>-57.222000000000001</v>
      </c>
      <c r="AJ44" s="3">
        <f>IF(ISBLANK(Actuals!AJ41),-55*Escalation!$B$32,Actuals!AJ41)</f>
        <v>-57.222000000000001</v>
      </c>
      <c r="AK44" s="3">
        <f>IF(ISBLANK(Actuals!AK41),-55*Escalation!$B$33,Actuals!AK41)</f>
        <v>-57.222000000000001</v>
      </c>
      <c r="AL44" s="3">
        <f>IF(ISBLANK(Actuals!AL41),-55*Escalation!$B$34,Actuals!AL41)</f>
        <v>-57.222000000000001</v>
      </c>
      <c r="AM44" s="3">
        <f>IF(ISBLANK(Actuals!AM41),-55*Escalation!$B$35,Actuals!AM41)</f>
        <v>-57.222000000000001</v>
      </c>
      <c r="AN44" s="3">
        <f>IF(ISBLANK(Actuals!AN41),-55*Escalation!$B$36,Actuals!AN41)</f>
        <v>-57.222000000000001</v>
      </c>
      <c r="AO44" s="3">
        <f>IF(ISBLANK(Actuals!AO41),-55*Escalation!$B$37,Actuals!AO41)</f>
        <v>-57.222000000000001</v>
      </c>
      <c r="AP44" s="3">
        <f>IF(ISBLANK(Actuals!AP41),-55*Escalation!$B$38,Actuals!AP41)</f>
        <v>-58.366439999999997</v>
      </c>
      <c r="AQ44" s="3">
        <f>IF(ISBLANK(Actuals!AQ41),-55*Escalation!$B$39,Actuals!AQ41)</f>
        <v>-58.366439999999997</v>
      </c>
      <c r="AR44" s="3">
        <f>IF(ISBLANK(Actuals!AR41),-55*Escalation!$B$40,Actuals!AR41)</f>
        <v>-58.366439999999997</v>
      </c>
      <c r="AS44" s="3">
        <f>IF(ISBLANK(Actuals!AS41),-55*Escalation!$B$41,Actuals!AS41)</f>
        <v>-58.366439999999997</v>
      </c>
      <c r="AT44" s="3">
        <f>IF(ISBLANK(Actuals!AT41),-55*Escalation!$B$42,Actuals!AT41)</f>
        <v>-58.366439999999997</v>
      </c>
      <c r="AU44" s="3">
        <f>IF(ISBLANK(Actuals!AU41),-55*Escalation!$B$43,Actuals!AU41)</f>
        <v>-58.366439999999997</v>
      </c>
      <c r="AV44" s="3">
        <f>IF(ISBLANK(Actuals!AV41),-55*Escalation!$B$44,Actuals!AV41)</f>
        <v>-58.366439999999997</v>
      </c>
      <c r="AW44" s="3">
        <f>IF(ISBLANK(Actuals!AW41),-55*Escalation!$B$45,Actuals!AW41)</f>
        <v>-58.366439999999997</v>
      </c>
      <c r="AX44" s="3">
        <f>IF(ISBLANK(Actuals!AX41),-55*Escalation!$B$46,Actuals!AX41)</f>
        <v>-58.366439999999997</v>
      </c>
      <c r="AY44" s="3">
        <f>IF(ISBLANK(Actuals!AY41),-55*Escalation!$B$47,Actuals!AY41)</f>
        <v>-58.366439999999997</v>
      </c>
      <c r="AZ44" s="3">
        <f>IF(ISBLANK(Actuals!AZ41),-55*Escalation!$B$48,Actuals!AZ41)</f>
        <v>-58.366439999999997</v>
      </c>
      <c r="BA44" s="3">
        <f>IF(ISBLANK(Actuals!BA41),-55*Escalation!$B$49,Actuals!BA41)</f>
        <v>-58.366439999999997</v>
      </c>
      <c r="BB44" s="3">
        <f>IF(ISBLANK(Actuals!BB41),-55*Escalation!$B$50,Actuals!BB41)</f>
        <v>-59.533768799999997</v>
      </c>
      <c r="BC44" s="3">
        <f>IF(ISBLANK(Actuals!BC41),-55*Escalation!$B$51,Actuals!BC41)</f>
        <v>-59.533768799999997</v>
      </c>
      <c r="BD44" s="3">
        <f>IF(ISBLANK(Actuals!BD41),-55*Escalation!$B$52,Actuals!BD41)</f>
        <v>-59.533768799999997</v>
      </c>
      <c r="BE44" s="3">
        <f>IF(ISBLANK(Actuals!BE41),-55*Escalation!$B$53,Actuals!BE41)</f>
        <v>-59.533768799999997</v>
      </c>
      <c r="BF44" s="3">
        <f>IF(ISBLANK(Actuals!BF41),-55*Escalation!$B$54,Actuals!BF41)</f>
        <v>-59.533768799999997</v>
      </c>
      <c r="BG44" s="3">
        <f>IF(ISBLANK(Actuals!BG41),-55*Escalation!$B$55,Actuals!BG41)</f>
        <v>-59.533768799999997</v>
      </c>
      <c r="BH44" s="3">
        <f>IF(ISBLANK(Actuals!BH41),-55*Escalation!$B$56,Actuals!BH41)</f>
        <v>-59.533768799999997</v>
      </c>
      <c r="BI44" s="3">
        <f>IF(ISBLANK(Actuals!BI41),-55*Escalation!$B$57,Actuals!BI41)</f>
        <v>-59.533768799999997</v>
      </c>
      <c r="BJ44" s="3">
        <f>IF(ISBLANK(Actuals!BJ41),-55*Escalation!$B$58,Actuals!BJ41)</f>
        <v>-59.533768799999997</v>
      </c>
      <c r="BK44" s="3">
        <f>IF(ISBLANK(Actuals!BK41),-55*Escalation!$B$59,Actuals!BK41)</f>
        <v>-59.533768799999997</v>
      </c>
      <c r="BL44" s="3">
        <f>IF(ISBLANK(Actuals!BL41),-55*Escalation!$B$60,Actuals!BL41)</f>
        <v>-59.533768799999997</v>
      </c>
      <c r="BM44" s="3">
        <f>IF(ISBLANK(Actuals!BM41),-55*Escalation!$B$61,Actuals!BM41)</f>
        <v>-59.533768799999997</v>
      </c>
      <c r="BN44" s="3">
        <f>IF(ISBLANK(Actuals!BN41),-55*Escalation!$B$62,Actuals!BN41)</f>
        <v>-60.724444175999999</v>
      </c>
      <c r="BO44" s="3">
        <f>IF(ISBLANK(Actuals!BO41),-55*Escalation!$B$63,Actuals!BO41)</f>
        <v>-60.724444175999999</v>
      </c>
      <c r="BP44" s="3">
        <f>IF(ISBLANK(Actuals!BP41),-55*Escalation!$B$64,Actuals!BP41)</f>
        <v>-60.724444175999999</v>
      </c>
      <c r="BQ44" s="3">
        <f>IF(ISBLANK(Actuals!BQ41),-55*Escalation!$B$65,Actuals!BQ41)</f>
        <v>-60.724444175999999</v>
      </c>
      <c r="BR44" s="3">
        <f>IF(ISBLANK(Actuals!BR41),-55*Escalation!$B$66,Actuals!BR41)</f>
        <v>-60.724444175999999</v>
      </c>
      <c r="BS44" s="3">
        <f>IF(ISBLANK(Actuals!BS41),-55*Escalation!$B$67,Actuals!BS41)</f>
        <v>-60.724444175999999</v>
      </c>
      <c r="BT44" s="3">
        <f>IF(ISBLANK(Actuals!BT41),-55*Escalation!$B$68,Actuals!BT41)</f>
        <v>-60.724444175999999</v>
      </c>
      <c r="BU44" s="3">
        <f>IF(ISBLANK(Actuals!BU41),-55*Escalation!$B$69,Actuals!BU41)</f>
        <v>-60.724444175999999</v>
      </c>
      <c r="BV44" s="3">
        <f>IF(ISBLANK(Actuals!BV41),-55*Escalation!$B$70,Actuals!BV41)</f>
        <v>-60.724444175999999</v>
      </c>
      <c r="BW44" s="3">
        <f>IF(ISBLANK(Actuals!BW41),-55*Escalation!$B$71,Actuals!BW41)</f>
        <v>-60.724444175999999</v>
      </c>
      <c r="BX44" s="3">
        <f>IF(ISBLANK(Actuals!BX41),-55*Escalation!$B$72,Actuals!BX41)</f>
        <v>-60.724444175999999</v>
      </c>
      <c r="BY44" s="3">
        <f>IF(ISBLANK(Actuals!BY41),-55*Escalation!$B$73,Actuals!BY41)</f>
        <v>-60.724444175999999</v>
      </c>
      <c r="BZ44" s="3">
        <f>IF(ISBLANK(Actuals!BZ41),-55*Escalation!$B$74,Actuals!BZ41)</f>
        <v>-61.938933059520004</v>
      </c>
      <c r="CA44" s="3">
        <f>IF(ISBLANK(Actuals!CA41),-55*Escalation!$B$75,Actuals!CA41)</f>
        <v>-61.938933059520004</v>
      </c>
      <c r="CB44" s="3">
        <f>IF(ISBLANK(Actuals!CB41),-55*Escalation!$B$76,Actuals!CB41)</f>
        <v>-61.938933059520004</v>
      </c>
      <c r="CC44" s="3">
        <f>IF(ISBLANK(Actuals!CC41),-55*Escalation!$B$77,Actuals!CC41)</f>
        <v>-61.938933059520004</v>
      </c>
      <c r="CD44" s="3">
        <f>IF(ISBLANK(Actuals!CD41),-55*Escalation!$B$78,Actuals!CD41)</f>
        <v>-61.938933059520004</v>
      </c>
      <c r="CE44" s="3">
        <f>IF(ISBLANK(Actuals!CE41),-55*Escalation!$B$79,Actuals!CE41)</f>
        <v>-61.938933059520004</v>
      </c>
      <c r="CF44" s="3">
        <f>IF(ISBLANK(Actuals!CF41),-55*Escalation!$B$80,Actuals!CF41)</f>
        <v>-61.938933059520004</v>
      </c>
      <c r="CG44" s="3">
        <f>IF(ISBLANK(Actuals!CG41),-55*Escalation!$B$81,Actuals!CG41)</f>
        <v>-61.938933059520004</v>
      </c>
      <c r="CH44" s="3">
        <f>IF(ISBLANK(Actuals!CH41),-55*Escalation!$B$82,Actuals!CH41)</f>
        <v>-61.938933059520004</v>
      </c>
      <c r="CI44" s="3">
        <f>IF(ISBLANK(Actuals!CI41),-55*Escalation!$B$83,Actuals!CI41)</f>
        <v>-61.938933059520004</v>
      </c>
      <c r="CJ44" s="3">
        <f>IF(ISBLANK(Actuals!CJ41),-55*Escalation!$B$84,Actuals!CJ41)</f>
        <v>-61.938933059520004</v>
      </c>
      <c r="CK44" s="3">
        <f>IF(ISBLANK(Actuals!CK41),-55*Escalation!$B$85,Actuals!CK41)</f>
        <v>-61.938933059520004</v>
      </c>
      <c r="CL44" s="3">
        <f>IF(ISBLANK(Actuals!CL41),-55*Escalation!$B$86,Actuals!CL41)</f>
        <v>-63.177711720710391</v>
      </c>
      <c r="CM44" s="3">
        <f>IF(ISBLANK(Actuals!CM41),-55*Escalation!$B$87,Actuals!CM41)</f>
        <v>-63.177711720710391</v>
      </c>
      <c r="CN44" s="3">
        <f>IF(ISBLANK(Actuals!CN41),-55*Escalation!$B$88,Actuals!CN41)</f>
        <v>-63.177711720710391</v>
      </c>
      <c r="CO44" s="3">
        <f>IF(ISBLANK(Actuals!CO41),-55*Escalation!$B$89,Actuals!CO41)</f>
        <v>-63.177711720710391</v>
      </c>
      <c r="CP44" s="3">
        <f>IF(ISBLANK(Actuals!CP41),-55*Escalation!$B$90,Actuals!CP41)</f>
        <v>-63.177711720710391</v>
      </c>
      <c r="CQ44" s="3">
        <f>IF(ISBLANK(Actuals!CQ41),-55*Escalation!$B$91,Actuals!CQ41)</f>
        <v>-63.177711720710391</v>
      </c>
      <c r="CR44" s="3">
        <f>IF(ISBLANK(Actuals!CR41),-55*Escalation!$B$92,Actuals!CR41)</f>
        <v>-63.177711720710391</v>
      </c>
      <c r="CS44" s="3">
        <f>IF(ISBLANK(Actuals!CS41),-55*Escalation!$B$93,Actuals!CS41)</f>
        <v>-63.177711720710391</v>
      </c>
      <c r="CT44" s="3">
        <f>IF(ISBLANK(Actuals!CT41),-55*Escalation!$B$94,Actuals!CT41)</f>
        <v>-63.177711720710391</v>
      </c>
      <c r="CU44" s="3">
        <f>IF(ISBLANK(Actuals!CU41),-55*Escalation!$B$95,Actuals!CU41)</f>
        <v>-63.177711720710391</v>
      </c>
      <c r="CV44" s="3">
        <f>IF(ISBLANK(Actuals!CV41),-55*Escalation!$B$96,Actuals!CV41)</f>
        <v>-63.177711720710391</v>
      </c>
      <c r="CW44" s="3">
        <f>IF(ISBLANK(Actuals!CW41),-55*Escalation!$B$97,Actuals!CW41)</f>
        <v>-63.177711720710391</v>
      </c>
      <c r="CX44" s="3">
        <f>IF(ISBLANK(Actuals!CX41),-55*Escalation!$B$98,Actuals!CX41)</f>
        <v>-64.441265955124607</v>
      </c>
      <c r="CY44" s="3">
        <f>IF(ISBLANK(Actuals!CY41),-55*Escalation!$B$99,Actuals!CY41)</f>
        <v>-64.441265955124607</v>
      </c>
      <c r="CZ44" s="3">
        <f>IF(ISBLANK(Actuals!CZ41),-55*Escalation!$B$100,Actuals!CZ41)</f>
        <v>-64.441265955124607</v>
      </c>
      <c r="DA44" s="3">
        <f>IF(ISBLANK(Actuals!DA41),-55*Escalation!$B$101,Actuals!DA41)</f>
        <v>-64.441265955124607</v>
      </c>
      <c r="DB44" s="3">
        <f>IF(ISBLANK(Actuals!DB41),-55*Escalation!$B$102,Actuals!DB41)</f>
        <v>-64.441265955124607</v>
      </c>
      <c r="DC44" s="3">
        <f>IF(ISBLANK(Actuals!DC41),-55*Escalation!$B$103,Actuals!DC41)</f>
        <v>-64.441265955124607</v>
      </c>
      <c r="DD44" s="3">
        <f>IF(ISBLANK(Actuals!DD41),-55*Escalation!$B$104,Actuals!DD41)</f>
        <v>-64.441265955124607</v>
      </c>
      <c r="DE44" s="3">
        <f>IF(ISBLANK(Actuals!DE41),-55*Escalation!$B$105,Actuals!DE41)</f>
        <v>-64.441265955124607</v>
      </c>
      <c r="DF44" s="3">
        <f>IF(ISBLANK(Actuals!DF41),-55*Escalation!$B$106,Actuals!DF41)</f>
        <v>-64.441265955124607</v>
      </c>
    </row>
    <row r="45" spans="1:110" ht="15" customHeight="1" x14ac:dyDescent="0.25">
      <c r="A45" s="21" t="s">
        <v>85</v>
      </c>
      <c r="B45" s="21"/>
      <c r="C45" s="22">
        <f>IF(ISBLANK(Actuals!C42),0,Actuals!C42)</f>
        <v>0</v>
      </c>
      <c r="D45" s="22">
        <f>IF(ISBLANK(Actuals!D42),0,Actuals!D42)</f>
        <v>0</v>
      </c>
      <c r="E45" s="22">
        <f>IF(ISBLANK(Actuals!E42),0,Actuals!E42)</f>
        <v>0</v>
      </c>
      <c r="F45" s="22">
        <f>IF(ISBLANK(Actuals!F42),0*Escalation!$B$2,Actuals!F42)</f>
        <v>-1036.49</v>
      </c>
      <c r="G45" s="22">
        <f>IF(ISBLANK(Actuals!G42),0*Escalation!$B$3,Actuals!G42)</f>
        <v>0</v>
      </c>
      <c r="H45" s="22">
        <f>IF(ISBLANK(Actuals!H42),0*Escalation!$B$4,Actuals!H42)</f>
        <v>0</v>
      </c>
      <c r="I45" s="22">
        <f>IF(ISBLANK(Actuals!I42),0*Escalation!$B$5,Actuals!I42)</f>
        <v>0</v>
      </c>
      <c r="J45" s="22">
        <f>IF(ISBLANK(Actuals!J42),0*Escalation!$B$6,Actuals!J42)</f>
        <v>0</v>
      </c>
      <c r="K45" s="22">
        <f>IF(ISBLANK(Actuals!K42),0*Escalation!$B$7,Actuals!K42)</f>
        <v>0</v>
      </c>
      <c r="L45" s="22">
        <f>IF(ISBLANK(Actuals!L42),0*Escalation!$B$8,Actuals!L42)</f>
        <v>0</v>
      </c>
      <c r="M45" s="22">
        <f>IF(ISBLANK(Actuals!M42),0*Escalation!$B$9,Actuals!M42)</f>
        <v>0</v>
      </c>
      <c r="N45" s="22">
        <f>IF(ISBLANK(Actuals!N42),0*Escalation!$B$10,Actuals!N42)</f>
        <v>0</v>
      </c>
      <c r="O45" s="22">
        <f>IF(ISBLANK(Actuals!O42),0*Escalation!$B$11,Actuals!O42)</f>
        <v>0</v>
      </c>
      <c r="P45" s="22">
        <f>IF(ISBLANK(Actuals!P42),0*Escalation!$B$12,Actuals!P42)</f>
        <v>0</v>
      </c>
      <c r="Q45" s="22">
        <f>IF(ISBLANK(Actuals!Q42),0*Escalation!$B$13,Actuals!Q42)</f>
        <v>0</v>
      </c>
      <c r="R45" s="22">
        <f>IF(ISBLANK(Actuals!R42),0*Escalation!$B$14,Actuals!R42)</f>
        <v>0</v>
      </c>
      <c r="S45" s="22">
        <f>IF(ISBLANK(Actuals!S42),0*Escalation!$B$15,Actuals!S42)</f>
        <v>0</v>
      </c>
      <c r="T45" s="22">
        <f>IF(ISBLANK(Actuals!T42),0*Escalation!$B$16,Actuals!T42)</f>
        <v>0</v>
      </c>
      <c r="U45" s="22">
        <f>IF(ISBLANK(Actuals!U42),0*Escalation!$B$17,Actuals!U42)</f>
        <v>0</v>
      </c>
      <c r="V45" s="22">
        <f>IF(ISBLANK(Actuals!V42),0*Escalation!$B$18,Actuals!V42)</f>
        <v>0</v>
      </c>
      <c r="W45" s="22">
        <f>IF(ISBLANK(Actuals!W42),0*Escalation!$B$19,Actuals!W42)</f>
        <v>0</v>
      </c>
      <c r="X45" s="22">
        <f>IF(ISBLANK(Actuals!X42),0*Escalation!$B$20,Actuals!X42)</f>
        <v>0</v>
      </c>
      <c r="Y45" s="22">
        <f>IF(ISBLANK(Actuals!Y42),0*Escalation!$B$21,Actuals!Y42)</f>
        <v>0</v>
      </c>
      <c r="Z45" s="22">
        <f>IF(ISBLANK(Actuals!Z42),0*Escalation!$B$22,Actuals!Z42)</f>
        <v>0</v>
      </c>
      <c r="AA45" s="22">
        <f>IF(ISBLANK(Actuals!AA42),0*Escalation!$B$23,Actuals!AA42)</f>
        <v>0</v>
      </c>
      <c r="AB45" s="22">
        <f>IF(ISBLANK(Actuals!AB42),0*Escalation!$B$24,Actuals!AB42)</f>
        <v>0</v>
      </c>
      <c r="AC45" s="22">
        <f>IF(ISBLANK(Actuals!AC42),0*Escalation!$B$25,Actuals!AC42)</f>
        <v>0</v>
      </c>
      <c r="AD45" s="22">
        <f>IF(ISBLANK(Actuals!AD42),0*Escalation!$B$26,Actuals!AD42)</f>
        <v>0</v>
      </c>
      <c r="AE45" s="22">
        <f>IF(ISBLANK(Actuals!AE42),0*Escalation!$B$27,Actuals!AE42)</f>
        <v>0</v>
      </c>
      <c r="AF45" s="22">
        <f>IF(ISBLANK(Actuals!AF42),0*Escalation!$B$28,Actuals!AF42)</f>
        <v>0</v>
      </c>
      <c r="AG45" s="22">
        <f>IF(ISBLANK(Actuals!AG42),0*Escalation!$B$29,Actuals!AG42)</f>
        <v>0</v>
      </c>
      <c r="AH45" s="22">
        <f>IF(ISBLANK(Actuals!AH42),0*Escalation!$B$30,Actuals!AH42)</f>
        <v>0</v>
      </c>
      <c r="AI45" s="22">
        <f>IF(ISBLANK(Actuals!AI42),0*Escalation!$B$31,Actuals!AI42)</f>
        <v>0</v>
      </c>
      <c r="AJ45" s="22">
        <f>IF(ISBLANK(Actuals!AJ42),0*Escalation!$B$32,Actuals!AJ42)</f>
        <v>0</v>
      </c>
      <c r="AK45" s="22">
        <f>IF(ISBLANK(Actuals!AK42),0*Escalation!$B$33,Actuals!AK42)</f>
        <v>0</v>
      </c>
      <c r="AL45" s="22">
        <f>IF(ISBLANK(Actuals!AL42),0*Escalation!$B$34,Actuals!AL42)</f>
        <v>0</v>
      </c>
      <c r="AM45" s="22">
        <f>IF(ISBLANK(Actuals!AM42),0*Escalation!$B$35,Actuals!AM42)</f>
        <v>0</v>
      </c>
      <c r="AN45" s="22">
        <f>IF(ISBLANK(Actuals!AN42),0*Escalation!$B$36,Actuals!AN42)</f>
        <v>0</v>
      </c>
      <c r="AO45" s="22">
        <f>IF(ISBLANK(Actuals!AO42),0*Escalation!$B$37,Actuals!AO42)</f>
        <v>0</v>
      </c>
      <c r="AP45" s="22">
        <f>IF(ISBLANK(Actuals!AP42),0*Escalation!$B$38,Actuals!AP42)</f>
        <v>0</v>
      </c>
      <c r="AQ45" s="22">
        <f>IF(ISBLANK(Actuals!AQ42),0*Escalation!$B$39,Actuals!AQ42)</f>
        <v>0</v>
      </c>
      <c r="AR45" s="22">
        <f>IF(ISBLANK(Actuals!AR42),0*Escalation!$B$40,Actuals!AR42)</f>
        <v>0</v>
      </c>
      <c r="AS45" s="22">
        <f>IF(ISBLANK(Actuals!AS42),0*Escalation!$B$41,Actuals!AS42)</f>
        <v>0</v>
      </c>
      <c r="AT45" s="22">
        <f>IF(ISBLANK(Actuals!AT42),0*Escalation!$B$42,Actuals!AT42)</f>
        <v>0</v>
      </c>
      <c r="AU45" s="22">
        <f>IF(ISBLANK(Actuals!AU42),0*Escalation!$B$43,Actuals!AU42)</f>
        <v>0</v>
      </c>
      <c r="AV45" s="22">
        <f>IF(ISBLANK(Actuals!AV42),0*Escalation!$B$44,Actuals!AV42)</f>
        <v>0</v>
      </c>
      <c r="AW45" s="22">
        <f>IF(ISBLANK(Actuals!AW42),0*Escalation!$B$45,Actuals!AW42)</f>
        <v>0</v>
      </c>
      <c r="AX45" s="22">
        <f>IF(ISBLANK(Actuals!AX42),0*Escalation!$B$46,Actuals!AX42)</f>
        <v>0</v>
      </c>
      <c r="AY45" s="22">
        <f>IF(ISBLANK(Actuals!AY42),0*Escalation!$B$47,Actuals!AY42)</f>
        <v>0</v>
      </c>
      <c r="AZ45" s="22">
        <f>IF(ISBLANK(Actuals!AZ42),0*Escalation!$B$48,Actuals!AZ42)</f>
        <v>0</v>
      </c>
      <c r="BA45" s="22">
        <f>IF(ISBLANK(Actuals!BA42),0*Escalation!$B$49,Actuals!BA42)</f>
        <v>0</v>
      </c>
      <c r="BB45" s="22">
        <f>IF(ISBLANK(Actuals!BB42),0*Escalation!$B$50,Actuals!BB42)</f>
        <v>0</v>
      </c>
      <c r="BC45" s="22">
        <f>IF(ISBLANK(Actuals!BC42),0*Escalation!$B$51,Actuals!BC42)</f>
        <v>0</v>
      </c>
      <c r="BD45" s="22">
        <f>IF(ISBLANK(Actuals!BD42),0*Escalation!$B$52,Actuals!BD42)</f>
        <v>0</v>
      </c>
      <c r="BE45" s="22">
        <f>IF(ISBLANK(Actuals!BE42),0*Escalation!$B$53,Actuals!BE42)</f>
        <v>0</v>
      </c>
      <c r="BF45" s="22">
        <f>IF(ISBLANK(Actuals!BF42),0*Escalation!$B$54,Actuals!BF42)</f>
        <v>0</v>
      </c>
      <c r="BG45" s="22">
        <f>IF(ISBLANK(Actuals!BG42),0*Escalation!$B$55,Actuals!BG42)</f>
        <v>0</v>
      </c>
      <c r="BH45" s="22">
        <f>IF(ISBLANK(Actuals!BH42),0*Escalation!$B$56,Actuals!BH42)</f>
        <v>0</v>
      </c>
      <c r="BI45" s="22">
        <f>IF(ISBLANK(Actuals!BI42),0*Escalation!$B$57,Actuals!BI42)</f>
        <v>0</v>
      </c>
      <c r="BJ45" s="22">
        <f>IF(ISBLANK(Actuals!BJ42),0*Escalation!$B$58,Actuals!BJ42)</f>
        <v>0</v>
      </c>
      <c r="BK45" s="22">
        <f>IF(ISBLANK(Actuals!BK42),0*Escalation!$B$59,Actuals!BK42)</f>
        <v>0</v>
      </c>
      <c r="BL45" s="22">
        <f>IF(ISBLANK(Actuals!BL42),0*Escalation!$B$60,Actuals!BL42)</f>
        <v>0</v>
      </c>
      <c r="BM45" s="22">
        <f>IF(ISBLANK(Actuals!BM42),0*Escalation!$B$61,Actuals!BM42)</f>
        <v>0</v>
      </c>
      <c r="BN45" s="22">
        <f>IF(ISBLANK(Actuals!BN42),0*Escalation!$B$62,Actuals!BN42)</f>
        <v>0</v>
      </c>
      <c r="BO45" s="22">
        <f>IF(ISBLANK(Actuals!BO42),0*Escalation!$B$63,Actuals!BO42)</f>
        <v>0</v>
      </c>
      <c r="BP45" s="22">
        <f>IF(ISBLANK(Actuals!BP42),0*Escalation!$B$64,Actuals!BP42)</f>
        <v>0</v>
      </c>
      <c r="BQ45" s="22">
        <f>IF(ISBLANK(Actuals!BQ42),0*Escalation!$B$65,Actuals!BQ42)</f>
        <v>0</v>
      </c>
      <c r="BR45" s="22">
        <f>IF(ISBLANK(Actuals!BR42),0*Escalation!$B$66,Actuals!BR42)</f>
        <v>0</v>
      </c>
      <c r="BS45" s="22">
        <f>IF(ISBLANK(Actuals!BS42),0*Escalation!$B$67,Actuals!BS42)</f>
        <v>0</v>
      </c>
      <c r="BT45" s="22">
        <f>IF(ISBLANK(Actuals!BT42),0*Escalation!$B$68,Actuals!BT42)</f>
        <v>0</v>
      </c>
      <c r="BU45" s="22">
        <f>IF(ISBLANK(Actuals!BU42),0*Escalation!$B$69,Actuals!BU42)</f>
        <v>0</v>
      </c>
      <c r="BV45" s="22">
        <f>IF(ISBLANK(Actuals!BV42),0*Escalation!$B$70,Actuals!BV42)</f>
        <v>0</v>
      </c>
      <c r="BW45" s="22">
        <f>IF(ISBLANK(Actuals!BW42),0*Escalation!$B$71,Actuals!BW42)</f>
        <v>0</v>
      </c>
      <c r="BX45" s="22">
        <f>IF(ISBLANK(Actuals!BX42),0*Escalation!$B$72,Actuals!BX42)</f>
        <v>0</v>
      </c>
      <c r="BY45" s="22">
        <f>IF(ISBLANK(Actuals!BY42),0*Escalation!$B$73,Actuals!BY42)</f>
        <v>0</v>
      </c>
      <c r="BZ45" s="22">
        <f>IF(ISBLANK(Actuals!BZ42),0*Escalation!$B$74,Actuals!BZ42)</f>
        <v>0</v>
      </c>
      <c r="CA45" s="22">
        <f>IF(ISBLANK(Actuals!CA42),0*Escalation!$B$75,Actuals!CA42)</f>
        <v>0</v>
      </c>
      <c r="CB45" s="22">
        <f>IF(ISBLANK(Actuals!CB42),0*Escalation!$B$76,Actuals!CB42)</f>
        <v>0</v>
      </c>
      <c r="CC45" s="22">
        <f>IF(ISBLANK(Actuals!CC42),0*Escalation!$B$77,Actuals!CC42)</f>
        <v>0</v>
      </c>
      <c r="CD45" s="22">
        <f>IF(ISBLANK(Actuals!CD42),0*Escalation!$B$78,Actuals!CD42)</f>
        <v>0</v>
      </c>
      <c r="CE45" s="22">
        <f>IF(ISBLANK(Actuals!CE42),0*Escalation!$B$79,Actuals!CE42)</f>
        <v>0</v>
      </c>
      <c r="CF45" s="22">
        <f>IF(ISBLANK(Actuals!CF42),0*Escalation!$B$80,Actuals!CF42)</f>
        <v>0</v>
      </c>
      <c r="CG45" s="22">
        <f>IF(ISBLANK(Actuals!CG42),0*Escalation!$B$81,Actuals!CG42)</f>
        <v>0</v>
      </c>
      <c r="CH45" s="22">
        <f>IF(ISBLANK(Actuals!CH42),0*Escalation!$B$82,Actuals!CH42)</f>
        <v>0</v>
      </c>
      <c r="CI45" s="22">
        <f>IF(ISBLANK(Actuals!CI42),0*Escalation!$B$83,Actuals!CI42)</f>
        <v>0</v>
      </c>
      <c r="CJ45" s="22">
        <f>IF(ISBLANK(Actuals!CJ42),0*Escalation!$B$84,Actuals!CJ42)</f>
        <v>0</v>
      </c>
      <c r="CK45" s="22">
        <f>IF(ISBLANK(Actuals!CK42),0*Escalation!$B$85,Actuals!CK42)</f>
        <v>0</v>
      </c>
      <c r="CL45" s="22">
        <f>IF(ISBLANK(Actuals!CL42),0*Escalation!$B$86,Actuals!CL42)</f>
        <v>0</v>
      </c>
      <c r="CM45" s="22">
        <f>IF(ISBLANK(Actuals!CM42),0*Escalation!$B$87,Actuals!CM42)</f>
        <v>0</v>
      </c>
      <c r="CN45" s="22">
        <f>IF(ISBLANK(Actuals!CN42),0*Escalation!$B$88,Actuals!CN42)</f>
        <v>0</v>
      </c>
      <c r="CO45" s="22">
        <f>IF(ISBLANK(Actuals!CO42),0*Escalation!$B$89,Actuals!CO42)</f>
        <v>0</v>
      </c>
      <c r="CP45" s="22">
        <f>IF(ISBLANK(Actuals!CP42),0*Escalation!$B$90,Actuals!CP42)</f>
        <v>0</v>
      </c>
      <c r="CQ45" s="22">
        <f>IF(ISBLANK(Actuals!CQ42),0*Escalation!$B$91,Actuals!CQ42)</f>
        <v>0</v>
      </c>
      <c r="CR45" s="22">
        <f>IF(ISBLANK(Actuals!CR42),0*Escalation!$B$92,Actuals!CR42)</f>
        <v>0</v>
      </c>
      <c r="CS45" s="22">
        <f>IF(ISBLANK(Actuals!CS42),0*Escalation!$B$93,Actuals!CS42)</f>
        <v>0</v>
      </c>
      <c r="CT45" s="22">
        <f>IF(ISBLANK(Actuals!CT42),0*Escalation!$B$94,Actuals!CT42)</f>
        <v>0</v>
      </c>
      <c r="CU45" s="22">
        <f>IF(ISBLANK(Actuals!CU42),0*Escalation!$B$95,Actuals!CU42)</f>
        <v>0</v>
      </c>
      <c r="CV45" s="22">
        <f>IF(ISBLANK(Actuals!CV42),0*Escalation!$B$96,Actuals!CV42)</f>
        <v>0</v>
      </c>
      <c r="CW45" s="22">
        <f>IF(ISBLANK(Actuals!CW42),0*Escalation!$B$97,Actuals!CW42)</f>
        <v>0</v>
      </c>
      <c r="CX45" s="22">
        <f>IF(ISBLANK(Actuals!CX42),0*Escalation!$B$98,Actuals!CX42)</f>
        <v>0</v>
      </c>
      <c r="CY45" s="22">
        <f>IF(ISBLANK(Actuals!CY42),0*Escalation!$B$99,Actuals!CY42)</f>
        <v>0</v>
      </c>
      <c r="CZ45" s="22">
        <f>IF(ISBLANK(Actuals!CZ42),0*Escalation!$B$100,Actuals!CZ42)</f>
        <v>0</v>
      </c>
      <c r="DA45" s="22">
        <f>IF(ISBLANK(Actuals!DA42),0*Escalation!$B$101,Actuals!DA42)</f>
        <v>0</v>
      </c>
      <c r="DB45" s="22">
        <f>IF(ISBLANK(Actuals!DB42),0*Escalation!$B$102,Actuals!DB42)</f>
        <v>0</v>
      </c>
      <c r="DC45" s="22">
        <f>IF(ISBLANK(Actuals!DC42),0*Escalation!$B$103,Actuals!DC42)</f>
        <v>0</v>
      </c>
      <c r="DD45" s="22">
        <f>IF(ISBLANK(Actuals!DD42),0*Escalation!$B$104,Actuals!DD42)</f>
        <v>0</v>
      </c>
      <c r="DE45" s="22">
        <f>IF(ISBLANK(Actuals!DE42),0*Escalation!$B$105,Actuals!DE42)</f>
        <v>0</v>
      </c>
      <c r="DF45" s="22">
        <f>IF(ISBLANK(Actuals!DF42),0*Escalation!$B$106,Actuals!DF42)</f>
        <v>0</v>
      </c>
    </row>
    <row r="46" spans="1:110" ht="15" customHeight="1" x14ac:dyDescent="0.25">
      <c r="A46" s="21" t="s">
        <v>86</v>
      </c>
      <c r="B46" s="21"/>
      <c r="C46" s="22">
        <f>IF(ISBLANK(Actuals!C43),0,Actuals!C43)</f>
        <v>-550</v>
      </c>
      <c r="D46" s="22">
        <f>IF(ISBLANK(Actuals!D43),0,Actuals!D43)</f>
        <v>-550</v>
      </c>
      <c r="E46" s="22">
        <f>IF(ISBLANK(Actuals!E43),0,Actuals!E43)</f>
        <v>-550</v>
      </c>
      <c r="F46" s="22">
        <f>IF(ISBLANK(Actuals!F43),-550*Escalation!$B$2,Actuals!F43)</f>
        <v>-600</v>
      </c>
      <c r="G46" s="22">
        <f>IF(ISBLANK(Actuals!G43),-550*Escalation!$B$3,Actuals!G43)</f>
        <v>-550</v>
      </c>
      <c r="H46" s="22">
        <f>IF(ISBLANK(Actuals!H43),-550*Escalation!$B$4,Actuals!H43)</f>
        <v>-550</v>
      </c>
      <c r="I46" s="22">
        <f>IF(ISBLANK(Actuals!I43),-550*Escalation!$B$5,Actuals!I43)</f>
        <v>-550</v>
      </c>
      <c r="J46" s="22">
        <f>IF(ISBLANK(Actuals!J43),-550*Escalation!$B$6,Actuals!J43)</f>
        <v>-550</v>
      </c>
      <c r="K46" s="22">
        <f>IF(ISBLANK(Actuals!K43),-550*Escalation!$B$7,Actuals!K43)</f>
        <v>-550</v>
      </c>
      <c r="L46" s="22">
        <f>IF(ISBLANK(Actuals!L43),-550*Escalation!$B$8,Actuals!L43)</f>
        <v>-550</v>
      </c>
      <c r="M46" s="22">
        <f>IF(ISBLANK(Actuals!M43),-550*Escalation!$B$9,Actuals!M43)</f>
        <v>-550</v>
      </c>
      <c r="N46" s="22">
        <f>IF(ISBLANK(Actuals!N43),-550*Escalation!$B$10,Actuals!N43)</f>
        <v>-550</v>
      </c>
      <c r="O46" s="22">
        <f>IF(ISBLANK(Actuals!O43),-550*Escalation!$B$11,Actuals!O43)</f>
        <v>-550</v>
      </c>
      <c r="P46" s="22">
        <f>IF(ISBLANK(Actuals!P43),-550*Escalation!$B$12,Actuals!P43)</f>
        <v>-550</v>
      </c>
      <c r="Q46" s="22">
        <f>IF(ISBLANK(Actuals!Q43),-550*Escalation!$B$13,Actuals!Q43)</f>
        <v>-550</v>
      </c>
      <c r="R46" s="22">
        <f>IF(ISBLANK(Actuals!R43),-550*Escalation!$B$14,Actuals!R43)</f>
        <v>-561</v>
      </c>
      <c r="S46" s="22">
        <f>IF(ISBLANK(Actuals!S43),-550*Escalation!$B$15,Actuals!S43)</f>
        <v>-561</v>
      </c>
      <c r="T46" s="22">
        <f>IF(ISBLANK(Actuals!T43),-550*Escalation!$B$16,Actuals!T43)</f>
        <v>-561</v>
      </c>
      <c r="U46" s="22">
        <f>IF(ISBLANK(Actuals!U43),-550*Escalation!$B$17,Actuals!U43)</f>
        <v>-561</v>
      </c>
      <c r="V46" s="22">
        <f>IF(ISBLANK(Actuals!V43),-550*Escalation!$B$18,Actuals!V43)</f>
        <v>-561</v>
      </c>
      <c r="W46" s="22">
        <f>IF(ISBLANK(Actuals!W43),-550*Escalation!$B$19,Actuals!W43)</f>
        <v>-561</v>
      </c>
      <c r="X46" s="22">
        <f>IF(ISBLANK(Actuals!X43),-550*Escalation!$B$20,Actuals!X43)</f>
        <v>-561</v>
      </c>
      <c r="Y46" s="22">
        <f>IF(ISBLANK(Actuals!Y43),-550*Escalation!$B$21,Actuals!Y43)</f>
        <v>-561</v>
      </c>
      <c r="Z46" s="22">
        <f>IF(ISBLANK(Actuals!Z43),-550*Escalation!$B$22,Actuals!Z43)</f>
        <v>-561</v>
      </c>
      <c r="AA46" s="22">
        <f>IF(ISBLANK(Actuals!AA43),-550*Escalation!$B$23,Actuals!AA43)</f>
        <v>-561</v>
      </c>
      <c r="AB46" s="22">
        <f>IF(ISBLANK(Actuals!AB43),-550*Escalation!$B$24,Actuals!AB43)</f>
        <v>-561</v>
      </c>
      <c r="AC46" s="22">
        <f>IF(ISBLANK(Actuals!AC43),-550*Escalation!$B$25,Actuals!AC43)</f>
        <v>-561</v>
      </c>
      <c r="AD46" s="22">
        <f>IF(ISBLANK(Actuals!AD43),-550*Escalation!$B$26,Actuals!AD43)</f>
        <v>-572.22</v>
      </c>
      <c r="AE46" s="22">
        <f>IF(ISBLANK(Actuals!AE43),-550*Escalation!$B$27,Actuals!AE43)</f>
        <v>-572.22</v>
      </c>
      <c r="AF46" s="22">
        <f>IF(ISBLANK(Actuals!AF43),-550*Escalation!$B$28,Actuals!AF43)</f>
        <v>-572.22</v>
      </c>
      <c r="AG46" s="22">
        <f>IF(ISBLANK(Actuals!AG43),-550*Escalation!$B$29,Actuals!AG43)</f>
        <v>-572.22</v>
      </c>
      <c r="AH46" s="22">
        <f>IF(ISBLANK(Actuals!AH43),-550*Escalation!$B$30,Actuals!AH43)</f>
        <v>-572.22</v>
      </c>
      <c r="AI46" s="22">
        <f>IF(ISBLANK(Actuals!AI43),-550*Escalation!$B$31,Actuals!AI43)</f>
        <v>-572.22</v>
      </c>
      <c r="AJ46" s="22">
        <f>IF(ISBLANK(Actuals!AJ43),-550*Escalation!$B$32,Actuals!AJ43)</f>
        <v>-572.22</v>
      </c>
      <c r="AK46" s="22">
        <f>IF(ISBLANK(Actuals!AK43),-550*Escalation!$B$33,Actuals!AK43)</f>
        <v>-572.22</v>
      </c>
      <c r="AL46" s="22">
        <f>IF(ISBLANK(Actuals!AL43),-550*Escalation!$B$34,Actuals!AL43)</f>
        <v>-572.22</v>
      </c>
      <c r="AM46" s="22">
        <f>IF(ISBLANK(Actuals!AM43),-550*Escalation!$B$35,Actuals!AM43)</f>
        <v>-572.22</v>
      </c>
      <c r="AN46" s="22">
        <f>IF(ISBLANK(Actuals!AN43),-550*Escalation!$B$36,Actuals!AN43)</f>
        <v>-572.22</v>
      </c>
      <c r="AO46" s="22">
        <f>IF(ISBLANK(Actuals!AO43),-550*Escalation!$B$37,Actuals!AO43)</f>
        <v>-572.22</v>
      </c>
      <c r="AP46" s="22">
        <f>IF(ISBLANK(Actuals!AP43),-550*Escalation!$B$38,Actuals!AP43)</f>
        <v>-583.6644</v>
      </c>
      <c r="AQ46" s="22">
        <f>IF(ISBLANK(Actuals!AQ43),-550*Escalation!$B$39,Actuals!AQ43)</f>
        <v>-583.6644</v>
      </c>
      <c r="AR46" s="22">
        <f>IF(ISBLANK(Actuals!AR43),-550*Escalation!$B$40,Actuals!AR43)</f>
        <v>-583.6644</v>
      </c>
      <c r="AS46" s="22">
        <f>IF(ISBLANK(Actuals!AS43),-550*Escalation!$B$41,Actuals!AS43)</f>
        <v>-583.6644</v>
      </c>
      <c r="AT46" s="22">
        <f>IF(ISBLANK(Actuals!AT43),-550*Escalation!$B$42,Actuals!AT43)</f>
        <v>-583.6644</v>
      </c>
      <c r="AU46" s="22">
        <f>IF(ISBLANK(Actuals!AU43),-550*Escalation!$B$43,Actuals!AU43)</f>
        <v>-583.6644</v>
      </c>
      <c r="AV46" s="22">
        <f>IF(ISBLANK(Actuals!AV43),-550*Escalation!$B$44,Actuals!AV43)</f>
        <v>-583.6644</v>
      </c>
      <c r="AW46" s="22">
        <f>IF(ISBLANK(Actuals!AW43),-550*Escalation!$B$45,Actuals!AW43)</f>
        <v>-583.6644</v>
      </c>
      <c r="AX46" s="22">
        <f>IF(ISBLANK(Actuals!AX43),-550*Escalation!$B$46,Actuals!AX43)</f>
        <v>-583.6644</v>
      </c>
      <c r="AY46" s="22">
        <f>IF(ISBLANK(Actuals!AY43),-550*Escalation!$B$47,Actuals!AY43)</f>
        <v>-583.6644</v>
      </c>
      <c r="AZ46" s="22">
        <f>IF(ISBLANK(Actuals!AZ43),-550*Escalation!$B$48,Actuals!AZ43)</f>
        <v>-583.6644</v>
      </c>
      <c r="BA46" s="22">
        <f>IF(ISBLANK(Actuals!BA43),-550*Escalation!$B$49,Actuals!BA43)</f>
        <v>-583.6644</v>
      </c>
      <c r="BB46" s="22">
        <f>IF(ISBLANK(Actuals!BB43),-550*Escalation!$B$50,Actuals!BB43)</f>
        <v>-595.33768799999996</v>
      </c>
      <c r="BC46" s="22">
        <f>IF(ISBLANK(Actuals!BC43),-550*Escalation!$B$51,Actuals!BC43)</f>
        <v>-595.33768799999996</v>
      </c>
      <c r="BD46" s="22">
        <f>IF(ISBLANK(Actuals!BD43),-550*Escalation!$B$52,Actuals!BD43)</f>
        <v>-595.33768799999996</v>
      </c>
      <c r="BE46" s="22">
        <f>IF(ISBLANK(Actuals!BE43),-550*Escalation!$B$53,Actuals!BE43)</f>
        <v>-595.33768799999996</v>
      </c>
      <c r="BF46" s="22">
        <f>IF(ISBLANK(Actuals!BF43),-550*Escalation!$B$54,Actuals!BF43)</f>
        <v>-595.33768799999996</v>
      </c>
      <c r="BG46" s="22">
        <f>IF(ISBLANK(Actuals!BG43),-550*Escalation!$B$55,Actuals!BG43)</f>
        <v>-595.33768799999996</v>
      </c>
      <c r="BH46" s="22">
        <f>IF(ISBLANK(Actuals!BH43),-550*Escalation!$B$56,Actuals!BH43)</f>
        <v>-595.33768799999996</v>
      </c>
      <c r="BI46" s="22">
        <f>IF(ISBLANK(Actuals!BI43),-550*Escalation!$B$57,Actuals!BI43)</f>
        <v>-595.33768799999996</v>
      </c>
      <c r="BJ46" s="22">
        <f>IF(ISBLANK(Actuals!BJ43),-550*Escalation!$B$58,Actuals!BJ43)</f>
        <v>-595.33768799999996</v>
      </c>
      <c r="BK46" s="22">
        <f>IF(ISBLANK(Actuals!BK43),-550*Escalation!$B$59,Actuals!BK43)</f>
        <v>-595.33768799999996</v>
      </c>
      <c r="BL46" s="22">
        <f>IF(ISBLANK(Actuals!BL43),-550*Escalation!$B$60,Actuals!BL43)</f>
        <v>-595.33768799999996</v>
      </c>
      <c r="BM46" s="22">
        <f>IF(ISBLANK(Actuals!BM43),-550*Escalation!$B$61,Actuals!BM43)</f>
        <v>-595.33768799999996</v>
      </c>
      <c r="BN46" s="22">
        <f>IF(ISBLANK(Actuals!BN43),-550*Escalation!$B$62,Actuals!BN43)</f>
        <v>-607.24444175999997</v>
      </c>
      <c r="BO46" s="22">
        <f>IF(ISBLANK(Actuals!BO43),-550*Escalation!$B$63,Actuals!BO43)</f>
        <v>-607.24444175999997</v>
      </c>
      <c r="BP46" s="22">
        <f>IF(ISBLANK(Actuals!BP43),-550*Escalation!$B$64,Actuals!BP43)</f>
        <v>-607.24444175999997</v>
      </c>
      <c r="BQ46" s="22">
        <f>IF(ISBLANK(Actuals!BQ43),-550*Escalation!$B$65,Actuals!BQ43)</f>
        <v>-607.24444175999997</v>
      </c>
      <c r="BR46" s="22">
        <f>IF(ISBLANK(Actuals!BR43),-550*Escalation!$B$66,Actuals!BR43)</f>
        <v>-607.24444175999997</v>
      </c>
      <c r="BS46" s="22">
        <f>IF(ISBLANK(Actuals!BS43),-550*Escalation!$B$67,Actuals!BS43)</f>
        <v>-607.24444175999997</v>
      </c>
      <c r="BT46" s="22">
        <f>IF(ISBLANK(Actuals!BT43),-550*Escalation!$B$68,Actuals!BT43)</f>
        <v>-607.24444175999997</v>
      </c>
      <c r="BU46" s="22">
        <f>IF(ISBLANK(Actuals!BU43),-550*Escalation!$B$69,Actuals!BU43)</f>
        <v>-607.24444175999997</v>
      </c>
      <c r="BV46" s="22">
        <f>IF(ISBLANK(Actuals!BV43),-550*Escalation!$B$70,Actuals!BV43)</f>
        <v>-607.24444175999997</v>
      </c>
      <c r="BW46" s="22">
        <f>IF(ISBLANK(Actuals!BW43),-550*Escalation!$B$71,Actuals!BW43)</f>
        <v>-607.24444175999997</v>
      </c>
      <c r="BX46" s="22">
        <f>IF(ISBLANK(Actuals!BX43),-550*Escalation!$B$72,Actuals!BX43)</f>
        <v>-607.24444175999997</v>
      </c>
      <c r="BY46" s="22">
        <f>IF(ISBLANK(Actuals!BY43),-550*Escalation!$B$73,Actuals!BY43)</f>
        <v>-607.24444175999997</v>
      </c>
      <c r="BZ46" s="22">
        <f>IF(ISBLANK(Actuals!BZ43),-550*Escalation!$B$74,Actuals!BZ43)</f>
        <v>-619.38933059520002</v>
      </c>
      <c r="CA46" s="22">
        <f>IF(ISBLANK(Actuals!CA43),-550*Escalation!$B$75,Actuals!CA43)</f>
        <v>-619.38933059520002</v>
      </c>
      <c r="CB46" s="22">
        <f>IF(ISBLANK(Actuals!CB43),-550*Escalation!$B$76,Actuals!CB43)</f>
        <v>-619.38933059520002</v>
      </c>
      <c r="CC46" s="22">
        <f>IF(ISBLANK(Actuals!CC43),-550*Escalation!$B$77,Actuals!CC43)</f>
        <v>-619.38933059520002</v>
      </c>
      <c r="CD46" s="22">
        <f>IF(ISBLANK(Actuals!CD43),-550*Escalation!$B$78,Actuals!CD43)</f>
        <v>-619.38933059520002</v>
      </c>
      <c r="CE46" s="22">
        <f>IF(ISBLANK(Actuals!CE43),-550*Escalation!$B$79,Actuals!CE43)</f>
        <v>-619.38933059520002</v>
      </c>
      <c r="CF46" s="22">
        <f>IF(ISBLANK(Actuals!CF43),-550*Escalation!$B$80,Actuals!CF43)</f>
        <v>-619.38933059520002</v>
      </c>
      <c r="CG46" s="22">
        <f>IF(ISBLANK(Actuals!CG43),-550*Escalation!$B$81,Actuals!CG43)</f>
        <v>-619.38933059520002</v>
      </c>
      <c r="CH46" s="22">
        <f>IF(ISBLANK(Actuals!CH43),-550*Escalation!$B$82,Actuals!CH43)</f>
        <v>-619.38933059520002</v>
      </c>
      <c r="CI46" s="22">
        <f>IF(ISBLANK(Actuals!CI43),-550*Escalation!$B$83,Actuals!CI43)</f>
        <v>-619.38933059520002</v>
      </c>
      <c r="CJ46" s="22">
        <f>IF(ISBLANK(Actuals!CJ43),-550*Escalation!$B$84,Actuals!CJ43)</f>
        <v>-619.38933059520002</v>
      </c>
      <c r="CK46" s="22">
        <f>IF(ISBLANK(Actuals!CK43),-550*Escalation!$B$85,Actuals!CK43)</f>
        <v>-619.38933059520002</v>
      </c>
      <c r="CL46" s="22">
        <f>IF(ISBLANK(Actuals!CL43),-550*Escalation!$B$86,Actuals!CL43)</f>
        <v>-631.77711720710386</v>
      </c>
      <c r="CM46" s="22">
        <f>IF(ISBLANK(Actuals!CM43),-550*Escalation!$B$87,Actuals!CM43)</f>
        <v>-631.77711720710386</v>
      </c>
      <c r="CN46" s="22">
        <f>IF(ISBLANK(Actuals!CN43),-550*Escalation!$B$88,Actuals!CN43)</f>
        <v>-631.77711720710386</v>
      </c>
      <c r="CO46" s="22">
        <f>IF(ISBLANK(Actuals!CO43),-550*Escalation!$B$89,Actuals!CO43)</f>
        <v>-631.77711720710386</v>
      </c>
      <c r="CP46" s="22">
        <f>IF(ISBLANK(Actuals!CP43),-550*Escalation!$B$90,Actuals!CP43)</f>
        <v>-631.77711720710386</v>
      </c>
      <c r="CQ46" s="22">
        <f>IF(ISBLANK(Actuals!CQ43),-550*Escalation!$B$91,Actuals!CQ43)</f>
        <v>-631.77711720710386</v>
      </c>
      <c r="CR46" s="22">
        <f>IF(ISBLANK(Actuals!CR43),-550*Escalation!$B$92,Actuals!CR43)</f>
        <v>-631.77711720710386</v>
      </c>
      <c r="CS46" s="22">
        <f>IF(ISBLANK(Actuals!CS43),-550*Escalation!$B$93,Actuals!CS43)</f>
        <v>-631.77711720710386</v>
      </c>
      <c r="CT46" s="22">
        <f>IF(ISBLANK(Actuals!CT43),-550*Escalation!$B$94,Actuals!CT43)</f>
        <v>-631.77711720710386</v>
      </c>
      <c r="CU46" s="22">
        <f>IF(ISBLANK(Actuals!CU43),-550*Escalation!$B$95,Actuals!CU43)</f>
        <v>-631.77711720710386</v>
      </c>
      <c r="CV46" s="22">
        <f>IF(ISBLANK(Actuals!CV43),-550*Escalation!$B$96,Actuals!CV43)</f>
        <v>-631.77711720710386</v>
      </c>
      <c r="CW46" s="22">
        <f>IF(ISBLANK(Actuals!CW43),-550*Escalation!$B$97,Actuals!CW43)</f>
        <v>-631.77711720710386</v>
      </c>
      <c r="CX46" s="22">
        <f>IF(ISBLANK(Actuals!CX43),-550*Escalation!$B$98,Actuals!CX43)</f>
        <v>-644.41265955124607</v>
      </c>
      <c r="CY46" s="22">
        <f>IF(ISBLANK(Actuals!CY43),-550*Escalation!$B$99,Actuals!CY43)</f>
        <v>-644.41265955124607</v>
      </c>
      <c r="CZ46" s="22">
        <f>IF(ISBLANK(Actuals!CZ43),-550*Escalation!$B$100,Actuals!CZ43)</f>
        <v>-644.41265955124607</v>
      </c>
      <c r="DA46" s="22">
        <f>IF(ISBLANK(Actuals!DA43),-550*Escalation!$B$101,Actuals!DA43)</f>
        <v>-644.41265955124607</v>
      </c>
      <c r="DB46" s="22">
        <f>IF(ISBLANK(Actuals!DB43),-550*Escalation!$B$102,Actuals!DB43)</f>
        <v>-644.41265955124607</v>
      </c>
      <c r="DC46" s="22">
        <f>IF(ISBLANK(Actuals!DC43),-550*Escalation!$B$103,Actuals!DC43)</f>
        <v>-644.41265955124607</v>
      </c>
      <c r="DD46" s="22">
        <f>IF(ISBLANK(Actuals!DD43),-550*Escalation!$B$104,Actuals!DD43)</f>
        <v>-644.41265955124607</v>
      </c>
      <c r="DE46" s="22">
        <f>IF(ISBLANK(Actuals!DE43),-550*Escalation!$B$105,Actuals!DE43)</f>
        <v>-644.41265955124607</v>
      </c>
      <c r="DF46" s="22">
        <f>IF(ISBLANK(Actuals!DF43),-550*Escalation!$B$106,Actuals!DF43)</f>
        <v>-644.41265955124607</v>
      </c>
    </row>
    <row r="47" spans="1:110" ht="15" customHeight="1" x14ac:dyDescent="0.25">
      <c r="A47" s="21" t="s">
        <v>87</v>
      </c>
      <c r="B47" s="21"/>
      <c r="C47" s="22">
        <f>IF(ISBLANK(Actuals!C44),0,Actuals!C44)</f>
        <v>-19223.75</v>
      </c>
      <c r="D47" s="22">
        <f>IF(ISBLANK(Actuals!D44),0,Actuals!D44)</f>
        <v>-13381.97</v>
      </c>
      <c r="E47" s="22">
        <f>IF(ISBLANK(Actuals!E44),0,Actuals!E44)</f>
        <v>-20308.689999999999</v>
      </c>
      <c r="F47" s="22">
        <f>IF(ISBLANK(Actuals!F44),-17638.14*Escalation!$B$2,Actuals!F44)</f>
        <v>-16948.759999999998</v>
      </c>
      <c r="G47" s="22">
        <f>IF(ISBLANK(Actuals!G44),-17638.14*Escalation!$B$3,Actuals!G44)</f>
        <v>-17638.14</v>
      </c>
      <c r="H47" s="22">
        <f>IF(ISBLANK(Actuals!H44),-17638.14*Escalation!$B$4,Actuals!H44)</f>
        <v>-17638.14</v>
      </c>
      <c r="I47" s="22">
        <f>IF(ISBLANK(Actuals!I44),-17638.14*Escalation!$B$5,Actuals!I44)</f>
        <v>-17638.14</v>
      </c>
      <c r="J47" s="22">
        <f>IF(ISBLANK(Actuals!J44),-17638.14*Escalation!$B$6,Actuals!J44)</f>
        <v>-17638.14</v>
      </c>
      <c r="K47" s="22">
        <f>IF(ISBLANK(Actuals!K44),-17638.14*Escalation!$B$7,Actuals!K44)</f>
        <v>-17638.14</v>
      </c>
      <c r="L47" s="22">
        <f>IF(ISBLANK(Actuals!L44),-17638.14*Escalation!$B$8,Actuals!L44)</f>
        <v>-17638.14</v>
      </c>
      <c r="M47" s="22">
        <f>IF(ISBLANK(Actuals!M44),-17638.14*Escalation!$B$9,Actuals!M44)</f>
        <v>-17638.14</v>
      </c>
      <c r="N47" s="22">
        <f>IF(ISBLANK(Actuals!N44),-17638.14*Escalation!$B$10,Actuals!N44)</f>
        <v>-17638.14</v>
      </c>
      <c r="O47" s="22">
        <f>IF(ISBLANK(Actuals!O44),-17638.14*Escalation!$B$11,Actuals!O44)</f>
        <v>-17638.14</v>
      </c>
      <c r="P47" s="22">
        <f>IF(ISBLANK(Actuals!P44),-17638.14*Escalation!$B$12,Actuals!P44)</f>
        <v>-17638.14</v>
      </c>
      <c r="Q47" s="22">
        <f>IF(ISBLANK(Actuals!Q44),-17638.14*Escalation!$B$13,Actuals!Q44)</f>
        <v>-17638.14</v>
      </c>
      <c r="R47" s="22">
        <f>IF(ISBLANK(Actuals!R44),-17638.14*Escalation!$B$14,Actuals!R44)</f>
        <v>-17990.9028</v>
      </c>
      <c r="S47" s="22">
        <f>IF(ISBLANK(Actuals!S44),-17638.14*Escalation!$B$15,Actuals!S44)</f>
        <v>-17990.9028</v>
      </c>
      <c r="T47" s="22">
        <f>IF(ISBLANK(Actuals!T44),-17638.14*Escalation!$B$16,Actuals!T44)</f>
        <v>-17990.9028</v>
      </c>
      <c r="U47" s="22">
        <f>IF(ISBLANK(Actuals!U44),-17638.14*Escalation!$B$17,Actuals!U44)</f>
        <v>-17990.9028</v>
      </c>
      <c r="V47" s="22">
        <f>IF(ISBLANK(Actuals!V44),-17638.14*Escalation!$B$18,Actuals!V44)</f>
        <v>-17990.9028</v>
      </c>
      <c r="W47" s="22">
        <f>IF(ISBLANK(Actuals!W44),-17638.14*Escalation!$B$19,Actuals!W44)</f>
        <v>-17990.9028</v>
      </c>
      <c r="X47" s="22">
        <f>IF(ISBLANK(Actuals!X44),-17638.14*Escalation!$B$20,Actuals!X44)</f>
        <v>-17990.9028</v>
      </c>
      <c r="Y47" s="22">
        <f>IF(ISBLANK(Actuals!Y44),-17638.14*Escalation!$B$21,Actuals!Y44)</f>
        <v>-17990.9028</v>
      </c>
      <c r="Z47" s="22">
        <f>IF(ISBLANK(Actuals!Z44),-17638.14*Escalation!$B$22,Actuals!Z44)</f>
        <v>-17990.9028</v>
      </c>
      <c r="AA47" s="22">
        <f>IF(ISBLANK(Actuals!AA44),-17638.14*Escalation!$B$23,Actuals!AA44)</f>
        <v>-17990.9028</v>
      </c>
      <c r="AB47" s="22">
        <f>IF(ISBLANK(Actuals!AB44),-17638.14*Escalation!$B$24,Actuals!AB44)</f>
        <v>-17990.9028</v>
      </c>
      <c r="AC47" s="22">
        <f>IF(ISBLANK(Actuals!AC44),-17638.14*Escalation!$B$25,Actuals!AC44)</f>
        <v>-17990.9028</v>
      </c>
      <c r="AD47" s="22">
        <f>IF(ISBLANK(Actuals!AD44),-17638.14*Escalation!$B$26,Actuals!AD44)</f>
        <v>-18350.720856</v>
      </c>
      <c r="AE47" s="22">
        <f>IF(ISBLANK(Actuals!AE44),-17638.14*Escalation!$B$27,Actuals!AE44)</f>
        <v>-18350.720856</v>
      </c>
      <c r="AF47" s="22">
        <f>IF(ISBLANK(Actuals!AF44),-17638.14*Escalation!$B$28,Actuals!AF44)</f>
        <v>-18350.720856</v>
      </c>
      <c r="AG47" s="22">
        <f>IF(ISBLANK(Actuals!AG44),-17638.14*Escalation!$B$29,Actuals!AG44)</f>
        <v>-18350.720856</v>
      </c>
      <c r="AH47" s="22">
        <f>IF(ISBLANK(Actuals!AH44),-17638.14*Escalation!$B$30,Actuals!AH44)</f>
        <v>-18350.720856</v>
      </c>
      <c r="AI47" s="22">
        <f>IF(ISBLANK(Actuals!AI44),-17638.14*Escalation!$B$31,Actuals!AI44)</f>
        <v>-18350.720856</v>
      </c>
      <c r="AJ47" s="22">
        <f>IF(ISBLANK(Actuals!AJ44),-17638.14*Escalation!$B$32,Actuals!AJ44)</f>
        <v>-18350.720856</v>
      </c>
      <c r="AK47" s="22">
        <f>IF(ISBLANK(Actuals!AK44),-17638.14*Escalation!$B$33,Actuals!AK44)</f>
        <v>-18350.720856</v>
      </c>
      <c r="AL47" s="22">
        <f>IF(ISBLANK(Actuals!AL44),-17638.14*Escalation!$B$34,Actuals!AL44)</f>
        <v>-18350.720856</v>
      </c>
      <c r="AM47" s="22">
        <f>IF(ISBLANK(Actuals!AM44),-17638.14*Escalation!$B$35,Actuals!AM44)</f>
        <v>-18350.720856</v>
      </c>
      <c r="AN47" s="22">
        <f>IF(ISBLANK(Actuals!AN44),-17638.14*Escalation!$B$36,Actuals!AN44)</f>
        <v>-18350.720856</v>
      </c>
      <c r="AO47" s="22">
        <f>IF(ISBLANK(Actuals!AO44),-17638.14*Escalation!$B$37,Actuals!AO44)</f>
        <v>-18350.720856</v>
      </c>
      <c r="AP47" s="22">
        <f>IF(ISBLANK(Actuals!AP44),-17638.14*Escalation!$B$38,Actuals!AP44)</f>
        <v>-18717.735273119997</v>
      </c>
      <c r="AQ47" s="22">
        <f>IF(ISBLANK(Actuals!AQ44),-17638.14*Escalation!$B$39,Actuals!AQ44)</f>
        <v>-18717.735273119997</v>
      </c>
      <c r="AR47" s="22">
        <f>IF(ISBLANK(Actuals!AR44),-17638.14*Escalation!$B$40,Actuals!AR44)</f>
        <v>-18717.735273119997</v>
      </c>
      <c r="AS47" s="22">
        <f>IF(ISBLANK(Actuals!AS44),-17638.14*Escalation!$B$41,Actuals!AS44)</f>
        <v>-18717.735273119997</v>
      </c>
      <c r="AT47" s="22">
        <f>IF(ISBLANK(Actuals!AT44),-17638.14*Escalation!$B$42,Actuals!AT44)</f>
        <v>-18717.735273119997</v>
      </c>
      <c r="AU47" s="22">
        <f>IF(ISBLANK(Actuals!AU44),-17638.14*Escalation!$B$43,Actuals!AU44)</f>
        <v>-18717.735273119997</v>
      </c>
      <c r="AV47" s="22">
        <f>IF(ISBLANK(Actuals!AV44),-17638.14*Escalation!$B$44,Actuals!AV44)</f>
        <v>-18717.735273119997</v>
      </c>
      <c r="AW47" s="22">
        <f>IF(ISBLANK(Actuals!AW44),-17638.14*Escalation!$B$45,Actuals!AW44)</f>
        <v>-18717.735273119997</v>
      </c>
      <c r="AX47" s="22">
        <f>IF(ISBLANK(Actuals!AX44),-17638.14*Escalation!$B$46,Actuals!AX44)</f>
        <v>-18717.735273119997</v>
      </c>
      <c r="AY47" s="22">
        <f>IF(ISBLANK(Actuals!AY44),-17638.14*Escalation!$B$47,Actuals!AY44)</f>
        <v>-18717.735273119997</v>
      </c>
      <c r="AZ47" s="22">
        <f>IF(ISBLANK(Actuals!AZ44),-17638.14*Escalation!$B$48,Actuals!AZ44)</f>
        <v>-18717.735273119997</v>
      </c>
      <c r="BA47" s="22">
        <f>IF(ISBLANK(Actuals!BA44),-17638.14*Escalation!$B$49,Actuals!BA44)</f>
        <v>-18717.735273119997</v>
      </c>
      <c r="BB47" s="22">
        <f>IF(ISBLANK(Actuals!BB44),-17638.14*Escalation!$B$50,Actuals!BB44)</f>
        <v>-19092.0899785824</v>
      </c>
      <c r="BC47" s="22">
        <f>IF(ISBLANK(Actuals!BC44),-17638.14*Escalation!$B$51,Actuals!BC44)</f>
        <v>-19092.0899785824</v>
      </c>
      <c r="BD47" s="22">
        <f>IF(ISBLANK(Actuals!BD44),-17638.14*Escalation!$B$52,Actuals!BD44)</f>
        <v>-19092.0899785824</v>
      </c>
      <c r="BE47" s="22">
        <f>IF(ISBLANK(Actuals!BE44),-17638.14*Escalation!$B$53,Actuals!BE44)</f>
        <v>-19092.0899785824</v>
      </c>
      <c r="BF47" s="22">
        <f>IF(ISBLANK(Actuals!BF44),-17638.14*Escalation!$B$54,Actuals!BF44)</f>
        <v>-19092.0899785824</v>
      </c>
      <c r="BG47" s="22">
        <f>IF(ISBLANK(Actuals!BG44),-17638.14*Escalation!$B$55,Actuals!BG44)</f>
        <v>-19092.0899785824</v>
      </c>
      <c r="BH47" s="22">
        <f>IF(ISBLANK(Actuals!BH44),-17638.14*Escalation!$B$56,Actuals!BH44)</f>
        <v>-19092.0899785824</v>
      </c>
      <c r="BI47" s="22">
        <f>IF(ISBLANK(Actuals!BI44),-17638.14*Escalation!$B$57,Actuals!BI44)</f>
        <v>-19092.0899785824</v>
      </c>
      <c r="BJ47" s="22">
        <f>IF(ISBLANK(Actuals!BJ44),-17638.14*Escalation!$B$58,Actuals!BJ44)</f>
        <v>-19092.0899785824</v>
      </c>
      <c r="BK47" s="22">
        <f>IF(ISBLANK(Actuals!BK44),-17638.14*Escalation!$B$59,Actuals!BK44)</f>
        <v>-19092.0899785824</v>
      </c>
      <c r="BL47" s="22">
        <f>IF(ISBLANK(Actuals!BL44),-17638.14*Escalation!$B$60,Actuals!BL44)</f>
        <v>-19092.0899785824</v>
      </c>
      <c r="BM47" s="22">
        <f>IF(ISBLANK(Actuals!BM44),-17638.14*Escalation!$B$61,Actuals!BM44)</f>
        <v>-19092.0899785824</v>
      </c>
      <c r="BN47" s="22">
        <f>IF(ISBLANK(Actuals!BN44),-17638.14*Escalation!$B$62,Actuals!BN44)</f>
        <v>-19473.931778154049</v>
      </c>
      <c r="BO47" s="22">
        <f>IF(ISBLANK(Actuals!BO44),-17638.14*Escalation!$B$63,Actuals!BO44)</f>
        <v>-19473.931778154049</v>
      </c>
      <c r="BP47" s="22">
        <f>IF(ISBLANK(Actuals!BP44),-17638.14*Escalation!$B$64,Actuals!BP44)</f>
        <v>-19473.931778154049</v>
      </c>
      <c r="BQ47" s="22">
        <f>IF(ISBLANK(Actuals!BQ44),-17638.14*Escalation!$B$65,Actuals!BQ44)</f>
        <v>-19473.931778154049</v>
      </c>
      <c r="BR47" s="22">
        <f>IF(ISBLANK(Actuals!BR44),-17638.14*Escalation!$B$66,Actuals!BR44)</f>
        <v>-19473.931778154049</v>
      </c>
      <c r="BS47" s="22">
        <f>IF(ISBLANK(Actuals!BS44),-17638.14*Escalation!$B$67,Actuals!BS44)</f>
        <v>-19473.931778154049</v>
      </c>
      <c r="BT47" s="22">
        <f>IF(ISBLANK(Actuals!BT44),-17638.14*Escalation!$B$68,Actuals!BT44)</f>
        <v>-19473.931778154049</v>
      </c>
      <c r="BU47" s="22">
        <f>IF(ISBLANK(Actuals!BU44),-17638.14*Escalation!$B$69,Actuals!BU44)</f>
        <v>-19473.931778154049</v>
      </c>
      <c r="BV47" s="22">
        <f>IF(ISBLANK(Actuals!BV44),-17638.14*Escalation!$B$70,Actuals!BV44)</f>
        <v>-19473.931778154049</v>
      </c>
      <c r="BW47" s="22">
        <f>IF(ISBLANK(Actuals!BW44),-17638.14*Escalation!$B$71,Actuals!BW44)</f>
        <v>-19473.931778154049</v>
      </c>
      <c r="BX47" s="22">
        <f>IF(ISBLANK(Actuals!BX44),-17638.14*Escalation!$B$72,Actuals!BX44)</f>
        <v>-19473.931778154049</v>
      </c>
      <c r="BY47" s="22">
        <f>IF(ISBLANK(Actuals!BY44),-17638.14*Escalation!$B$73,Actuals!BY44)</f>
        <v>-19473.931778154049</v>
      </c>
      <c r="BZ47" s="22">
        <f>IF(ISBLANK(Actuals!BZ44),-17638.14*Escalation!$B$74,Actuals!BZ44)</f>
        <v>-19863.410413717131</v>
      </c>
      <c r="CA47" s="22">
        <f>IF(ISBLANK(Actuals!CA44),-17638.14*Escalation!$B$75,Actuals!CA44)</f>
        <v>-19863.410413717131</v>
      </c>
      <c r="CB47" s="22">
        <f>IF(ISBLANK(Actuals!CB44),-17638.14*Escalation!$B$76,Actuals!CB44)</f>
        <v>-19863.410413717131</v>
      </c>
      <c r="CC47" s="22">
        <f>IF(ISBLANK(Actuals!CC44),-17638.14*Escalation!$B$77,Actuals!CC44)</f>
        <v>-19863.410413717131</v>
      </c>
      <c r="CD47" s="22">
        <f>IF(ISBLANK(Actuals!CD44),-17638.14*Escalation!$B$78,Actuals!CD44)</f>
        <v>-19863.410413717131</v>
      </c>
      <c r="CE47" s="22">
        <f>IF(ISBLANK(Actuals!CE44),-17638.14*Escalation!$B$79,Actuals!CE44)</f>
        <v>-19863.410413717131</v>
      </c>
      <c r="CF47" s="22">
        <f>IF(ISBLANK(Actuals!CF44),-17638.14*Escalation!$B$80,Actuals!CF44)</f>
        <v>-19863.410413717131</v>
      </c>
      <c r="CG47" s="22">
        <f>IF(ISBLANK(Actuals!CG44),-17638.14*Escalation!$B$81,Actuals!CG44)</f>
        <v>-19863.410413717131</v>
      </c>
      <c r="CH47" s="22">
        <f>IF(ISBLANK(Actuals!CH44),-17638.14*Escalation!$B$82,Actuals!CH44)</f>
        <v>-19863.410413717131</v>
      </c>
      <c r="CI47" s="22">
        <f>IF(ISBLANK(Actuals!CI44),-17638.14*Escalation!$B$83,Actuals!CI44)</f>
        <v>-19863.410413717131</v>
      </c>
      <c r="CJ47" s="22">
        <f>IF(ISBLANK(Actuals!CJ44),-17638.14*Escalation!$B$84,Actuals!CJ44)</f>
        <v>-19863.410413717131</v>
      </c>
      <c r="CK47" s="22">
        <f>IF(ISBLANK(Actuals!CK44),-17638.14*Escalation!$B$85,Actuals!CK44)</f>
        <v>-19863.410413717131</v>
      </c>
      <c r="CL47" s="22">
        <f>IF(ISBLANK(Actuals!CL44),-17638.14*Escalation!$B$86,Actuals!CL44)</f>
        <v>-20260.678621991468</v>
      </c>
      <c r="CM47" s="22">
        <f>IF(ISBLANK(Actuals!CM44),-17638.14*Escalation!$B$87,Actuals!CM44)</f>
        <v>-20260.678621991468</v>
      </c>
      <c r="CN47" s="22">
        <f>IF(ISBLANK(Actuals!CN44),-17638.14*Escalation!$B$88,Actuals!CN44)</f>
        <v>-20260.678621991468</v>
      </c>
      <c r="CO47" s="22">
        <f>IF(ISBLANK(Actuals!CO44),-17638.14*Escalation!$B$89,Actuals!CO44)</f>
        <v>-20260.678621991468</v>
      </c>
      <c r="CP47" s="22">
        <f>IF(ISBLANK(Actuals!CP44),-17638.14*Escalation!$B$90,Actuals!CP44)</f>
        <v>-20260.678621991468</v>
      </c>
      <c r="CQ47" s="22">
        <f>IF(ISBLANK(Actuals!CQ44),-17638.14*Escalation!$B$91,Actuals!CQ44)</f>
        <v>-20260.678621991468</v>
      </c>
      <c r="CR47" s="22">
        <f>IF(ISBLANK(Actuals!CR44),-17638.14*Escalation!$B$92,Actuals!CR44)</f>
        <v>-20260.678621991468</v>
      </c>
      <c r="CS47" s="22">
        <f>IF(ISBLANK(Actuals!CS44),-17638.14*Escalation!$B$93,Actuals!CS44)</f>
        <v>-20260.678621991468</v>
      </c>
      <c r="CT47" s="22">
        <f>IF(ISBLANK(Actuals!CT44),-17638.14*Escalation!$B$94,Actuals!CT44)</f>
        <v>-20260.678621991468</v>
      </c>
      <c r="CU47" s="22">
        <f>IF(ISBLANK(Actuals!CU44),-17638.14*Escalation!$B$95,Actuals!CU44)</f>
        <v>-20260.678621991468</v>
      </c>
      <c r="CV47" s="22">
        <f>IF(ISBLANK(Actuals!CV44),-17638.14*Escalation!$B$96,Actuals!CV44)</f>
        <v>-20260.678621991468</v>
      </c>
      <c r="CW47" s="22">
        <f>IF(ISBLANK(Actuals!CW44),-17638.14*Escalation!$B$97,Actuals!CW44)</f>
        <v>-20260.678621991468</v>
      </c>
      <c r="CX47" s="22">
        <f>IF(ISBLANK(Actuals!CX44),-17638.14*Escalation!$B$98,Actuals!CX44)</f>
        <v>-20665.892194431301</v>
      </c>
      <c r="CY47" s="22">
        <f>IF(ISBLANK(Actuals!CY44),-17638.14*Escalation!$B$99,Actuals!CY44)</f>
        <v>-20665.892194431301</v>
      </c>
      <c r="CZ47" s="22">
        <f>IF(ISBLANK(Actuals!CZ44),-17638.14*Escalation!$B$100,Actuals!CZ44)</f>
        <v>-20665.892194431301</v>
      </c>
      <c r="DA47" s="22">
        <f>IF(ISBLANK(Actuals!DA44),-17638.14*Escalation!$B$101,Actuals!DA44)</f>
        <v>-20665.892194431301</v>
      </c>
      <c r="DB47" s="22">
        <f>IF(ISBLANK(Actuals!DB44),-17638.14*Escalation!$B$102,Actuals!DB44)</f>
        <v>-20665.892194431301</v>
      </c>
      <c r="DC47" s="22">
        <f>IF(ISBLANK(Actuals!DC44),-17638.14*Escalation!$B$103,Actuals!DC44)</f>
        <v>-20665.892194431301</v>
      </c>
      <c r="DD47" s="22">
        <f>IF(ISBLANK(Actuals!DD44),-17638.14*Escalation!$B$104,Actuals!DD44)</f>
        <v>-20665.892194431301</v>
      </c>
      <c r="DE47" s="22">
        <f>IF(ISBLANK(Actuals!DE44),-17638.14*Escalation!$B$105,Actuals!DE44)</f>
        <v>-20665.892194431301</v>
      </c>
      <c r="DF47" s="22">
        <f>IF(ISBLANK(Actuals!DF44),-17638.14*Escalation!$B$106,Actuals!DF44)</f>
        <v>-20665.892194431301</v>
      </c>
    </row>
    <row r="48" spans="1:110" ht="15" customHeight="1" x14ac:dyDescent="0.25">
      <c r="A48" s="21" t="s">
        <v>88</v>
      </c>
      <c r="B48" s="21"/>
      <c r="C48" s="22">
        <f>IF(ISBLANK(Actuals!C45),0,Actuals!C45)</f>
        <v>-1909.98</v>
      </c>
      <c r="D48" s="22">
        <f>IF(ISBLANK(Actuals!D45),0,Actuals!D45)</f>
        <v>-190.1</v>
      </c>
      <c r="E48" s="22">
        <f>IF(ISBLANK(Actuals!E45),0,Actuals!E45)</f>
        <v>-2166.92</v>
      </c>
      <c r="F48" s="22">
        <f>IF(ISBLANK(Actuals!F45),-1422.33*Escalation!$B$2,Actuals!F45)</f>
        <v>-1816.95</v>
      </c>
      <c r="G48" s="22">
        <f>IF(ISBLANK(Actuals!G45),-1422.33*Escalation!$B$3,Actuals!G45)</f>
        <v>-1422.33</v>
      </c>
      <c r="H48" s="22">
        <f>IF(ISBLANK(Actuals!H45),-1422.33*Escalation!$B$4,Actuals!H45)</f>
        <v>-1422.33</v>
      </c>
      <c r="I48" s="22">
        <f>IF(ISBLANK(Actuals!I45),-1422.33*Escalation!$B$5,Actuals!I45)</f>
        <v>-1422.33</v>
      </c>
      <c r="J48" s="22">
        <f>IF(ISBLANK(Actuals!J45),-1422.33*Escalation!$B$6,Actuals!J45)</f>
        <v>-1422.33</v>
      </c>
      <c r="K48" s="22">
        <f>IF(ISBLANK(Actuals!K45),-1422.33*Escalation!$B$7,Actuals!K45)</f>
        <v>-1422.33</v>
      </c>
      <c r="L48" s="22">
        <f>IF(ISBLANK(Actuals!L45),-1422.33*Escalation!$B$8,Actuals!L45)</f>
        <v>-1422.33</v>
      </c>
      <c r="M48" s="22">
        <f>IF(ISBLANK(Actuals!M45),-1422.33*Escalation!$B$9,Actuals!M45)</f>
        <v>-1422.33</v>
      </c>
      <c r="N48" s="22">
        <f>IF(ISBLANK(Actuals!N45),-1422.33*Escalation!$B$10,Actuals!N45)</f>
        <v>-1422.33</v>
      </c>
      <c r="O48" s="22">
        <f>IF(ISBLANK(Actuals!O45),-1422.33*Escalation!$B$11,Actuals!O45)</f>
        <v>-1422.33</v>
      </c>
      <c r="P48" s="22">
        <f>IF(ISBLANK(Actuals!P45),-1422.33*Escalation!$B$12,Actuals!P45)</f>
        <v>-1422.33</v>
      </c>
      <c r="Q48" s="22">
        <f>IF(ISBLANK(Actuals!Q45),-1422.33*Escalation!$B$13,Actuals!Q45)</f>
        <v>-1422.33</v>
      </c>
      <c r="R48" s="22">
        <f>IF(ISBLANK(Actuals!R45),-1422.33*Escalation!$B$14,Actuals!R45)</f>
        <v>-1450.7765999999999</v>
      </c>
      <c r="S48" s="22">
        <f>IF(ISBLANK(Actuals!S45),-1422.33*Escalation!$B$15,Actuals!S45)</f>
        <v>-1450.7765999999999</v>
      </c>
      <c r="T48" s="22">
        <f>IF(ISBLANK(Actuals!T45),-1422.33*Escalation!$B$16,Actuals!T45)</f>
        <v>-1450.7765999999999</v>
      </c>
      <c r="U48" s="22">
        <f>IF(ISBLANK(Actuals!U45),-1422.33*Escalation!$B$17,Actuals!U45)</f>
        <v>-1450.7765999999999</v>
      </c>
      <c r="V48" s="22">
        <f>IF(ISBLANK(Actuals!V45),-1422.33*Escalation!$B$18,Actuals!V45)</f>
        <v>-1450.7765999999999</v>
      </c>
      <c r="W48" s="22">
        <f>IF(ISBLANK(Actuals!W45),-1422.33*Escalation!$B$19,Actuals!W45)</f>
        <v>-1450.7765999999999</v>
      </c>
      <c r="X48" s="22">
        <f>IF(ISBLANK(Actuals!X45),-1422.33*Escalation!$B$20,Actuals!X45)</f>
        <v>-1450.7765999999999</v>
      </c>
      <c r="Y48" s="22">
        <f>IF(ISBLANK(Actuals!Y45),-1422.33*Escalation!$B$21,Actuals!Y45)</f>
        <v>-1450.7765999999999</v>
      </c>
      <c r="Z48" s="22">
        <f>IF(ISBLANK(Actuals!Z45),-1422.33*Escalation!$B$22,Actuals!Z45)</f>
        <v>-1450.7765999999999</v>
      </c>
      <c r="AA48" s="22">
        <f>IF(ISBLANK(Actuals!AA45),-1422.33*Escalation!$B$23,Actuals!AA45)</f>
        <v>-1450.7765999999999</v>
      </c>
      <c r="AB48" s="22">
        <f>IF(ISBLANK(Actuals!AB45),-1422.33*Escalation!$B$24,Actuals!AB45)</f>
        <v>-1450.7765999999999</v>
      </c>
      <c r="AC48" s="22">
        <f>IF(ISBLANK(Actuals!AC45),-1422.33*Escalation!$B$25,Actuals!AC45)</f>
        <v>-1450.7765999999999</v>
      </c>
      <c r="AD48" s="22">
        <f>IF(ISBLANK(Actuals!AD45),-1422.33*Escalation!$B$26,Actuals!AD45)</f>
        <v>-1479.7921319999998</v>
      </c>
      <c r="AE48" s="22">
        <f>IF(ISBLANK(Actuals!AE45),-1422.33*Escalation!$B$27,Actuals!AE45)</f>
        <v>-1479.7921319999998</v>
      </c>
      <c r="AF48" s="22">
        <f>IF(ISBLANK(Actuals!AF45),-1422.33*Escalation!$B$28,Actuals!AF45)</f>
        <v>-1479.7921319999998</v>
      </c>
      <c r="AG48" s="22">
        <f>IF(ISBLANK(Actuals!AG45),-1422.33*Escalation!$B$29,Actuals!AG45)</f>
        <v>-1479.7921319999998</v>
      </c>
      <c r="AH48" s="22">
        <f>IF(ISBLANK(Actuals!AH45),-1422.33*Escalation!$B$30,Actuals!AH45)</f>
        <v>-1479.7921319999998</v>
      </c>
      <c r="AI48" s="22">
        <f>IF(ISBLANK(Actuals!AI45),-1422.33*Escalation!$B$31,Actuals!AI45)</f>
        <v>-1479.7921319999998</v>
      </c>
      <c r="AJ48" s="22">
        <f>IF(ISBLANK(Actuals!AJ45),-1422.33*Escalation!$B$32,Actuals!AJ45)</f>
        <v>-1479.7921319999998</v>
      </c>
      <c r="AK48" s="22">
        <f>IF(ISBLANK(Actuals!AK45),-1422.33*Escalation!$B$33,Actuals!AK45)</f>
        <v>-1479.7921319999998</v>
      </c>
      <c r="AL48" s="22">
        <f>IF(ISBLANK(Actuals!AL45),-1422.33*Escalation!$B$34,Actuals!AL45)</f>
        <v>-1479.7921319999998</v>
      </c>
      <c r="AM48" s="22">
        <f>IF(ISBLANK(Actuals!AM45),-1422.33*Escalation!$B$35,Actuals!AM45)</f>
        <v>-1479.7921319999998</v>
      </c>
      <c r="AN48" s="22">
        <f>IF(ISBLANK(Actuals!AN45),-1422.33*Escalation!$B$36,Actuals!AN45)</f>
        <v>-1479.7921319999998</v>
      </c>
      <c r="AO48" s="22">
        <f>IF(ISBLANK(Actuals!AO45),-1422.33*Escalation!$B$37,Actuals!AO45)</f>
        <v>-1479.7921319999998</v>
      </c>
      <c r="AP48" s="22">
        <f>IF(ISBLANK(Actuals!AP45),-1422.33*Escalation!$B$38,Actuals!AP45)</f>
        <v>-1509.3879746399998</v>
      </c>
      <c r="AQ48" s="22">
        <f>IF(ISBLANK(Actuals!AQ45),-1422.33*Escalation!$B$39,Actuals!AQ45)</f>
        <v>-1509.3879746399998</v>
      </c>
      <c r="AR48" s="22">
        <f>IF(ISBLANK(Actuals!AR45),-1422.33*Escalation!$B$40,Actuals!AR45)</f>
        <v>-1509.3879746399998</v>
      </c>
      <c r="AS48" s="22">
        <f>IF(ISBLANK(Actuals!AS45),-1422.33*Escalation!$B$41,Actuals!AS45)</f>
        <v>-1509.3879746399998</v>
      </c>
      <c r="AT48" s="22">
        <f>IF(ISBLANK(Actuals!AT45),-1422.33*Escalation!$B$42,Actuals!AT45)</f>
        <v>-1509.3879746399998</v>
      </c>
      <c r="AU48" s="22">
        <f>IF(ISBLANK(Actuals!AU45),-1422.33*Escalation!$B$43,Actuals!AU45)</f>
        <v>-1509.3879746399998</v>
      </c>
      <c r="AV48" s="22">
        <f>IF(ISBLANK(Actuals!AV45),-1422.33*Escalation!$B$44,Actuals!AV45)</f>
        <v>-1509.3879746399998</v>
      </c>
      <c r="AW48" s="22">
        <f>IF(ISBLANK(Actuals!AW45),-1422.33*Escalation!$B$45,Actuals!AW45)</f>
        <v>-1509.3879746399998</v>
      </c>
      <c r="AX48" s="22">
        <f>IF(ISBLANK(Actuals!AX45),-1422.33*Escalation!$B$46,Actuals!AX45)</f>
        <v>-1509.3879746399998</v>
      </c>
      <c r="AY48" s="22">
        <f>IF(ISBLANK(Actuals!AY45),-1422.33*Escalation!$B$47,Actuals!AY45)</f>
        <v>-1509.3879746399998</v>
      </c>
      <c r="AZ48" s="22">
        <f>IF(ISBLANK(Actuals!AZ45),-1422.33*Escalation!$B$48,Actuals!AZ45)</f>
        <v>-1509.3879746399998</v>
      </c>
      <c r="BA48" s="22">
        <f>IF(ISBLANK(Actuals!BA45),-1422.33*Escalation!$B$49,Actuals!BA45)</f>
        <v>-1509.3879746399998</v>
      </c>
      <c r="BB48" s="22">
        <f>IF(ISBLANK(Actuals!BB45),-1422.33*Escalation!$B$50,Actuals!BB45)</f>
        <v>-1539.5757341327999</v>
      </c>
      <c r="BC48" s="22">
        <f>IF(ISBLANK(Actuals!BC45),-1422.33*Escalation!$B$51,Actuals!BC45)</f>
        <v>-1539.5757341327999</v>
      </c>
      <c r="BD48" s="22">
        <f>IF(ISBLANK(Actuals!BD45),-1422.33*Escalation!$B$52,Actuals!BD45)</f>
        <v>-1539.5757341327999</v>
      </c>
      <c r="BE48" s="22">
        <f>IF(ISBLANK(Actuals!BE45),-1422.33*Escalation!$B$53,Actuals!BE45)</f>
        <v>-1539.5757341327999</v>
      </c>
      <c r="BF48" s="22">
        <f>IF(ISBLANK(Actuals!BF45),-1422.33*Escalation!$B$54,Actuals!BF45)</f>
        <v>-1539.5757341327999</v>
      </c>
      <c r="BG48" s="22">
        <f>IF(ISBLANK(Actuals!BG45),-1422.33*Escalation!$B$55,Actuals!BG45)</f>
        <v>-1539.5757341327999</v>
      </c>
      <c r="BH48" s="22">
        <f>IF(ISBLANK(Actuals!BH45),-1422.33*Escalation!$B$56,Actuals!BH45)</f>
        <v>-1539.5757341327999</v>
      </c>
      <c r="BI48" s="22">
        <f>IF(ISBLANK(Actuals!BI45),-1422.33*Escalation!$B$57,Actuals!BI45)</f>
        <v>-1539.5757341327999</v>
      </c>
      <c r="BJ48" s="22">
        <f>IF(ISBLANK(Actuals!BJ45),-1422.33*Escalation!$B$58,Actuals!BJ45)</f>
        <v>-1539.5757341327999</v>
      </c>
      <c r="BK48" s="22">
        <f>IF(ISBLANK(Actuals!BK45),-1422.33*Escalation!$B$59,Actuals!BK45)</f>
        <v>-1539.5757341327999</v>
      </c>
      <c r="BL48" s="22">
        <f>IF(ISBLANK(Actuals!BL45),-1422.33*Escalation!$B$60,Actuals!BL45)</f>
        <v>-1539.5757341327999</v>
      </c>
      <c r="BM48" s="22">
        <f>IF(ISBLANK(Actuals!BM45),-1422.33*Escalation!$B$61,Actuals!BM45)</f>
        <v>-1539.5757341327999</v>
      </c>
      <c r="BN48" s="22">
        <f>IF(ISBLANK(Actuals!BN45),-1422.33*Escalation!$B$62,Actuals!BN45)</f>
        <v>-1570.3672488154559</v>
      </c>
      <c r="BO48" s="22">
        <f>IF(ISBLANK(Actuals!BO45),-1422.33*Escalation!$B$63,Actuals!BO45)</f>
        <v>-1570.3672488154559</v>
      </c>
      <c r="BP48" s="22">
        <f>IF(ISBLANK(Actuals!BP45),-1422.33*Escalation!$B$64,Actuals!BP45)</f>
        <v>-1570.3672488154559</v>
      </c>
      <c r="BQ48" s="22">
        <f>IF(ISBLANK(Actuals!BQ45),-1422.33*Escalation!$B$65,Actuals!BQ45)</f>
        <v>-1570.3672488154559</v>
      </c>
      <c r="BR48" s="22">
        <f>IF(ISBLANK(Actuals!BR45),-1422.33*Escalation!$B$66,Actuals!BR45)</f>
        <v>-1570.3672488154559</v>
      </c>
      <c r="BS48" s="22">
        <f>IF(ISBLANK(Actuals!BS45),-1422.33*Escalation!$B$67,Actuals!BS45)</f>
        <v>-1570.3672488154559</v>
      </c>
      <c r="BT48" s="22">
        <f>IF(ISBLANK(Actuals!BT45),-1422.33*Escalation!$B$68,Actuals!BT45)</f>
        <v>-1570.3672488154559</v>
      </c>
      <c r="BU48" s="22">
        <f>IF(ISBLANK(Actuals!BU45),-1422.33*Escalation!$B$69,Actuals!BU45)</f>
        <v>-1570.3672488154559</v>
      </c>
      <c r="BV48" s="22">
        <f>IF(ISBLANK(Actuals!BV45),-1422.33*Escalation!$B$70,Actuals!BV45)</f>
        <v>-1570.3672488154559</v>
      </c>
      <c r="BW48" s="22">
        <f>IF(ISBLANK(Actuals!BW45),-1422.33*Escalation!$B$71,Actuals!BW45)</f>
        <v>-1570.3672488154559</v>
      </c>
      <c r="BX48" s="22">
        <f>IF(ISBLANK(Actuals!BX45),-1422.33*Escalation!$B$72,Actuals!BX45)</f>
        <v>-1570.3672488154559</v>
      </c>
      <c r="BY48" s="22">
        <f>IF(ISBLANK(Actuals!BY45),-1422.33*Escalation!$B$73,Actuals!BY45)</f>
        <v>-1570.3672488154559</v>
      </c>
      <c r="BZ48" s="22">
        <f>IF(ISBLANK(Actuals!BZ45),-1422.33*Escalation!$B$74,Actuals!BZ45)</f>
        <v>-1601.774593791765</v>
      </c>
      <c r="CA48" s="22">
        <f>IF(ISBLANK(Actuals!CA45),-1422.33*Escalation!$B$75,Actuals!CA45)</f>
        <v>-1601.774593791765</v>
      </c>
      <c r="CB48" s="22">
        <f>IF(ISBLANK(Actuals!CB45),-1422.33*Escalation!$B$76,Actuals!CB45)</f>
        <v>-1601.774593791765</v>
      </c>
      <c r="CC48" s="22">
        <f>IF(ISBLANK(Actuals!CC45),-1422.33*Escalation!$B$77,Actuals!CC45)</f>
        <v>-1601.774593791765</v>
      </c>
      <c r="CD48" s="22">
        <f>IF(ISBLANK(Actuals!CD45),-1422.33*Escalation!$B$78,Actuals!CD45)</f>
        <v>-1601.774593791765</v>
      </c>
      <c r="CE48" s="22">
        <f>IF(ISBLANK(Actuals!CE45),-1422.33*Escalation!$B$79,Actuals!CE45)</f>
        <v>-1601.774593791765</v>
      </c>
      <c r="CF48" s="22">
        <f>IF(ISBLANK(Actuals!CF45),-1422.33*Escalation!$B$80,Actuals!CF45)</f>
        <v>-1601.774593791765</v>
      </c>
      <c r="CG48" s="22">
        <f>IF(ISBLANK(Actuals!CG45),-1422.33*Escalation!$B$81,Actuals!CG45)</f>
        <v>-1601.774593791765</v>
      </c>
      <c r="CH48" s="22">
        <f>IF(ISBLANK(Actuals!CH45),-1422.33*Escalation!$B$82,Actuals!CH45)</f>
        <v>-1601.774593791765</v>
      </c>
      <c r="CI48" s="22">
        <f>IF(ISBLANK(Actuals!CI45),-1422.33*Escalation!$B$83,Actuals!CI45)</f>
        <v>-1601.774593791765</v>
      </c>
      <c r="CJ48" s="22">
        <f>IF(ISBLANK(Actuals!CJ45),-1422.33*Escalation!$B$84,Actuals!CJ45)</f>
        <v>-1601.774593791765</v>
      </c>
      <c r="CK48" s="22">
        <f>IF(ISBLANK(Actuals!CK45),-1422.33*Escalation!$B$85,Actuals!CK45)</f>
        <v>-1601.774593791765</v>
      </c>
      <c r="CL48" s="22">
        <f>IF(ISBLANK(Actuals!CL45),-1422.33*Escalation!$B$86,Actuals!CL45)</f>
        <v>-1633.8100856676001</v>
      </c>
      <c r="CM48" s="22">
        <f>IF(ISBLANK(Actuals!CM45),-1422.33*Escalation!$B$87,Actuals!CM45)</f>
        <v>-1633.8100856676001</v>
      </c>
      <c r="CN48" s="22">
        <f>IF(ISBLANK(Actuals!CN45),-1422.33*Escalation!$B$88,Actuals!CN45)</f>
        <v>-1633.8100856676001</v>
      </c>
      <c r="CO48" s="22">
        <f>IF(ISBLANK(Actuals!CO45),-1422.33*Escalation!$B$89,Actuals!CO45)</f>
        <v>-1633.8100856676001</v>
      </c>
      <c r="CP48" s="22">
        <f>IF(ISBLANK(Actuals!CP45),-1422.33*Escalation!$B$90,Actuals!CP45)</f>
        <v>-1633.8100856676001</v>
      </c>
      <c r="CQ48" s="22">
        <f>IF(ISBLANK(Actuals!CQ45),-1422.33*Escalation!$B$91,Actuals!CQ45)</f>
        <v>-1633.8100856676001</v>
      </c>
      <c r="CR48" s="22">
        <f>IF(ISBLANK(Actuals!CR45),-1422.33*Escalation!$B$92,Actuals!CR45)</f>
        <v>-1633.8100856676001</v>
      </c>
      <c r="CS48" s="22">
        <f>IF(ISBLANK(Actuals!CS45),-1422.33*Escalation!$B$93,Actuals!CS45)</f>
        <v>-1633.8100856676001</v>
      </c>
      <c r="CT48" s="22">
        <f>IF(ISBLANK(Actuals!CT45),-1422.33*Escalation!$B$94,Actuals!CT45)</f>
        <v>-1633.8100856676001</v>
      </c>
      <c r="CU48" s="22">
        <f>IF(ISBLANK(Actuals!CU45),-1422.33*Escalation!$B$95,Actuals!CU45)</f>
        <v>-1633.8100856676001</v>
      </c>
      <c r="CV48" s="22">
        <f>IF(ISBLANK(Actuals!CV45),-1422.33*Escalation!$B$96,Actuals!CV45)</f>
        <v>-1633.8100856676001</v>
      </c>
      <c r="CW48" s="22">
        <f>IF(ISBLANK(Actuals!CW45),-1422.33*Escalation!$B$97,Actuals!CW45)</f>
        <v>-1633.8100856676001</v>
      </c>
      <c r="CX48" s="22">
        <f>IF(ISBLANK(Actuals!CX45),-1422.33*Escalation!$B$98,Actuals!CX45)</f>
        <v>-1666.4862873809523</v>
      </c>
      <c r="CY48" s="22">
        <f>IF(ISBLANK(Actuals!CY45),-1422.33*Escalation!$B$99,Actuals!CY45)</f>
        <v>-1666.4862873809523</v>
      </c>
      <c r="CZ48" s="22">
        <f>IF(ISBLANK(Actuals!CZ45),-1422.33*Escalation!$B$100,Actuals!CZ45)</f>
        <v>-1666.4862873809523</v>
      </c>
      <c r="DA48" s="22">
        <f>IF(ISBLANK(Actuals!DA45),-1422.33*Escalation!$B$101,Actuals!DA45)</f>
        <v>-1666.4862873809523</v>
      </c>
      <c r="DB48" s="22">
        <f>IF(ISBLANK(Actuals!DB45),-1422.33*Escalation!$B$102,Actuals!DB45)</f>
        <v>-1666.4862873809523</v>
      </c>
      <c r="DC48" s="22">
        <f>IF(ISBLANK(Actuals!DC45),-1422.33*Escalation!$B$103,Actuals!DC45)</f>
        <v>-1666.4862873809523</v>
      </c>
      <c r="DD48" s="22">
        <f>IF(ISBLANK(Actuals!DD45),-1422.33*Escalation!$B$104,Actuals!DD45)</f>
        <v>-1666.4862873809523</v>
      </c>
      <c r="DE48" s="22">
        <f>IF(ISBLANK(Actuals!DE45),-1422.33*Escalation!$B$105,Actuals!DE45)</f>
        <v>-1666.4862873809523</v>
      </c>
      <c r="DF48" s="22">
        <f>IF(ISBLANK(Actuals!DF45),-1422.33*Escalation!$B$106,Actuals!DF45)</f>
        <v>-1666.4862873809523</v>
      </c>
    </row>
    <row r="49" spans="1:110" ht="15" customHeight="1" x14ac:dyDescent="0.25">
      <c r="A49" s="21" t="s">
        <v>89</v>
      </c>
      <c r="B49" s="21"/>
      <c r="C49" s="22">
        <f>IF(ISBLANK(Actuals!C46),0,Actuals!C46)</f>
        <v>-320</v>
      </c>
      <c r="D49" s="22">
        <f>IF(ISBLANK(Actuals!D46),0,Actuals!D46)</f>
        <v>-160</v>
      </c>
      <c r="E49" s="22">
        <f>IF(ISBLANK(Actuals!E46),0,Actuals!E46)</f>
        <v>0</v>
      </c>
      <c r="F49" s="22">
        <f>IF(ISBLANK(Actuals!F46),-160*Escalation!$B$2,Actuals!F46)</f>
        <v>0</v>
      </c>
      <c r="G49" s="22">
        <f>IF(ISBLANK(Actuals!G46),-160*Escalation!$B$3,Actuals!G46)</f>
        <v>-160</v>
      </c>
      <c r="H49" s="22">
        <f>IF(ISBLANK(Actuals!H46),-160*Escalation!$B$4,Actuals!H46)</f>
        <v>-160</v>
      </c>
      <c r="I49" s="22">
        <f>IF(ISBLANK(Actuals!I46),-160*Escalation!$B$5,Actuals!I46)</f>
        <v>-160</v>
      </c>
      <c r="J49" s="22">
        <f>IF(ISBLANK(Actuals!J46),-160*Escalation!$B$6,Actuals!J46)</f>
        <v>-160</v>
      </c>
      <c r="K49" s="22">
        <f>IF(ISBLANK(Actuals!K46),-160*Escalation!$B$7,Actuals!K46)</f>
        <v>-160</v>
      </c>
      <c r="L49" s="22">
        <f>IF(ISBLANK(Actuals!L46),-160*Escalation!$B$8,Actuals!L46)</f>
        <v>-160</v>
      </c>
      <c r="M49" s="22">
        <f>IF(ISBLANK(Actuals!M46),-160*Escalation!$B$9,Actuals!M46)</f>
        <v>-160</v>
      </c>
      <c r="N49" s="22">
        <f>IF(ISBLANK(Actuals!N46),-160*Escalation!$B$10,Actuals!N46)</f>
        <v>-160</v>
      </c>
      <c r="O49" s="22">
        <f>IF(ISBLANK(Actuals!O46),-160*Escalation!$B$11,Actuals!O46)</f>
        <v>-160</v>
      </c>
      <c r="P49" s="22">
        <f>IF(ISBLANK(Actuals!P46),-160*Escalation!$B$12,Actuals!P46)</f>
        <v>-160</v>
      </c>
      <c r="Q49" s="22">
        <f>IF(ISBLANK(Actuals!Q46),-160*Escalation!$B$13,Actuals!Q46)</f>
        <v>-160</v>
      </c>
      <c r="R49" s="22">
        <f>IF(ISBLANK(Actuals!R46),-160*Escalation!$B$14,Actuals!R46)</f>
        <v>-163.19999999999999</v>
      </c>
      <c r="S49" s="22">
        <f>IF(ISBLANK(Actuals!S46),-160*Escalation!$B$15,Actuals!S46)</f>
        <v>-163.19999999999999</v>
      </c>
      <c r="T49" s="22">
        <f>IF(ISBLANK(Actuals!T46),-160*Escalation!$B$16,Actuals!T46)</f>
        <v>-163.19999999999999</v>
      </c>
      <c r="U49" s="22">
        <f>IF(ISBLANK(Actuals!U46),-160*Escalation!$B$17,Actuals!U46)</f>
        <v>-163.19999999999999</v>
      </c>
      <c r="V49" s="22">
        <f>IF(ISBLANK(Actuals!V46),-160*Escalation!$B$18,Actuals!V46)</f>
        <v>-163.19999999999999</v>
      </c>
      <c r="W49" s="22">
        <f>IF(ISBLANK(Actuals!W46),-160*Escalation!$B$19,Actuals!W46)</f>
        <v>-163.19999999999999</v>
      </c>
      <c r="X49" s="22">
        <f>IF(ISBLANK(Actuals!X46),-160*Escalation!$B$20,Actuals!X46)</f>
        <v>-163.19999999999999</v>
      </c>
      <c r="Y49" s="22">
        <f>IF(ISBLANK(Actuals!Y46),-160*Escalation!$B$21,Actuals!Y46)</f>
        <v>-163.19999999999999</v>
      </c>
      <c r="Z49" s="22">
        <f>IF(ISBLANK(Actuals!Z46),-160*Escalation!$B$22,Actuals!Z46)</f>
        <v>-163.19999999999999</v>
      </c>
      <c r="AA49" s="22">
        <f>IF(ISBLANK(Actuals!AA46),-160*Escalation!$B$23,Actuals!AA46)</f>
        <v>-163.19999999999999</v>
      </c>
      <c r="AB49" s="22">
        <f>IF(ISBLANK(Actuals!AB46),-160*Escalation!$B$24,Actuals!AB46)</f>
        <v>-163.19999999999999</v>
      </c>
      <c r="AC49" s="22">
        <f>IF(ISBLANK(Actuals!AC46),-160*Escalation!$B$25,Actuals!AC46)</f>
        <v>-163.19999999999999</v>
      </c>
      <c r="AD49" s="22">
        <f>IF(ISBLANK(Actuals!AD46),-160*Escalation!$B$26,Actuals!AD46)</f>
        <v>-166.464</v>
      </c>
      <c r="AE49" s="22">
        <f>IF(ISBLANK(Actuals!AE46),-160*Escalation!$B$27,Actuals!AE46)</f>
        <v>-166.464</v>
      </c>
      <c r="AF49" s="22">
        <f>IF(ISBLANK(Actuals!AF46),-160*Escalation!$B$28,Actuals!AF46)</f>
        <v>-166.464</v>
      </c>
      <c r="AG49" s="22">
        <f>IF(ISBLANK(Actuals!AG46),-160*Escalation!$B$29,Actuals!AG46)</f>
        <v>-166.464</v>
      </c>
      <c r="AH49" s="22">
        <f>IF(ISBLANK(Actuals!AH46),-160*Escalation!$B$30,Actuals!AH46)</f>
        <v>-166.464</v>
      </c>
      <c r="AI49" s="22">
        <f>IF(ISBLANK(Actuals!AI46),-160*Escalation!$B$31,Actuals!AI46)</f>
        <v>-166.464</v>
      </c>
      <c r="AJ49" s="22">
        <f>IF(ISBLANK(Actuals!AJ46),-160*Escalation!$B$32,Actuals!AJ46)</f>
        <v>-166.464</v>
      </c>
      <c r="AK49" s="22">
        <f>IF(ISBLANK(Actuals!AK46),-160*Escalation!$B$33,Actuals!AK46)</f>
        <v>-166.464</v>
      </c>
      <c r="AL49" s="22">
        <f>IF(ISBLANK(Actuals!AL46),-160*Escalation!$B$34,Actuals!AL46)</f>
        <v>-166.464</v>
      </c>
      <c r="AM49" s="22">
        <f>IF(ISBLANK(Actuals!AM46),-160*Escalation!$B$35,Actuals!AM46)</f>
        <v>-166.464</v>
      </c>
      <c r="AN49" s="22">
        <f>IF(ISBLANK(Actuals!AN46),-160*Escalation!$B$36,Actuals!AN46)</f>
        <v>-166.464</v>
      </c>
      <c r="AO49" s="22">
        <f>IF(ISBLANK(Actuals!AO46),-160*Escalation!$B$37,Actuals!AO46)</f>
        <v>-166.464</v>
      </c>
      <c r="AP49" s="22">
        <f>IF(ISBLANK(Actuals!AP46),-160*Escalation!$B$38,Actuals!AP46)</f>
        <v>-169.79327999999998</v>
      </c>
      <c r="AQ49" s="22">
        <f>IF(ISBLANK(Actuals!AQ46),-160*Escalation!$B$39,Actuals!AQ46)</f>
        <v>-169.79327999999998</v>
      </c>
      <c r="AR49" s="22">
        <f>IF(ISBLANK(Actuals!AR46),-160*Escalation!$B$40,Actuals!AR46)</f>
        <v>-169.79327999999998</v>
      </c>
      <c r="AS49" s="22">
        <f>IF(ISBLANK(Actuals!AS46),-160*Escalation!$B$41,Actuals!AS46)</f>
        <v>-169.79327999999998</v>
      </c>
      <c r="AT49" s="22">
        <f>IF(ISBLANK(Actuals!AT46),-160*Escalation!$B$42,Actuals!AT46)</f>
        <v>-169.79327999999998</v>
      </c>
      <c r="AU49" s="22">
        <f>IF(ISBLANK(Actuals!AU46),-160*Escalation!$B$43,Actuals!AU46)</f>
        <v>-169.79327999999998</v>
      </c>
      <c r="AV49" s="22">
        <f>IF(ISBLANK(Actuals!AV46),-160*Escalation!$B$44,Actuals!AV46)</f>
        <v>-169.79327999999998</v>
      </c>
      <c r="AW49" s="22">
        <f>IF(ISBLANK(Actuals!AW46),-160*Escalation!$B$45,Actuals!AW46)</f>
        <v>-169.79327999999998</v>
      </c>
      <c r="AX49" s="22">
        <f>IF(ISBLANK(Actuals!AX46),-160*Escalation!$B$46,Actuals!AX46)</f>
        <v>-169.79327999999998</v>
      </c>
      <c r="AY49" s="22">
        <f>IF(ISBLANK(Actuals!AY46),-160*Escalation!$B$47,Actuals!AY46)</f>
        <v>-169.79327999999998</v>
      </c>
      <c r="AZ49" s="22">
        <f>IF(ISBLANK(Actuals!AZ46),-160*Escalation!$B$48,Actuals!AZ46)</f>
        <v>-169.79327999999998</v>
      </c>
      <c r="BA49" s="22">
        <f>IF(ISBLANK(Actuals!BA46),-160*Escalation!$B$49,Actuals!BA46)</f>
        <v>-169.79327999999998</v>
      </c>
      <c r="BB49" s="22">
        <f>IF(ISBLANK(Actuals!BB46),-160*Escalation!$B$50,Actuals!BB46)</f>
        <v>-173.18914559999999</v>
      </c>
      <c r="BC49" s="22">
        <f>IF(ISBLANK(Actuals!BC46),-160*Escalation!$B$51,Actuals!BC46)</f>
        <v>-173.18914559999999</v>
      </c>
      <c r="BD49" s="22">
        <f>IF(ISBLANK(Actuals!BD46),-160*Escalation!$B$52,Actuals!BD46)</f>
        <v>-173.18914559999999</v>
      </c>
      <c r="BE49" s="22">
        <f>IF(ISBLANK(Actuals!BE46),-160*Escalation!$B$53,Actuals!BE46)</f>
        <v>-173.18914559999999</v>
      </c>
      <c r="BF49" s="22">
        <f>IF(ISBLANK(Actuals!BF46),-160*Escalation!$B$54,Actuals!BF46)</f>
        <v>-173.18914559999999</v>
      </c>
      <c r="BG49" s="22">
        <f>IF(ISBLANK(Actuals!BG46),-160*Escalation!$B$55,Actuals!BG46)</f>
        <v>-173.18914559999999</v>
      </c>
      <c r="BH49" s="22">
        <f>IF(ISBLANK(Actuals!BH46),-160*Escalation!$B$56,Actuals!BH46)</f>
        <v>-173.18914559999999</v>
      </c>
      <c r="BI49" s="22">
        <f>IF(ISBLANK(Actuals!BI46),-160*Escalation!$B$57,Actuals!BI46)</f>
        <v>-173.18914559999999</v>
      </c>
      <c r="BJ49" s="22">
        <f>IF(ISBLANK(Actuals!BJ46),-160*Escalation!$B$58,Actuals!BJ46)</f>
        <v>-173.18914559999999</v>
      </c>
      <c r="BK49" s="22">
        <f>IF(ISBLANK(Actuals!BK46),-160*Escalation!$B$59,Actuals!BK46)</f>
        <v>-173.18914559999999</v>
      </c>
      <c r="BL49" s="22">
        <f>IF(ISBLANK(Actuals!BL46),-160*Escalation!$B$60,Actuals!BL46)</f>
        <v>-173.18914559999999</v>
      </c>
      <c r="BM49" s="22">
        <f>IF(ISBLANK(Actuals!BM46),-160*Escalation!$B$61,Actuals!BM46)</f>
        <v>-173.18914559999999</v>
      </c>
      <c r="BN49" s="22">
        <f>IF(ISBLANK(Actuals!BN46),-160*Escalation!$B$62,Actuals!BN46)</f>
        <v>-176.65292851200002</v>
      </c>
      <c r="BO49" s="22">
        <f>IF(ISBLANK(Actuals!BO46),-160*Escalation!$B$63,Actuals!BO46)</f>
        <v>-176.65292851200002</v>
      </c>
      <c r="BP49" s="22">
        <f>IF(ISBLANK(Actuals!BP46),-160*Escalation!$B$64,Actuals!BP46)</f>
        <v>-176.65292851200002</v>
      </c>
      <c r="BQ49" s="22">
        <f>IF(ISBLANK(Actuals!BQ46),-160*Escalation!$B$65,Actuals!BQ46)</f>
        <v>-176.65292851200002</v>
      </c>
      <c r="BR49" s="22">
        <f>IF(ISBLANK(Actuals!BR46),-160*Escalation!$B$66,Actuals!BR46)</f>
        <v>-176.65292851200002</v>
      </c>
      <c r="BS49" s="22">
        <f>IF(ISBLANK(Actuals!BS46),-160*Escalation!$B$67,Actuals!BS46)</f>
        <v>-176.65292851200002</v>
      </c>
      <c r="BT49" s="22">
        <f>IF(ISBLANK(Actuals!BT46),-160*Escalation!$B$68,Actuals!BT46)</f>
        <v>-176.65292851200002</v>
      </c>
      <c r="BU49" s="22">
        <f>IF(ISBLANK(Actuals!BU46),-160*Escalation!$B$69,Actuals!BU46)</f>
        <v>-176.65292851200002</v>
      </c>
      <c r="BV49" s="22">
        <f>IF(ISBLANK(Actuals!BV46),-160*Escalation!$B$70,Actuals!BV46)</f>
        <v>-176.65292851200002</v>
      </c>
      <c r="BW49" s="22">
        <f>IF(ISBLANK(Actuals!BW46),-160*Escalation!$B$71,Actuals!BW46)</f>
        <v>-176.65292851200002</v>
      </c>
      <c r="BX49" s="22">
        <f>IF(ISBLANK(Actuals!BX46),-160*Escalation!$B$72,Actuals!BX46)</f>
        <v>-176.65292851200002</v>
      </c>
      <c r="BY49" s="22">
        <f>IF(ISBLANK(Actuals!BY46),-160*Escalation!$B$73,Actuals!BY46)</f>
        <v>-176.65292851200002</v>
      </c>
      <c r="BZ49" s="22">
        <f>IF(ISBLANK(Actuals!BZ46),-160*Escalation!$B$74,Actuals!BZ46)</f>
        <v>-180.18598708224002</v>
      </c>
      <c r="CA49" s="22">
        <f>IF(ISBLANK(Actuals!CA46),-160*Escalation!$B$75,Actuals!CA46)</f>
        <v>-180.18598708224002</v>
      </c>
      <c r="CB49" s="22">
        <f>IF(ISBLANK(Actuals!CB46),-160*Escalation!$B$76,Actuals!CB46)</f>
        <v>-180.18598708224002</v>
      </c>
      <c r="CC49" s="22">
        <f>IF(ISBLANK(Actuals!CC46),-160*Escalation!$B$77,Actuals!CC46)</f>
        <v>-180.18598708224002</v>
      </c>
      <c r="CD49" s="22">
        <f>IF(ISBLANK(Actuals!CD46),-160*Escalation!$B$78,Actuals!CD46)</f>
        <v>-180.18598708224002</v>
      </c>
      <c r="CE49" s="22">
        <f>IF(ISBLANK(Actuals!CE46),-160*Escalation!$B$79,Actuals!CE46)</f>
        <v>-180.18598708224002</v>
      </c>
      <c r="CF49" s="22">
        <f>IF(ISBLANK(Actuals!CF46),-160*Escalation!$B$80,Actuals!CF46)</f>
        <v>-180.18598708224002</v>
      </c>
      <c r="CG49" s="22">
        <f>IF(ISBLANK(Actuals!CG46),-160*Escalation!$B$81,Actuals!CG46)</f>
        <v>-180.18598708224002</v>
      </c>
      <c r="CH49" s="22">
        <f>IF(ISBLANK(Actuals!CH46),-160*Escalation!$B$82,Actuals!CH46)</f>
        <v>-180.18598708224002</v>
      </c>
      <c r="CI49" s="22">
        <f>IF(ISBLANK(Actuals!CI46),-160*Escalation!$B$83,Actuals!CI46)</f>
        <v>-180.18598708224002</v>
      </c>
      <c r="CJ49" s="22">
        <f>IF(ISBLANK(Actuals!CJ46),-160*Escalation!$B$84,Actuals!CJ46)</f>
        <v>-180.18598708224002</v>
      </c>
      <c r="CK49" s="22">
        <f>IF(ISBLANK(Actuals!CK46),-160*Escalation!$B$85,Actuals!CK46)</f>
        <v>-180.18598708224002</v>
      </c>
      <c r="CL49" s="22">
        <f>IF(ISBLANK(Actuals!CL46),-160*Escalation!$B$86,Actuals!CL46)</f>
        <v>-183.78970682388479</v>
      </c>
      <c r="CM49" s="22">
        <f>IF(ISBLANK(Actuals!CM46),-160*Escalation!$B$87,Actuals!CM46)</f>
        <v>-183.78970682388479</v>
      </c>
      <c r="CN49" s="22">
        <f>IF(ISBLANK(Actuals!CN46),-160*Escalation!$B$88,Actuals!CN46)</f>
        <v>-183.78970682388479</v>
      </c>
      <c r="CO49" s="22">
        <f>IF(ISBLANK(Actuals!CO46),-160*Escalation!$B$89,Actuals!CO46)</f>
        <v>-183.78970682388479</v>
      </c>
      <c r="CP49" s="22">
        <f>IF(ISBLANK(Actuals!CP46),-160*Escalation!$B$90,Actuals!CP46)</f>
        <v>-183.78970682388479</v>
      </c>
      <c r="CQ49" s="22">
        <f>IF(ISBLANK(Actuals!CQ46),-160*Escalation!$B$91,Actuals!CQ46)</f>
        <v>-183.78970682388479</v>
      </c>
      <c r="CR49" s="22">
        <f>IF(ISBLANK(Actuals!CR46),-160*Escalation!$B$92,Actuals!CR46)</f>
        <v>-183.78970682388479</v>
      </c>
      <c r="CS49" s="22">
        <f>IF(ISBLANK(Actuals!CS46),-160*Escalation!$B$93,Actuals!CS46)</f>
        <v>-183.78970682388479</v>
      </c>
      <c r="CT49" s="22">
        <f>IF(ISBLANK(Actuals!CT46),-160*Escalation!$B$94,Actuals!CT46)</f>
        <v>-183.78970682388479</v>
      </c>
      <c r="CU49" s="22">
        <f>IF(ISBLANK(Actuals!CU46),-160*Escalation!$B$95,Actuals!CU46)</f>
        <v>-183.78970682388479</v>
      </c>
      <c r="CV49" s="22">
        <f>IF(ISBLANK(Actuals!CV46),-160*Escalation!$B$96,Actuals!CV46)</f>
        <v>-183.78970682388479</v>
      </c>
      <c r="CW49" s="22">
        <f>IF(ISBLANK(Actuals!CW46),-160*Escalation!$B$97,Actuals!CW46)</f>
        <v>-183.78970682388479</v>
      </c>
      <c r="CX49" s="22">
        <f>IF(ISBLANK(Actuals!CX46),-160*Escalation!$B$98,Actuals!CX46)</f>
        <v>-187.46550096036248</v>
      </c>
      <c r="CY49" s="22">
        <f>IF(ISBLANK(Actuals!CY46),-160*Escalation!$B$99,Actuals!CY46)</f>
        <v>-187.46550096036248</v>
      </c>
      <c r="CZ49" s="22">
        <f>IF(ISBLANK(Actuals!CZ46),-160*Escalation!$B$100,Actuals!CZ46)</f>
        <v>-187.46550096036248</v>
      </c>
      <c r="DA49" s="22">
        <f>IF(ISBLANK(Actuals!DA46),-160*Escalation!$B$101,Actuals!DA46)</f>
        <v>-187.46550096036248</v>
      </c>
      <c r="DB49" s="22">
        <f>IF(ISBLANK(Actuals!DB46),-160*Escalation!$B$102,Actuals!DB46)</f>
        <v>-187.46550096036248</v>
      </c>
      <c r="DC49" s="22">
        <f>IF(ISBLANK(Actuals!DC46),-160*Escalation!$B$103,Actuals!DC46)</f>
        <v>-187.46550096036248</v>
      </c>
      <c r="DD49" s="22">
        <f>IF(ISBLANK(Actuals!DD46),-160*Escalation!$B$104,Actuals!DD46)</f>
        <v>-187.46550096036248</v>
      </c>
      <c r="DE49" s="22">
        <f>IF(ISBLANK(Actuals!DE46),-160*Escalation!$B$105,Actuals!DE46)</f>
        <v>-187.46550096036248</v>
      </c>
      <c r="DF49" s="22">
        <f>IF(ISBLANK(Actuals!DF46),-160*Escalation!$B$106,Actuals!DF46)</f>
        <v>-187.46550096036248</v>
      </c>
    </row>
    <row r="50" spans="1:110" ht="15" customHeight="1" x14ac:dyDescent="0.25">
      <c r="A50" s="21" t="s">
        <v>90</v>
      </c>
      <c r="B50" s="21"/>
      <c r="C50" s="22">
        <f>IF(ISBLANK(Actuals!C47),0,Actuals!C47)</f>
        <v>-17660.72</v>
      </c>
      <c r="D50" s="22">
        <f>IF(ISBLANK(Actuals!D47),0,Actuals!D47)</f>
        <v>-5799</v>
      </c>
      <c r="E50" s="22">
        <f>IF(ISBLANK(Actuals!E47),0,Actuals!E47)</f>
        <v>-3432.18</v>
      </c>
      <c r="F50" s="22">
        <f>IF(ISBLANK(Actuals!F47),-5000*Escalation!$B$2,Actuals!F47)</f>
        <v>0</v>
      </c>
      <c r="G50" s="22">
        <f>IF(ISBLANK(Actuals!G47),-5000*Escalation!$B$3,Actuals!G47)</f>
        <v>-5000</v>
      </c>
      <c r="H50" s="22">
        <f>IF(ISBLANK(Actuals!H47),-5000*Escalation!$B$4,Actuals!H47)</f>
        <v>-5000</v>
      </c>
      <c r="I50" s="22">
        <f>IF(ISBLANK(Actuals!I47),-5000*Escalation!$B$5,Actuals!I47)</f>
        <v>-5000</v>
      </c>
      <c r="J50" s="22">
        <f>IF(ISBLANK(Actuals!J47),-5000*Escalation!$B$6,Actuals!J47)</f>
        <v>-5000</v>
      </c>
      <c r="K50" s="22">
        <f>IF(ISBLANK(Actuals!K47),-5000*Escalation!$B$7,Actuals!K47)</f>
        <v>-5000</v>
      </c>
      <c r="L50" s="22">
        <f>IF(ISBLANK(Actuals!L47),-5000*Escalation!$B$8,Actuals!L47)</f>
        <v>-5000</v>
      </c>
      <c r="M50" s="22">
        <f>IF(ISBLANK(Actuals!M47),-5000*Escalation!$B$9,Actuals!M47)</f>
        <v>-5000</v>
      </c>
      <c r="N50" s="22">
        <f>IF(ISBLANK(Actuals!N47),-5000*Escalation!$B$10,Actuals!N47)</f>
        <v>-5000</v>
      </c>
      <c r="O50" s="22">
        <f>IF(ISBLANK(Actuals!O47),-5000*Escalation!$B$11,Actuals!O47)</f>
        <v>-5000</v>
      </c>
      <c r="P50" s="22">
        <f>IF(ISBLANK(Actuals!P47),-5000*Escalation!$B$12,Actuals!P47)</f>
        <v>-5000</v>
      </c>
      <c r="Q50" s="22">
        <f>IF(ISBLANK(Actuals!Q47),-5000*Escalation!$B$13,Actuals!Q47)</f>
        <v>-5000</v>
      </c>
      <c r="R50" s="22">
        <f>IF(ISBLANK(Actuals!R47),-5000*Escalation!$B$14,Actuals!R47)</f>
        <v>-5100</v>
      </c>
      <c r="S50" s="22">
        <f>IF(ISBLANK(Actuals!S47),-5000*Escalation!$B$15,Actuals!S47)</f>
        <v>-5100</v>
      </c>
      <c r="T50" s="22">
        <f>IF(ISBLANK(Actuals!T47),-5000*Escalation!$B$16,Actuals!T47)</f>
        <v>-5100</v>
      </c>
      <c r="U50" s="22">
        <f>IF(ISBLANK(Actuals!U47),-5000*Escalation!$B$17,Actuals!U47)</f>
        <v>-5100</v>
      </c>
      <c r="V50" s="22">
        <f>IF(ISBLANK(Actuals!V47),-5000*Escalation!$B$18,Actuals!V47)</f>
        <v>-5100</v>
      </c>
      <c r="W50" s="22">
        <f>IF(ISBLANK(Actuals!W47),-5000*Escalation!$B$19,Actuals!W47)</f>
        <v>-5100</v>
      </c>
      <c r="X50" s="22">
        <f>IF(ISBLANK(Actuals!X47),-5000*Escalation!$B$20,Actuals!X47)</f>
        <v>-5100</v>
      </c>
      <c r="Y50" s="22">
        <f>IF(ISBLANK(Actuals!Y47),-5000*Escalation!$B$21,Actuals!Y47)</f>
        <v>-5100</v>
      </c>
      <c r="Z50" s="22">
        <f>IF(ISBLANK(Actuals!Z47),-5000*Escalation!$B$22,Actuals!Z47)</f>
        <v>-5100</v>
      </c>
      <c r="AA50" s="22">
        <f>IF(ISBLANK(Actuals!AA47),-5000*Escalation!$B$23,Actuals!AA47)</f>
        <v>-5100</v>
      </c>
      <c r="AB50" s="22">
        <f>IF(ISBLANK(Actuals!AB47),-5000*Escalation!$B$24,Actuals!AB47)</f>
        <v>-5100</v>
      </c>
      <c r="AC50" s="22">
        <f>IF(ISBLANK(Actuals!AC47),-5000*Escalation!$B$25,Actuals!AC47)</f>
        <v>-5100</v>
      </c>
      <c r="AD50" s="22">
        <f>IF(ISBLANK(Actuals!AD47),-5000*Escalation!$B$26,Actuals!AD47)</f>
        <v>-5202</v>
      </c>
      <c r="AE50" s="22">
        <f>IF(ISBLANK(Actuals!AE47),-5000*Escalation!$B$27,Actuals!AE47)</f>
        <v>-5202</v>
      </c>
      <c r="AF50" s="22">
        <f>IF(ISBLANK(Actuals!AF47),-5000*Escalation!$B$28,Actuals!AF47)</f>
        <v>-5202</v>
      </c>
      <c r="AG50" s="22">
        <f>IF(ISBLANK(Actuals!AG47),-5000*Escalation!$B$29,Actuals!AG47)</f>
        <v>-5202</v>
      </c>
      <c r="AH50" s="22">
        <f>IF(ISBLANK(Actuals!AH47),-5000*Escalation!$B$30,Actuals!AH47)</f>
        <v>-5202</v>
      </c>
      <c r="AI50" s="22">
        <f>IF(ISBLANK(Actuals!AI47),-5000*Escalation!$B$31,Actuals!AI47)</f>
        <v>-5202</v>
      </c>
      <c r="AJ50" s="22">
        <f>IF(ISBLANK(Actuals!AJ47),-5000*Escalation!$B$32,Actuals!AJ47)</f>
        <v>-5202</v>
      </c>
      <c r="AK50" s="22">
        <f>IF(ISBLANK(Actuals!AK47),-5000*Escalation!$B$33,Actuals!AK47)</f>
        <v>-5202</v>
      </c>
      <c r="AL50" s="22">
        <f>IF(ISBLANK(Actuals!AL47),-5000*Escalation!$B$34,Actuals!AL47)</f>
        <v>-5202</v>
      </c>
      <c r="AM50" s="22">
        <f>IF(ISBLANK(Actuals!AM47),-5000*Escalation!$B$35,Actuals!AM47)</f>
        <v>-5202</v>
      </c>
      <c r="AN50" s="22">
        <f>IF(ISBLANK(Actuals!AN47),-5000*Escalation!$B$36,Actuals!AN47)</f>
        <v>-5202</v>
      </c>
      <c r="AO50" s="22">
        <f>IF(ISBLANK(Actuals!AO47),-5000*Escalation!$B$37,Actuals!AO47)</f>
        <v>-5202</v>
      </c>
      <c r="AP50" s="22">
        <f>IF(ISBLANK(Actuals!AP47),-5000*Escalation!$B$38,Actuals!AP47)</f>
        <v>-5306.04</v>
      </c>
      <c r="AQ50" s="22">
        <f>IF(ISBLANK(Actuals!AQ47),-5000*Escalation!$B$39,Actuals!AQ47)</f>
        <v>-5306.04</v>
      </c>
      <c r="AR50" s="22">
        <f>IF(ISBLANK(Actuals!AR47),-5000*Escalation!$B$40,Actuals!AR47)</f>
        <v>-5306.04</v>
      </c>
      <c r="AS50" s="22">
        <f>IF(ISBLANK(Actuals!AS47),-5000*Escalation!$B$41,Actuals!AS47)</f>
        <v>-5306.04</v>
      </c>
      <c r="AT50" s="22">
        <f>IF(ISBLANK(Actuals!AT47),-5000*Escalation!$B$42,Actuals!AT47)</f>
        <v>-5306.04</v>
      </c>
      <c r="AU50" s="22">
        <f>IF(ISBLANK(Actuals!AU47),-5000*Escalation!$B$43,Actuals!AU47)</f>
        <v>-5306.04</v>
      </c>
      <c r="AV50" s="22">
        <f>IF(ISBLANK(Actuals!AV47),-5000*Escalation!$B$44,Actuals!AV47)</f>
        <v>-5306.04</v>
      </c>
      <c r="AW50" s="22">
        <f>IF(ISBLANK(Actuals!AW47),-5000*Escalation!$B$45,Actuals!AW47)</f>
        <v>-5306.04</v>
      </c>
      <c r="AX50" s="22">
        <f>IF(ISBLANK(Actuals!AX47),-5000*Escalation!$B$46,Actuals!AX47)</f>
        <v>-5306.04</v>
      </c>
      <c r="AY50" s="22">
        <f>IF(ISBLANK(Actuals!AY47),-5000*Escalation!$B$47,Actuals!AY47)</f>
        <v>-5306.04</v>
      </c>
      <c r="AZ50" s="22">
        <f>IF(ISBLANK(Actuals!AZ47),-5000*Escalation!$B$48,Actuals!AZ47)</f>
        <v>-5306.04</v>
      </c>
      <c r="BA50" s="22">
        <f>IF(ISBLANK(Actuals!BA47),-5000*Escalation!$B$49,Actuals!BA47)</f>
        <v>-5306.04</v>
      </c>
      <c r="BB50" s="22">
        <f>IF(ISBLANK(Actuals!BB47),-5000*Escalation!$B$50,Actuals!BB47)</f>
        <v>-5412.1607999999997</v>
      </c>
      <c r="BC50" s="22">
        <f>IF(ISBLANK(Actuals!BC47),-5000*Escalation!$B$51,Actuals!BC47)</f>
        <v>-5412.1607999999997</v>
      </c>
      <c r="BD50" s="22">
        <f>IF(ISBLANK(Actuals!BD47),-5000*Escalation!$B$52,Actuals!BD47)</f>
        <v>-5412.1607999999997</v>
      </c>
      <c r="BE50" s="22">
        <f>IF(ISBLANK(Actuals!BE47),-5000*Escalation!$B$53,Actuals!BE47)</f>
        <v>-5412.1607999999997</v>
      </c>
      <c r="BF50" s="22">
        <f>IF(ISBLANK(Actuals!BF47),-5000*Escalation!$B$54,Actuals!BF47)</f>
        <v>-5412.1607999999997</v>
      </c>
      <c r="BG50" s="22">
        <f>IF(ISBLANK(Actuals!BG47),-5000*Escalation!$B$55,Actuals!BG47)</f>
        <v>-5412.1607999999997</v>
      </c>
      <c r="BH50" s="22">
        <f>IF(ISBLANK(Actuals!BH47),-5000*Escalation!$B$56,Actuals!BH47)</f>
        <v>-5412.1607999999997</v>
      </c>
      <c r="BI50" s="22">
        <f>IF(ISBLANK(Actuals!BI47),-5000*Escalation!$B$57,Actuals!BI47)</f>
        <v>-5412.1607999999997</v>
      </c>
      <c r="BJ50" s="22">
        <f>IF(ISBLANK(Actuals!BJ47),-5000*Escalation!$B$58,Actuals!BJ47)</f>
        <v>-5412.1607999999997</v>
      </c>
      <c r="BK50" s="22">
        <f>IF(ISBLANK(Actuals!BK47),-5000*Escalation!$B$59,Actuals!BK47)</f>
        <v>-5412.1607999999997</v>
      </c>
      <c r="BL50" s="22">
        <f>IF(ISBLANK(Actuals!BL47),-5000*Escalation!$B$60,Actuals!BL47)</f>
        <v>-5412.1607999999997</v>
      </c>
      <c r="BM50" s="22">
        <f>IF(ISBLANK(Actuals!BM47),-5000*Escalation!$B$61,Actuals!BM47)</f>
        <v>-5412.1607999999997</v>
      </c>
      <c r="BN50" s="22">
        <f>IF(ISBLANK(Actuals!BN47),-5000*Escalation!$B$62,Actuals!BN47)</f>
        <v>-5520.4040160000004</v>
      </c>
      <c r="BO50" s="22">
        <f>IF(ISBLANK(Actuals!BO47),-5000*Escalation!$B$63,Actuals!BO47)</f>
        <v>-5520.4040160000004</v>
      </c>
      <c r="BP50" s="22">
        <f>IF(ISBLANK(Actuals!BP47),-5000*Escalation!$B$64,Actuals!BP47)</f>
        <v>-5520.4040160000004</v>
      </c>
      <c r="BQ50" s="22">
        <f>IF(ISBLANK(Actuals!BQ47),-5000*Escalation!$B$65,Actuals!BQ47)</f>
        <v>-5520.4040160000004</v>
      </c>
      <c r="BR50" s="22">
        <f>IF(ISBLANK(Actuals!BR47),-5000*Escalation!$B$66,Actuals!BR47)</f>
        <v>-5520.4040160000004</v>
      </c>
      <c r="BS50" s="22">
        <f>IF(ISBLANK(Actuals!BS47),-5000*Escalation!$B$67,Actuals!BS47)</f>
        <v>-5520.4040160000004</v>
      </c>
      <c r="BT50" s="22">
        <f>IF(ISBLANK(Actuals!BT47),-5000*Escalation!$B$68,Actuals!BT47)</f>
        <v>-5520.4040160000004</v>
      </c>
      <c r="BU50" s="22">
        <f>IF(ISBLANK(Actuals!BU47),-5000*Escalation!$B$69,Actuals!BU47)</f>
        <v>-5520.4040160000004</v>
      </c>
      <c r="BV50" s="22">
        <f>IF(ISBLANK(Actuals!BV47),-5000*Escalation!$B$70,Actuals!BV47)</f>
        <v>-5520.4040160000004</v>
      </c>
      <c r="BW50" s="22">
        <f>IF(ISBLANK(Actuals!BW47),-5000*Escalation!$B$71,Actuals!BW47)</f>
        <v>-5520.4040160000004</v>
      </c>
      <c r="BX50" s="22">
        <f>IF(ISBLANK(Actuals!BX47),-5000*Escalation!$B$72,Actuals!BX47)</f>
        <v>-5520.4040160000004</v>
      </c>
      <c r="BY50" s="22">
        <f>IF(ISBLANK(Actuals!BY47),-5000*Escalation!$B$73,Actuals!BY47)</f>
        <v>-5520.4040160000004</v>
      </c>
      <c r="BZ50" s="22">
        <f>IF(ISBLANK(Actuals!BZ47),-5000*Escalation!$B$74,Actuals!BZ47)</f>
        <v>-5630.8120963199999</v>
      </c>
      <c r="CA50" s="22">
        <f>IF(ISBLANK(Actuals!CA47),-5000*Escalation!$B$75,Actuals!CA47)</f>
        <v>-5630.8120963199999</v>
      </c>
      <c r="CB50" s="22">
        <f>IF(ISBLANK(Actuals!CB47),-5000*Escalation!$B$76,Actuals!CB47)</f>
        <v>-5630.8120963199999</v>
      </c>
      <c r="CC50" s="22">
        <f>IF(ISBLANK(Actuals!CC47),-5000*Escalation!$B$77,Actuals!CC47)</f>
        <v>-5630.8120963199999</v>
      </c>
      <c r="CD50" s="22">
        <f>IF(ISBLANK(Actuals!CD47),-5000*Escalation!$B$78,Actuals!CD47)</f>
        <v>-5630.8120963199999</v>
      </c>
      <c r="CE50" s="22">
        <f>IF(ISBLANK(Actuals!CE47),-5000*Escalation!$B$79,Actuals!CE47)</f>
        <v>-5630.8120963199999</v>
      </c>
      <c r="CF50" s="22">
        <f>IF(ISBLANK(Actuals!CF47),-5000*Escalation!$B$80,Actuals!CF47)</f>
        <v>-5630.8120963199999</v>
      </c>
      <c r="CG50" s="22">
        <f>IF(ISBLANK(Actuals!CG47),-5000*Escalation!$B$81,Actuals!CG47)</f>
        <v>-5630.8120963199999</v>
      </c>
      <c r="CH50" s="22">
        <f>IF(ISBLANK(Actuals!CH47),-5000*Escalation!$B$82,Actuals!CH47)</f>
        <v>-5630.8120963199999</v>
      </c>
      <c r="CI50" s="22">
        <f>IF(ISBLANK(Actuals!CI47),-5000*Escalation!$B$83,Actuals!CI47)</f>
        <v>-5630.8120963199999</v>
      </c>
      <c r="CJ50" s="22">
        <f>IF(ISBLANK(Actuals!CJ47),-5000*Escalation!$B$84,Actuals!CJ47)</f>
        <v>-5630.8120963199999</v>
      </c>
      <c r="CK50" s="22">
        <f>IF(ISBLANK(Actuals!CK47),-5000*Escalation!$B$85,Actuals!CK47)</f>
        <v>-5630.8120963199999</v>
      </c>
      <c r="CL50" s="22">
        <f>IF(ISBLANK(Actuals!CL47),-5000*Escalation!$B$86,Actuals!CL47)</f>
        <v>-5743.4283382463991</v>
      </c>
      <c r="CM50" s="22">
        <f>IF(ISBLANK(Actuals!CM47),-5000*Escalation!$B$87,Actuals!CM47)</f>
        <v>-5743.4283382463991</v>
      </c>
      <c r="CN50" s="22">
        <f>IF(ISBLANK(Actuals!CN47),-5000*Escalation!$B$88,Actuals!CN47)</f>
        <v>-5743.4283382463991</v>
      </c>
      <c r="CO50" s="22">
        <f>IF(ISBLANK(Actuals!CO47),-5000*Escalation!$B$89,Actuals!CO47)</f>
        <v>-5743.4283382463991</v>
      </c>
      <c r="CP50" s="22">
        <f>IF(ISBLANK(Actuals!CP47),-5000*Escalation!$B$90,Actuals!CP47)</f>
        <v>-5743.4283382463991</v>
      </c>
      <c r="CQ50" s="22">
        <f>IF(ISBLANK(Actuals!CQ47),-5000*Escalation!$B$91,Actuals!CQ47)</f>
        <v>-5743.4283382463991</v>
      </c>
      <c r="CR50" s="22">
        <f>IF(ISBLANK(Actuals!CR47),-5000*Escalation!$B$92,Actuals!CR47)</f>
        <v>-5743.4283382463991</v>
      </c>
      <c r="CS50" s="22">
        <f>IF(ISBLANK(Actuals!CS47),-5000*Escalation!$B$93,Actuals!CS47)</f>
        <v>-5743.4283382463991</v>
      </c>
      <c r="CT50" s="22">
        <f>IF(ISBLANK(Actuals!CT47),-5000*Escalation!$B$94,Actuals!CT47)</f>
        <v>-5743.4283382463991</v>
      </c>
      <c r="CU50" s="22">
        <f>IF(ISBLANK(Actuals!CU47),-5000*Escalation!$B$95,Actuals!CU47)</f>
        <v>-5743.4283382463991</v>
      </c>
      <c r="CV50" s="22">
        <f>IF(ISBLANK(Actuals!CV47),-5000*Escalation!$B$96,Actuals!CV47)</f>
        <v>-5743.4283382463991</v>
      </c>
      <c r="CW50" s="22">
        <f>IF(ISBLANK(Actuals!CW47),-5000*Escalation!$B$97,Actuals!CW47)</f>
        <v>-5743.4283382463991</v>
      </c>
      <c r="CX50" s="22">
        <f>IF(ISBLANK(Actuals!CX47),-5000*Escalation!$B$98,Actuals!CX47)</f>
        <v>-5858.2969050113279</v>
      </c>
      <c r="CY50" s="22">
        <f>IF(ISBLANK(Actuals!CY47),-5000*Escalation!$B$99,Actuals!CY47)</f>
        <v>-5858.2969050113279</v>
      </c>
      <c r="CZ50" s="22">
        <f>IF(ISBLANK(Actuals!CZ47),-5000*Escalation!$B$100,Actuals!CZ47)</f>
        <v>-5858.2969050113279</v>
      </c>
      <c r="DA50" s="22">
        <f>IF(ISBLANK(Actuals!DA47),-5000*Escalation!$B$101,Actuals!DA47)</f>
        <v>-5858.2969050113279</v>
      </c>
      <c r="DB50" s="22">
        <f>IF(ISBLANK(Actuals!DB47),-5000*Escalation!$B$102,Actuals!DB47)</f>
        <v>-5858.2969050113279</v>
      </c>
      <c r="DC50" s="22">
        <f>IF(ISBLANK(Actuals!DC47),-5000*Escalation!$B$103,Actuals!DC47)</f>
        <v>-5858.2969050113279</v>
      </c>
      <c r="DD50" s="22">
        <f>IF(ISBLANK(Actuals!DD47),-5000*Escalation!$B$104,Actuals!DD47)</f>
        <v>-5858.2969050113279</v>
      </c>
      <c r="DE50" s="22">
        <f>IF(ISBLANK(Actuals!DE47),-5000*Escalation!$B$105,Actuals!DE47)</f>
        <v>-5858.2969050113279</v>
      </c>
      <c r="DF50" s="22">
        <f>IF(ISBLANK(Actuals!DF47),-5000*Escalation!$B$106,Actuals!DF47)</f>
        <v>-5858.2969050113279</v>
      </c>
    </row>
    <row r="51" spans="1:110" ht="15" customHeight="1" x14ac:dyDescent="0.25">
      <c r="A51" s="21" t="s">
        <v>91</v>
      </c>
      <c r="B51" s="21"/>
      <c r="C51" s="22">
        <f>IF(ISBLANK(Actuals!C48),0,Actuals!C48)</f>
        <v>-304</v>
      </c>
      <c r="D51" s="22">
        <f>IF(ISBLANK(Actuals!D48),0,Actuals!D48)</f>
        <v>-644.80999999999995</v>
      </c>
      <c r="E51" s="22">
        <f>IF(ISBLANK(Actuals!E48),0,Actuals!E48)</f>
        <v>-304</v>
      </c>
      <c r="F51" s="22">
        <f>IF(ISBLANK(Actuals!F48),-417.6*Escalation!$B$2,Actuals!F48)</f>
        <v>0</v>
      </c>
      <c r="G51" s="22">
        <f>IF(ISBLANK(Actuals!G48),-417.6*Escalation!$B$3,Actuals!G48)</f>
        <v>-417.6</v>
      </c>
      <c r="H51" s="22">
        <f>IF(ISBLANK(Actuals!H48),-417.6*Escalation!$B$4,Actuals!H48)</f>
        <v>-417.6</v>
      </c>
      <c r="I51" s="22">
        <f>IF(ISBLANK(Actuals!I48),-417.6*Escalation!$B$5,Actuals!I48)</f>
        <v>-417.6</v>
      </c>
      <c r="J51" s="22">
        <f>IF(ISBLANK(Actuals!J48),-417.6*Escalation!$B$6,Actuals!J48)</f>
        <v>-417.6</v>
      </c>
      <c r="K51" s="22">
        <f>IF(ISBLANK(Actuals!K48),-417.6*Escalation!$B$7,Actuals!K48)</f>
        <v>-417.6</v>
      </c>
      <c r="L51" s="22">
        <f>IF(ISBLANK(Actuals!L48),-417.6*Escalation!$B$8,Actuals!L48)</f>
        <v>-417.6</v>
      </c>
      <c r="M51" s="22">
        <f>IF(ISBLANK(Actuals!M48),-417.6*Escalation!$B$9,Actuals!M48)</f>
        <v>-417.6</v>
      </c>
      <c r="N51" s="22">
        <f>IF(ISBLANK(Actuals!N48),-417.6*Escalation!$B$10,Actuals!N48)</f>
        <v>-417.6</v>
      </c>
      <c r="O51" s="22">
        <f>IF(ISBLANK(Actuals!O48),-417.6*Escalation!$B$11,Actuals!O48)</f>
        <v>-417.6</v>
      </c>
      <c r="P51" s="22">
        <f>IF(ISBLANK(Actuals!P48),-417.6*Escalation!$B$12,Actuals!P48)</f>
        <v>-417.6</v>
      </c>
      <c r="Q51" s="22">
        <f>IF(ISBLANK(Actuals!Q48),-417.6*Escalation!$B$13,Actuals!Q48)</f>
        <v>-417.6</v>
      </c>
      <c r="R51" s="22">
        <f>IF(ISBLANK(Actuals!R48),-417.6*Escalation!$B$14,Actuals!R48)</f>
        <v>-425.95200000000006</v>
      </c>
      <c r="S51" s="22">
        <f>IF(ISBLANK(Actuals!S48),-417.6*Escalation!$B$15,Actuals!S48)</f>
        <v>-425.95200000000006</v>
      </c>
      <c r="T51" s="22">
        <f>IF(ISBLANK(Actuals!T48),-417.6*Escalation!$B$16,Actuals!T48)</f>
        <v>-425.95200000000006</v>
      </c>
      <c r="U51" s="22">
        <f>IF(ISBLANK(Actuals!U48),-417.6*Escalation!$B$17,Actuals!U48)</f>
        <v>-425.95200000000006</v>
      </c>
      <c r="V51" s="22">
        <f>IF(ISBLANK(Actuals!V48),-417.6*Escalation!$B$18,Actuals!V48)</f>
        <v>-425.95200000000006</v>
      </c>
      <c r="W51" s="22">
        <f>IF(ISBLANK(Actuals!W48),-417.6*Escalation!$B$19,Actuals!W48)</f>
        <v>-425.95200000000006</v>
      </c>
      <c r="X51" s="22">
        <f>IF(ISBLANK(Actuals!X48),-417.6*Escalation!$B$20,Actuals!X48)</f>
        <v>-425.95200000000006</v>
      </c>
      <c r="Y51" s="22">
        <f>IF(ISBLANK(Actuals!Y48),-417.6*Escalation!$B$21,Actuals!Y48)</f>
        <v>-425.95200000000006</v>
      </c>
      <c r="Z51" s="22">
        <f>IF(ISBLANK(Actuals!Z48),-417.6*Escalation!$B$22,Actuals!Z48)</f>
        <v>-425.95200000000006</v>
      </c>
      <c r="AA51" s="22">
        <f>IF(ISBLANK(Actuals!AA48),-417.6*Escalation!$B$23,Actuals!AA48)</f>
        <v>-425.95200000000006</v>
      </c>
      <c r="AB51" s="22">
        <f>IF(ISBLANK(Actuals!AB48),-417.6*Escalation!$B$24,Actuals!AB48)</f>
        <v>-425.95200000000006</v>
      </c>
      <c r="AC51" s="22">
        <f>IF(ISBLANK(Actuals!AC48),-417.6*Escalation!$B$25,Actuals!AC48)</f>
        <v>-425.95200000000006</v>
      </c>
      <c r="AD51" s="22">
        <f>IF(ISBLANK(Actuals!AD48),-417.6*Escalation!$B$26,Actuals!AD48)</f>
        <v>-434.47104000000002</v>
      </c>
      <c r="AE51" s="22">
        <f>IF(ISBLANK(Actuals!AE48),-417.6*Escalation!$B$27,Actuals!AE48)</f>
        <v>-434.47104000000002</v>
      </c>
      <c r="AF51" s="22">
        <f>IF(ISBLANK(Actuals!AF48),-417.6*Escalation!$B$28,Actuals!AF48)</f>
        <v>-434.47104000000002</v>
      </c>
      <c r="AG51" s="22">
        <f>IF(ISBLANK(Actuals!AG48),-417.6*Escalation!$B$29,Actuals!AG48)</f>
        <v>-434.47104000000002</v>
      </c>
      <c r="AH51" s="22">
        <f>IF(ISBLANK(Actuals!AH48),-417.6*Escalation!$B$30,Actuals!AH48)</f>
        <v>-434.47104000000002</v>
      </c>
      <c r="AI51" s="22">
        <f>IF(ISBLANK(Actuals!AI48),-417.6*Escalation!$B$31,Actuals!AI48)</f>
        <v>-434.47104000000002</v>
      </c>
      <c r="AJ51" s="22">
        <f>IF(ISBLANK(Actuals!AJ48),-417.6*Escalation!$B$32,Actuals!AJ48)</f>
        <v>-434.47104000000002</v>
      </c>
      <c r="AK51" s="22">
        <f>IF(ISBLANK(Actuals!AK48),-417.6*Escalation!$B$33,Actuals!AK48)</f>
        <v>-434.47104000000002</v>
      </c>
      <c r="AL51" s="22">
        <f>IF(ISBLANK(Actuals!AL48),-417.6*Escalation!$B$34,Actuals!AL48)</f>
        <v>-434.47104000000002</v>
      </c>
      <c r="AM51" s="22">
        <f>IF(ISBLANK(Actuals!AM48),-417.6*Escalation!$B$35,Actuals!AM48)</f>
        <v>-434.47104000000002</v>
      </c>
      <c r="AN51" s="22">
        <f>IF(ISBLANK(Actuals!AN48),-417.6*Escalation!$B$36,Actuals!AN48)</f>
        <v>-434.47104000000002</v>
      </c>
      <c r="AO51" s="22">
        <f>IF(ISBLANK(Actuals!AO48),-417.6*Escalation!$B$37,Actuals!AO48)</f>
        <v>-434.47104000000002</v>
      </c>
      <c r="AP51" s="22">
        <f>IF(ISBLANK(Actuals!AP48),-417.6*Escalation!$B$38,Actuals!AP48)</f>
        <v>-443.16046080000001</v>
      </c>
      <c r="AQ51" s="22">
        <f>IF(ISBLANK(Actuals!AQ48),-417.6*Escalation!$B$39,Actuals!AQ48)</f>
        <v>-443.16046080000001</v>
      </c>
      <c r="AR51" s="22">
        <f>IF(ISBLANK(Actuals!AR48),-417.6*Escalation!$B$40,Actuals!AR48)</f>
        <v>-443.16046080000001</v>
      </c>
      <c r="AS51" s="22">
        <f>IF(ISBLANK(Actuals!AS48),-417.6*Escalation!$B$41,Actuals!AS48)</f>
        <v>-443.16046080000001</v>
      </c>
      <c r="AT51" s="22">
        <f>IF(ISBLANK(Actuals!AT48),-417.6*Escalation!$B$42,Actuals!AT48)</f>
        <v>-443.16046080000001</v>
      </c>
      <c r="AU51" s="22">
        <f>IF(ISBLANK(Actuals!AU48),-417.6*Escalation!$B$43,Actuals!AU48)</f>
        <v>-443.16046080000001</v>
      </c>
      <c r="AV51" s="22">
        <f>IF(ISBLANK(Actuals!AV48),-417.6*Escalation!$B$44,Actuals!AV48)</f>
        <v>-443.16046080000001</v>
      </c>
      <c r="AW51" s="22">
        <f>IF(ISBLANK(Actuals!AW48),-417.6*Escalation!$B$45,Actuals!AW48)</f>
        <v>-443.16046080000001</v>
      </c>
      <c r="AX51" s="22">
        <f>IF(ISBLANK(Actuals!AX48),-417.6*Escalation!$B$46,Actuals!AX48)</f>
        <v>-443.16046080000001</v>
      </c>
      <c r="AY51" s="22">
        <f>IF(ISBLANK(Actuals!AY48),-417.6*Escalation!$B$47,Actuals!AY48)</f>
        <v>-443.16046080000001</v>
      </c>
      <c r="AZ51" s="22">
        <f>IF(ISBLANK(Actuals!AZ48),-417.6*Escalation!$B$48,Actuals!AZ48)</f>
        <v>-443.16046080000001</v>
      </c>
      <c r="BA51" s="22">
        <f>IF(ISBLANK(Actuals!BA48),-417.6*Escalation!$B$49,Actuals!BA48)</f>
        <v>-443.16046080000001</v>
      </c>
      <c r="BB51" s="22">
        <f>IF(ISBLANK(Actuals!BB48),-417.6*Escalation!$B$50,Actuals!BB48)</f>
        <v>-452.02367001600004</v>
      </c>
      <c r="BC51" s="22">
        <f>IF(ISBLANK(Actuals!BC48),-417.6*Escalation!$B$51,Actuals!BC48)</f>
        <v>-452.02367001600004</v>
      </c>
      <c r="BD51" s="22">
        <f>IF(ISBLANK(Actuals!BD48),-417.6*Escalation!$B$52,Actuals!BD48)</f>
        <v>-452.02367001600004</v>
      </c>
      <c r="BE51" s="22">
        <f>IF(ISBLANK(Actuals!BE48),-417.6*Escalation!$B$53,Actuals!BE48)</f>
        <v>-452.02367001600004</v>
      </c>
      <c r="BF51" s="22">
        <f>IF(ISBLANK(Actuals!BF48),-417.6*Escalation!$B$54,Actuals!BF48)</f>
        <v>-452.02367001600004</v>
      </c>
      <c r="BG51" s="22">
        <f>IF(ISBLANK(Actuals!BG48),-417.6*Escalation!$B$55,Actuals!BG48)</f>
        <v>-452.02367001600004</v>
      </c>
      <c r="BH51" s="22">
        <f>IF(ISBLANK(Actuals!BH48),-417.6*Escalation!$B$56,Actuals!BH48)</f>
        <v>-452.02367001600004</v>
      </c>
      <c r="BI51" s="22">
        <f>IF(ISBLANK(Actuals!BI48),-417.6*Escalation!$B$57,Actuals!BI48)</f>
        <v>-452.02367001600004</v>
      </c>
      <c r="BJ51" s="22">
        <f>IF(ISBLANK(Actuals!BJ48),-417.6*Escalation!$B$58,Actuals!BJ48)</f>
        <v>-452.02367001600004</v>
      </c>
      <c r="BK51" s="22">
        <f>IF(ISBLANK(Actuals!BK48),-417.6*Escalation!$B$59,Actuals!BK48)</f>
        <v>-452.02367001600004</v>
      </c>
      <c r="BL51" s="22">
        <f>IF(ISBLANK(Actuals!BL48),-417.6*Escalation!$B$60,Actuals!BL48)</f>
        <v>-452.02367001600004</v>
      </c>
      <c r="BM51" s="22">
        <f>IF(ISBLANK(Actuals!BM48),-417.6*Escalation!$B$61,Actuals!BM48)</f>
        <v>-452.02367001600004</v>
      </c>
      <c r="BN51" s="22">
        <f>IF(ISBLANK(Actuals!BN48),-417.6*Escalation!$B$62,Actuals!BN48)</f>
        <v>-461.06414341632001</v>
      </c>
      <c r="BO51" s="22">
        <f>IF(ISBLANK(Actuals!BO48),-417.6*Escalation!$B$63,Actuals!BO48)</f>
        <v>-461.06414341632001</v>
      </c>
      <c r="BP51" s="22">
        <f>IF(ISBLANK(Actuals!BP48),-417.6*Escalation!$B$64,Actuals!BP48)</f>
        <v>-461.06414341632001</v>
      </c>
      <c r="BQ51" s="22">
        <f>IF(ISBLANK(Actuals!BQ48),-417.6*Escalation!$B$65,Actuals!BQ48)</f>
        <v>-461.06414341632001</v>
      </c>
      <c r="BR51" s="22">
        <f>IF(ISBLANK(Actuals!BR48),-417.6*Escalation!$B$66,Actuals!BR48)</f>
        <v>-461.06414341632001</v>
      </c>
      <c r="BS51" s="22">
        <f>IF(ISBLANK(Actuals!BS48),-417.6*Escalation!$B$67,Actuals!BS48)</f>
        <v>-461.06414341632001</v>
      </c>
      <c r="BT51" s="22">
        <f>IF(ISBLANK(Actuals!BT48),-417.6*Escalation!$B$68,Actuals!BT48)</f>
        <v>-461.06414341632001</v>
      </c>
      <c r="BU51" s="22">
        <f>IF(ISBLANK(Actuals!BU48),-417.6*Escalation!$B$69,Actuals!BU48)</f>
        <v>-461.06414341632001</v>
      </c>
      <c r="BV51" s="22">
        <f>IF(ISBLANK(Actuals!BV48),-417.6*Escalation!$B$70,Actuals!BV48)</f>
        <v>-461.06414341632001</v>
      </c>
      <c r="BW51" s="22">
        <f>IF(ISBLANK(Actuals!BW48),-417.6*Escalation!$B$71,Actuals!BW48)</f>
        <v>-461.06414341632001</v>
      </c>
      <c r="BX51" s="22">
        <f>IF(ISBLANK(Actuals!BX48),-417.6*Escalation!$B$72,Actuals!BX48)</f>
        <v>-461.06414341632001</v>
      </c>
      <c r="BY51" s="22">
        <f>IF(ISBLANK(Actuals!BY48),-417.6*Escalation!$B$73,Actuals!BY48)</f>
        <v>-461.06414341632001</v>
      </c>
      <c r="BZ51" s="22">
        <f>IF(ISBLANK(Actuals!BZ48),-417.6*Escalation!$B$74,Actuals!BZ48)</f>
        <v>-470.28542628464646</v>
      </c>
      <c r="CA51" s="22">
        <f>IF(ISBLANK(Actuals!CA48),-417.6*Escalation!$B$75,Actuals!CA48)</f>
        <v>-470.28542628464646</v>
      </c>
      <c r="CB51" s="22">
        <f>IF(ISBLANK(Actuals!CB48),-417.6*Escalation!$B$76,Actuals!CB48)</f>
        <v>-470.28542628464646</v>
      </c>
      <c r="CC51" s="22">
        <f>IF(ISBLANK(Actuals!CC48),-417.6*Escalation!$B$77,Actuals!CC48)</f>
        <v>-470.28542628464646</v>
      </c>
      <c r="CD51" s="22">
        <f>IF(ISBLANK(Actuals!CD48),-417.6*Escalation!$B$78,Actuals!CD48)</f>
        <v>-470.28542628464646</v>
      </c>
      <c r="CE51" s="22">
        <f>IF(ISBLANK(Actuals!CE48),-417.6*Escalation!$B$79,Actuals!CE48)</f>
        <v>-470.28542628464646</v>
      </c>
      <c r="CF51" s="22">
        <f>IF(ISBLANK(Actuals!CF48),-417.6*Escalation!$B$80,Actuals!CF48)</f>
        <v>-470.28542628464646</v>
      </c>
      <c r="CG51" s="22">
        <f>IF(ISBLANK(Actuals!CG48),-417.6*Escalation!$B$81,Actuals!CG48)</f>
        <v>-470.28542628464646</v>
      </c>
      <c r="CH51" s="22">
        <f>IF(ISBLANK(Actuals!CH48),-417.6*Escalation!$B$82,Actuals!CH48)</f>
        <v>-470.28542628464646</v>
      </c>
      <c r="CI51" s="22">
        <f>IF(ISBLANK(Actuals!CI48),-417.6*Escalation!$B$83,Actuals!CI48)</f>
        <v>-470.28542628464646</v>
      </c>
      <c r="CJ51" s="22">
        <f>IF(ISBLANK(Actuals!CJ48),-417.6*Escalation!$B$84,Actuals!CJ48)</f>
        <v>-470.28542628464646</v>
      </c>
      <c r="CK51" s="22">
        <f>IF(ISBLANK(Actuals!CK48),-417.6*Escalation!$B$85,Actuals!CK48)</f>
        <v>-470.28542628464646</v>
      </c>
      <c r="CL51" s="22">
        <f>IF(ISBLANK(Actuals!CL48),-417.6*Escalation!$B$86,Actuals!CL48)</f>
        <v>-479.69113481033929</v>
      </c>
      <c r="CM51" s="22">
        <f>IF(ISBLANK(Actuals!CM48),-417.6*Escalation!$B$87,Actuals!CM48)</f>
        <v>-479.69113481033929</v>
      </c>
      <c r="CN51" s="22">
        <f>IF(ISBLANK(Actuals!CN48),-417.6*Escalation!$B$88,Actuals!CN48)</f>
        <v>-479.69113481033929</v>
      </c>
      <c r="CO51" s="22">
        <f>IF(ISBLANK(Actuals!CO48),-417.6*Escalation!$B$89,Actuals!CO48)</f>
        <v>-479.69113481033929</v>
      </c>
      <c r="CP51" s="22">
        <f>IF(ISBLANK(Actuals!CP48),-417.6*Escalation!$B$90,Actuals!CP48)</f>
        <v>-479.69113481033929</v>
      </c>
      <c r="CQ51" s="22">
        <f>IF(ISBLANK(Actuals!CQ48),-417.6*Escalation!$B$91,Actuals!CQ48)</f>
        <v>-479.69113481033929</v>
      </c>
      <c r="CR51" s="22">
        <f>IF(ISBLANK(Actuals!CR48),-417.6*Escalation!$B$92,Actuals!CR48)</f>
        <v>-479.69113481033929</v>
      </c>
      <c r="CS51" s="22">
        <f>IF(ISBLANK(Actuals!CS48),-417.6*Escalation!$B$93,Actuals!CS48)</f>
        <v>-479.69113481033929</v>
      </c>
      <c r="CT51" s="22">
        <f>IF(ISBLANK(Actuals!CT48),-417.6*Escalation!$B$94,Actuals!CT48)</f>
        <v>-479.69113481033929</v>
      </c>
      <c r="CU51" s="22">
        <f>IF(ISBLANK(Actuals!CU48),-417.6*Escalation!$B$95,Actuals!CU48)</f>
        <v>-479.69113481033929</v>
      </c>
      <c r="CV51" s="22">
        <f>IF(ISBLANK(Actuals!CV48),-417.6*Escalation!$B$96,Actuals!CV48)</f>
        <v>-479.69113481033929</v>
      </c>
      <c r="CW51" s="22">
        <f>IF(ISBLANK(Actuals!CW48),-417.6*Escalation!$B$97,Actuals!CW48)</f>
        <v>-479.69113481033929</v>
      </c>
      <c r="CX51" s="22">
        <f>IF(ISBLANK(Actuals!CX48),-417.6*Escalation!$B$98,Actuals!CX48)</f>
        <v>-489.28495750654611</v>
      </c>
      <c r="CY51" s="22">
        <f>IF(ISBLANK(Actuals!CY48),-417.6*Escalation!$B$99,Actuals!CY48)</f>
        <v>-489.28495750654611</v>
      </c>
      <c r="CZ51" s="22">
        <f>IF(ISBLANK(Actuals!CZ48),-417.6*Escalation!$B$100,Actuals!CZ48)</f>
        <v>-489.28495750654611</v>
      </c>
      <c r="DA51" s="22">
        <f>IF(ISBLANK(Actuals!DA48),-417.6*Escalation!$B$101,Actuals!DA48)</f>
        <v>-489.28495750654611</v>
      </c>
      <c r="DB51" s="22">
        <f>IF(ISBLANK(Actuals!DB48),-417.6*Escalation!$B$102,Actuals!DB48)</f>
        <v>-489.28495750654611</v>
      </c>
      <c r="DC51" s="22">
        <f>IF(ISBLANK(Actuals!DC48),-417.6*Escalation!$B$103,Actuals!DC48)</f>
        <v>-489.28495750654611</v>
      </c>
      <c r="DD51" s="22">
        <f>IF(ISBLANK(Actuals!DD48),-417.6*Escalation!$B$104,Actuals!DD48)</f>
        <v>-489.28495750654611</v>
      </c>
      <c r="DE51" s="22">
        <f>IF(ISBLANK(Actuals!DE48),-417.6*Escalation!$B$105,Actuals!DE48)</f>
        <v>-489.28495750654611</v>
      </c>
      <c r="DF51" s="22">
        <f>IF(ISBLANK(Actuals!DF48),-417.6*Escalation!$B$106,Actuals!DF48)</f>
        <v>-489.28495750654611</v>
      </c>
    </row>
    <row r="52" spans="1:110" ht="15" customHeight="1" x14ac:dyDescent="0.25">
      <c r="A52" s="13" t="s">
        <v>92</v>
      </c>
      <c r="B52" s="13"/>
      <c r="C52" s="22">
        <f>IF(ISBLANK(Actuals!C49),0,Actuals!C49)</f>
        <v>0</v>
      </c>
      <c r="D52" s="22">
        <f>IF(ISBLANK(Actuals!D49),0,Actuals!D49)</f>
        <v>-75</v>
      </c>
      <c r="E52" s="22">
        <f>IF(ISBLANK(Actuals!E49),0,Actuals!E49)</f>
        <v>-5</v>
      </c>
      <c r="F52" s="22">
        <f>IF(ISBLANK(Actuals!F49),-26.67*Escalation!$B$2,Actuals!F49)</f>
        <v>0</v>
      </c>
      <c r="G52" s="22">
        <f>IF(ISBLANK(Actuals!G49),-26.67*Escalation!$B$3,Actuals!G49)</f>
        <v>-26.67</v>
      </c>
      <c r="H52" s="22">
        <f>IF(ISBLANK(Actuals!H49),-26.67*Escalation!$B$4,Actuals!H49)</f>
        <v>-26.67</v>
      </c>
      <c r="I52" s="22">
        <f>IF(ISBLANK(Actuals!I49),-26.67*Escalation!$B$5,Actuals!I49)</f>
        <v>-26.67</v>
      </c>
      <c r="J52" s="22">
        <f>IF(ISBLANK(Actuals!J49),-26.67*Escalation!$B$6,Actuals!J49)</f>
        <v>-26.67</v>
      </c>
      <c r="K52" s="22">
        <f>IF(ISBLANK(Actuals!K49),-26.67*Escalation!$B$7,Actuals!K49)</f>
        <v>-26.67</v>
      </c>
      <c r="L52" s="22">
        <f>IF(ISBLANK(Actuals!L49),-26.67*Escalation!$B$8,Actuals!L49)</f>
        <v>-26.67</v>
      </c>
      <c r="M52" s="22">
        <f>IF(ISBLANK(Actuals!M49),-26.67*Escalation!$B$9,Actuals!M49)</f>
        <v>-26.67</v>
      </c>
      <c r="N52" s="22">
        <f>IF(ISBLANK(Actuals!N49),-26.67*Escalation!$B$10,Actuals!N49)</f>
        <v>-26.67</v>
      </c>
      <c r="O52" s="22">
        <f>IF(ISBLANK(Actuals!O49),-26.67*Escalation!$B$11,Actuals!O49)</f>
        <v>-26.67</v>
      </c>
      <c r="P52" s="22">
        <f>IF(ISBLANK(Actuals!P49),-26.67*Escalation!$B$12,Actuals!P49)</f>
        <v>-26.67</v>
      </c>
      <c r="Q52" s="22">
        <f>IF(ISBLANK(Actuals!Q49),-26.67*Escalation!$B$13,Actuals!Q49)</f>
        <v>-26.67</v>
      </c>
      <c r="R52" s="22">
        <f>IF(ISBLANK(Actuals!R49),-26.67*Escalation!$B$14,Actuals!R49)</f>
        <v>-27.203400000000002</v>
      </c>
      <c r="S52" s="22">
        <f>IF(ISBLANK(Actuals!S49),-26.67*Escalation!$B$15,Actuals!S49)</f>
        <v>-27.203400000000002</v>
      </c>
      <c r="T52" s="22">
        <f>IF(ISBLANK(Actuals!T49),-26.67*Escalation!$B$16,Actuals!T49)</f>
        <v>-27.203400000000002</v>
      </c>
      <c r="U52" s="22">
        <f>IF(ISBLANK(Actuals!U49),-26.67*Escalation!$B$17,Actuals!U49)</f>
        <v>-27.203400000000002</v>
      </c>
      <c r="V52" s="22">
        <f>IF(ISBLANK(Actuals!V49),-26.67*Escalation!$B$18,Actuals!V49)</f>
        <v>-27.203400000000002</v>
      </c>
      <c r="W52" s="22">
        <f>IF(ISBLANK(Actuals!W49),-26.67*Escalation!$B$19,Actuals!W49)</f>
        <v>-27.203400000000002</v>
      </c>
      <c r="X52" s="22">
        <f>IF(ISBLANK(Actuals!X49),-26.67*Escalation!$B$20,Actuals!X49)</f>
        <v>-27.203400000000002</v>
      </c>
      <c r="Y52" s="22">
        <f>IF(ISBLANK(Actuals!Y49),-26.67*Escalation!$B$21,Actuals!Y49)</f>
        <v>-27.203400000000002</v>
      </c>
      <c r="Z52" s="22">
        <f>IF(ISBLANK(Actuals!Z49),-26.67*Escalation!$B$22,Actuals!Z49)</f>
        <v>-27.203400000000002</v>
      </c>
      <c r="AA52" s="22">
        <f>IF(ISBLANK(Actuals!AA49),-26.67*Escalation!$B$23,Actuals!AA49)</f>
        <v>-27.203400000000002</v>
      </c>
      <c r="AB52" s="22">
        <f>IF(ISBLANK(Actuals!AB49),-26.67*Escalation!$B$24,Actuals!AB49)</f>
        <v>-27.203400000000002</v>
      </c>
      <c r="AC52" s="22">
        <f>IF(ISBLANK(Actuals!AC49),-26.67*Escalation!$B$25,Actuals!AC49)</f>
        <v>-27.203400000000002</v>
      </c>
      <c r="AD52" s="22">
        <f>IF(ISBLANK(Actuals!AD49),-26.67*Escalation!$B$26,Actuals!AD49)</f>
        <v>-27.747468000000001</v>
      </c>
      <c r="AE52" s="22">
        <f>IF(ISBLANK(Actuals!AE49),-26.67*Escalation!$B$27,Actuals!AE49)</f>
        <v>-27.747468000000001</v>
      </c>
      <c r="AF52" s="22">
        <f>IF(ISBLANK(Actuals!AF49),-26.67*Escalation!$B$28,Actuals!AF49)</f>
        <v>-27.747468000000001</v>
      </c>
      <c r="AG52" s="22">
        <f>IF(ISBLANK(Actuals!AG49),-26.67*Escalation!$B$29,Actuals!AG49)</f>
        <v>-27.747468000000001</v>
      </c>
      <c r="AH52" s="22">
        <f>IF(ISBLANK(Actuals!AH49),-26.67*Escalation!$B$30,Actuals!AH49)</f>
        <v>-27.747468000000001</v>
      </c>
      <c r="AI52" s="22">
        <f>IF(ISBLANK(Actuals!AI49),-26.67*Escalation!$B$31,Actuals!AI49)</f>
        <v>-27.747468000000001</v>
      </c>
      <c r="AJ52" s="22">
        <f>IF(ISBLANK(Actuals!AJ49),-26.67*Escalation!$B$32,Actuals!AJ49)</f>
        <v>-27.747468000000001</v>
      </c>
      <c r="AK52" s="22">
        <f>IF(ISBLANK(Actuals!AK49),-26.67*Escalation!$B$33,Actuals!AK49)</f>
        <v>-27.747468000000001</v>
      </c>
      <c r="AL52" s="22">
        <f>IF(ISBLANK(Actuals!AL49),-26.67*Escalation!$B$34,Actuals!AL49)</f>
        <v>-27.747468000000001</v>
      </c>
      <c r="AM52" s="22">
        <f>IF(ISBLANK(Actuals!AM49),-26.67*Escalation!$B$35,Actuals!AM49)</f>
        <v>-27.747468000000001</v>
      </c>
      <c r="AN52" s="22">
        <f>IF(ISBLANK(Actuals!AN49),-26.67*Escalation!$B$36,Actuals!AN49)</f>
        <v>-27.747468000000001</v>
      </c>
      <c r="AO52" s="22">
        <f>IF(ISBLANK(Actuals!AO49),-26.67*Escalation!$B$37,Actuals!AO49)</f>
        <v>-27.747468000000001</v>
      </c>
      <c r="AP52" s="22">
        <f>IF(ISBLANK(Actuals!AP49),-26.67*Escalation!$B$38,Actuals!AP49)</f>
        <v>-28.30241736</v>
      </c>
      <c r="AQ52" s="22">
        <f>IF(ISBLANK(Actuals!AQ49),-26.67*Escalation!$B$39,Actuals!AQ49)</f>
        <v>-28.30241736</v>
      </c>
      <c r="AR52" s="22">
        <f>IF(ISBLANK(Actuals!AR49),-26.67*Escalation!$B$40,Actuals!AR49)</f>
        <v>-28.30241736</v>
      </c>
      <c r="AS52" s="22">
        <f>IF(ISBLANK(Actuals!AS49),-26.67*Escalation!$B$41,Actuals!AS49)</f>
        <v>-28.30241736</v>
      </c>
      <c r="AT52" s="22">
        <f>IF(ISBLANK(Actuals!AT49),-26.67*Escalation!$B$42,Actuals!AT49)</f>
        <v>-28.30241736</v>
      </c>
      <c r="AU52" s="22">
        <f>IF(ISBLANK(Actuals!AU49),-26.67*Escalation!$B$43,Actuals!AU49)</f>
        <v>-28.30241736</v>
      </c>
      <c r="AV52" s="22">
        <f>IF(ISBLANK(Actuals!AV49),-26.67*Escalation!$B$44,Actuals!AV49)</f>
        <v>-28.30241736</v>
      </c>
      <c r="AW52" s="22">
        <f>IF(ISBLANK(Actuals!AW49),-26.67*Escalation!$B$45,Actuals!AW49)</f>
        <v>-28.30241736</v>
      </c>
      <c r="AX52" s="22">
        <f>IF(ISBLANK(Actuals!AX49),-26.67*Escalation!$B$46,Actuals!AX49)</f>
        <v>-28.30241736</v>
      </c>
      <c r="AY52" s="22">
        <f>IF(ISBLANK(Actuals!AY49),-26.67*Escalation!$B$47,Actuals!AY49)</f>
        <v>-28.30241736</v>
      </c>
      <c r="AZ52" s="22">
        <f>IF(ISBLANK(Actuals!AZ49),-26.67*Escalation!$B$48,Actuals!AZ49)</f>
        <v>-28.30241736</v>
      </c>
      <c r="BA52" s="22">
        <f>IF(ISBLANK(Actuals!BA49),-26.67*Escalation!$B$49,Actuals!BA49)</f>
        <v>-28.30241736</v>
      </c>
      <c r="BB52" s="22">
        <f>IF(ISBLANK(Actuals!BB49),-26.67*Escalation!$B$50,Actuals!BB49)</f>
        <v>-28.868465707200002</v>
      </c>
      <c r="BC52" s="22">
        <f>IF(ISBLANK(Actuals!BC49),-26.67*Escalation!$B$51,Actuals!BC49)</f>
        <v>-28.868465707200002</v>
      </c>
      <c r="BD52" s="22">
        <f>IF(ISBLANK(Actuals!BD49),-26.67*Escalation!$B$52,Actuals!BD49)</f>
        <v>-28.868465707200002</v>
      </c>
      <c r="BE52" s="22">
        <f>IF(ISBLANK(Actuals!BE49),-26.67*Escalation!$B$53,Actuals!BE49)</f>
        <v>-28.868465707200002</v>
      </c>
      <c r="BF52" s="22">
        <f>IF(ISBLANK(Actuals!BF49),-26.67*Escalation!$B$54,Actuals!BF49)</f>
        <v>-28.868465707200002</v>
      </c>
      <c r="BG52" s="22">
        <f>IF(ISBLANK(Actuals!BG49),-26.67*Escalation!$B$55,Actuals!BG49)</f>
        <v>-28.868465707200002</v>
      </c>
      <c r="BH52" s="22">
        <f>IF(ISBLANK(Actuals!BH49),-26.67*Escalation!$B$56,Actuals!BH49)</f>
        <v>-28.868465707200002</v>
      </c>
      <c r="BI52" s="22">
        <f>IF(ISBLANK(Actuals!BI49),-26.67*Escalation!$B$57,Actuals!BI49)</f>
        <v>-28.868465707200002</v>
      </c>
      <c r="BJ52" s="22">
        <f>IF(ISBLANK(Actuals!BJ49),-26.67*Escalation!$B$58,Actuals!BJ49)</f>
        <v>-28.868465707200002</v>
      </c>
      <c r="BK52" s="22">
        <f>IF(ISBLANK(Actuals!BK49),-26.67*Escalation!$B$59,Actuals!BK49)</f>
        <v>-28.868465707200002</v>
      </c>
      <c r="BL52" s="22">
        <f>IF(ISBLANK(Actuals!BL49),-26.67*Escalation!$B$60,Actuals!BL49)</f>
        <v>-28.868465707200002</v>
      </c>
      <c r="BM52" s="22">
        <f>IF(ISBLANK(Actuals!BM49),-26.67*Escalation!$B$61,Actuals!BM49)</f>
        <v>-28.868465707200002</v>
      </c>
      <c r="BN52" s="22">
        <f>IF(ISBLANK(Actuals!BN49),-26.67*Escalation!$B$62,Actuals!BN49)</f>
        <v>-29.445835021344003</v>
      </c>
      <c r="BO52" s="22">
        <f>IF(ISBLANK(Actuals!BO49),-26.67*Escalation!$B$63,Actuals!BO49)</f>
        <v>-29.445835021344003</v>
      </c>
      <c r="BP52" s="22">
        <f>IF(ISBLANK(Actuals!BP49),-26.67*Escalation!$B$64,Actuals!BP49)</f>
        <v>-29.445835021344003</v>
      </c>
      <c r="BQ52" s="22">
        <f>IF(ISBLANK(Actuals!BQ49),-26.67*Escalation!$B$65,Actuals!BQ49)</f>
        <v>-29.445835021344003</v>
      </c>
      <c r="BR52" s="22">
        <f>IF(ISBLANK(Actuals!BR49),-26.67*Escalation!$B$66,Actuals!BR49)</f>
        <v>-29.445835021344003</v>
      </c>
      <c r="BS52" s="22">
        <f>IF(ISBLANK(Actuals!BS49),-26.67*Escalation!$B$67,Actuals!BS49)</f>
        <v>-29.445835021344003</v>
      </c>
      <c r="BT52" s="22">
        <f>IF(ISBLANK(Actuals!BT49),-26.67*Escalation!$B$68,Actuals!BT49)</f>
        <v>-29.445835021344003</v>
      </c>
      <c r="BU52" s="22">
        <f>IF(ISBLANK(Actuals!BU49),-26.67*Escalation!$B$69,Actuals!BU49)</f>
        <v>-29.445835021344003</v>
      </c>
      <c r="BV52" s="22">
        <f>IF(ISBLANK(Actuals!BV49),-26.67*Escalation!$B$70,Actuals!BV49)</f>
        <v>-29.445835021344003</v>
      </c>
      <c r="BW52" s="22">
        <f>IF(ISBLANK(Actuals!BW49),-26.67*Escalation!$B$71,Actuals!BW49)</f>
        <v>-29.445835021344003</v>
      </c>
      <c r="BX52" s="22">
        <f>IF(ISBLANK(Actuals!BX49),-26.67*Escalation!$B$72,Actuals!BX49)</f>
        <v>-29.445835021344003</v>
      </c>
      <c r="BY52" s="22">
        <f>IF(ISBLANK(Actuals!BY49),-26.67*Escalation!$B$73,Actuals!BY49)</f>
        <v>-29.445835021344003</v>
      </c>
      <c r="BZ52" s="22">
        <f>IF(ISBLANK(Actuals!BZ49),-26.67*Escalation!$B$74,Actuals!BZ49)</f>
        <v>-30.034751721770885</v>
      </c>
      <c r="CA52" s="22">
        <f>IF(ISBLANK(Actuals!CA49),-26.67*Escalation!$B$75,Actuals!CA49)</f>
        <v>-30.034751721770885</v>
      </c>
      <c r="CB52" s="22">
        <f>IF(ISBLANK(Actuals!CB49),-26.67*Escalation!$B$76,Actuals!CB49)</f>
        <v>-30.034751721770885</v>
      </c>
      <c r="CC52" s="22">
        <f>IF(ISBLANK(Actuals!CC49),-26.67*Escalation!$B$77,Actuals!CC49)</f>
        <v>-30.034751721770885</v>
      </c>
      <c r="CD52" s="22">
        <f>IF(ISBLANK(Actuals!CD49),-26.67*Escalation!$B$78,Actuals!CD49)</f>
        <v>-30.034751721770885</v>
      </c>
      <c r="CE52" s="22">
        <f>IF(ISBLANK(Actuals!CE49),-26.67*Escalation!$B$79,Actuals!CE49)</f>
        <v>-30.034751721770885</v>
      </c>
      <c r="CF52" s="22">
        <f>IF(ISBLANK(Actuals!CF49),-26.67*Escalation!$B$80,Actuals!CF49)</f>
        <v>-30.034751721770885</v>
      </c>
      <c r="CG52" s="22">
        <f>IF(ISBLANK(Actuals!CG49),-26.67*Escalation!$B$81,Actuals!CG49)</f>
        <v>-30.034751721770885</v>
      </c>
      <c r="CH52" s="22">
        <f>IF(ISBLANK(Actuals!CH49),-26.67*Escalation!$B$82,Actuals!CH49)</f>
        <v>-30.034751721770885</v>
      </c>
      <c r="CI52" s="22">
        <f>IF(ISBLANK(Actuals!CI49),-26.67*Escalation!$B$83,Actuals!CI49)</f>
        <v>-30.034751721770885</v>
      </c>
      <c r="CJ52" s="22">
        <f>IF(ISBLANK(Actuals!CJ49),-26.67*Escalation!$B$84,Actuals!CJ49)</f>
        <v>-30.034751721770885</v>
      </c>
      <c r="CK52" s="22">
        <f>IF(ISBLANK(Actuals!CK49),-26.67*Escalation!$B$85,Actuals!CK49)</f>
        <v>-30.034751721770885</v>
      </c>
      <c r="CL52" s="22">
        <f>IF(ISBLANK(Actuals!CL49),-26.67*Escalation!$B$86,Actuals!CL49)</f>
        <v>-30.635446756206296</v>
      </c>
      <c r="CM52" s="22">
        <f>IF(ISBLANK(Actuals!CM49),-26.67*Escalation!$B$87,Actuals!CM49)</f>
        <v>-30.635446756206296</v>
      </c>
      <c r="CN52" s="22">
        <f>IF(ISBLANK(Actuals!CN49),-26.67*Escalation!$B$88,Actuals!CN49)</f>
        <v>-30.635446756206296</v>
      </c>
      <c r="CO52" s="22">
        <f>IF(ISBLANK(Actuals!CO49),-26.67*Escalation!$B$89,Actuals!CO49)</f>
        <v>-30.635446756206296</v>
      </c>
      <c r="CP52" s="22">
        <f>IF(ISBLANK(Actuals!CP49),-26.67*Escalation!$B$90,Actuals!CP49)</f>
        <v>-30.635446756206296</v>
      </c>
      <c r="CQ52" s="22">
        <f>IF(ISBLANK(Actuals!CQ49),-26.67*Escalation!$B$91,Actuals!CQ49)</f>
        <v>-30.635446756206296</v>
      </c>
      <c r="CR52" s="22">
        <f>IF(ISBLANK(Actuals!CR49),-26.67*Escalation!$B$92,Actuals!CR49)</f>
        <v>-30.635446756206296</v>
      </c>
      <c r="CS52" s="22">
        <f>IF(ISBLANK(Actuals!CS49),-26.67*Escalation!$B$93,Actuals!CS49)</f>
        <v>-30.635446756206296</v>
      </c>
      <c r="CT52" s="22">
        <f>IF(ISBLANK(Actuals!CT49),-26.67*Escalation!$B$94,Actuals!CT49)</f>
        <v>-30.635446756206296</v>
      </c>
      <c r="CU52" s="22">
        <f>IF(ISBLANK(Actuals!CU49),-26.67*Escalation!$B$95,Actuals!CU49)</f>
        <v>-30.635446756206296</v>
      </c>
      <c r="CV52" s="22">
        <f>IF(ISBLANK(Actuals!CV49),-26.67*Escalation!$B$96,Actuals!CV49)</f>
        <v>-30.635446756206296</v>
      </c>
      <c r="CW52" s="22">
        <f>IF(ISBLANK(Actuals!CW49),-26.67*Escalation!$B$97,Actuals!CW49)</f>
        <v>-30.635446756206296</v>
      </c>
      <c r="CX52" s="22">
        <f>IF(ISBLANK(Actuals!CX49),-26.67*Escalation!$B$98,Actuals!CX49)</f>
        <v>-31.248155691330425</v>
      </c>
      <c r="CY52" s="22">
        <f>IF(ISBLANK(Actuals!CY49),-26.67*Escalation!$B$99,Actuals!CY49)</f>
        <v>-31.248155691330425</v>
      </c>
      <c r="CZ52" s="22">
        <f>IF(ISBLANK(Actuals!CZ49),-26.67*Escalation!$B$100,Actuals!CZ49)</f>
        <v>-31.248155691330425</v>
      </c>
      <c r="DA52" s="22">
        <f>IF(ISBLANK(Actuals!DA49),-26.67*Escalation!$B$101,Actuals!DA49)</f>
        <v>-31.248155691330425</v>
      </c>
      <c r="DB52" s="22">
        <f>IF(ISBLANK(Actuals!DB49),-26.67*Escalation!$B$102,Actuals!DB49)</f>
        <v>-31.248155691330425</v>
      </c>
      <c r="DC52" s="22">
        <f>IF(ISBLANK(Actuals!DC49),-26.67*Escalation!$B$103,Actuals!DC49)</f>
        <v>-31.248155691330425</v>
      </c>
      <c r="DD52" s="22">
        <f>IF(ISBLANK(Actuals!DD49),-26.67*Escalation!$B$104,Actuals!DD49)</f>
        <v>-31.248155691330425</v>
      </c>
      <c r="DE52" s="22">
        <f>IF(ISBLANK(Actuals!DE49),-26.67*Escalation!$B$105,Actuals!DE49)</f>
        <v>-31.248155691330425</v>
      </c>
      <c r="DF52" s="22">
        <f>IF(ISBLANK(Actuals!DF49),-26.67*Escalation!$B$106,Actuals!DF49)</f>
        <v>-31.248155691330425</v>
      </c>
    </row>
    <row r="53" spans="1:110" ht="15" customHeight="1" x14ac:dyDescent="0.25">
      <c r="A53" s="13" t="s">
        <v>93</v>
      </c>
      <c r="B53" s="13"/>
      <c r="C53" s="22">
        <f>IF(ISBLANK(Actuals!C50),0,Actuals!C50)</f>
        <v>0</v>
      </c>
      <c r="D53" s="22">
        <f>IF(ISBLANK(Actuals!D50),0,Actuals!D50)</f>
        <v>-63</v>
      </c>
      <c r="E53" s="22">
        <f>IF(ISBLANK(Actuals!E50),0,Actuals!E50)</f>
        <v>0</v>
      </c>
      <c r="F53" s="22">
        <f>IF(ISBLANK(Actuals!F50),-21*Escalation!$B$2,Actuals!F50)</f>
        <v>0</v>
      </c>
      <c r="G53" s="22">
        <f>IF(ISBLANK(Actuals!G50),-21*Escalation!$B$3,Actuals!G50)</f>
        <v>-21</v>
      </c>
      <c r="H53" s="22">
        <f>IF(ISBLANK(Actuals!H50),-21*Escalation!$B$4,Actuals!H50)</f>
        <v>-21</v>
      </c>
      <c r="I53" s="22">
        <f>IF(ISBLANK(Actuals!I50),-21*Escalation!$B$5,Actuals!I50)</f>
        <v>-21</v>
      </c>
      <c r="J53" s="22">
        <f>IF(ISBLANK(Actuals!J50),-21*Escalation!$B$6,Actuals!J50)</f>
        <v>-21</v>
      </c>
      <c r="K53" s="22">
        <f>IF(ISBLANK(Actuals!K50),-21*Escalation!$B$7,Actuals!K50)</f>
        <v>-21</v>
      </c>
      <c r="L53" s="22">
        <f>IF(ISBLANK(Actuals!L50),-21*Escalation!$B$8,Actuals!L50)</f>
        <v>-21</v>
      </c>
      <c r="M53" s="22">
        <f>IF(ISBLANK(Actuals!M50),-21*Escalation!$B$9,Actuals!M50)</f>
        <v>-21</v>
      </c>
      <c r="N53" s="22">
        <f>IF(ISBLANK(Actuals!N50),-21*Escalation!$B$10,Actuals!N50)</f>
        <v>-21</v>
      </c>
      <c r="O53" s="22">
        <f>IF(ISBLANK(Actuals!O50),-21*Escalation!$B$11,Actuals!O50)</f>
        <v>-21</v>
      </c>
      <c r="P53" s="22">
        <f>IF(ISBLANK(Actuals!P50),-21*Escalation!$B$12,Actuals!P50)</f>
        <v>-21</v>
      </c>
      <c r="Q53" s="22">
        <f>IF(ISBLANK(Actuals!Q50),-21*Escalation!$B$13,Actuals!Q50)</f>
        <v>-21</v>
      </c>
      <c r="R53" s="22">
        <f>IF(ISBLANK(Actuals!R50),-21*Escalation!$B$14,Actuals!R50)</f>
        <v>-21.42</v>
      </c>
      <c r="S53" s="22">
        <f>IF(ISBLANK(Actuals!S50),-21*Escalation!$B$15,Actuals!S50)</f>
        <v>-21.42</v>
      </c>
      <c r="T53" s="22">
        <f>IF(ISBLANK(Actuals!T50),-21*Escalation!$B$16,Actuals!T50)</f>
        <v>-21.42</v>
      </c>
      <c r="U53" s="22">
        <f>IF(ISBLANK(Actuals!U50),-21*Escalation!$B$17,Actuals!U50)</f>
        <v>-21.42</v>
      </c>
      <c r="V53" s="22">
        <f>IF(ISBLANK(Actuals!V50),-21*Escalation!$B$18,Actuals!V50)</f>
        <v>-21.42</v>
      </c>
      <c r="W53" s="22">
        <f>IF(ISBLANK(Actuals!W50),-21*Escalation!$B$19,Actuals!W50)</f>
        <v>-21.42</v>
      </c>
      <c r="X53" s="22">
        <f>IF(ISBLANK(Actuals!X50),-21*Escalation!$B$20,Actuals!X50)</f>
        <v>-21.42</v>
      </c>
      <c r="Y53" s="22">
        <f>IF(ISBLANK(Actuals!Y50),-21*Escalation!$B$21,Actuals!Y50)</f>
        <v>-21.42</v>
      </c>
      <c r="Z53" s="22">
        <f>IF(ISBLANK(Actuals!Z50),-21*Escalation!$B$22,Actuals!Z50)</f>
        <v>-21.42</v>
      </c>
      <c r="AA53" s="22">
        <f>IF(ISBLANK(Actuals!AA50),-21*Escalation!$B$23,Actuals!AA50)</f>
        <v>-21.42</v>
      </c>
      <c r="AB53" s="22">
        <f>IF(ISBLANK(Actuals!AB50),-21*Escalation!$B$24,Actuals!AB50)</f>
        <v>-21.42</v>
      </c>
      <c r="AC53" s="22">
        <f>IF(ISBLANK(Actuals!AC50),-21*Escalation!$B$25,Actuals!AC50)</f>
        <v>-21.42</v>
      </c>
      <c r="AD53" s="22">
        <f>IF(ISBLANK(Actuals!AD50),-21*Escalation!$B$26,Actuals!AD50)</f>
        <v>-21.848399999999998</v>
      </c>
      <c r="AE53" s="22">
        <f>IF(ISBLANK(Actuals!AE50),-21*Escalation!$B$27,Actuals!AE50)</f>
        <v>-21.848399999999998</v>
      </c>
      <c r="AF53" s="22">
        <f>IF(ISBLANK(Actuals!AF50),-21*Escalation!$B$28,Actuals!AF50)</f>
        <v>-21.848399999999998</v>
      </c>
      <c r="AG53" s="22">
        <f>IF(ISBLANK(Actuals!AG50),-21*Escalation!$B$29,Actuals!AG50)</f>
        <v>-21.848399999999998</v>
      </c>
      <c r="AH53" s="22">
        <f>IF(ISBLANK(Actuals!AH50),-21*Escalation!$B$30,Actuals!AH50)</f>
        <v>-21.848399999999998</v>
      </c>
      <c r="AI53" s="22">
        <f>IF(ISBLANK(Actuals!AI50),-21*Escalation!$B$31,Actuals!AI50)</f>
        <v>-21.848399999999998</v>
      </c>
      <c r="AJ53" s="22">
        <f>IF(ISBLANK(Actuals!AJ50),-21*Escalation!$B$32,Actuals!AJ50)</f>
        <v>-21.848399999999998</v>
      </c>
      <c r="AK53" s="22">
        <f>IF(ISBLANK(Actuals!AK50),-21*Escalation!$B$33,Actuals!AK50)</f>
        <v>-21.848399999999998</v>
      </c>
      <c r="AL53" s="22">
        <f>IF(ISBLANK(Actuals!AL50),-21*Escalation!$B$34,Actuals!AL50)</f>
        <v>-21.848399999999998</v>
      </c>
      <c r="AM53" s="22">
        <f>IF(ISBLANK(Actuals!AM50),-21*Escalation!$B$35,Actuals!AM50)</f>
        <v>-21.848399999999998</v>
      </c>
      <c r="AN53" s="22">
        <f>IF(ISBLANK(Actuals!AN50),-21*Escalation!$B$36,Actuals!AN50)</f>
        <v>-21.848399999999998</v>
      </c>
      <c r="AO53" s="22">
        <f>IF(ISBLANK(Actuals!AO50),-21*Escalation!$B$37,Actuals!AO50)</f>
        <v>-21.848399999999998</v>
      </c>
      <c r="AP53" s="22">
        <f>IF(ISBLANK(Actuals!AP50),-21*Escalation!$B$38,Actuals!AP50)</f>
        <v>-22.285367999999998</v>
      </c>
      <c r="AQ53" s="22">
        <f>IF(ISBLANK(Actuals!AQ50),-21*Escalation!$B$39,Actuals!AQ50)</f>
        <v>-22.285367999999998</v>
      </c>
      <c r="AR53" s="22">
        <f>IF(ISBLANK(Actuals!AR50),-21*Escalation!$B$40,Actuals!AR50)</f>
        <v>-22.285367999999998</v>
      </c>
      <c r="AS53" s="22">
        <f>IF(ISBLANK(Actuals!AS50),-21*Escalation!$B$41,Actuals!AS50)</f>
        <v>-22.285367999999998</v>
      </c>
      <c r="AT53" s="22">
        <f>IF(ISBLANK(Actuals!AT50),-21*Escalation!$B$42,Actuals!AT50)</f>
        <v>-22.285367999999998</v>
      </c>
      <c r="AU53" s="22">
        <f>IF(ISBLANK(Actuals!AU50),-21*Escalation!$B$43,Actuals!AU50)</f>
        <v>-22.285367999999998</v>
      </c>
      <c r="AV53" s="22">
        <f>IF(ISBLANK(Actuals!AV50),-21*Escalation!$B$44,Actuals!AV50)</f>
        <v>-22.285367999999998</v>
      </c>
      <c r="AW53" s="22">
        <f>IF(ISBLANK(Actuals!AW50),-21*Escalation!$B$45,Actuals!AW50)</f>
        <v>-22.285367999999998</v>
      </c>
      <c r="AX53" s="22">
        <f>IF(ISBLANK(Actuals!AX50),-21*Escalation!$B$46,Actuals!AX50)</f>
        <v>-22.285367999999998</v>
      </c>
      <c r="AY53" s="22">
        <f>IF(ISBLANK(Actuals!AY50),-21*Escalation!$B$47,Actuals!AY50)</f>
        <v>-22.285367999999998</v>
      </c>
      <c r="AZ53" s="22">
        <f>IF(ISBLANK(Actuals!AZ50),-21*Escalation!$B$48,Actuals!AZ50)</f>
        <v>-22.285367999999998</v>
      </c>
      <c r="BA53" s="22">
        <f>IF(ISBLANK(Actuals!BA50),-21*Escalation!$B$49,Actuals!BA50)</f>
        <v>-22.285367999999998</v>
      </c>
      <c r="BB53" s="22">
        <f>IF(ISBLANK(Actuals!BB50),-21*Escalation!$B$50,Actuals!BB50)</f>
        <v>-22.731075359999998</v>
      </c>
      <c r="BC53" s="22">
        <f>IF(ISBLANK(Actuals!BC50),-21*Escalation!$B$51,Actuals!BC50)</f>
        <v>-22.731075359999998</v>
      </c>
      <c r="BD53" s="22">
        <f>IF(ISBLANK(Actuals!BD50),-21*Escalation!$B$52,Actuals!BD50)</f>
        <v>-22.731075359999998</v>
      </c>
      <c r="BE53" s="22">
        <f>IF(ISBLANK(Actuals!BE50),-21*Escalation!$B$53,Actuals!BE50)</f>
        <v>-22.731075359999998</v>
      </c>
      <c r="BF53" s="22">
        <f>IF(ISBLANK(Actuals!BF50),-21*Escalation!$B$54,Actuals!BF50)</f>
        <v>-22.731075359999998</v>
      </c>
      <c r="BG53" s="22">
        <f>IF(ISBLANK(Actuals!BG50),-21*Escalation!$B$55,Actuals!BG50)</f>
        <v>-22.731075359999998</v>
      </c>
      <c r="BH53" s="22">
        <f>IF(ISBLANK(Actuals!BH50),-21*Escalation!$B$56,Actuals!BH50)</f>
        <v>-22.731075359999998</v>
      </c>
      <c r="BI53" s="22">
        <f>IF(ISBLANK(Actuals!BI50),-21*Escalation!$B$57,Actuals!BI50)</f>
        <v>-22.731075359999998</v>
      </c>
      <c r="BJ53" s="22">
        <f>IF(ISBLANK(Actuals!BJ50),-21*Escalation!$B$58,Actuals!BJ50)</f>
        <v>-22.731075359999998</v>
      </c>
      <c r="BK53" s="22">
        <f>IF(ISBLANK(Actuals!BK50),-21*Escalation!$B$59,Actuals!BK50)</f>
        <v>-22.731075359999998</v>
      </c>
      <c r="BL53" s="22">
        <f>IF(ISBLANK(Actuals!BL50),-21*Escalation!$B$60,Actuals!BL50)</f>
        <v>-22.731075359999998</v>
      </c>
      <c r="BM53" s="22">
        <f>IF(ISBLANK(Actuals!BM50),-21*Escalation!$B$61,Actuals!BM50)</f>
        <v>-22.731075359999998</v>
      </c>
      <c r="BN53" s="22">
        <f>IF(ISBLANK(Actuals!BN50),-21*Escalation!$B$62,Actuals!BN50)</f>
        <v>-23.185696867200001</v>
      </c>
      <c r="BO53" s="22">
        <f>IF(ISBLANK(Actuals!BO50),-21*Escalation!$B$63,Actuals!BO50)</f>
        <v>-23.185696867200001</v>
      </c>
      <c r="BP53" s="22">
        <f>IF(ISBLANK(Actuals!BP50),-21*Escalation!$B$64,Actuals!BP50)</f>
        <v>-23.185696867200001</v>
      </c>
      <c r="BQ53" s="22">
        <f>IF(ISBLANK(Actuals!BQ50),-21*Escalation!$B$65,Actuals!BQ50)</f>
        <v>-23.185696867200001</v>
      </c>
      <c r="BR53" s="22">
        <f>IF(ISBLANK(Actuals!BR50),-21*Escalation!$B$66,Actuals!BR50)</f>
        <v>-23.185696867200001</v>
      </c>
      <c r="BS53" s="22">
        <f>IF(ISBLANK(Actuals!BS50),-21*Escalation!$B$67,Actuals!BS50)</f>
        <v>-23.185696867200001</v>
      </c>
      <c r="BT53" s="22">
        <f>IF(ISBLANK(Actuals!BT50),-21*Escalation!$B$68,Actuals!BT50)</f>
        <v>-23.185696867200001</v>
      </c>
      <c r="BU53" s="22">
        <f>IF(ISBLANK(Actuals!BU50),-21*Escalation!$B$69,Actuals!BU50)</f>
        <v>-23.185696867200001</v>
      </c>
      <c r="BV53" s="22">
        <f>IF(ISBLANK(Actuals!BV50),-21*Escalation!$B$70,Actuals!BV50)</f>
        <v>-23.185696867200001</v>
      </c>
      <c r="BW53" s="22">
        <f>IF(ISBLANK(Actuals!BW50),-21*Escalation!$B$71,Actuals!BW50)</f>
        <v>-23.185696867200001</v>
      </c>
      <c r="BX53" s="22">
        <f>IF(ISBLANK(Actuals!BX50),-21*Escalation!$B$72,Actuals!BX50)</f>
        <v>-23.185696867200001</v>
      </c>
      <c r="BY53" s="22">
        <f>IF(ISBLANK(Actuals!BY50),-21*Escalation!$B$73,Actuals!BY50)</f>
        <v>-23.185696867200001</v>
      </c>
      <c r="BZ53" s="22">
        <f>IF(ISBLANK(Actuals!BZ50),-21*Escalation!$B$74,Actuals!BZ50)</f>
        <v>-23.649410804544001</v>
      </c>
      <c r="CA53" s="22">
        <f>IF(ISBLANK(Actuals!CA50),-21*Escalation!$B$75,Actuals!CA50)</f>
        <v>-23.649410804544001</v>
      </c>
      <c r="CB53" s="22">
        <f>IF(ISBLANK(Actuals!CB50),-21*Escalation!$B$76,Actuals!CB50)</f>
        <v>-23.649410804544001</v>
      </c>
      <c r="CC53" s="22">
        <f>IF(ISBLANK(Actuals!CC50),-21*Escalation!$B$77,Actuals!CC50)</f>
        <v>-23.649410804544001</v>
      </c>
      <c r="CD53" s="22">
        <f>IF(ISBLANK(Actuals!CD50),-21*Escalation!$B$78,Actuals!CD50)</f>
        <v>-23.649410804544001</v>
      </c>
      <c r="CE53" s="22">
        <f>IF(ISBLANK(Actuals!CE50),-21*Escalation!$B$79,Actuals!CE50)</f>
        <v>-23.649410804544001</v>
      </c>
      <c r="CF53" s="22">
        <f>IF(ISBLANK(Actuals!CF50),-21*Escalation!$B$80,Actuals!CF50)</f>
        <v>-23.649410804544001</v>
      </c>
      <c r="CG53" s="22">
        <f>IF(ISBLANK(Actuals!CG50),-21*Escalation!$B$81,Actuals!CG50)</f>
        <v>-23.649410804544001</v>
      </c>
      <c r="CH53" s="22">
        <f>IF(ISBLANK(Actuals!CH50),-21*Escalation!$B$82,Actuals!CH50)</f>
        <v>-23.649410804544001</v>
      </c>
      <c r="CI53" s="22">
        <f>IF(ISBLANK(Actuals!CI50),-21*Escalation!$B$83,Actuals!CI50)</f>
        <v>-23.649410804544001</v>
      </c>
      <c r="CJ53" s="22">
        <f>IF(ISBLANK(Actuals!CJ50),-21*Escalation!$B$84,Actuals!CJ50)</f>
        <v>-23.649410804544001</v>
      </c>
      <c r="CK53" s="22">
        <f>IF(ISBLANK(Actuals!CK50),-21*Escalation!$B$85,Actuals!CK50)</f>
        <v>-23.649410804544001</v>
      </c>
      <c r="CL53" s="22">
        <f>IF(ISBLANK(Actuals!CL50),-21*Escalation!$B$86,Actuals!CL50)</f>
        <v>-24.122399020634877</v>
      </c>
      <c r="CM53" s="22">
        <f>IF(ISBLANK(Actuals!CM50),-21*Escalation!$B$87,Actuals!CM50)</f>
        <v>-24.122399020634877</v>
      </c>
      <c r="CN53" s="22">
        <f>IF(ISBLANK(Actuals!CN50),-21*Escalation!$B$88,Actuals!CN50)</f>
        <v>-24.122399020634877</v>
      </c>
      <c r="CO53" s="22">
        <f>IF(ISBLANK(Actuals!CO50),-21*Escalation!$B$89,Actuals!CO50)</f>
        <v>-24.122399020634877</v>
      </c>
      <c r="CP53" s="22">
        <f>IF(ISBLANK(Actuals!CP50),-21*Escalation!$B$90,Actuals!CP50)</f>
        <v>-24.122399020634877</v>
      </c>
      <c r="CQ53" s="22">
        <f>IF(ISBLANK(Actuals!CQ50),-21*Escalation!$B$91,Actuals!CQ50)</f>
        <v>-24.122399020634877</v>
      </c>
      <c r="CR53" s="22">
        <f>IF(ISBLANK(Actuals!CR50),-21*Escalation!$B$92,Actuals!CR50)</f>
        <v>-24.122399020634877</v>
      </c>
      <c r="CS53" s="22">
        <f>IF(ISBLANK(Actuals!CS50),-21*Escalation!$B$93,Actuals!CS50)</f>
        <v>-24.122399020634877</v>
      </c>
      <c r="CT53" s="22">
        <f>IF(ISBLANK(Actuals!CT50),-21*Escalation!$B$94,Actuals!CT50)</f>
        <v>-24.122399020634877</v>
      </c>
      <c r="CU53" s="22">
        <f>IF(ISBLANK(Actuals!CU50),-21*Escalation!$B$95,Actuals!CU50)</f>
        <v>-24.122399020634877</v>
      </c>
      <c r="CV53" s="22">
        <f>IF(ISBLANK(Actuals!CV50),-21*Escalation!$B$96,Actuals!CV50)</f>
        <v>-24.122399020634877</v>
      </c>
      <c r="CW53" s="22">
        <f>IF(ISBLANK(Actuals!CW50),-21*Escalation!$B$97,Actuals!CW50)</f>
        <v>-24.122399020634877</v>
      </c>
      <c r="CX53" s="22">
        <f>IF(ISBLANK(Actuals!CX50),-21*Escalation!$B$98,Actuals!CX50)</f>
        <v>-24.604847001047577</v>
      </c>
      <c r="CY53" s="22">
        <f>IF(ISBLANK(Actuals!CY50),-21*Escalation!$B$99,Actuals!CY50)</f>
        <v>-24.604847001047577</v>
      </c>
      <c r="CZ53" s="22">
        <f>IF(ISBLANK(Actuals!CZ50),-21*Escalation!$B$100,Actuals!CZ50)</f>
        <v>-24.604847001047577</v>
      </c>
      <c r="DA53" s="22">
        <f>IF(ISBLANK(Actuals!DA50),-21*Escalation!$B$101,Actuals!DA50)</f>
        <v>-24.604847001047577</v>
      </c>
      <c r="DB53" s="22">
        <f>IF(ISBLANK(Actuals!DB50),-21*Escalation!$B$102,Actuals!DB50)</f>
        <v>-24.604847001047577</v>
      </c>
      <c r="DC53" s="22">
        <f>IF(ISBLANK(Actuals!DC50),-21*Escalation!$B$103,Actuals!DC50)</f>
        <v>-24.604847001047577</v>
      </c>
      <c r="DD53" s="22">
        <f>IF(ISBLANK(Actuals!DD50),-21*Escalation!$B$104,Actuals!DD50)</f>
        <v>-24.604847001047577</v>
      </c>
      <c r="DE53" s="22">
        <f>IF(ISBLANK(Actuals!DE50),-21*Escalation!$B$105,Actuals!DE50)</f>
        <v>-24.604847001047577</v>
      </c>
      <c r="DF53" s="22">
        <f>IF(ISBLANK(Actuals!DF50),-21*Escalation!$B$106,Actuals!DF50)</f>
        <v>-24.604847001047577</v>
      </c>
    </row>
    <row r="54" spans="1:110" ht="15" customHeight="1" x14ac:dyDescent="0.25">
      <c r="A54" s="13" t="s">
        <v>94</v>
      </c>
      <c r="B54" s="13"/>
      <c r="C54" s="22">
        <f ca="1">IF(ISBLANK(Actuals!C51),-'BD Commission Detail'!C53,Actuals!C51)</f>
        <v>0</v>
      </c>
      <c r="D54" s="22">
        <f ca="1">IF(ISBLANK(Actuals!D51),-'BD Commission Detail'!D53,Actuals!D51)</f>
        <v>0</v>
      </c>
      <c r="E54" s="22">
        <f ca="1">IF(ISBLANK(Actuals!E51),-'BD Commission Detail'!E53,Actuals!E51)</f>
        <v>0</v>
      </c>
      <c r="F54" s="22">
        <f ca="1">IF(ISBLANK(Actuals!F51),-'BD Commission Detail'!F53,Actuals!F51)</f>
        <v>0</v>
      </c>
      <c r="G54" s="22">
        <f ca="1">IF(ISBLANK(Actuals!G51),-'BD Commission Detail'!G53,Actuals!G51)</f>
        <v>0</v>
      </c>
      <c r="H54" s="22">
        <f ca="1">IF(ISBLANK(Actuals!H51),-'BD Commission Detail'!H53,Actuals!H51)</f>
        <v>0</v>
      </c>
      <c r="I54" s="22">
        <f ca="1">IF(ISBLANK(Actuals!I51),-'BD Commission Detail'!I53,Actuals!I51)</f>
        <v>0</v>
      </c>
      <c r="J54" s="22">
        <f ca="1">IF(ISBLANK(Actuals!J51),-'BD Commission Detail'!J53,Actuals!J51)</f>
        <v>0</v>
      </c>
      <c r="K54" s="22">
        <f ca="1">IF(ISBLANK(Actuals!K51),-'BD Commission Detail'!K53,Actuals!K51)</f>
        <v>0</v>
      </c>
      <c r="L54" s="22">
        <f ca="1">IF(ISBLANK(Actuals!L51),-'BD Commission Detail'!L53,Actuals!L51)</f>
        <v>0</v>
      </c>
      <c r="M54" s="22">
        <f ca="1">IF(ISBLANK(Actuals!M51),-'BD Commission Detail'!M53,Actuals!M51)</f>
        <v>0</v>
      </c>
      <c r="N54" s="22">
        <f ca="1">IF(ISBLANK(Actuals!N51),-'BD Commission Detail'!N53,Actuals!N51)</f>
        <v>0</v>
      </c>
      <c r="O54" s="22">
        <f ca="1">IF(ISBLANK(Actuals!O51),-'BD Commission Detail'!O53,Actuals!O51)</f>
        <v>0</v>
      </c>
      <c r="P54" s="22">
        <f ca="1">IF(ISBLANK(Actuals!P51),-'BD Commission Detail'!P53,Actuals!P51)</f>
        <v>0</v>
      </c>
      <c r="Q54" s="22">
        <f ca="1">IF(ISBLANK(Actuals!Q51),-'BD Commission Detail'!Q53,Actuals!Q51)</f>
        <v>0</v>
      </c>
      <c r="R54" s="22">
        <f ca="1">IF(ISBLANK(Actuals!R51),-'BD Commission Detail'!R53,Actuals!R51)</f>
        <v>0</v>
      </c>
      <c r="S54" s="22">
        <f ca="1">IF(ISBLANK(Actuals!S51),-'BD Commission Detail'!S53,Actuals!S51)</f>
        <v>0</v>
      </c>
      <c r="T54" s="22">
        <f ca="1">IF(ISBLANK(Actuals!T51),-'BD Commission Detail'!T53,Actuals!T51)</f>
        <v>0</v>
      </c>
      <c r="U54" s="22">
        <f ca="1">IF(ISBLANK(Actuals!U51),-'BD Commission Detail'!U53,Actuals!U51)</f>
        <v>0</v>
      </c>
      <c r="V54" s="22">
        <f ca="1">IF(ISBLANK(Actuals!V51),-'BD Commission Detail'!V53,Actuals!V51)</f>
        <v>0</v>
      </c>
      <c r="W54" s="22">
        <f ca="1">IF(ISBLANK(Actuals!W51),-'BD Commission Detail'!W53,Actuals!W51)</f>
        <v>0</v>
      </c>
      <c r="X54" s="22">
        <f ca="1">IF(ISBLANK(Actuals!X51),-'BD Commission Detail'!X53,Actuals!X51)</f>
        <v>0</v>
      </c>
      <c r="Y54" s="22">
        <f ca="1">IF(ISBLANK(Actuals!Y51),-'BD Commission Detail'!Y53,Actuals!Y51)</f>
        <v>0</v>
      </c>
      <c r="Z54" s="22">
        <f ca="1">IF(ISBLANK(Actuals!Z51),-'BD Commission Detail'!Z53,Actuals!Z51)</f>
        <v>0</v>
      </c>
      <c r="AA54" s="22">
        <f ca="1">IF(ISBLANK(Actuals!AA51),-'BD Commission Detail'!AA53,Actuals!AA51)</f>
        <v>0</v>
      </c>
      <c r="AB54" s="22">
        <f ca="1">IF(ISBLANK(Actuals!AB51),-'BD Commission Detail'!AB53,Actuals!AB51)</f>
        <v>0</v>
      </c>
      <c r="AC54" s="22">
        <f ca="1">IF(ISBLANK(Actuals!AC51),-'BD Commission Detail'!AC53,Actuals!AC51)</f>
        <v>0</v>
      </c>
      <c r="AD54" s="22">
        <f ca="1">IF(ISBLANK(Actuals!AD51),-'BD Commission Detail'!AD53,Actuals!AD51)</f>
        <v>0</v>
      </c>
      <c r="AE54" s="22">
        <f ca="1">IF(ISBLANK(Actuals!AE51),-'BD Commission Detail'!AE53,Actuals!AE51)</f>
        <v>0</v>
      </c>
      <c r="AF54" s="22">
        <f ca="1">IF(ISBLANK(Actuals!AF51),-'BD Commission Detail'!AF53,Actuals!AF51)</f>
        <v>0</v>
      </c>
      <c r="AG54" s="22">
        <f ca="1">IF(ISBLANK(Actuals!AG51),-'BD Commission Detail'!AG53,Actuals!AG51)</f>
        <v>0</v>
      </c>
      <c r="AH54" s="22">
        <f ca="1">IF(ISBLANK(Actuals!AH51),-'BD Commission Detail'!AH53,Actuals!AH51)</f>
        <v>0</v>
      </c>
      <c r="AI54" s="22">
        <f ca="1">IF(ISBLANK(Actuals!AI51),-'BD Commission Detail'!AI53,Actuals!AI51)</f>
        <v>0</v>
      </c>
      <c r="AJ54" s="22">
        <f ca="1">IF(ISBLANK(Actuals!AJ51),-'BD Commission Detail'!AJ53,Actuals!AJ51)</f>
        <v>0</v>
      </c>
      <c r="AK54" s="22">
        <f ca="1">IF(ISBLANK(Actuals!AK51),-'BD Commission Detail'!AK53,Actuals!AK51)</f>
        <v>-37500</v>
      </c>
      <c r="AL54" s="22">
        <f ca="1">IF(ISBLANK(Actuals!AL51),-'BD Commission Detail'!AL53,Actuals!AL51)</f>
        <v>0</v>
      </c>
      <c r="AM54" s="22">
        <f ca="1">IF(ISBLANK(Actuals!AM51),-'BD Commission Detail'!AM53,Actuals!AM51)</f>
        <v>0</v>
      </c>
      <c r="AN54" s="22">
        <f ca="1">IF(ISBLANK(Actuals!AN51),-'BD Commission Detail'!AN53,Actuals!AN51)</f>
        <v>-37500</v>
      </c>
      <c r="AO54" s="22">
        <f ca="1">IF(ISBLANK(Actuals!AO51),-'BD Commission Detail'!AO53,Actuals!AO51)</f>
        <v>0</v>
      </c>
      <c r="AP54" s="22">
        <f ca="1">IF(ISBLANK(Actuals!AP51),-'BD Commission Detail'!AP53,Actuals!AP51)</f>
        <v>0</v>
      </c>
      <c r="AQ54" s="22">
        <f ca="1">IF(ISBLANK(Actuals!AQ51),-'BD Commission Detail'!AQ53,Actuals!AQ51)</f>
        <v>-45000</v>
      </c>
      <c r="AR54" s="22">
        <f ca="1">IF(ISBLANK(Actuals!AR51),-'BD Commission Detail'!AR53,Actuals!AR51)</f>
        <v>0</v>
      </c>
      <c r="AS54" s="22">
        <f ca="1">IF(ISBLANK(Actuals!AS51),-'BD Commission Detail'!AS53,Actuals!AS51)</f>
        <v>0</v>
      </c>
      <c r="AT54" s="22">
        <f ca="1">IF(ISBLANK(Actuals!AT51),-'BD Commission Detail'!AT53,Actuals!AT51)</f>
        <v>-45000</v>
      </c>
      <c r="AU54" s="22">
        <f ca="1">IF(ISBLANK(Actuals!AU51),-'BD Commission Detail'!AU53,Actuals!AU51)</f>
        <v>0</v>
      </c>
      <c r="AV54" s="22">
        <f ca="1">IF(ISBLANK(Actuals!AV51),-'BD Commission Detail'!AV53,Actuals!AV51)</f>
        <v>0</v>
      </c>
      <c r="AW54" s="22">
        <f ca="1">IF(ISBLANK(Actuals!AW51),-'BD Commission Detail'!AW53,Actuals!AW51)</f>
        <v>0</v>
      </c>
      <c r="AX54" s="22">
        <f ca="1">IF(ISBLANK(Actuals!AX51),-'BD Commission Detail'!AX53,Actuals!AX51)</f>
        <v>0</v>
      </c>
      <c r="AY54" s="22">
        <f ca="1">IF(ISBLANK(Actuals!AY51),-'BD Commission Detail'!AY53,Actuals!AY51)</f>
        <v>0</v>
      </c>
      <c r="AZ54" s="22">
        <f ca="1">IF(ISBLANK(Actuals!AZ51),-'BD Commission Detail'!AZ53,Actuals!AZ51)</f>
        <v>0</v>
      </c>
      <c r="BA54" s="22">
        <f ca="1">IF(ISBLANK(Actuals!BA51),-'BD Commission Detail'!BA53,Actuals!BA51)</f>
        <v>0</v>
      </c>
      <c r="BB54" s="22">
        <f ca="1">IF(ISBLANK(Actuals!BB51),-'BD Commission Detail'!BB53,Actuals!BB51)</f>
        <v>-37500</v>
      </c>
      <c r="BC54" s="22">
        <f ca="1">IF(ISBLANK(Actuals!BC51),-'BD Commission Detail'!BC53,Actuals!BC51)</f>
        <v>0</v>
      </c>
      <c r="BD54" s="22">
        <f ca="1">IF(ISBLANK(Actuals!BD51),-'BD Commission Detail'!BD53,Actuals!BD51)</f>
        <v>0</v>
      </c>
      <c r="BE54" s="22">
        <f ca="1">IF(ISBLANK(Actuals!BE51),-'BD Commission Detail'!BE53,Actuals!BE51)</f>
        <v>37500</v>
      </c>
      <c r="BF54" s="22">
        <f ca="1">IF(ISBLANK(Actuals!BF51),-'BD Commission Detail'!BF53,Actuals!BF51)</f>
        <v>-45000</v>
      </c>
      <c r="BG54" s="22">
        <f ca="1">IF(ISBLANK(Actuals!BG51),-'BD Commission Detail'!BG53,Actuals!BG51)</f>
        <v>0</v>
      </c>
      <c r="BH54" s="22">
        <f ca="1">IF(ISBLANK(Actuals!BH51),-'BD Commission Detail'!BH53,Actuals!BH51)</f>
        <v>-37500</v>
      </c>
      <c r="BI54" s="22">
        <f ca="1">IF(ISBLANK(Actuals!BI51),-'BD Commission Detail'!BI53,Actuals!BI51)</f>
        <v>0</v>
      </c>
      <c r="BJ54" s="22">
        <f ca="1">IF(ISBLANK(Actuals!BJ51),-'BD Commission Detail'!BJ53,Actuals!BJ51)</f>
        <v>-37500</v>
      </c>
      <c r="BK54" s="22">
        <f ca="1">IF(ISBLANK(Actuals!BK51),-'BD Commission Detail'!BK53,Actuals!BK51)</f>
        <v>0</v>
      </c>
      <c r="BL54" s="22">
        <f ca="1">IF(ISBLANK(Actuals!BL51),-'BD Commission Detail'!BL53,Actuals!BL51)</f>
        <v>-45000</v>
      </c>
      <c r="BM54" s="22">
        <f ca="1">IF(ISBLANK(Actuals!BM51),-'BD Commission Detail'!BM53,Actuals!BM51)</f>
        <v>0</v>
      </c>
      <c r="BN54" s="22">
        <f ca="1">IF(ISBLANK(Actuals!BN51),-'BD Commission Detail'!BN53,Actuals!BN51)</f>
        <v>-37500</v>
      </c>
      <c r="BO54" s="22">
        <f ca="1">IF(ISBLANK(Actuals!BO51),-'BD Commission Detail'!BO53,Actuals!BO51)</f>
        <v>0</v>
      </c>
      <c r="BP54" s="22">
        <f ca="1">IF(ISBLANK(Actuals!BP51),-'BD Commission Detail'!BP53,Actuals!BP51)</f>
        <v>-45000</v>
      </c>
      <c r="BQ54" s="22">
        <f ca="1">IF(ISBLANK(Actuals!BQ51),-'BD Commission Detail'!BQ53,Actuals!BQ51)</f>
        <v>0</v>
      </c>
      <c r="BR54" s="22">
        <f ca="1">IF(ISBLANK(Actuals!BR51),-'BD Commission Detail'!BR53,Actuals!BR51)</f>
        <v>0</v>
      </c>
      <c r="BS54" s="22">
        <f ca="1">IF(ISBLANK(Actuals!BS51),-'BD Commission Detail'!BS53,Actuals!BS51)</f>
        <v>0</v>
      </c>
      <c r="BT54" s="22">
        <f ca="1">IF(ISBLANK(Actuals!BT51),-'BD Commission Detail'!BT53,Actuals!BT51)</f>
        <v>0</v>
      </c>
      <c r="BU54" s="22">
        <f ca="1">IF(ISBLANK(Actuals!BU51),-'BD Commission Detail'!BU53,Actuals!BU51)</f>
        <v>0</v>
      </c>
      <c r="BV54" s="22">
        <f ca="1">IF(ISBLANK(Actuals!BV51),-'BD Commission Detail'!BV53,Actuals!BV51)</f>
        <v>-45000</v>
      </c>
      <c r="BW54" s="22">
        <f ca="1">IF(ISBLANK(Actuals!BW51),-'BD Commission Detail'!BW53,Actuals!BW51)</f>
        <v>0</v>
      </c>
      <c r="BX54" s="22">
        <f ca="1">IF(ISBLANK(Actuals!BX51),-'BD Commission Detail'!BX53,Actuals!BX51)</f>
        <v>0</v>
      </c>
      <c r="BY54" s="22">
        <f ca="1">IF(ISBLANK(Actuals!BY51),-'BD Commission Detail'!BY53,Actuals!BY51)</f>
        <v>0</v>
      </c>
      <c r="BZ54" s="22">
        <f ca="1">IF(ISBLANK(Actuals!BZ51),-'BD Commission Detail'!BZ53,Actuals!BZ51)</f>
        <v>0</v>
      </c>
      <c r="CA54" s="22">
        <f ca="1">IF(ISBLANK(Actuals!CA51),-'BD Commission Detail'!CA53,Actuals!CA51)</f>
        <v>0</v>
      </c>
      <c r="CB54" s="22">
        <f ca="1">IF(ISBLANK(Actuals!CB51),-'BD Commission Detail'!CB53,Actuals!CB51)</f>
        <v>-45000</v>
      </c>
      <c r="CC54" s="22">
        <f ca="1">IF(ISBLANK(Actuals!CC51),-'BD Commission Detail'!CC53,Actuals!CC51)</f>
        <v>18787.850905853651</v>
      </c>
      <c r="CD54" s="22">
        <f ca="1">IF(ISBLANK(Actuals!CD51),-'BD Commission Detail'!CD53,Actuals!CD51)</f>
        <v>-37500</v>
      </c>
      <c r="CE54" s="22">
        <f ca="1">IF(ISBLANK(Actuals!CE51),-'BD Commission Detail'!CE53,Actuals!CE51)</f>
        <v>0</v>
      </c>
      <c r="CF54" s="22">
        <f ca="1">IF(ISBLANK(Actuals!CF51),-'BD Commission Detail'!CF53,Actuals!CF51)</f>
        <v>-37500</v>
      </c>
      <c r="CG54" s="22">
        <f ca="1">IF(ISBLANK(Actuals!CG51),-'BD Commission Detail'!CG53,Actuals!CG51)</f>
        <v>0</v>
      </c>
      <c r="CH54" s="22">
        <f ca="1">IF(ISBLANK(Actuals!CH51),-'BD Commission Detail'!CH53,Actuals!CH51)</f>
        <v>-45000</v>
      </c>
      <c r="CI54" s="22">
        <f ca="1">IF(ISBLANK(Actuals!CI51),-'BD Commission Detail'!CI53,Actuals!CI51)</f>
        <v>0</v>
      </c>
      <c r="CJ54" s="22">
        <f ca="1">IF(ISBLANK(Actuals!CJ51),-'BD Commission Detail'!CJ53,Actuals!CJ51)</f>
        <v>-37500</v>
      </c>
      <c r="CK54" s="22">
        <f ca="1">IF(ISBLANK(Actuals!CK51),-'BD Commission Detail'!CK53,Actuals!CK51)</f>
        <v>0</v>
      </c>
      <c r="CL54" s="22">
        <f ca="1">IF(ISBLANK(Actuals!CL51),-'BD Commission Detail'!CL53,Actuals!CL51)</f>
        <v>0</v>
      </c>
      <c r="CM54" s="22">
        <f ca="1">IF(ISBLANK(Actuals!CM51),-'BD Commission Detail'!CM53,Actuals!CM51)</f>
        <v>0</v>
      </c>
      <c r="CN54" s="22">
        <f ca="1">IF(ISBLANK(Actuals!CN51),-'BD Commission Detail'!CN53,Actuals!CN51)</f>
        <v>0</v>
      </c>
      <c r="CO54" s="22">
        <f ca="1">IF(ISBLANK(Actuals!CO51),-'BD Commission Detail'!CO53,Actuals!CO51)</f>
        <v>0</v>
      </c>
      <c r="CP54" s="22">
        <f ca="1">IF(ISBLANK(Actuals!CP51),-'BD Commission Detail'!CP53,Actuals!CP51)</f>
        <v>0</v>
      </c>
      <c r="CQ54" s="22">
        <f ca="1">IF(ISBLANK(Actuals!CQ51),-'BD Commission Detail'!CQ53,Actuals!CQ51)</f>
        <v>0</v>
      </c>
      <c r="CR54" s="22">
        <f ca="1">IF(ISBLANK(Actuals!CR51),-'BD Commission Detail'!CR53,Actuals!CR51)</f>
        <v>0</v>
      </c>
      <c r="CS54" s="22">
        <f ca="1">IF(ISBLANK(Actuals!CS51),-'BD Commission Detail'!CS53,Actuals!CS51)</f>
        <v>0</v>
      </c>
      <c r="CT54" s="22">
        <f ca="1">IF(ISBLANK(Actuals!CT51),-'BD Commission Detail'!CT53,Actuals!CT51)</f>
        <v>0</v>
      </c>
      <c r="CU54" s="22">
        <f ca="1">IF(ISBLANK(Actuals!CU51),-'BD Commission Detail'!CU53,Actuals!CU51)</f>
        <v>0</v>
      </c>
      <c r="CV54" s="22">
        <f ca="1">IF(ISBLANK(Actuals!CV51),-'BD Commission Detail'!CV53,Actuals!CV51)</f>
        <v>0</v>
      </c>
      <c r="CW54" s="22">
        <f ca="1">IF(ISBLANK(Actuals!CW51),-'BD Commission Detail'!CW53,Actuals!CW51)</f>
        <v>0</v>
      </c>
      <c r="CX54" s="22">
        <f ca="1">IF(ISBLANK(Actuals!CX51),-'BD Commission Detail'!CX53,Actuals!CX51)</f>
        <v>0</v>
      </c>
      <c r="CY54" s="22">
        <f ca="1">IF(ISBLANK(Actuals!CY51),-'BD Commission Detail'!CY53,Actuals!CY51)</f>
        <v>0</v>
      </c>
      <c r="CZ54" s="22">
        <f ca="1">IF(ISBLANK(Actuals!CZ51),-'BD Commission Detail'!CZ53,Actuals!CZ51)</f>
        <v>0</v>
      </c>
      <c r="DA54" s="22">
        <f ca="1">IF(ISBLANK(Actuals!DA51),-'BD Commission Detail'!DA53,Actuals!DA51)</f>
        <v>37500</v>
      </c>
      <c r="DB54" s="22">
        <f ca="1">IF(ISBLANK(Actuals!DB51),-'BD Commission Detail'!DB53,Actuals!DB51)</f>
        <v>0</v>
      </c>
      <c r="DC54" s="22">
        <f ca="1">IF(ISBLANK(Actuals!DC51),-'BD Commission Detail'!DC53,Actuals!DC51)</f>
        <v>0</v>
      </c>
      <c r="DD54" s="22">
        <f ca="1">IF(ISBLANK(Actuals!DD51),-'BD Commission Detail'!DD53,Actuals!DD51)</f>
        <v>0</v>
      </c>
      <c r="DE54" s="22">
        <f ca="1">IF(ISBLANK(Actuals!DE51),-'BD Commission Detail'!DE53,Actuals!DE51)</f>
        <v>0</v>
      </c>
      <c r="DF54" s="22">
        <f ca="1">IF(ISBLANK(Actuals!DF51),-'BD Commission Detail'!DF53,Actuals!DF51)</f>
        <v>0</v>
      </c>
    </row>
    <row r="55" spans="1:110" ht="15" customHeight="1" x14ac:dyDescent="0.25">
      <c r="A55" s="13" t="s">
        <v>95</v>
      </c>
      <c r="B55" s="13"/>
      <c r="C55" s="22">
        <f>IF(ISBLANK(Actuals!C52),0,Actuals!C52)</f>
        <v>0</v>
      </c>
      <c r="D55" s="22">
        <f>IF(ISBLANK(Actuals!D52),0,Actuals!D52)</f>
        <v>0</v>
      </c>
      <c r="E55" s="22">
        <f>IF(ISBLANK(Actuals!E52),0,Actuals!E52)</f>
        <v>-11105.35</v>
      </c>
      <c r="F55" s="22">
        <f>IF(ISBLANK(Actuals!F52),-3701.78*Escalation!$B$2,Actuals!F52)</f>
        <v>0</v>
      </c>
      <c r="G55" s="22">
        <f>IF(ISBLANK(Actuals!G52),-3701.78*Escalation!$B$3,Actuals!G52)</f>
        <v>-3701.78</v>
      </c>
      <c r="H55" s="22">
        <f>IF(ISBLANK(Actuals!H52),-3701.78*Escalation!$B$4,Actuals!H52)</f>
        <v>-3701.78</v>
      </c>
      <c r="I55" s="22">
        <f>IF(ISBLANK(Actuals!I52),-3701.78*Escalation!$B$5,Actuals!I52)</f>
        <v>-3701.78</v>
      </c>
      <c r="J55" s="22">
        <f>IF(ISBLANK(Actuals!J52),-3701.78*Escalation!$B$6,Actuals!J52)</f>
        <v>-3701.78</v>
      </c>
      <c r="K55" s="22">
        <f>IF(ISBLANK(Actuals!K52),-3701.78*Escalation!$B$7,Actuals!K52)</f>
        <v>-3701.78</v>
      </c>
      <c r="L55" s="22">
        <f>IF(ISBLANK(Actuals!L52),-3701.78*Escalation!$B$8,Actuals!L52)</f>
        <v>-3701.78</v>
      </c>
      <c r="M55" s="22">
        <f>IF(ISBLANK(Actuals!M52),-3701.78*Escalation!$B$9,Actuals!M52)</f>
        <v>-3701.78</v>
      </c>
      <c r="N55" s="22">
        <f>IF(ISBLANK(Actuals!N52),-3701.78*Escalation!$B$10,Actuals!N52)</f>
        <v>-3701.78</v>
      </c>
      <c r="O55" s="22">
        <f>IF(ISBLANK(Actuals!O52),-3701.78*Escalation!$B$11,Actuals!O52)</f>
        <v>-3701.78</v>
      </c>
      <c r="P55" s="22">
        <f>IF(ISBLANK(Actuals!P52),-3701.78*Escalation!$B$12,Actuals!P52)</f>
        <v>-3701.78</v>
      </c>
      <c r="Q55" s="22">
        <f>IF(ISBLANK(Actuals!Q52),-3701.78*Escalation!$B$13,Actuals!Q52)</f>
        <v>-3701.78</v>
      </c>
      <c r="R55" s="22">
        <f>IF(ISBLANK(Actuals!R52),-3701.78*Escalation!$B$14,Actuals!R52)</f>
        <v>-3775.8156000000004</v>
      </c>
      <c r="S55" s="22">
        <f>IF(ISBLANK(Actuals!S52),-3701.78*Escalation!$B$15,Actuals!S52)</f>
        <v>-3775.8156000000004</v>
      </c>
      <c r="T55" s="22">
        <f>IF(ISBLANK(Actuals!T52),-3701.78*Escalation!$B$16,Actuals!T52)</f>
        <v>-3775.8156000000004</v>
      </c>
      <c r="U55" s="22">
        <f>IF(ISBLANK(Actuals!U52),-3701.78*Escalation!$B$17,Actuals!U52)</f>
        <v>-3775.8156000000004</v>
      </c>
      <c r="V55" s="22">
        <f>IF(ISBLANK(Actuals!V52),-3701.78*Escalation!$B$18,Actuals!V52)</f>
        <v>-3775.8156000000004</v>
      </c>
      <c r="W55" s="22">
        <f>IF(ISBLANK(Actuals!W52),-3701.78*Escalation!$B$19,Actuals!W52)</f>
        <v>-3775.8156000000004</v>
      </c>
      <c r="X55" s="22">
        <f>IF(ISBLANK(Actuals!X52),-3701.78*Escalation!$B$20,Actuals!X52)</f>
        <v>-3775.8156000000004</v>
      </c>
      <c r="Y55" s="22">
        <f>IF(ISBLANK(Actuals!Y52),-3701.78*Escalation!$B$21,Actuals!Y52)</f>
        <v>-3775.8156000000004</v>
      </c>
      <c r="Z55" s="22">
        <f>IF(ISBLANK(Actuals!Z52),-3701.78*Escalation!$B$22,Actuals!Z52)</f>
        <v>-3775.8156000000004</v>
      </c>
      <c r="AA55" s="22">
        <f>IF(ISBLANK(Actuals!AA52),-3701.78*Escalation!$B$23,Actuals!AA52)</f>
        <v>-3775.8156000000004</v>
      </c>
      <c r="AB55" s="22">
        <f>IF(ISBLANK(Actuals!AB52),-3701.78*Escalation!$B$24,Actuals!AB52)</f>
        <v>-3775.8156000000004</v>
      </c>
      <c r="AC55" s="22">
        <f>IF(ISBLANK(Actuals!AC52),-3701.78*Escalation!$B$25,Actuals!AC52)</f>
        <v>-3775.8156000000004</v>
      </c>
      <c r="AD55" s="22">
        <f>IF(ISBLANK(Actuals!AD52),-3701.78*Escalation!$B$26,Actuals!AD52)</f>
        <v>-3851.3319120000001</v>
      </c>
      <c r="AE55" s="22">
        <f>IF(ISBLANK(Actuals!AE52),-3701.78*Escalation!$B$27,Actuals!AE52)</f>
        <v>-3851.3319120000001</v>
      </c>
      <c r="AF55" s="22">
        <f>IF(ISBLANK(Actuals!AF52),-3701.78*Escalation!$B$28,Actuals!AF52)</f>
        <v>-3851.3319120000001</v>
      </c>
      <c r="AG55" s="22">
        <f>IF(ISBLANK(Actuals!AG52),-3701.78*Escalation!$B$29,Actuals!AG52)</f>
        <v>-3851.3319120000001</v>
      </c>
      <c r="AH55" s="22">
        <f>IF(ISBLANK(Actuals!AH52),-3701.78*Escalation!$B$30,Actuals!AH52)</f>
        <v>-3851.3319120000001</v>
      </c>
      <c r="AI55" s="22">
        <f>IF(ISBLANK(Actuals!AI52),-3701.78*Escalation!$B$31,Actuals!AI52)</f>
        <v>-3851.3319120000001</v>
      </c>
      <c r="AJ55" s="22">
        <f>IF(ISBLANK(Actuals!AJ52),-3701.78*Escalation!$B$32,Actuals!AJ52)</f>
        <v>-3851.3319120000001</v>
      </c>
      <c r="AK55" s="22">
        <f>IF(ISBLANK(Actuals!AK52),-3701.78*Escalation!$B$33,Actuals!AK52)</f>
        <v>-3851.3319120000001</v>
      </c>
      <c r="AL55" s="22">
        <f>IF(ISBLANK(Actuals!AL52),-3701.78*Escalation!$B$34,Actuals!AL52)</f>
        <v>-3851.3319120000001</v>
      </c>
      <c r="AM55" s="22">
        <f>IF(ISBLANK(Actuals!AM52),-3701.78*Escalation!$B$35,Actuals!AM52)</f>
        <v>-3851.3319120000001</v>
      </c>
      <c r="AN55" s="22">
        <f>IF(ISBLANK(Actuals!AN52),-3701.78*Escalation!$B$36,Actuals!AN52)</f>
        <v>-3851.3319120000001</v>
      </c>
      <c r="AO55" s="22">
        <f>IF(ISBLANK(Actuals!AO52),-3701.78*Escalation!$B$37,Actuals!AO52)</f>
        <v>-3851.3319120000001</v>
      </c>
      <c r="AP55" s="22">
        <f>IF(ISBLANK(Actuals!AP52),-3701.78*Escalation!$B$38,Actuals!AP52)</f>
        <v>-3928.3585502400001</v>
      </c>
      <c r="AQ55" s="22">
        <f>IF(ISBLANK(Actuals!AQ52),-3701.78*Escalation!$B$39,Actuals!AQ52)</f>
        <v>-3928.3585502400001</v>
      </c>
      <c r="AR55" s="22">
        <f>IF(ISBLANK(Actuals!AR52),-3701.78*Escalation!$B$40,Actuals!AR52)</f>
        <v>-3928.3585502400001</v>
      </c>
      <c r="AS55" s="22">
        <f>IF(ISBLANK(Actuals!AS52),-3701.78*Escalation!$B$41,Actuals!AS52)</f>
        <v>-3928.3585502400001</v>
      </c>
      <c r="AT55" s="22">
        <f>IF(ISBLANK(Actuals!AT52),-3701.78*Escalation!$B$42,Actuals!AT52)</f>
        <v>-3928.3585502400001</v>
      </c>
      <c r="AU55" s="22">
        <f>IF(ISBLANK(Actuals!AU52),-3701.78*Escalation!$B$43,Actuals!AU52)</f>
        <v>-3928.3585502400001</v>
      </c>
      <c r="AV55" s="22">
        <f>IF(ISBLANK(Actuals!AV52),-3701.78*Escalation!$B$44,Actuals!AV52)</f>
        <v>-3928.3585502400001</v>
      </c>
      <c r="AW55" s="22">
        <f>IF(ISBLANK(Actuals!AW52),-3701.78*Escalation!$B$45,Actuals!AW52)</f>
        <v>-3928.3585502400001</v>
      </c>
      <c r="AX55" s="22">
        <f>IF(ISBLANK(Actuals!AX52),-3701.78*Escalation!$B$46,Actuals!AX52)</f>
        <v>-3928.3585502400001</v>
      </c>
      <c r="AY55" s="22">
        <f>IF(ISBLANK(Actuals!AY52),-3701.78*Escalation!$B$47,Actuals!AY52)</f>
        <v>-3928.3585502400001</v>
      </c>
      <c r="AZ55" s="22">
        <f>IF(ISBLANK(Actuals!AZ52),-3701.78*Escalation!$B$48,Actuals!AZ52)</f>
        <v>-3928.3585502400001</v>
      </c>
      <c r="BA55" s="22">
        <f>IF(ISBLANK(Actuals!BA52),-3701.78*Escalation!$B$49,Actuals!BA52)</f>
        <v>-3928.3585502400001</v>
      </c>
      <c r="BB55" s="22">
        <f>IF(ISBLANK(Actuals!BB52),-3701.78*Escalation!$B$50,Actuals!BB52)</f>
        <v>-4006.9257212448001</v>
      </c>
      <c r="BC55" s="22">
        <f>IF(ISBLANK(Actuals!BC52),-3701.78*Escalation!$B$51,Actuals!BC52)</f>
        <v>-4006.9257212448001</v>
      </c>
      <c r="BD55" s="22">
        <f>IF(ISBLANK(Actuals!BD52),-3701.78*Escalation!$B$52,Actuals!BD52)</f>
        <v>-4006.9257212448001</v>
      </c>
      <c r="BE55" s="22">
        <f>IF(ISBLANK(Actuals!BE52),-3701.78*Escalation!$B$53,Actuals!BE52)</f>
        <v>-4006.9257212448001</v>
      </c>
      <c r="BF55" s="22">
        <f>IF(ISBLANK(Actuals!BF52),-3701.78*Escalation!$B$54,Actuals!BF52)</f>
        <v>-4006.9257212448001</v>
      </c>
      <c r="BG55" s="22">
        <f>IF(ISBLANK(Actuals!BG52),-3701.78*Escalation!$B$55,Actuals!BG52)</f>
        <v>-4006.9257212448001</v>
      </c>
      <c r="BH55" s="22">
        <f>IF(ISBLANK(Actuals!BH52),-3701.78*Escalation!$B$56,Actuals!BH52)</f>
        <v>-4006.9257212448001</v>
      </c>
      <c r="BI55" s="22">
        <f>IF(ISBLANK(Actuals!BI52),-3701.78*Escalation!$B$57,Actuals!BI52)</f>
        <v>-4006.9257212448001</v>
      </c>
      <c r="BJ55" s="22">
        <f>IF(ISBLANK(Actuals!BJ52),-3701.78*Escalation!$B$58,Actuals!BJ52)</f>
        <v>-4006.9257212448001</v>
      </c>
      <c r="BK55" s="22">
        <f>IF(ISBLANK(Actuals!BK52),-3701.78*Escalation!$B$59,Actuals!BK52)</f>
        <v>-4006.9257212448001</v>
      </c>
      <c r="BL55" s="22">
        <f>IF(ISBLANK(Actuals!BL52),-3701.78*Escalation!$B$60,Actuals!BL52)</f>
        <v>-4006.9257212448001</v>
      </c>
      <c r="BM55" s="22">
        <f>IF(ISBLANK(Actuals!BM52),-3701.78*Escalation!$B$61,Actuals!BM52)</f>
        <v>-4006.9257212448001</v>
      </c>
      <c r="BN55" s="22">
        <f>IF(ISBLANK(Actuals!BN52),-3701.78*Escalation!$B$62,Actuals!BN52)</f>
        <v>-4087.0642356696962</v>
      </c>
      <c r="BO55" s="22">
        <f>IF(ISBLANK(Actuals!BO52),-3701.78*Escalation!$B$63,Actuals!BO52)</f>
        <v>-4087.0642356696962</v>
      </c>
      <c r="BP55" s="22">
        <f>IF(ISBLANK(Actuals!BP52),-3701.78*Escalation!$B$64,Actuals!BP52)</f>
        <v>-4087.0642356696962</v>
      </c>
      <c r="BQ55" s="22">
        <f>IF(ISBLANK(Actuals!BQ52),-3701.78*Escalation!$B$65,Actuals!BQ52)</f>
        <v>-4087.0642356696962</v>
      </c>
      <c r="BR55" s="22">
        <f>IF(ISBLANK(Actuals!BR52),-3701.78*Escalation!$B$66,Actuals!BR52)</f>
        <v>-4087.0642356696962</v>
      </c>
      <c r="BS55" s="22">
        <f>IF(ISBLANK(Actuals!BS52),-3701.78*Escalation!$B$67,Actuals!BS52)</f>
        <v>-4087.0642356696962</v>
      </c>
      <c r="BT55" s="22">
        <f>IF(ISBLANK(Actuals!BT52),-3701.78*Escalation!$B$68,Actuals!BT52)</f>
        <v>-4087.0642356696962</v>
      </c>
      <c r="BU55" s="22">
        <f>IF(ISBLANK(Actuals!BU52),-3701.78*Escalation!$B$69,Actuals!BU52)</f>
        <v>-4087.0642356696962</v>
      </c>
      <c r="BV55" s="22">
        <f>IF(ISBLANK(Actuals!BV52),-3701.78*Escalation!$B$70,Actuals!BV52)</f>
        <v>-4087.0642356696962</v>
      </c>
      <c r="BW55" s="22">
        <f>IF(ISBLANK(Actuals!BW52),-3701.78*Escalation!$B$71,Actuals!BW52)</f>
        <v>-4087.0642356696962</v>
      </c>
      <c r="BX55" s="22">
        <f>IF(ISBLANK(Actuals!BX52),-3701.78*Escalation!$B$72,Actuals!BX52)</f>
        <v>-4087.0642356696962</v>
      </c>
      <c r="BY55" s="22">
        <f>IF(ISBLANK(Actuals!BY52),-3701.78*Escalation!$B$73,Actuals!BY52)</f>
        <v>-4087.0642356696962</v>
      </c>
      <c r="BZ55" s="22">
        <f>IF(ISBLANK(Actuals!BZ52),-3701.78*Escalation!$B$74,Actuals!BZ52)</f>
        <v>-4168.80552038309</v>
      </c>
      <c r="CA55" s="22">
        <f>IF(ISBLANK(Actuals!CA52),-3701.78*Escalation!$B$75,Actuals!CA52)</f>
        <v>-4168.80552038309</v>
      </c>
      <c r="CB55" s="22">
        <f>IF(ISBLANK(Actuals!CB52),-3701.78*Escalation!$B$76,Actuals!CB52)</f>
        <v>-4168.80552038309</v>
      </c>
      <c r="CC55" s="22">
        <f>IF(ISBLANK(Actuals!CC52),-3701.78*Escalation!$B$77,Actuals!CC52)</f>
        <v>-4168.80552038309</v>
      </c>
      <c r="CD55" s="22">
        <f>IF(ISBLANK(Actuals!CD52),-3701.78*Escalation!$B$78,Actuals!CD52)</f>
        <v>-4168.80552038309</v>
      </c>
      <c r="CE55" s="22">
        <f>IF(ISBLANK(Actuals!CE52),-3701.78*Escalation!$B$79,Actuals!CE52)</f>
        <v>-4168.80552038309</v>
      </c>
      <c r="CF55" s="22">
        <f>IF(ISBLANK(Actuals!CF52),-3701.78*Escalation!$B$80,Actuals!CF52)</f>
        <v>-4168.80552038309</v>
      </c>
      <c r="CG55" s="22">
        <f>IF(ISBLANK(Actuals!CG52),-3701.78*Escalation!$B$81,Actuals!CG52)</f>
        <v>-4168.80552038309</v>
      </c>
      <c r="CH55" s="22">
        <f>IF(ISBLANK(Actuals!CH52),-3701.78*Escalation!$B$82,Actuals!CH52)</f>
        <v>-4168.80552038309</v>
      </c>
      <c r="CI55" s="22">
        <f>IF(ISBLANK(Actuals!CI52),-3701.78*Escalation!$B$83,Actuals!CI52)</f>
        <v>-4168.80552038309</v>
      </c>
      <c r="CJ55" s="22">
        <f>IF(ISBLANK(Actuals!CJ52),-3701.78*Escalation!$B$84,Actuals!CJ52)</f>
        <v>-4168.80552038309</v>
      </c>
      <c r="CK55" s="22">
        <f>IF(ISBLANK(Actuals!CK52),-3701.78*Escalation!$B$85,Actuals!CK52)</f>
        <v>-4168.80552038309</v>
      </c>
      <c r="CL55" s="22">
        <f>IF(ISBLANK(Actuals!CL52),-3701.78*Escalation!$B$86,Actuals!CL52)</f>
        <v>-4252.1816307907511</v>
      </c>
      <c r="CM55" s="22">
        <f>IF(ISBLANK(Actuals!CM52),-3701.78*Escalation!$B$87,Actuals!CM52)</f>
        <v>-4252.1816307907511</v>
      </c>
      <c r="CN55" s="22">
        <f>IF(ISBLANK(Actuals!CN52),-3701.78*Escalation!$B$88,Actuals!CN52)</f>
        <v>-4252.1816307907511</v>
      </c>
      <c r="CO55" s="22">
        <f>IF(ISBLANK(Actuals!CO52),-3701.78*Escalation!$B$89,Actuals!CO52)</f>
        <v>-4252.1816307907511</v>
      </c>
      <c r="CP55" s="22">
        <f>IF(ISBLANK(Actuals!CP52),-3701.78*Escalation!$B$90,Actuals!CP52)</f>
        <v>-4252.1816307907511</v>
      </c>
      <c r="CQ55" s="22">
        <f>IF(ISBLANK(Actuals!CQ52),-3701.78*Escalation!$B$91,Actuals!CQ52)</f>
        <v>-4252.1816307907511</v>
      </c>
      <c r="CR55" s="22">
        <f>IF(ISBLANK(Actuals!CR52),-3701.78*Escalation!$B$92,Actuals!CR52)</f>
        <v>-4252.1816307907511</v>
      </c>
      <c r="CS55" s="22">
        <f>IF(ISBLANK(Actuals!CS52),-3701.78*Escalation!$B$93,Actuals!CS52)</f>
        <v>-4252.1816307907511</v>
      </c>
      <c r="CT55" s="22">
        <f>IF(ISBLANK(Actuals!CT52),-3701.78*Escalation!$B$94,Actuals!CT52)</f>
        <v>-4252.1816307907511</v>
      </c>
      <c r="CU55" s="22">
        <f>IF(ISBLANK(Actuals!CU52),-3701.78*Escalation!$B$95,Actuals!CU52)</f>
        <v>-4252.1816307907511</v>
      </c>
      <c r="CV55" s="22">
        <f>IF(ISBLANK(Actuals!CV52),-3701.78*Escalation!$B$96,Actuals!CV52)</f>
        <v>-4252.1816307907511</v>
      </c>
      <c r="CW55" s="22">
        <f>IF(ISBLANK(Actuals!CW52),-3701.78*Escalation!$B$97,Actuals!CW52)</f>
        <v>-4252.1816307907511</v>
      </c>
      <c r="CX55" s="22">
        <f>IF(ISBLANK(Actuals!CX52),-3701.78*Escalation!$B$98,Actuals!CX52)</f>
        <v>-4337.2252634065671</v>
      </c>
      <c r="CY55" s="22">
        <f>IF(ISBLANK(Actuals!CY52),-3701.78*Escalation!$B$99,Actuals!CY52)</f>
        <v>-4337.2252634065671</v>
      </c>
      <c r="CZ55" s="22">
        <f>IF(ISBLANK(Actuals!CZ52),-3701.78*Escalation!$B$100,Actuals!CZ52)</f>
        <v>-4337.2252634065671</v>
      </c>
      <c r="DA55" s="22">
        <f>IF(ISBLANK(Actuals!DA52),-3701.78*Escalation!$B$101,Actuals!DA52)</f>
        <v>-4337.2252634065671</v>
      </c>
      <c r="DB55" s="22">
        <f>IF(ISBLANK(Actuals!DB52),-3701.78*Escalation!$B$102,Actuals!DB52)</f>
        <v>-4337.2252634065671</v>
      </c>
      <c r="DC55" s="22">
        <f>IF(ISBLANK(Actuals!DC52),-3701.78*Escalation!$B$103,Actuals!DC52)</f>
        <v>-4337.2252634065671</v>
      </c>
      <c r="DD55" s="22">
        <f>IF(ISBLANK(Actuals!DD52),-3701.78*Escalation!$B$104,Actuals!DD52)</f>
        <v>-4337.2252634065671</v>
      </c>
      <c r="DE55" s="22">
        <f>IF(ISBLANK(Actuals!DE52),-3701.78*Escalation!$B$105,Actuals!DE52)</f>
        <v>-4337.2252634065671</v>
      </c>
      <c r="DF55" s="22">
        <f>IF(ISBLANK(Actuals!DF52),-3701.78*Escalation!$B$106,Actuals!DF52)</f>
        <v>-4337.2252634065671</v>
      </c>
    </row>
    <row r="56" spans="1:110" ht="15" customHeight="1" x14ac:dyDescent="0.25">
      <c r="A56" s="18" t="s">
        <v>27</v>
      </c>
      <c r="B56" s="23"/>
      <c r="C56" s="20">
        <f t="shared" ref="C56:AH56" ca="1" si="12">SUM(C22:C55)</f>
        <v>-258991.59</v>
      </c>
      <c r="D56" s="20">
        <f t="shared" ca="1" si="12"/>
        <v>-258698.63000000003</v>
      </c>
      <c r="E56" s="20">
        <f t="shared" ca="1" si="12"/>
        <v>-350327.83</v>
      </c>
      <c r="F56" s="20">
        <f t="shared" ca="1" si="12"/>
        <v>-71821.649999999994</v>
      </c>
      <c r="G56" s="20">
        <f t="shared" ca="1" si="12"/>
        <v>-464089.47499999998</v>
      </c>
      <c r="H56" s="20">
        <f t="shared" ca="1" si="12"/>
        <v>-493464.47499999998</v>
      </c>
      <c r="I56" s="20">
        <f t="shared" ca="1" si="12"/>
        <v>-480368.64166666666</v>
      </c>
      <c r="J56" s="20">
        <f t="shared" ca="1" si="12"/>
        <v>-460868.64166666666</v>
      </c>
      <c r="K56" s="20">
        <f t="shared" ca="1" si="12"/>
        <v>-460868.64166666666</v>
      </c>
      <c r="L56" s="20">
        <f t="shared" ca="1" si="12"/>
        <v>-522222.80833333335</v>
      </c>
      <c r="M56" s="20">
        <f t="shared" ca="1" si="12"/>
        <v>-573072.80833333335</v>
      </c>
      <c r="N56" s="20">
        <f t="shared" ca="1" si="12"/>
        <v>-519072.80833333335</v>
      </c>
      <c r="O56" s="20">
        <f t="shared" ca="1" si="12"/>
        <v>-519072.80833333335</v>
      </c>
      <c r="P56" s="20">
        <f t="shared" ca="1" si="12"/>
        <v>-519072.80833333335</v>
      </c>
      <c r="Q56" s="20">
        <f t="shared" ca="1" si="12"/>
        <v>-519072.80833333335</v>
      </c>
      <c r="R56" s="20">
        <f t="shared" ca="1" si="12"/>
        <v>-566949.59783333342</v>
      </c>
      <c r="S56" s="20">
        <f t="shared" ca="1" si="12"/>
        <v>-542949.5978333333</v>
      </c>
      <c r="T56" s="20">
        <f t="shared" ca="1" si="12"/>
        <v>-542949.5978333333</v>
      </c>
      <c r="U56" s="20">
        <f t="shared" ca="1" si="12"/>
        <v>-542949.5978333333</v>
      </c>
      <c r="V56" s="20">
        <f t="shared" ca="1" si="12"/>
        <v>-542949.5978333333</v>
      </c>
      <c r="W56" s="20">
        <f t="shared" ca="1" si="12"/>
        <v>-542949.5978333333</v>
      </c>
      <c r="X56" s="20">
        <f t="shared" ca="1" si="12"/>
        <v>-542949.5978333333</v>
      </c>
      <c r="Y56" s="20">
        <f t="shared" ca="1" si="12"/>
        <v>-542949.5978333333</v>
      </c>
      <c r="Z56" s="20">
        <f t="shared" ca="1" si="12"/>
        <v>-542949.5978333333</v>
      </c>
      <c r="AA56" s="20">
        <f t="shared" ca="1" si="12"/>
        <v>-542949.5978333333</v>
      </c>
      <c r="AB56" s="20">
        <f t="shared" ca="1" si="12"/>
        <v>-542949.5978333333</v>
      </c>
      <c r="AC56" s="20">
        <f t="shared" ca="1" si="12"/>
        <v>-542949.5978333333</v>
      </c>
      <c r="AD56" s="20">
        <f t="shared" ca="1" si="12"/>
        <v>-551731.92312333314</v>
      </c>
      <c r="AE56" s="20">
        <f t="shared" ca="1" si="12"/>
        <v>-551731.92312333314</v>
      </c>
      <c r="AF56" s="20">
        <f t="shared" ca="1" si="12"/>
        <v>-551731.92312333314</v>
      </c>
      <c r="AG56" s="20">
        <f t="shared" ca="1" si="12"/>
        <v>-551731.92312333314</v>
      </c>
      <c r="AH56" s="20">
        <f t="shared" ca="1" si="12"/>
        <v>-551731.92312333314</v>
      </c>
      <c r="AI56" s="20">
        <f t="shared" ref="AI56:BN56" ca="1" si="13">SUM(AI22:AI55)</f>
        <v>-551731.92312333314</v>
      </c>
      <c r="AJ56" s="20">
        <f t="shared" ca="1" si="13"/>
        <v>-551731.92312333314</v>
      </c>
      <c r="AK56" s="20">
        <f t="shared" ca="1" si="13"/>
        <v>-589231.92312333314</v>
      </c>
      <c r="AL56" s="20">
        <f t="shared" ca="1" si="13"/>
        <v>-551731.92312333314</v>
      </c>
      <c r="AM56" s="20">
        <f t="shared" ca="1" si="13"/>
        <v>-551731.92312333314</v>
      </c>
      <c r="AN56" s="20">
        <f t="shared" ca="1" si="13"/>
        <v>-589231.92312333314</v>
      </c>
      <c r="AO56" s="20">
        <f t="shared" ca="1" si="13"/>
        <v>-551731.92312333314</v>
      </c>
      <c r="AP56" s="20">
        <f t="shared" ca="1" si="13"/>
        <v>-560689.8949191334</v>
      </c>
      <c r="AQ56" s="20">
        <f t="shared" ca="1" si="13"/>
        <v>-605689.8949191334</v>
      </c>
      <c r="AR56" s="20">
        <f t="shared" ca="1" si="13"/>
        <v>-560689.8949191334</v>
      </c>
      <c r="AS56" s="20">
        <f t="shared" ca="1" si="13"/>
        <v>-560689.8949191334</v>
      </c>
      <c r="AT56" s="20">
        <f t="shared" ca="1" si="13"/>
        <v>-605689.8949191334</v>
      </c>
      <c r="AU56" s="20">
        <f t="shared" ca="1" si="13"/>
        <v>-560689.8949191334</v>
      </c>
      <c r="AV56" s="20">
        <f t="shared" ca="1" si="13"/>
        <v>-560689.8949191334</v>
      </c>
      <c r="AW56" s="20">
        <f t="shared" ca="1" si="13"/>
        <v>-560689.8949191334</v>
      </c>
      <c r="AX56" s="20">
        <f t="shared" ca="1" si="13"/>
        <v>-560689.8949191334</v>
      </c>
      <c r="AY56" s="20">
        <f t="shared" ca="1" si="13"/>
        <v>-560689.8949191334</v>
      </c>
      <c r="AZ56" s="20">
        <f t="shared" ca="1" si="13"/>
        <v>-560689.8949191334</v>
      </c>
      <c r="BA56" s="20">
        <f t="shared" ca="1" si="13"/>
        <v>-560689.8949191334</v>
      </c>
      <c r="BB56" s="20">
        <f t="shared" ca="1" si="13"/>
        <v>-607327.02615084907</v>
      </c>
      <c r="BC56" s="20">
        <f t="shared" ca="1" si="13"/>
        <v>-569827.02615084907</v>
      </c>
      <c r="BD56" s="20">
        <f t="shared" ca="1" si="13"/>
        <v>-569827.02615084907</v>
      </c>
      <c r="BE56" s="20">
        <f t="shared" ca="1" si="13"/>
        <v>-532327.02615084907</v>
      </c>
      <c r="BF56" s="20">
        <f t="shared" ca="1" si="13"/>
        <v>-614827.02615084907</v>
      </c>
      <c r="BG56" s="20">
        <f t="shared" ca="1" si="13"/>
        <v>-569827.02615084907</v>
      </c>
      <c r="BH56" s="20">
        <f t="shared" ca="1" si="13"/>
        <v>-607327.02615084907</v>
      </c>
      <c r="BI56" s="20">
        <f t="shared" ca="1" si="13"/>
        <v>-569827.02615084907</v>
      </c>
      <c r="BJ56" s="20">
        <f t="shared" ca="1" si="13"/>
        <v>-607327.02615084907</v>
      </c>
      <c r="BK56" s="20">
        <f t="shared" ca="1" si="13"/>
        <v>-569827.02615084907</v>
      </c>
      <c r="BL56" s="20">
        <f t="shared" ca="1" si="13"/>
        <v>-614827.02615084907</v>
      </c>
      <c r="BM56" s="20">
        <f t="shared" ca="1" si="13"/>
        <v>-569827.02615084907</v>
      </c>
      <c r="BN56" s="20">
        <f t="shared" ca="1" si="13"/>
        <v>-616646.90000719961</v>
      </c>
      <c r="BO56" s="20">
        <f t="shared" ref="BO56:CT56" ca="1" si="14">SUM(BO22:BO55)</f>
        <v>-579146.90000719961</v>
      </c>
      <c r="BP56" s="20">
        <f t="shared" ca="1" si="14"/>
        <v>-624146.90000719961</v>
      </c>
      <c r="BQ56" s="20">
        <f t="shared" ca="1" si="14"/>
        <v>-579146.90000719961</v>
      </c>
      <c r="BR56" s="20">
        <f t="shared" ca="1" si="14"/>
        <v>-579146.90000719961</v>
      </c>
      <c r="BS56" s="20">
        <f t="shared" ca="1" si="14"/>
        <v>-579146.90000719961</v>
      </c>
      <c r="BT56" s="20">
        <f t="shared" ca="1" si="14"/>
        <v>-579146.90000719961</v>
      </c>
      <c r="BU56" s="20">
        <f t="shared" ca="1" si="14"/>
        <v>-579146.90000719961</v>
      </c>
      <c r="BV56" s="20">
        <f t="shared" ca="1" si="14"/>
        <v>-624146.90000719961</v>
      </c>
      <c r="BW56" s="20">
        <f t="shared" ca="1" si="14"/>
        <v>-579146.90000719961</v>
      </c>
      <c r="BX56" s="20">
        <f t="shared" ca="1" si="14"/>
        <v>-579146.90000719961</v>
      </c>
      <c r="BY56" s="20">
        <f t="shared" ca="1" si="14"/>
        <v>-579146.90000719961</v>
      </c>
      <c r="BZ56" s="20">
        <f t="shared" ca="1" si="14"/>
        <v>-588653.17134067661</v>
      </c>
      <c r="CA56" s="20">
        <f t="shared" ca="1" si="14"/>
        <v>-588653.17134067661</v>
      </c>
      <c r="CB56" s="20">
        <f t="shared" ca="1" si="14"/>
        <v>-633653.17134067661</v>
      </c>
      <c r="CC56" s="20">
        <f t="shared" ca="1" si="14"/>
        <v>-569865.32043482293</v>
      </c>
      <c r="CD56" s="20">
        <f t="shared" ca="1" si="14"/>
        <v>-626153.17134067661</v>
      </c>
      <c r="CE56" s="20">
        <f t="shared" ca="1" si="14"/>
        <v>-588653.17134067661</v>
      </c>
      <c r="CF56" s="20">
        <f t="shared" ca="1" si="14"/>
        <v>-626153.17134067661</v>
      </c>
      <c r="CG56" s="20">
        <f t="shared" ca="1" si="14"/>
        <v>-588653.17134067661</v>
      </c>
      <c r="CH56" s="20">
        <f t="shared" ca="1" si="14"/>
        <v>-633653.17134067661</v>
      </c>
      <c r="CI56" s="20">
        <f t="shared" ca="1" si="14"/>
        <v>-588653.17134067661</v>
      </c>
      <c r="CJ56" s="20">
        <f t="shared" ca="1" si="14"/>
        <v>-626153.17134067661</v>
      </c>
      <c r="CK56" s="20">
        <f t="shared" ca="1" si="14"/>
        <v>-588653.17134067661</v>
      </c>
      <c r="CL56" s="20">
        <f t="shared" ca="1" si="14"/>
        <v>-598349.56810082402</v>
      </c>
      <c r="CM56" s="20">
        <f t="shared" ca="1" si="14"/>
        <v>-598349.56810082402</v>
      </c>
      <c r="CN56" s="20">
        <f t="shared" ca="1" si="14"/>
        <v>-598349.56810082402</v>
      </c>
      <c r="CO56" s="20">
        <f t="shared" ca="1" si="14"/>
        <v>-598349.56810082402</v>
      </c>
      <c r="CP56" s="20">
        <f t="shared" ca="1" si="14"/>
        <v>-598349.56810082402</v>
      </c>
      <c r="CQ56" s="20">
        <f t="shared" ca="1" si="14"/>
        <v>-598349.56810082402</v>
      </c>
      <c r="CR56" s="20">
        <f t="shared" ca="1" si="14"/>
        <v>-598349.56810082402</v>
      </c>
      <c r="CS56" s="20">
        <f t="shared" ca="1" si="14"/>
        <v>-598349.56810082402</v>
      </c>
      <c r="CT56" s="20">
        <f t="shared" ca="1" si="14"/>
        <v>-598349.56810082402</v>
      </c>
      <c r="CU56" s="20">
        <f t="shared" ref="CU56:DZ56" ca="1" si="15">SUM(CU22:CU55)</f>
        <v>-541129.46673347347</v>
      </c>
      <c r="CV56" s="20">
        <f t="shared" ca="1" si="15"/>
        <v>-541129.46673347347</v>
      </c>
      <c r="CW56" s="20">
        <f t="shared" ca="1" si="15"/>
        <v>-541129.46673347347</v>
      </c>
      <c r="CX56" s="20">
        <f t="shared" ca="1" si="15"/>
        <v>-549875.38940147625</v>
      </c>
      <c r="CY56" s="20">
        <f t="shared" ca="1" si="15"/>
        <v>-549875.38940147625</v>
      </c>
      <c r="CZ56" s="20">
        <f t="shared" ca="1" si="15"/>
        <v>-549875.38940147625</v>
      </c>
      <c r="DA56" s="20">
        <f t="shared" ca="1" si="15"/>
        <v>-512375.38940147631</v>
      </c>
      <c r="DB56" s="20">
        <f t="shared" ca="1" si="15"/>
        <v>-549875.38940147625</v>
      </c>
      <c r="DC56" s="20">
        <f t="shared" ca="1" si="15"/>
        <v>-549875.38940147625</v>
      </c>
      <c r="DD56" s="20">
        <f t="shared" ca="1" si="15"/>
        <v>-549875.38940147625</v>
      </c>
      <c r="DE56" s="20">
        <f t="shared" ca="1" si="15"/>
        <v>-549875.38940147625</v>
      </c>
      <c r="DF56" s="20">
        <f t="shared" ca="1" si="15"/>
        <v>-549875.38940147625</v>
      </c>
    </row>
    <row r="57" spans="1:110" ht="19.5" customHeight="1" x14ac:dyDescent="0.25">
      <c r="A57" s="24" t="s">
        <v>28</v>
      </c>
      <c r="B57" s="317"/>
      <c r="C57" s="25">
        <f t="shared" ref="C57:AH57" ca="1" si="16">C20+C56</f>
        <v>-40238.779999999941</v>
      </c>
      <c r="D57" s="25">
        <f t="shared" ca="1" si="16"/>
        <v>-309702.09999999974</v>
      </c>
      <c r="E57" s="25">
        <f t="shared" ca="1" si="16"/>
        <v>243856.69000000024</v>
      </c>
      <c r="F57" s="25">
        <f t="shared" ca="1" si="16"/>
        <v>375536.59999999951</v>
      </c>
      <c r="G57" s="25">
        <f t="shared" ca="1" si="16"/>
        <v>4795.5912542628357</v>
      </c>
      <c r="H57" s="25">
        <f t="shared" ca="1" si="16"/>
        <v>-24579.408745737164</v>
      </c>
      <c r="I57" s="25">
        <f t="shared" ca="1" si="16"/>
        <v>478888.7527879164</v>
      </c>
      <c r="J57" s="25">
        <f t="shared" ca="1" si="16"/>
        <v>171828.54798791645</v>
      </c>
      <c r="K57" s="25">
        <f t="shared" ca="1" si="16"/>
        <v>171828.54798791645</v>
      </c>
      <c r="L57" s="25">
        <f t="shared" ca="1" si="16"/>
        <v>476879.11662352737</v>
      </c>
      <c r="M57" s="25">
        <f t="shared" ca="1" si="16"/>
        <v>507880.05063091288</v>
      </c>
      <c r="N57" s="25">
        <f t="shared" ca="1" si="16"/>
        <v>255504.9665448193</v>
      </c>
      <c r="O57" s="25">
        <f t="shared" ca="1" si="16"/>
        <v>255504.9665448193</v>
      </c>
      <c r="P57" s="25">
        <f t="shared" ca="1" si="16"/>
        <v>255504.9665448193</v>
      </c>
      <c r="Q57" s="25">
        <f t="shared" ca="1" si="16"/>
        <v>255504.9665448193</v>
      </c>
      <c r="R57" s="25">
        <f t="shared" ca="1" si="16"/>
        <v>-411966.09389796446</v>
      </c>
      <c r="S57" s="25">
        <f t="shared" ca="1" si="16"/>
        <v>404202.38110203599</v>
      </c>
      <c r="T57" s="25">
        <f t="shared" ca="1" si="16"/>
        <v>562864.25938823656</v>
      </c>
      <c r="U57" s="25">
        <f t="shared" ca="1" si="16"/>
        <v>324683.81218413287</v>
      </c>
      <c r="V57" s="25">
        <f t="shared" ca="1" si="16"/>
        <v>59005.060607367428</v>
      </c>
      <c r="W57" s="25">
        <f t="shared" ca="1" si="16"/>
        <v>59005.060607367428</v>
      </c>
      <c r="X57" s="25">
        <f t="shared" ca="1" si="16"/>
        <v>80815.365047116997</v>
      </c>
      <c r="Y57" s="25">
        <f t="shared" ca="1" si="16"/>
        <v>37194.756167616928</v>
      </c>
      <c r="Z57" s="25">
        <f t="shared" ca="1" si="16"/>
        <v>37194.756167616928</v>
      </c>
      <c r="AA57" s="25">
        <f t="shared" ca="1" si="16"/>
        <v>37194.756167616928</v>
      </c>
      <c r="AB57" s="25">
        <f t="shared" ca="1" si="16"/>
        <v>37194.756167616928</v>
      </c>
      <c r="AC57" s="25">
        <f t="shared" ca="1" si="16"/>
        <v>37194.756167616928</v>
      </c>
      <c r="AD57" s="25">
        <f t="shared" ca="1" si="16"/>
        <v>110433.44672021689</v>
      </c>
      <c r="AE57" s="25">
        <f t="shared" ca="1" si="16"/>
        <v>-53608.5849649827</v>
      </c>
      <c r="AF57" s="25">
        <f t="shared" ca="1" si="16"/>
        <v>-619655.00409643631</v>
      </c>
      <c r="AG57" s="25">
        <f t="shared" ca="1" si="16"/>
        <v>104051.05590356374</v>
      </c>
      <c r="AH57" s="25">
        <f t="shared" ca="1" si="16"/>
        <v>104051.05590356374</v>
      </c>
      <c r="AI57" s="25">
        <f t="shared" ref="AI57:BN57" ca="1" si="17">AI20+AI56</f>
        <v>104051.05590356421</v>
      </c>
      <c r="AJ57" s="25">
        <f t="shared" ca="1" si="17"/>
        <v>322340.43547131401</v>
      </c>
      <c r="AK57" s="25">
        <f t="shared" ca="1" si="17"/>
        <v>55514.03666242864</v>
      </c>
      <c r="AL57" s="25">
        <f t="shared" ca="1" si="17"/>
        <v>351664.75782082882</v>
      </c>
      <c r="AM57" s="25">
        <f t="shared" ca="1" si="17"/>
        <v>19495.163262108807</v>
      </c>
      <c r="AN57" s="25">
        <f t="shared" ca="1" si="17"/>
        <v>-18004.836737891193</v>
      </c>
      <c r="AO57" s="25">
        <f t="shared" ca="1" si="17"/>
        <v>114874.22872475814</v>
      </c>
      <c r="AP57" s="25">
        <f t="shared" ca="1" si="17"/>
        <v>58482.350006630062</v>
      </c>
      <c r="AQ57" s="25">
        <f t="shared" ca="1" si="17"/>
        <v>13482.350006630062</v>
      </c>
      <c r="AR57" s="25">
        <f t="shared" ca="1" si="17"/>
        <v>58482.350006630062</v>
      </c>
      <c r="AS57" s="25">
        <f t="shared" ca="1" si="17"/>
        <v>166834.2500066295</v>
      </c>
      <c r="AT57" s="25">
        <f t="shared" ca="1" si="17"/>
        <v>121834.2500066295</v>
      </c>
      <c r="AU57" s="25">
        <f t="shared" ca="1" si="17"/>
        <v>439319.83536012971</v>
      </c>
      <c r="AV57" s="25">
        <f t="shared" ca="1" si="17"/>
        <v>-5739.954050587141</v>
      </c>
      <c r="AW57" s="25">
        <f t="shared" ca="1" si="17"/>
        <v>-5739.954050587141</v>
      </c>
      <c r="AX57" s="25">
        <f t="shared" ca="1" si="17"/>
        <v>-5739.9540505862096</v>
      </c>
      <c r="AY57" s="25">
        <f t="shared" ca="1" si="17"/>
        <v>-5739.954050587141</v>
      </c>
      <c r="AZ57" s="25">
        <f t="shared" ca="1" si="17"/>
        <v>-5739.954050587141</v>
      </c>
      <c r="BA57" s="25">
        <f t="shared" ca="1" si="17"/>
        <v>84553.295949412859</v>
      </c>
      <c r="BB57" s="25">
        <f t="shared" ca="1" si="17"/>
        <v>128209.41471769719</v>
      </c>
      <c r="BC57" s="25">
        <f t="shared" ca="1" si="17"/>
        <v>-14877.085282302811</v>
      </c>
      <c r="BD57" s="25">
        <f t="shared" ca="1" si="17"/>
        <v>-14877.085282301879</v>
      </c>
      <c r="BE57" s="25">
        <f t="shared" ca="1" si="17"/>
        <v>221268.06471769756</v>
      </c>
      <c r="BF57" s="25">
        <f t="shared" ca="1" si="17"/>
        <v>-41818.435282302438</v>
      </c>
      <c r="BG57" s="25">
        <f t="shared" ca="1" si="17"/>
        <v>93474.814717697562</v>
      </c>
      <c r="BH57" s="25">
        <f t="shared" ca="1" si="17"/>
        <v>164326.71471769747</v>
      </c>
      <c r="BI57" s="25">
        <f t="shared" ca="1" si="17"/>
        <v>324352.43977329752</v>
      </c>
      <c r="BJ57" s="25">
        <f t="shared" ca="1" si="17"/>
        <v>-119743.47615084925</v>
      </c>
      <c r="BK57" s="25">
        <f t="shared" ca="1" si="17"/>
        <v>134460.32384915103</v>
      </c>
      <c r="BL57" s="25">
        <f t="shared" ca="1" si="17"/>
        <v>-127243.47615084925</v>
      </c>
      <c r="BM57" s="25">
        <f t="shared" ca="1" si="17"/>
        <v>8049.773849150748</v>
      </c>
      <c r="BN57" s="25">
        <f t="shared" ca="1" si="17"/>
        <v>-38770.100007199799</v>
      </c>
      <c r="BO57" s="25">
        <f t="shared" ref="BO57:CT57" ca="1" si="18">BO20+BO56</f>
        <v>107081.79999280057</v>
      </c>
      <c r="BP57" s="25">
        <f t="shared" ca="1" si="18"/>
        <v>62081.799992800574</v>
      </c>
      <c r="BQ57" s="25">
        <f t="shared" ca="1" si="18"/>
        <v>107081.79999280057</v>
      </c>
      <c r="BR57" s="25">
        <f t="shared" ca="1" si="18"/>
        <v>107081.79999280057</v>
      </c>
      <c r="BS57" s="25">
        <f t="shared" ca="1" si="18"/>
        <v>197375.04999280057</v>
      </c>
      <c r="BT57" s="25">
        <f t="shared" ca="1" si="18"/>
        <v>16788.549992800574</v>
      </c>
      <c r="BU57" s="25">
        <f t="shared" ca="1" si="18"/>
        <v>125140.44999280002</v>
      </c>
      <c r="BV57" s="25">
        <f t="shared" ca="1" si="18"/>
        <v>80140.449992800015</v>
      </c>
      <c r="BW57" s="25">
        <f t="shared" ca="1" si="18"/>
        <v>233492.34999280039</v>
      </c>
      <c r="BX57" s="25">
        <f t="shared" ca="1" si="18"/>
        <v>16788.549992800574</v>
      </c>
      <c r="BY57" s="25">
        <f t="shared" ca="1" si="18"/>
        <v>107081.79999280057</v>
      </c>
      <c r="BZ57" s="25">
        <f t="shared" ca="1" si="18"/>
        <v>-83010.97134067642</v>
      </c>
      <c r="CA57" s="25">
        <f t="shared" ca="1" si="18"/>
        <v>115634.17865932349</v>
      </c>
      <c r="CB57" s="25">
        <f t="shared" ca="1" si="18"/>
        <v>-109952.32134067651</v>
      </c>
      <c r="CC57" s="25">
        <f t="shared" ca="1" si="18"/>
        <v>152480.67956517707</v>
      </c>
      <c r="CD57" s="25">
        <f t="shared" ca="1" si="18"/>
        <v>-120510.97134067642</v>
      </c>
      <c r="CE57" s="25">
        <f t="shared" ca="1" si="18"/>
        <v>97575.52865932358</v>
      </c>
      <c r="CF57" s="25">
        <f t="shared" ca="1" si="18"/>
        <v>-120510.97134067642</v>
      </c>
      <c r="CG57" s="25">
        <f t="shared" ca="1" si="18"/>
        <v>133692.82865932339</v>
      </c>
      <c r="CH57" s="25">
        <f t="shared" ca="1" si="18"/>
        <v>-128010.97134067642</v>
      </c>
      <c r="CI57" s="25">
        <f t="shared" ca="1" si="18"/>
        <v>7282.2786593235796</v>
      </c>
      <c r="CJ57" s="25">
        <f t="shared" ca="1" si="18"/>
        <v>-30217.72134067642</v>
      </c>
      <c r="CK57" s="25">
        <f t="shared" ca="1" si="18"/>
        <v>7282.2786593235796</v>
      </c>
      <c r="CL57" s="25">
        <f t="shared" ca="1" si="18"/>
        <v>-2414.1181008238345</v>
      </c>
      <c r="CM57" s="25">
        <f t="shared" ca="1" si="18"/>
        <v>105937.78189917561</v>
      </c>
      <c r="CN57" s="25">
        <f t="shared" ca="1" si="18"/>
        <v>-110766.01810082421</v>
      </c>
      <c r="CO57" s="25">
        <f t="shared" ca="1" si="18"/>
        <v>-110766.01810082421</v>
      </c>
      <c r="CP57" s="25">
        <f t="shared" ca="1" si="18"/>
        <v>-110766.01810082421</v>
      </c>
      <c r="CQ57" s="25">
        <f t="shared" ca="1" si="18"/>
        <v>-110766.01810082421</v>
      </c>
      <c r="CR57" s="25">
        <f t="shared" ca="1" si="18"/>
        <v>-110766.01810082421</v>
      </c>
      <c r="CS57" s="25">
        <f t="shared" ca="1" si="18"/>
        <v>-2414.1181008238345</v>
      </c>
      <c r="CT57" s="25">
        <f t="shared" ca="1" si="18"/>
        <v>-219117.91810082411</v>
      </c>
      <c r="CU57" s="25">
        <f t="shared" ref="CU57:DZ57" ca="1" si="19">CU20+CU56</f>
        <v>-71604.566733473563</v>
      </c>
      <c r="CV57" s="25">
        <f t="shared" ca="1" si="19"/>
        <v>-252191.06673347356</v>
      </c>
      <c r="CW57" s="25">
        <f t="shared" ca="1" si="19"/>
        <v>-161897.81673347356</v>
      </c>
      <c r="CX57" s="25">
        <f t="shared" ca="1" si="19"/>
        <v>-351230.23940147634</v>
      </c>
      <c r="CY57" s="25">
        <f t="shared" ca="1" si="19"/>
        <v>-242878.3394014762</v>
      </c>
      <c r="CZ57" s="25">
        <f t="shared" ca="1" si="19"/>
        <v>-459582.13940147625</v>
      </c>
      <c r="DA57" s="25">
        <f t="shared" ca="1" si="19"/>
        <v>-331788.88940147631</v>
      </c>
      <c r="DB57" s="25">
        <f t="shared" ca="1" si="19"/>
        <v>-549875.38940147625</v>
      </c>
      <c r="DC57" s="25">
        <f t="shared" ca="1" si="19"/>
        <v>-549875.38940147625</v>
      </c>
      <c r="DD57" s="25">
        <f t="shared" ca="1" si="19"/>
        <v>-549875.38940147625</v>
      </c>
      <c r="DE57" s="25">
        <f t="shared" ca="1" si="19"/>
        <v>-549875.38940147625</v>
      </c>
      <c r="DF57" s="25">
        <f t="shared" ca="1" si="19"/>
        <v>-549875.38940147625</v>
      </c>
    </row>
    <row r="58" spans="1:110" ht="19.5" customHeight="1" x14ac:dyDescent="0.25">
      <c r="A58" s="13" t="s">
        <v>29</v>
      </c>
      <c r="B58" s="302"/>
      <c r="C58" s="26">
        <f t="shared" ref="C58:AH58" ca="1" si="20">IFERROR(IF(OR(C20&lt;=0,C57/C20&lt;0,C57/C20&gt;1),0,C57/C20),0)</f>
        <v>0</v>
      </c>
      <c r="D58" s="26">
        <f t="shared" ca="1" si="20"/>
        <v>0</v>
      </c>
      <c r="E58" s="26">
        <f t="shared" ca="1" si="20"/>
        <v>0.41040565984452126</v>
      </c>
      <c r="F58" s="26">
        <f t="shared" ca="1" si="20"/>
        <v>0.83945383817108521</v>
      </c>
      <c r="G58" s="26">
        <f t="shared" ca="1" si="20"/>
        <v>1.022764766763189E-2</v>
      </c>
      <c r="H58" s="26">
        <f t="shared" ca="1" si="20"/>
        <v>0</v>
      </c>
      <c r="I58" s="26">
        <f t="shared" ca="1" si="20"/>
        <v>0.49922862784936273</v>
      </c>
      <c r="J58" s="26">
        <f t="shared" ca="1" si="20"/>
        <v>0.27158101979514898</v>
      </c>
      <c r="K58" s="26">
        <f t="shared" ca="1" si="20"/>
        <v>0.27158101979514898</v>
      </c>
      <c r="L58" s="26">
        <f t="shared" ca="1" si="20"/>
        <v>0.47730777482399317</v>
      </c>
      <c r="M58" s="26">
        <f t="shared" ca="1" si="20"/>
        <v>0.4698447729881175</v>
      </c>
      <c r="N58" s="26">
        <f t="shared" ca="1" si="20"/>
        <v>0.32986353963617443</v>
      </c>
      <c r="O58" s="26">
        <f t="shared" ca="1" si="20"/>
        <v>0.32986353963617443</v>
      </c>
      <c r="P58" s="26">
        <f t="shared" ca="1" si="20"/>
        <v>0.32986353963617443</v>
      </c>
      <c r="Q58" s="26">
        <f t="shared" ca="1" si="20"/>
        <v>0.32986353963617443</v>
      </c>
      <c r="R58" s="26">
        <f t="shared" ca="1" si="20"/>
        <v>0</v>
      </c>
      <c r="S58" s="26">
        <f t="shared" ca="1" si="20"/>
        <v>0.42675556836862977</v>
      </c>
      <c r="T58" s="26">
        <f t="shared" ca="1" si="20"/>
        <v>0.50900452703899923</v>
      </c>
      <c r="U58" s="26">
        <f t="shared" ca="1" si="20"/>
        <v>0.37421773808548559</v>
      </c>
      <c r="V58" s="26">
        <f t="shared" ca="1" si="20"/>
        <v>9.8022433716542262E-2</v>
      </c>
      <c r="W58" s="26">
        <f t="shared" ca="1" si="20"/>
        <v>9.8022433716542262E-2</v>
      </c>
      <c r="X58" s="26">
        <f t="shared" ca="1" si="20"/>
        <v>0.12956060352271812</v>
      </c>
      <c r="Y58" s="26">
        <f t="shared" ca="1" si="20"/>
        <v>6.4112933119324991E-2</v>
      </c>
      <c r="Z58" s="26">
        <f t="shared" ca="1" si="20"/>
        <v>6.4112933119324991E-2</v>
      </c>
      <c r="AA58" s="26">
        <f t="shared" ca="1" si="20"/>
        <v>6.4112933119324991E-2</v>
      </c>
      <c r="AB58" s="26">
        <f t="shared" ca="1" si="20"/>
        <v>6.4112933119324991E-2</v>
      </c>
      <c r="AC58" s="26">
        <f t="shared" ca="1" si="20"/>
        <v>6.4112933119324991E-2</v>
      </c>
      <c r="AD58" s="26">
        <f t="shared" ca="1" si="20"/>
        <v>0.16677623407927392</v>
      </c>
      <c r="AE58" s="26">
        <f t="shared" ca="1" si="20"/>
        <v>0</v>
      </c>
      <c r="AF58" s="26">
        <f t="shared" ca="1" si="20"/>
        <v>0</v>
      </c>
      <c r="AG58" s="26">
        <f t="shared" ca="1" si="20"/>
        <v>0.15866690541124293</v>
      </c>
      <c r="AH58" s="26">
        <f t="shared" ca="1" si="20"/>
        <v>0.15866690541124293</v>
      </c>
      <c r="AI58" s="26">
        <f t="shared" ref="AI58:BN58" ca="1" si="21">IFERROR(IF(OR(AI20&lt;=0,AI57/AI20&lt;0,AI57/AI20&gt;1),0,AI57/AI20),0)</f>
        <v>0.15866690541124351</v>
      </c>
      <c r="AJ58" s="26">
        <f t="shared" ca="1" si="21"/>
        <v>0.3687800355448605</v>
      </c>
      <c r="AK58" s="26">
        <f t="shared" ca="1" si="21"/>
        <v>8.6102186170930045E-2</v>
      </c>
      <c r="AL58" s="26">
        <f t="shared" ca="1" si="21"/>
        <v>0.38926948176663145</v>
      </c>
      <c r="AM58" s="26">
        <f t="shared" ca="1" si="21"/>
        <v>3.4128569402176817E-2</v>
      </c>
      <c r="AN58" s="26">
        <f t="shared" ca="1" si="21"/>
        <v>0</v>
      </c>
      <c r="AO58" s="26">
        <f t="shared" ca="1" si="21"/>
        <v>0.17232698559154028</v>
      </c>
      <c r="AP58" s="26">
        <f t="shared" ca="1" si="21"/>
        <v>9.4452473420609945E-2</v>
      </c>
      <c r="AQ58" s="26">
        <f t="shared" ca="1" si="21"/>
        <v>2.1774797105523599E-2</v>
      </c>
      <c r="AR58" s="26">
        <f t="shared" ca="1" si="21"/>
        <v>9.4452473420609945E-2</v>
      </c>
      <c r="AS58" s="26">
        <f t="shared" ca="1" si="21"/>
        <v>0.22931781875590312</v>
      </c>
      <c r="AT58" s="26">
        <f t="shared" ca="1" si="21"/>
        <v>0.167464201506414</v>
      </c>
      <c r="AU58" s="26">
        <f t="shared" ca="1" si="21"/>
        <v>0.43931556069703948</v>
      </c>
      <c r="AV58" s="26">
        <f t="shared" ca="1" si="21"/>
        <v>0</v>
      </c>
      <c r="AW58" s="26">
        <f t="shared" ca="1" si="21"/>
        <v>0</v>
      </c>
      <c r="AX58" s="26">
        <f t="shared" ca="1" si="21"/>
        <v>0</v>
      </c>
      <c r="AY58" s="26">
        <f t="shared" ca="1" si="21"/>
        <v>0</v>
      </c>
      <c r="AZ58" s="26">
        <f t="shared" ca="1" si="21"/>
        <v>0</v>
      </c>
      <c r="BA58" s="26">
        <f t="shared" ca="1" si="21"/>
        <v>0.13104097361430148</v>
      </c>
      <c r="BB58" s="26">
        <f t="shared" ca="1" si="21"/>
        <v>0.17430735935571484</v>
      </c>
      <c r="BC58" s="26">
        <f t="shared" ca="1" si="21"/>
        <v>0</v>
      </c>
      <c r="BD58" s="26">
        <f t="shared" ca="1" si="21"/>
        <v>0</v>
      </c>
      <c r="BE58" s="26">
        <f t="shared" ca="1" si="21"/>
        <v>0.29361664824896594</v>
      </c>
      <c r="BF58" s="26">
        <f t="shared" ca="1" si="21"/>
        <v>0</v>
      </c>
      <c r="BG58" s="26">
        <f t="shared" ca="1" si="21"/>
        <v>0.14092349660193756</v>
      </c>
      <c r="BH58" s="26">
        <f t="shared" ca="1" si="21"/>
        <v>0.21295395332722297</v>
      </c>
      <c r="BI58" s="26">
        <f t="shared" ca="1" si="21"/>
        <v>0.36273751761686329</v>
      </c>
      <c r="BJ58" s="26">
        <f t="shared" ca="1" si="21"/>
        <v>0</v>
      </c>
      <c r="BK58" s="26">
        <f t="shared" ca="1" si="21"/>
        <v>0.19091685211888446</v>
      </c>
      <c r="BL58" s="26">
        <f t="shared" ca="1" si="21"/>
        <v>0</v>
      </c>
      <c r="BM58" s="26">
        <f t="shared" ca="1" si="21"/>
        <v>1.3929913519889967E-2</v>
      </c>
      <c r="BN58" s="26">
        <f t="shared" ca="1" si="21"/>
        <v>0</v>
      </c>
      <c r="BO58" s="26">
        <f t="shared" ref="BO58:CT58" ca="1" si="22">IFERROR(IF(OR(BO20&lt;=0,BO57/BO20&lt;0,BO57/BO20&gt;1),0,BO57/BO20),0)</f>
        <v>0.15604389614249672</v>
      </c>
      <c r="BP58" s="26">
        <f t="shared" ca="1" si="22"/>
        <v>9.0468090292347952E-2</v>
      </c>
      <c r="BQ58" s="26">
        <f t="shared" ca="1" si="22"/>
        <v>0.15604389614249672</v>
      </c>
      <c r="BR58" s="26">
        <f t="shared" ca="1" si="22"/>
        <v>0.15604389614249672</v>
      </c>
      <c r="BS58" s="26">
        <f t="shared" ca="1" si="22"/>
        <v>0.25417832682360175</v>
      </c>
      <c r="BT58" s="26">
        <f t="shared" ca="1" si="22"/>
        <v>2.8171759194390213E-2</v>
      </c>
      <c r="BU58" s="26">
        <f t="shared" ca="1" si="22"/>
        <v>0.1776837962414064</v>
      </c>
      <c r="BV58" s="26">
        <f t="shared" ca="1" si="22"/>
        <v>0.11378942131049218</v>
      </c>
      <c r="BW58" s="26">
        <f t="shared" ca="1" si="22"/>
        <v>0.28732595674255262</v>
      </c>
      <c r="BX58" s="26">
        <f t="shared" ca="1" si="22"/>
        <v>2.8171759194390213E-2</v>
      </c>
      <c r="BY58" s="26">
        <f t="shared" ca="1" si="22"/>
        <v>0.15604389614249672</v>
      </c>
      <c r="BZ58" s="26">
        <f t="shared" ca="1" si="22"/>
        <v>0</v>
      </c>
      <c r="CA58" s="26">
        <f t="shared" ca="1" si="22"/>
        <v>0.16418607924638071</v>
      </c>
      <c r="CB58" s="26">
        <f t="shared" ca="1" si="22"/>
        <v>0</v>
      </c>
      <c r="CC58" s="26">
        <f t="shared" ca="1" si="22"/>
        <v>0.21109091704692359</v>
      </c>
      <c r="CD58" s="26">
        <f t="shared" ca="1" si="22"/>
        <v>0</v>
      </c>
      <c r="CE58" s="26">
        <f t="shared" ca="1" si="22"/>
        <v>0.14219097606865402</v>
      </c>
      <c r="CF58" s="26">
        <f t="shared" ca="1" si="22"/>
        <v>0</v>
      </c>
      <c r="CG58" s="26">
        <f t="shared" ca="1" si="22"/>
        <v>0.18508142726522109</v>
      </c>
      <c r="CH58" s="26">
        <f t="shared" ca="1" si="22"/>
        <v>0</v>
      </c>
      <c r="CI58" s="26">
        <f t="shared" ca="1" si="22"/>
        <v>1.2219911836631932E-2</v>
      </c>
      <c r="CJ58" s="26">
        <f t="shared" ca="1" si="22"/>
        <v>0</v>
      </c>
      <c r="CK58" s="26">
        <f t="shared" ca="1" si="22"/>
        <v>1.2219911836631932E-2</v>
      </c>
      <c r="CL58" s="26">
        <f t="shared" ca="1" si="22"/>
        <v>0</v>
      </c>
      <c r="CM58" s="26">
        <f t="shared" ca="1" si="22"/>
        <v>0.15041840791145214</v>
      </c>
      <c r="CN58" s="26">
        <f t="shared" ca="1" si="22"/>
        <v>0</v>
      </c>
      <c r="CO58" s="26">
        <f t="shared" ca="1" si="22"/>
        <v>0</v>
      </c>
      <c r="CP58" s="26">
        <f t="shared" ca="1" si="22"/>
        <v>0</v>
      </c>
      <c r="CQ58" s="26">
        <f t="shared" ca="1" si="22"/>
        <v>0</v>
      </c>
      <c r="CR58" s="26">
        <f t="shared" ca="1" si="22"/>
        <v>0</v>
      </c>
      <c r="CS58" s="26">
        <f t="shared" ca="1" si="22"/>
        <v>0</v>
      </c>
      <c r="CT58" s="26">
        <f t="shared" ca="1" si="22"/>
        <v>0</v>
      </c>
      <c r="CU58" s="26">
        <f t="shared" ref="CU58:DZ58" ca="1" si="23">IFERROR(IF(OR(CU20&lt;=0,CU57/CU20&lt;0,CU57/CU20&gt;1),0,CU57/CU20),0)</f>
        <v>0</v>
      </c>
      <c r="CV58" s="26">
        <f t="shared" ca="1" si="23"/>
        <v>0</v>
      </c>
      <c r="CW58" s="26">
        <f t="shared" ca="1" si="23"/>
        <v>0</v>
      </c>
      <c r="CX58" s="26">
        <f t="shared" ca="1" si="23"/>
        <v>0</v>
      </c>
      <c r="CY58" s="26">
        <f t="shared" ca="1" si="23"/>
        <v>0</v>
      </c>
      <c r="CZ58" s="26">
        <f t="shared" ca="1" si="23"/>
        <v>0</v>
      </c>
      <c r="DA58" s="26">
        <f t="shared" ca="1" si="23"/>
        <v>0</v>
      </c>
      <c r="DB58" s="26">
        <f t="shared" ca="1" si="23"/>
        <v>0</v>
      </c>
      <c r="DC58" s="26">
        <f t="shared" ca="1" si="23"/>
        <v>0</v>
      </c>
      <c r="DD58" s="26">
        <f t="shared" ca="1" si="23"/>
        <v>0</v>
      </c>
      <c r="DE58" s="26">
        <f t="shared" ca="1" si="23"/>
        <v>0</v>
      </c>
      <c r="DF58" s="26">
        <f t="shared" ca="1" si="23"/>
        <v>0</v>
      </c>
    </row>
    <row r="59" spans="1:110" ht="15" customHeight="1" x14ac:dyDescent="0.25">
      <c r="A59" s="302"/>
      <c r="B59" s="30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</row>
    <row r="60" spans="1:110" ht="15" customHeight="1" x14ac:dyDescent="0.25">
      <c r="A60" s="302"/>
      <c r="B60" s="30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</row>
    <row r="61" spans="1:110" ht="15" customHeight="1" x14ac:dyDescent="0.25">
      <c r="A61" s="318" t="s">
        <v>96</v>
      </c>
      <c r="B61" s="318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  <c r="AR61" s="319"/>
      <c r="AS61" s="319"/>
      <c r="AT61" s="319"/>
      <c r="AU61" s="319"/>
      <c r="AV61" s="319"/>
      <c r="AW61" s="319"/>
      <c r="AX61" s="319"/>
      <c r="AY61" s="319"/>
      <c r="AZ61" s="319"/>
      <c r="BA61" s="319"/>
      <c r="BB61" s="319"/>
      <c r="BC61" s="319"/>
      <c r="BD61" s="319"/>
      <c r="BE61" s="319"/>
      <c r="BF61" s="319"/>
      <c r="BG61" s="319"/>
      <c r="BH61" s="319"/>
      <c r="BI61" s="319"/>
      <c r="BJ61" s="319"/>
      <c r="BK61" s="319"/>
      <c r="BL61" s="319"/>
      <c r="BM61" s="319"/>
      <c r="BN61" s="319"/>
      <c r="BO61" s="319"/>
      <c r="BP61" s="319"/>
      <c r="BQ61" s="319"/>
      <c r="BR61" s="319"/>
      <c r="BS61" s="319"/>
      <c r="BT61" s="319"/>
      <c r="BU61" s="319"/>
      <c r="BV61" s="319"/>
      <c r="BW61" s="319"/>
      <c r="BX61" s="319"/>
      <c r="BY61" s="319"/>
      <c r="BZ61" s="319"/>
      <c r="CA61" s="319"/>
      <c r="CB61" s="319"/>
      <c r="CC61" s="319"/>
      <c r="CD61" s="319"/>
      <c r="CE61" s="319"/>
      <c r="CF61" s="319"/>
      <c r="CG61" s="319"/>
      <c r="CH61" s="319"/>
      <c r="CI61" s="319"/>
      <c r="CJ61" s="319"/>
      <c r="CK61" s="319"/>
      <c r="CL61" s="319"/>
      <c r="CM61" s="319"/>
      <c r="CN61" s="319"/>
      <c r="CO61" s="319"/>
      <c r="CP61" s="319"/>
      <c r="CQ61" s="319"/>
      <c r="CR61" s="319"/>
      <c r="CS61" s="319"/>
      <c r="CT61" s="319"/>
      <c r="CU61" s="319"/>
      <c r="CV61" s="319"/>
      <c r="CW61" s="319"/>
      <c r="CX61" s="319"/>
      <c r="CY61" s="319"/>
      <c r="CZ61" s="319"/>
      <c r="DA61" s="319"/>
      <c r="DB61" s="319"/>
      <c r="DC61" s="319"/>
      <c r="DD61" s="319"/>
      <c r="DE61" s="319"/>
      <c r="DF61" s="319"/>
    </row>
    <row r="62" spans="1:110" ht="15" customHeight="1" x14ac:dyDescent="0.25">
      <c r="A62" s="315" t="s">
        <v>30</v>
      </c>
      <c r="B62" s="315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  <c r="AG62" s="316"/>
      <c r="AH62" s="316"/>
      <c r="AI62" s="316"/>
      <c r="AJ62" s="316"/>
      <c r="AK62" s="316"/>
      <c r="AL62" s="316"/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6"/>
      <c r="AY62" s="316"/>
      <c r="AZ62" s="316"/>
      <c r="BA62" s="316"/>
      <c r="BB62" s="316"/>
      <c r="BC62" s="316"/>
      <c r="BD62" s="316"/>
      <c r="BE62" s="316"/>
      <c r="BF62" s="316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  <c r="CR62" s="316"/>
      <c r="CS62" s="316"/>
      <c r="CT62" s="316"/>
      <c r="CU62" s="316"/>
      <c r="CV62" s="316"/>
      <c r="CW62" s="316"/>
      <c r="CX62" s="316"/>
      <c r="CY62" s="316"/>
      <c r="CZ62" s="316"/>
      <c r="DA62" s="316"/>
      <c r="DB62" s="316"/>
      <c r="DC62" s="316"/>
      <c r="DD62" s="316"/>
      <c r="DE62" s="316"/>
      <c r="DF62" s="316"/>
    </row>
    <row r="63" spans="1:110" ht="15" customHeight="1" x14ac:dyDescent="0.25">
      <c r="A63" s="13" t="s">
        <v>97</v>
      </c>
      <c r="B63" s="302"/>
      <c r="C63" s="3">
        <f>IF(ISBLANK(Actuals!C62),0,Actuals!C62)</f>
        <v>833.33</v>
      </c>
      <c r="D63" s="3">
        <f>IF(ISBLANK(Actuals!D62),0,Actuals!D62)</f>
        <v>833.33</v>
      </c>
      <c r="E63" s="3">
        <f>IF(ISBLANK(Actuals!E62),0,Actuals!E62)</f>
        <v>833.33</v>
      </c>
      <c r="F63" s="3">
        <f>IF(ISBLANK(Actuals!F62),IF(1&lt;=Assumptions!$B$68,Assumptions!$B$67,0),Actuals!F62)</f>
        <v>833.33</v>
      </c>
      <c r="G63" s="3">
        <f>IF(ISBLANK(Actuals!G62),IF(2&lt;=Assumptions!$B$68,Assumptions!$B$67,0),Actuals!G62)</f>
        <v>833.33</v>
      </c>
      <c r="H63" s="3">
        <f>IF(ISBLANK(Actuals!H62),IF(3&lt;=Assumptions!$B$68,Assumptions!$B$67,0),Actuals!H62)</f>
        <v>833.33</v>
      </c>
      <c r="I63" s="3">
        <f>IF(ISBLANK(Actuals!I62),IF(4&lt;=Assumptions!$B$68,Assumptions!$B$67,0),Actuals!I62)</f>
        <v>833.33</v>
      </c>
      <c r="J63" s="3">
        <f>IF(ISBLANK(Actuals!J62),IF(5&lt;=Assumptions!$B$68,Assumptions!$B$67,0),Actuals!J62)</f>
        <v>833.33</v>
      </c>
      <c r="K63" s="3">
        <f>IF(ISBLANK(Actuals!K62),IF(6&lt;=Assumptions!$B$68,Assumptions!$B$67,0),Actuals!K62)</f>
        <v>0</v>
      </c>
      <c r="L63" s="3">
        <f>IF(ISBLANK(Actuals!L62),IF(7&lt;=Assumptions!$B$68,Assumptions!$B$67,0),Actuals!L62)</f>
        <v>0</v>
      </c>
      <c r="M63" s="3">
        <f>IF(ISBLANK(Actuals!M62),IF(8&lt;=Assumptions!$B$68,Assumptions!$B$67,0),Actuals!M62)</f>
        <v>0</v>
      </c>
      <c r="N63" s="3">
        <f>IF(ISBLANK(Actuals!N62),IF(9&lt;=Assumptions!$B$68,Assumptions!$B$67,0),Actuals!N62)</f>
        <v>0</v>
      </c>
      <c r="O63" s="3">
        <f>IF(ISBLANK(Actuals!O62),IF(10&lt;=Assumptions!$B$68,Assumptions!$B$67,0),Actuals!O62)</f>
        <v>0</v>
      </c>
      <c r="P63" s="3">
        <f>IF(ISBLANK(Actuals!P62),IF(11&lt;=Assumptions!$B$68,Assumptions!$B$67,0),Actuals!P62)</f>
        <v>0</v>
      </c>
      <c r="Q63" s="3">
        <f>IF(ISBLANK(Actuals!Q62),IF(12&lt;=Assumptions!$B$68,Assumptions!$B$67,0),Actuals!Q62)</f>
        <v>0</v>
      </c>
      <c r="R63" s="3">
        <f>IF(ISBLANK(Actuals!R62),IF(13&lt;=Assumptions!$B$68,Assumptions!$B$67,0),Actuals!R62)</f>
        <v>0</v>
      </c>
      <c r="S63" s="3">
        <f>IF(ISBLANK(Actuals!S62),IF(14&lt;=Assumptions!$B$68,Assumptions!$B$67,0),Actuals!S62)</f>
        <v>0</v>
      </c>
      <c r="T63" s="3">
        <f>IF(ISBLANK(Actuals!T62),IF(15&lt;=Assumptions!$B$68,Assumptions!$B$67,0),Actuals!T62)</f>
        <v>0</v>
      </c>
      <c r="U63" s="3">
        <f>IF(ISBLANK(Actuals!U62),IF(16&lt;=Assumptions!$B$68,Assumptions!$B$67,0),Actuals!U62)</f>
        <v>0</v>
      </c>
      <c r="V63" s="3">
        <f>IF(ISBLANK(Actuals!V62),IF(17&lt;=Assumptions!$B$68,Assumptions!$B$67,0),Actuals!V62)</f>
        <v>0</v>
      </c>
      <c r="W63" s="3">
        <f>IF(ISBLANK(Actuals!W62),IF(18&lt;=Assumptions!$B$68,Assumptions!$B$67,0),Actuals!W62)</f>
        <v>0</v>
      </c>
      <c r="X63" s="3">
        <f>IF(ISBLANK(Actuals!X62),IF(19&lt;=Assumptions!$B$68,Assumptions!$B$67,0),Actuals!X62)</f>
        <v>0</v>
      </c>
      <c r="Y63" s="3">
        <f>IF(ISBLANK(Actuals!Y62),IF(20&lt;=Assumptions!$B$68,Assumptions!$B$67,0),Actuals!Y62)</f>
        <v>0</v>
      </c>
      <c r="Z63" s="3">
        <f>IF(ISBLANK(Actuals!Z62),IF(21&lt;=Assumptions!$B$68,Assumptions!$B$67,0),Actuals!Z62)</f>
        <v>0</v>
      </c>
      <c r="AA63" s="3">
        <f>IF(ISBLANK(Actuals!AA62),IF(22&lt;=Assumptions!$B$68,Assumptions!$B$67,0),Actuals!AA62)</f>
        <v>0</v>
      </c>
      <c r="AB63" s="3">
        <f>IF(ISBLANK(Actuals!AB62),IF(23&lt;=Assumptions!$B$68,Assumptions!$B$67,0),Actuals!AB62)</f>
        <v>0</v>
      </c>
      <c r="AC63" s="3">
        <f>IF(ISBLANK(Actuals!AC62),IF(24&lt;=Assumptions!$B$68,Assumptions!$B$67,0),Actuals!AC62)</f>
        <v>0</v>
      </c>
      <c r="AD63" s="3">
        <f>IF(ISBLANK(Actuals!AD62),IF(25&lt;=Assumptions!$B$68,Assumptions!$B$67,0),Actuals!AD62)</f>
        <v>0</v>
      </c>
      <c r="AE63" s="3">
        <f>IF(ISBLANK(Actuals!AE62),IF(26&lt;=Assumptions!$B$68,Assumptions!$B$67,0),Actuals!AE62)</f>
        <v>0</v>
      </c>
      <c r="AF63" s="3">
        <f>IF(ISBLANK(Actuals!AF62),IF(27&lt;=Assumptions!$B$68,Assumptions!$B$67,0),Actuals!AF62)</f>
        <v>0</v>
      </c>
      <c r="AG63" s="3">
        <f>IF(ISBLANK(Actuals!AG62),IF(28&lt;=Assumptions!$B$68,Assumptions!$B$67,0),Actuals!AG62)</f>
        <v>0</v>
      </c>
      <c r="AH63" s="3">
        <f>IF(ISBLANK(Actuals!AH62),IF(29&lt;=Assumptions!$B$68,Assumptions!$B$67,0),Actuals!AH62)</f>
        <v>0</v>
      </c>
      <c r="AI63" s="3">
        <f>IF(ISBLANK(Actuals!AI62),IF(30&lt;=Assumptions!$B$68,Assumptions!$B$67,0),Actuals!AI62)</f>
        <v>0</v>
      </c>
      <c r="AJ63" s="3">
        <f>IF(ISBLANK(Actuals!AJ62),IF(31&lt;=Assumptions!$B$68,Assumptions!$B$67,0),Actuals!AJ62)</f>
        <v>0</v>
      </c>
      <c r="AK63" s="3">
        <f>IF(ISBLANK(Actuals!AK62),IF(32&lt;=Assumptions!$B$68,Assumptions!$B$67,0),Actuals!AK62)</f>
        <v>0</v>
      </c>
      <c r="AL63" s="3">
        <f>IF(ISBLANK(Actuals!AL62),IF(33&lt;=Assumptions!$B$68,Assumptions!$B$67,0),Actuals!AL62)</f>
        <v>0</v>
      </c>
      <c r="AM63" s="3">
        <f>IF(ISBLANK(Actuals!AM62),IF(34&lt;=Assumptions!$B$68,Assumptions!$B$67,0),Actuals!AM62)</f>
        <v>0</v>
      </c>
      <c r="AN63" s="3">
        <f>IF(ISBLANK(Actuals!AN62),IF(35&lt;=Assumptions!$B$68,Assumptions!$B$67,0),Actuals!AN62)</f>
        <v>0</v>
      </c>
      <c r="AO63" s="3">
        <f>IF(ISBLANK(Actuals!AO62),IF(36&lt;=Assumptions!$B$68,Assumptions!$B$67,0),Actuals!AO62)</f>
        <v>0</v>
      </c>
      <c r="AP63" s="3">
        <f>IF(ISBLANK(Actuals!AP62),IF(37&lt;=Assumptions!$B$68,Assumptions!$B$67,0),Actuals!AP62)</f>
        <v>0</v>
      </c>
      <c r="AQ63" s="3">
        <f>IF(ISBLANK(Actuals!AQ62),IF(38&lt;=Assumptions!$B$68,Assumptions!$B$67,0),Actuals!AQ62)</f>
        <v>0</v>
      </c>
      <c r="AR63" s="3">
        <f>IF(ISBLANK(Actuals!AR62),IF(39&lt;=Assumptions!$B$68,Assumptions!$B$67,0),Actuals!AR62)</f>
        <v>0</v>
      </c>
      <c r="AS63" s="3">
        <f>IF(ISBLANK(Actuals!AS62),IF(40&lt;=Assumptions!$B$68,Assumptions!$B$67,0),Actuals!AS62)</f>
        <v>0</v>
      </c>
      <c r="AT63" s="3">
        <f>IF(ISBLANK(Actuals!AT62),IF(41&lt;=Assumptions!$B$68,Assumptions!$B$67,0),Actuals!AT62)</f>
        <v>0</v>
      </c>
      <c r="AU63" s="3">
        <f>IF(ISBLANK(Actuals!AU62),IF(42&lt;=Assumptions!$B$68,Assumptions!$B$67,0),Actuals!AU62)</f>
        <v>0</v>
      </c>
      <c r="AV63" s="3">
        <f>IF(ISBLANK(Actuals!AV62),IF(43&lt;=Assumptions!$B$68,Assumptions!$B$67,0),Actuals!AV62)</f>
        <v>0</v>
      </c>
      <c r="AW63" s="3">
        <f>IF(ISBLANK(Actuals!AW62),IF(44&lt;=Assumptions!$B$68,Assumptions!$B$67,0),Actuals!AW62)</f>
        <v>0</v>
      </c>
      <c r="AX63" s="3">
        <f>IF(ISBLANK(Actuals!AX62),IF(45&lt;=Assumptions!$B$68,Assumptions!$B$67,0),Actuals!AX62)</f>
        <v>0</v>
      </c>
      <c r="AY63" s="3">
        <f>IF(ISBLANK(Actuals!AY62),IF(46&lt;=Assumptions!$B$68,Assumptions!$B$67,0),Actuals!AY62)</f>
        <v>0</v>
      </c>
      <c r="AZ63" s="3">
        <f>IF(ISBLANK(Actuals!AZ62),IF(47&lt;=Assumptions!$B$68,Assumptions!$B$67,0),Actuals!AZ62)</f>
        <v>0</v>
      </c>
      <c r="BA63" s="3">
        <f>IF(ISBLANK(Actuals!BA62),IF(48&lt;=Assumptions!$B$68,Assumptions!$B$67,0),Actuals!BA62)</f>
        <v>0</v>
      </c>
      <c r="BB63" s="3">
        <f>IF(ISBLANK(Actuals!BB62),IF(49&lt;=Assumptions!$B$68,Assumptions!$B$67,0),Actuals!BB62)</f>
        <v>0</v>
      </c>
      <c r="BC63" s="3">
        <f>IF(ISBLANK(Actuals!BC62),IF(50&lt;=Assumptions!$B$68,Assumptions!$B$67,0),Actuals!BC62)</f>
        <v>0</v>
      </c>
      <c r="BD63" s="3">
        <f>IF(ISBLANK(Actuals!BD62),IF(51&lt;=Assumptions!$B$68,Assumptions!$B$67,0),Actuals!BD62)</f>
        <v>0</v>
      </c>
      <c r="BE63" s="3">
        <f>IF(ISBLANK(Actuals!BE62),IF(52&lt;=Assumptions!$B$68,Assumptions!$B$67,0),Actuals!BE62)</f>
        <v>0</v>
      </c>
      <c r="BF63" s="3">
        <f>IF(ISBLANK(Actuals!BF62),IF(53&lt;=Assumptions!$B$68,Assumptions!$B$67,0),Actuals!BF62)</f>
        <v>0</v>
      </c>
      <c r="BG63" s="3">
        <f>IF(ISBLANK(Actuals!BG62),IF(54&lt;=Assumptions!$B$68,Assumptions!$B$67,0),Actuals!BG62)</f>
        <v>0</v>
      </c>
      <c r="BH63" s="3">
        <f>IF(ISBLANK(Actuals!BH62),IF(55&lt;=Assumptions!$B$68,Assumptions!$B$67,0),Actuals!BH62)</f>
        <v>0</v>
      </c>
      <c r="BI63" s="3">
        <f>IF(ISBLANK(Actuals!BI62),IF(56&lt;=Assumptions!$B$68,Assumptions!$B$67,0),Actuals!BI62)</f>
        <v>0</v>
      </c>
      <c r="BJ63" s="3">
        <f>IF(ISBLANK(Actuals!BJ62),IF(57&lt;=Assumptions!$B$68,Assumptions!$B$67,0),Actuals!BJ62)</f>
        <v>0</v>
      </c>
      <c r="BK63" s="3">
        <f>IF(ISBLANK(Actuals!BK62),IF(58&lt;=Assumptions!$B$68,Assumptions!$B$67,0),Actuals!BK62)</f>
        <v>0</v>
      </c>
      <c r="BL63" s="3">
        <f>IF(ISBLANK(Actuals!BL62),IF(59&lt;=Assumptions!$B$68,Assumptions!$B$67,0),Actuals!BL62)</f>
        <v>0</v>
      </c>
      <c r="BM63" s="3">
        <f>IF(ISBLANK(Actuals!BM62),IF(60&lt;=Assumptions!$B$68,Assumptions!$B$67,0),Actuals!BM62)</f>
        <v>0</v>
      </c>
      <c r="BN63" s="3">
        <f>IF(ISBLANK(Actuals!BN62),IF(61&lt;=Assumptions!$B$68,Assumptions!$B$67,0),Actuals!BN62)</f>
        <v>0</v>
      </c>
      <c r="BO63" s="3">
        <f>IF(ISBLANK(Actuals!BO62),IF(62&lt;=Assumptions!$B$68,Assumptions!$B$67,0),Actuals!BO62)</f>
        <v>0</v>
      </c>
      <c r="BP63" s="3">
        <f>IF(ISBLANK(Actuals!BP62),IF(63&lt;=Assumptions!$B$68,Assumptions!$B$67,0),Actuals!BP62)</f>
        <v>0</v>
      </c>
      <c r="BQ63" s="3">
        <f>IF(ISBLANK(Actuals!BQ62),IF(64&lt;=Assumptions!$B$68,Assumptions!$B$67,0),Actuals!BQ62)</f>
        <v>0</v>
      </c>
      <c r="BR63" s="3">
        <f>IF(ISBLANK(Actuals!BR62),IF(65&lt;=Assumptions!$B$68,Assumptions!$B$67,0),Actuals!BR62)</f>
        <v>0</v>
      </c>
      <c r="BS63" s="3">
        <f>IF(ISBLANK(Actuals!BS62),IF(66&lt;=Assumptions!$B$68,Assumptions!$B$67,0),Actuals!BS62)</f>
        <v>0</v>
      </c>
      <c r="BT63" s="3">
        <f>IF(ISBLANK(Actuals!BT62),IF(67&lt;=Assumptions!$B$68,Assumptions!$B$67,0),Actuals!BT62)</f>
        <v>0</v>
      </c>
      <c r="BU63" s="3">
        <f>IF(ISBLANK(Actuals!BU62),IF(68&lt;=Assumptions!$B$68,Assumptions!$B$67,0),Actuals!BU62)</f>
        <v>0</v>
      </c>
      <c r="BV63" s="3">
        <f>IF(ISBLANK(Actuals!BV62),IF(69&lt;=Assumptions!$B$68,Assumptions!$B$67,0),Actuals!BV62)</f>
        <v>0</v>
      </c>
      <c r="BW63" s="3">
        <f>IF(ISBLANK(Actuals!BW62),IF(70&lt;=Assumptions!$B$68,Assumptions!$B$67,0),Actuals!BW62)</f>
        <v>0</v>
      </c>
      <c r="BX63" s="3">
        <f>IF(ISBLANK(Actuals!BX62),IF(71&lt;=Assumptions!$B$68,Assumptions!$B$67,0),Actuals!BX62)</f>
        <v>0</v>
      </c>
      <c r="BY63" s="3">
        <f>IF(ISBLANK(Actuals!BY62),IF(72&lt;=Assumptions!$B$68,Assumptions!$B$67,0),Actuals!BY62)</f>
        <v>0</v>
      </c>
      <c r="BZ63" s="3">
        <f>IF(ISBLANK(Actuals!BZ62),IF(73&lt;=Assumptions!$B$68,Assumptions!$B$67,0),Actuals!BZ62)</f>
        <v>0</v>
      </c>
      <c r="CA63" s="3">
        <f>IF(ISBLANK(Actuals!CA62),IF(74&lt;=Assumptions!$B$68,Assumptions!$B$67,0),Actuals!CA62)</f>
        <v>0</v>
      </c>
      <c r="CB63" s="3">
        <f>IF(ISBLANK(Actuals!CB62),IF(75&lt;=Assumptions!$B$68,Assumptions!$B$67,0),Actuals!CB62)</f>
        <v>0</v>
      </c>
      <c r="CC63" s="3">
        <f>IF(ISBLANK(Actuals!CC62),IF(76&lt;=Assumptions!$B$68,Assumptions!$B$67,0),Actuals!CC62)</f>
        <v>0</v>
      </c>
      <c r="CD63" s="3">
        <f>IF(ISBLANK(Actuals!CD62),IF(77&lt;=Assumptions!$B$68,Assumptions!$B$67,0),Actuals!CD62)</f>
        <v>0</v>
      </c>
      <c r="CE63" s="3">
        <f>IF(ISBLANK(Actuals!CE62),IF(78&lt;=Assumptions!$B$68,Assumptions!$B$67,0),Actuals!CE62)</f>
        <v>0</v>
      </c>
      <c r="CF63" s="3">
        <f>IF(ISBLANK(Actuals!CF62),IF(79&lt;=Assumptions!$B$68,Assumptions!$B$67,0),Actuals!CF62)</f>
        <v>0</v>
      </c>
      <c r="CG63" s="3">
        <f>IF(ISBLANK(Actuals!CG62),IF(80&lt;=Assumptions!$B$68,Assumptions!$B$67,0),Actuals!CG62)</f>
        <v>0</v>
      </c>
      <c r="CH63" s="3">
        <f>IF(ISBLANK(Actuals!CH62),IF(81&lt;=Assumptions!$B$68,Assumptions!$B$67,0),Actuals!CH62)</f>
        <v>0</v>
      </c>
      <c r="CI63" s="3">
        <f>IF(ISBLANK(Actuals!CI62),IF(82&lt;=Assumptions!$B$68,Assumptions!$B$67,0),Actuals!CI62)</f>
        <v>0</v>
      </c>
      <c r="CJ63" s="3">
        <f>IF(ISBLANK(Actuals!CJ62),IF(83&lt;=Assumptions!$B$68,Assumptions!$B$67,0),Actuals!CJ62)</f>
        <v>0</v>
      </c>
      <c r="CK63" s="3">
        <f>IF(ISBLANK(Actuals!CK62),IF(84&lt;=Assumptions!$B$68,Assumptions!$B$67,0),Actuals!CK62)</f>
        <v>0</v>
      </c>
      <c r="CL63" s="3">
        <f>IF(ISBLANK(Actuals!CL62),IF(85&lt;=Assumptions!$B$68,Assumptions!$B$67,0),Actuals!CL62)</f>
        <v>0</v>
      </c>
      <c r="CM63" s="3">
        <f>IF(ISBLANK(Actuals!CM62),IF(86&lt;=Assumptions!$B$68,Assumptions!$B$67,0),Actuals!CM62)</f>
        <v>0</v>
      </c>
      <c r="CN63" s="3">
        <f>IF(ISBLANK(Actuals!CN62),IF(87&lt;=Assumptions!$B$68,Assumptions!$B$67,0),Actuals!CN62)</f>
        <v>0</v>
      </c>
      <c r="CO63" s="3">
        <f>IF(ISBLANK(Actuals!CO62),IF(88&lt;=Assumptions!$B$68,Assumptions!$B$67,0),Actuals!CO62)</f>
        <v>0</v>
      </c>
      <c r="CP63" s="3">
        <f>IF(ISBLANK(Actuals!CP62),IF(89&lt;=Assumptions!$B$68,Assumptions!$B$67,0),Actuals!CP62)</f>
        <v>0</v>
      </c>
      <c r="CQ63" s="3">
        <f>IF(ISBLANK(Actuals!CQ62),IF(90&lt;=Assumptions!$B$68,Assumptions!$B$67,0),Actuals!CQ62)</f>
        <v>0</v>
      </c>
      <c r="CR63" s="3">
        <f>IF(ISBLANK(Actuals!CR62),IF(91&lt;=Assumptions!$B$68,Assumptions!$B$67,0),Actuals!CR62)</f>
        <v>0</v>
      </c>
      <c r="CS63" s="3">
        <f>IF(ISBLANK(Actuals!CS62),IF(92&lt;=Assumptions!$B$68,Assumptions!$B$67,0),Actuals!CS62)</f>
        <v>0</v>
      </c>
      <c r="CT63" s="3">
        <f>IF(ISBLANK(Actuals!CT62),IF(93&lt;=Assumptions!$B$68,Assumptions!$B$67,0),Actuals!CT62)</f>
        <v>0</v>
      </c>
      <c r="CU63" s="3">
        <f>IF(ISBLANK(Actuals!CU62),IF(94&lt;=Assumptions!$B$68,Assumptions!$B$67,0),Actuals!CU62)</f>
        <v>0</v>
      </c>
      <c r="CV63" s="3">
        <f>IF(ISBLANK(Actuals!CV62),IF(95&lt;=Assumptions!$B$68,Assumptions!$B$67,0),Actuals!CV62)</f>
        <v>0</v>
      </c>
      <c r="CW63" s="3">
        <f>IF(ISBLANK(Actuals!CW62),IF(96&lt;=Assumptions!$B$68,Assumptions!$B$67,0),Actuals!CW62)</f>
        <v>0</v>
      </c>
      <c r="CX63" s="3">
        <f>IF(ISBLANK(Actuals!CX62),IF(97&lt;=Assumptions!$B$68,Assumptions!$B$67,0),Actuals!CX62)</f>
        <v>0</v>
      </c>
      <c r="CY63" s="3">
        <f>IF(ISBLANK(Actuals!CY62),IF(98&lt;=Assumptions!$B$68,Assumptions!$B$67,0),Actuals!CY62)</f>
        <v>0</v>
      </c>
      <c r="CZ63" s="3">
        <f>IF(ISBLANK(Actuals!CZ62),IF(99&lt;=Assumptions!$B$68,Assumptions!$B$67,0),Actuals!CZ62)</f>
        <v>0</v>
      </c>
      <c r="DA63" s="3">
        <f>IF(ISBLANK(Actuals!DA62),IF(100&lt;=Assumptions!$B$68,Assumptions!$B$67,0),Actuals!DA62)</f>
        <v>0</v>
      </c>
      <c r="DB63" s="3">
        <f>IF(ISBLANK(Actuals!DB62),IF(101&lt;=Assumptions!$B$68,Assumptions!$B$67,0),Actuals!DB62)</f>
        <v>0</v>
      </c>
      <c r="DC63" s="3">
        <f>IF(ISBLANK(Actuals!DC62),IF(102&lt;=Assumptions!$B$68,Assumptions!$B$67,0),Actuals!DC62)</f>
        <v>0</v>
      </c>
      <c r="DD63" s="3">
        <f>IF(ISBLANK(Actuals!DD62),IF(103&lt;=Assumptions!$B$68,Assumptions!$B$67,0),Actuals!DD62)</f>
        <v>0</v>
      </c>
      <c r="DE63" s="3">
        <f>IF(ISBLANK(Actuals!DE62),IF(104&lt;=Assumptions!$B$68,Assumptions!$B$67,0),Actuals!DE62)</f>
        <v>0</v>
      </c>
      <c r="DF63" s="3">
        <f>IF(ISBLANK(Actuals!DF62),IF(105&lt;=Assumptions!$B$68,Assumptions!$B$67,0),Actuals!DF62)</f>
        <v>0</v>
      </c>
    </row>
    <row r="64" spans="1:110" ht="15" customHeight="1" x14ac:dyDescent="0.25">
      <c r="A64" s="13" t="s">
        <v>98</v>
      </c>
      <c r="B64" s="302"/>
      <c r="C64" s="3">
        <f>IF(ISBLANK(Actuals!C63),0,Actuals!C63)</f>
        <v>23906.25</v>
      </c>
      <c r="D64" s="3">
        <f>IF(ISBLANK(Actuals!D63),0,Actuals!D63)</f>
        <v>23906.25</v>
      </c>
      <c r="E64" s="3">
        <f>IF(ISBLANK(Actuals!E63),0,Actuals!E63)</f>
        <v>23906.25</v>
      </c>
      <c r="F64" s="3">
        <f>IF(ISBLANK(Actuals!F63),IF(Projects!$G$3="Yes",23906.25,0),Actuals!F63)</f>
        <v>23906.25</v>
      </c>
      <c r="G64" s="3">
        <f>IF(ISBLANK(Actuals!G63),IF(Projects!$G$3="Yes",23906.25,0),Actuals!G63)</f>
        <v>23906.25</v>
      </c>
      <c r="H64" s="3">
        <f>IF(ISBLANK(Actuals!H63),IF(Projects!$G$3="Yes",23906.25,0),Actuals!H63)</f>
        <v>23906.25</v>
      </c>
      <c r="I64" s="3">
        <f>IF(ISBLANK(Actuals!I63),IF(Projects!$G$3="Yes",23906.25,0),Actuals!I63)</f>
        <v>23906.25</v>
      </c>
      <c r="J64" s="3">
        <f>IF(ISBLANK(Actuals!J63),IF(Projects!$G$3="Yes",23906.25,0),Actuals!J63)</f>
        <v>23906.25</v>
      </c>
      <c r="K64" s="3">
        <f>IF(ISBLANK(Actuals!K63),IF(Projects!$G$3="Yes",23906.25,0),Actuals!K63)</f>
        <v>23906.25</v>
      </c>
      <c r="L64" s="3">
        <f>IF(ISBLANK(Actuals!L63),IF(Projects!$G$3="Yes",23906.25,0),Actuals!L63)</f>
        <v>23906.25</v>
      </c>
      <c r="M64" s="3">
        <f>IF(ISBLANK(Actuals!M63),IF(Projects!$G$3="Yes",23906.25,0),Actuals!M63)</f>
        <v>23906.25</v>
      </c>
      <c r="N64" s="3">
        <f>IF(ISBLANK(Actuals!N63),IF(Projects!$G$3="Yes",23906.25,0),Actuals!N63)</f>
        <v>23906.25</v>
      </c>
      <c r="O64" s="3">
        <f>IF(ISBLANK(Actuals!O63),IF(Projects!$G$3="Yes",23906.25,0),Actuals!O63)</f>
        <v>23906.25</v>
      </c>
      <c r="P64" s="3">
        <f>IF(ISBLANK(Actuals!P63),IF(Projects!$G$3="Yes",23906.25,0),Actuals!P63)</f>
        <v>23906.25</v>
      </c>
      <c r="Q64" s="3">
        <f>IF(ISBLANK(Actuals!Q63),IF(Projects!$G$3="Yes",23906.25,0),Actuals!Q63)</f>
        <v>23906.25</v>
      </c>
      <c r="R64" s="3">
        <f>IF(ISBLANK(Actuals!R63),IF(Projects!$G$3="Yes",23906.25,0),Actuals!R63)</f>
        <v>23906.25</v>
      </c>
      <c r="S64" s="3">
        <f>IF(ISBLANK(Actuals!S63),IF(Projects!$G$3="Yes",23906.25,0),Actuals!S63)</f>
        <v>23906.25</v>
      </c>
      <c r="T64" s="3">
        <f>IF(ISBLANK(Actuals!T63),IF(Projects!$G$3="Yes",23906.25,0),Actuals!T63)</f>
        <v>23906.25</v>
      </c>
      <c r="U64" s="3">
        <f>IF(ISBLANK(Actuals!U63),0,Actuals!U63)</f>
        <v>0</v>
      </c>
      <c r="V64" s="3">
        <f>IF(ISBLANK(Actuals!V63),0,Actuals!V63)</f>
        <v>0</v>
      </c>
      <c r="W64" s="3">
        <f>IF(ISBLANK(Actuals!W63),0,Actuals!W63)</f>
        <v>0</v>
      </c>
      <c r="X64" s="3">
        <f>IF(ISBLANK(Actuals!X63),0,Actuals!X63)</f>
        <v>0</v>
      </c>
      <c r="Y64" s="3">
        <f>IF(ISBLANK(Actuals!Y63),0,Actuals!Y63)</f>
        <v>0</v>
      </c>
      <c r="Z64" s="3">
        <f>IF(ISBLANK(Actuals!Z63),0,Actuals!Z63)</f>
        <v>0</v>
      </c>
      <c r="AA64" s="3">
        <f>IF(ISBLANK(Actuals!AA63),0,Actuals!AA63)</f>
        <v>0</v>
      </c>
      <c r="AB64" s="3">
        <f>IF(ISBLANK(Actuals!AB63),0,Actuals!AB63)</f>
        <v>0</v>
      </c>
      <c r="AC64" s="3">
        <f>IF(ISBLANK(Actuals!AC63),0,Actuals!AC63)</f>
        <v>0</v>
      </c>
      <c r="AD64" s="3">
        <f>IF(ISBLANK(Actuals!AD63),0,Actuals!AD63)</f>
        <v>0</v>
      </c>
      <c r="AE64" s="3">
        <f>IF(ISBLANK(Actuals!AE63),0,Actuals!AE63)</f>
        <v>0</v>
      </c>
      <c r="AF64" s="3">
        <f>IF(ISBLANK(Actuals!AF63),0,Actuals!AF63)</f>
        <v>0</v>
      </c>
      <c r="AG64" s="3">
        <f>IF(ISBLANK(Actuals!AG63),0,Actuals!AG63)</f>
        <v>0</v>
      </c>
      <c r="AH64" s="3">
        <f>IF(ISBLANK(Actuals!AH63),0,Actuals!AH63)</f>
        <v>0</v>
      </c>
      <c r="AI64" s="3">
        <f>IF(ISBLANK(Actuals!AI63),0,Actuals!AI63)</f>
        <v>0</v>
      </c>
      <c r="AJ64" s="3">
        <f>IF(ISBLANK(Actuals!AJ63),0,Actuals!AJ63)</f>
        <v>0</v>
      </c>
      <c r="AK64" s="3">
        <f>IF(ISBLANK(Actuals!AK63),0,Actuals!AK63)</f>
        <v>0</v>
      </c>
      <c r="AL64" s="3">
        <f>IF(ISBLANK(Actuals!AL63),0,Actuals!AL63)</f>
        <v>0</v>
      </c>
      <c r="AM64" s="3">
        <f>IF(ISBLANK(Actuals!AM63),0,Actuals!AM63)</f>
        <v>0</v>
      </c>
      <c r="AN64" s="3">
        <f>IF(ISBLANK(Actuals!AN63),0,Actuals!AN63)</f>
        <v>0</v>
      </c>
      <c r="AO64" s="3">
        <f>IF(ISBLANK(Actuals!AO63),0,Actuals!AO63)</f>
        <v>0</v>
      </c>
      <c r="AP64" s="3">
        <f>IF(ISBLANK(Actuals!AP63),0,Actuals!AP63)</f>
        <v>0</v>
      </c>
      <c r="AQ64" s="3">
        <f>IF(ISBLANK(Actuals!AQ63),0,Actuals!AQ63)</f>
        <v>0</v>
      </c>
      <c r="AR64" s="3">
        <f>IF(ISBLANK(Actuals!AR63),0,Actuals!AR63)</f>
        <v>0</v>
      </c>
      <c r="AS64" s="3">
        <f>IF(ISBLANK(Actuals!AS63),0,Actuals!AS63)</f>
        <v>0</v>
      </c>
      <c r="AT64" s="3">
        <f>IF(ISBLANK(Actuals!AT63),0,Actuals!AT63)</f>
        <v>0</v>
      </c>
      <c r="AU64" s="3">
        <f>IF(ISBLANK(Actuals!AU63),0,Actuals!AU63)</f>
        <v>0</v>
      </c>
      <c r="AV64" s="3">
        <f>IF(ISBLANK(Actuals!AV63),0,Actuals!AV63)</f>
        <v>0</v>
      </c>
      <c r="AW64" s="3">
        <f>IF(ISBLANK(Actuals!AW63),0,Actuals!AW63)</f>
        <v>0</v>
      </c>
      <c r="AX64" s="3">
        <f>IF(ISBLANK(Actuals!AX63),0,Actuals!AX63)</f>
        <v>0</v>
      </c>
      <c r="AY64" s="3">
        <f>IF(ISBLANK(Actuals!AY63),0,Actuals!AY63)</f>
        <v>0</v>
      </c>
      <c r="AZ64" s="3">
        <f>IF(ISBLANK(Actuals!AZ63),0,Actuals!AZ63)</f>
        <v>0</v>
      </c>
      <c r="BA64" s="3">
        <f>IF(ISBLANK(Actuals!BA63),0,Actuals!BA63)</f>
        <v>0</v>
      </c>
      <c r="BB64" s="3">
        <f>IF(ISBLANK(Actuals!BB63),0,Actuals!BB63)</f>
        <v>0</v>
      </c>
      <c r="BC64" s="3">
        <f>IF(ISBLANK(Actuals!BC63),0,Actuals!BC63)</f>
        <v>0</v>
      </c>
      <c r="BD64" s="3">
        <f>IF(ISBLANK(Actuals!BD63),0,Actuals!BD63)</f>
        <v>0</v>
      </c>
      <c r="BE64" s="3">
        <f>IF(ISBLANK(Actuals!BE63),0,Actuals!BE63)</f>
        <v>0</v>
      </c>
      <c r="BF64" s="3">
        <f>IF(ISBLANK(Actuals!BF63),0,Actuals!BF63)</f>
        <v>0</v>
      </c>
      <c r="BG64" s="3">
        <f>IF(ISBLANK(Actuals!BG63),0,Actuals!BG63)</f>
        <v>0</v>
      </c>
      <c r="BH64" s="3">
        <f>IF(ISBLANK(Actuals!BH63),0,Actuals!BH63)</f>
        <v>0</v>
      </c>
      <c r="BI64" s="3">
        <f>IF(ISBLANK(Actuals!BI63),0,Actuals!BI63)</f>
        <v>0</v>
      </c>
      <c r="BJ64" s="3">
        <f>IF(ISBLANK(Actuals!BJ63),0,Actuals!BJ63)</f>
        <v>0</v>
      </c>
      <c r="BK64" s="3">
        <f>IF(ISBLANK(Actuals!BK63),0,Actuals!BK63)</f>
        <v>0</v>
      </c>
      <c r="BL64" s="3">
        <f>IF(ISBLANK(Actuals!BL63),0,Actuals!BL63)</f>
        <v>0</v>
      </c>
      <c r="BM64" s="3">
        <f>IF(ISBLANK(Actuals!BM63),0,Actuals!BM63)</f>
        <v>0</v>
      </c>
      <c r="BN64" s="3">
        <f>IF(ISBLANK(Actuals!BN63),0,Actuals!BN63)</f>
        <v>0</v>
      </c>
      <c r="BO64" s="3">
        <f>IF(ISBLANK(Actuals!BO63),0,Actuals!BO63)</f>
        <v>0</v>
      </c>
      <c r="BP64" s="3">
        <f>IF(ISBLANK(Actuals!BP63),0,Actuals!BP63)</f>
        <v>0</v>
      </c>
      <c r="BQ64" s="3">
        <f>IF(ISBLANK(Actuals!BQ63),0,Actuals!BQ63)</f>
        <v>0</v>
      </c>
      <c r="BR64" s="3">
        <f>IF(ISBLANK(Actuals!BR63),0,Actuals!BR63)</f>
        <v>0</v>
      </c>
      <c r="BS64" s="3">
        <f>IF(ISBLANK(Actuals!BS63),0,Actuals!BS63)</f>
        <v>0</v>
      </c>
      <c r="BT64" s="3">
        <f>IF(ISBLANK(Actuals!BT63),0,Actuals!BT63)</f>
        <v>0</v>
      </c>
      <c r="BU64" s="3">
        <f>IF(ISBLANK(Actuals!BU63),0,Actuals!BU63)</f>
        <v>0</v>
      </c>
      <c r="BV64" s="3">
        <f>IF(ISBLANK(Actuals!BV63),0,Actuals!BV63)</f>
        <v>0</v>
      </c>
      <c r="BW64" s="3">
        <f>IF(ISBLANK(Actuals!BW63),0,Actuals!BW63)</f>
        <v>0</v>
      </c>
      <c r="BX64" s="3">
        <f>IF(ISBLANK(Actuals!BX63),0,Actuals!BX63)</f>
        <v>0</v>
      </c>
      <c r="BY64" s="3">
        <f>IF(ISBLANK(Actuals!BY63),0,Actuals!BY63)</f>
        <v>0</v>
      </c>
      <c r="BZ64" s="3">
        <f>IF(ISBLANK(Actuals!BZ63),0,Actuals!BZ63)</f>
        <v>0</v>
      </c>
      <c r="CA64" s="3">
        <f>IF(ISBLANK(Actuals!CA63),0,Actuals!CA63)</f>
        <v>0</v>
      </c>
      <c r="CB64" s="3">
        <f>IF(ISBLANK(Actuals!CB63),0,Actuals!CB63)</f>
        <v>0</v>
      </c>
      <c r="CC64" s="3">
        <f>IF(ISBLANK(Actuals!CC63),0,Actuals!CC63)</f>
        <v>0</v>
      </c>
      <c r="CD64" s="3">
        <f>IF(ISBLANK(Actuals!CD63),0,Actuals!CD63)</f>
        <v>0</v>
      </c>
      <c r="CE64" s="3">
        <f>IF(ISBLANK(Actuals!CE63),0,Actuals!CE63)</f>
        <v>0</v>
      </c>
      <c r="CF64" s="3">
        <f>IF(ISBLANK(Actuals!CF63),0,Actuals!CF63)</f>
        <v>0</v>
      </c>
      <c r="CG64" s="3">
        <f>IF(ISBLANK(Actuals!CG63),0,Actuals!CG63)</f>
        <v>0</v>
      </c>
      <c r="CH64" s="3">
        <f>IF(ISBLANK(Actuals!CH63),0,Actuals!CH63)</f>
        <v>0</v>
      </c>
      <c r="CI64" s="3">
        <f>IF(ISBLANK(Actuals!CI63),0,Actuals!CI63)</f>
        <v>0</v>
      </c>
      <c r="CJ64" s="3">
        <f>IF(ISBLANK(Actuals!CJ63),0,Actuals!CJ63)</f>
        <v>0</v>
      </c>
      <c r="CK64" s="3">
        <f>IF(ISBLANK(Actuals!CK63),0,Actuals!CK63)</f>
        <v>0</v>
      </c>
      <c r="CL64" s="3">
        <f>IF(ISBLANK(Actuals!CL63),0,Actuals!CL63)</f>
        <v>0</v>
      </c>
      <c r="CM64" s="3">
        <f>IF(ISBLANK(Actuals!CM63),0,Actuals!CM63)</f>
        <v>0</v>
      </c>
      <c r="CN64" s="3">
        <f>IF(ISBLANK(Actuals!CN63),0,Actuals!CN63)</f>
        <v>0</v>
      </c>
      <c r="CO64" s="3">
        <f>IF(ISBLANK(Actuals!CO63),0,Actuals!CO63)</f>
        <v>0</v>
      </c>
      <c r="CP64" s="3">
        <f>IF(ISBLANK(Actuals!CP63),0,Actuals!CP63)</f>
        <v>0</v>
      </c>
      <c r="CQ64" s="3">
        <f>IF(ISBLANK(Actuals!CQ63),0,Actuals!CQ63)</f>
        <v>0</v>
      </c>
      <c r="CR64" s="3">
        <f>IF(ISBLANK(Actuals!CR63),0,Actuals!CR63)</f>
        <v>0</v>
      </c>
      <c r="CS64" s="3">
        <f>IF(ISBLANK(Actuals!CS63),0,Actuals!CS63)</f>
        <v>0</v>
      </c>
      <c r="CT64" s="3">
        <f>IF(ISBLANK(Actuals!CT63),0,Actuals!CT63)</f>
        <v>0</v>
      </c>
      <c r="CU64" s="3">
        <f>IF(ISBLANK(Actuals!CU63),0,Actuals!CU63)</f>
        <v>0</v>
      </c>
      <c r="CV64" s="3">
        <f>IF(ISBLANK(Actuals!CV63),0,Actuals!CV63)</f>
        <v>0</v>
      </c>
      <c r="CW64" s="3">
        <f>IF(ISBLANK(Actuals!CW63),0,Actuals!CW63)</f>
        <v>0</v>
      </c>
      <c r="CX64" s="3">
        <f>IF(ISBLANK(Actuals!CX63),0,Actuals!CX63)</f>
        <v>0</v>
      </c>
      <c r="CY64" s="3">
        <f>IF(ISBLANK(Actuals!CY63),0,Actuals!CY63)</f>
        <v>0</v>
      </c>
      <c r="CZ64" s="3">
        <f>IF(ISBLANK(Actuals!CZ63),0,Actuals!CZ63)</f>
        <v>0</v>
      </c>
      <c r="DA64" s="3">
        <f>IF(ISBLANK(Actuals!DA63),0,Actuals!DA63)</f>
        <v>0</v>
      </c>
      <c r="DB64" s="3">
        <f>IF(ISBLANK(Actuals!DB63),0,Actuals!DB63)</f>
        <v>0</v>
      </c>
      <c r="DC64" s="3">
        <f>IF(ISBLANK(Actuals!DC63),0,Actuals!DC63)</f>
        <v>0</v>
      </c>
      <c r="DD64" s="3">
        <f>IF(ISBLANK(Actuals!DD63),0,Actuals!DD63)</f>
        <v>0</v>
      </c>
      <c r="DE64" s="3">
        <f>IF(ISBLANK(Actuals!DE63),0,Actuals!DE63)</f>
        <v>0</v>
      </c>
      <c r="DF64" s="3">
        <f>IF(ISBLANK(Actuals!DF63),0,Actuals!DF63)</f>
        <v>0</v>
      </c>
    </row>
    <row r="65" spans="1:110" ht="15" customHeight="1" x14ac:dyDescent="0.25">
      <c r="A65" s="13" t="s">
        <v>99</v>
      </c>
      <c r="B65" s="302"/>
      <c r="C65" s="3">
        <f>IF(ISBLANK(Actuals!C64),0,Actuals!C64)</f>
        <v>0</v>
      </c>
      <c r="D65" s="3">
        <f>IF(ISBLANK(Actuals!D64),0,Actuals!D64)</f>
        <v>0</v>
      </c>
      <c r="E65" s="3">
        <f>IF(ISBLANK(Actuals!E64),0,Actuals!E64)</f>
        <v>0</v>
      </c>
      <c r="F65" s="3">
        <f>IF(ISBLANK(Actuals!F64),0,Actuals!F64)</f>
        <v>0</v>
      </c>
      <c r="G65" s="3">
        <f>IF(ISBLANK(Actuals!G64),0,Actuals!G64)</f>
        <v>0</v>
      </c>
      <c r="H65" s="3">
        <f>IF(ISBLANK(Actuals!H64),0,Actuals!H64)</f>
        <v>0</v>
      </c>
      <c r="I65" s="3">
        <f>IF(ISBLANK(Actuals!I64),0,Actuals!I64)</f>
        <v>0</v>
      </c>
      <c r="J65" s="3">
        <f>IF(ISBLANK(Actuals!J64),0,Actuals!J64)</f>
        <v>0</v>
      </c>
      <c r="K65" s="3">
        <f>IF(ISBLANK(Actuals!K64),0,Actuals!K64)</f>
        <v>0</v>
      </c>
      <c r="L65" s="3">
        <f>IF(ISBLANK(Actuals!L64),0,Actuals!L64)</f>
        <v>0</v>
      </c>
      <c r="M65" s="3">
        <f>IF(ISBLANK(Actuals!M64),0,Actuals!M64)</f>
        <v>0</v>
      </c>
      <c r="N65" s="3">
        <f>IF(ISBLANK(Actuals!N64),0,Actuals!N64)</f>
        <v>0</v>
      </c>
      <c r="O65" s="3">
        <f>IF(ISBLANK(Actuals!O64),0,Actuals!O64)</f>
        <v>0</v>
      </c>
      <c r="P65" s="3">
        <f>IF(ISBLANK(Actuals!P64),0,Actuals!P64)</f>
        <v>0</v>
      </c>
      <c r="Q65" s="3">
        <f>IF(ISBLANK(Actuals!Q64),0,Actuals!Q64)</f>
        <v>0</v>
      </c>
      <c r="R65" s="3">
        <f>IF(ISBLANK(Actuals!R64),0,Actuals!R64)</f>
        <v>0</v>
      </c>
      <c r="S65" s="3">
        <f>IF(ISBLANK(Actuals!S64),0,Actuals!S64)</f>
        <v>0</v>
      </c>
      <c r="T65" s="3">
        <f>IF(ISBLANK(Actuals!T64),0,Actuals!T64)</f>
        <v>0</v>
      </c>
      <c r="U65" s="3">
        <f>IF(ISBLANK(Actuals!U64),0,Actuals!U64)</f>
        <v>0</v>
      </c>
      <c r="V65" s="3">
        <f>IF(ISBLANK(Actuals!V64),0,Actuals!V64)</f>
        <v>0</v>
      </c>
      <c r="W65" s="3">
        <f>IF(ISBLANK(Actuals!W64),0,Actuals!W64)</f>
        <v>0</v>
      </c>
      <c r="X65" s="3">
        <f>IF(ISBLANK(Actuals!X64),0,Actuals!X64)</f>
        <v>0</v>
      </c>
      <c r="Y65" s="3">
        <f>IF(ISBLANK(Actuals!Y64),0,Actuals!Y64)</f>
        <v>0</v>
      </c>
      <c r="Z65" s="3">
        <f>IF(ISBLANK(Actuals!Z64),IF(Projects!$G$3="Yes",57375,0),Actuals!Z64)</f>
        <v>57375</v>
      </c>
      <c r="AA65" s="3">
        <f>IF(ISBLANK(Actuals!AA64),0,Actuals!AA64)</f>
        <v>0</v>
      </c>
      <c r="AB65" s="3">
        <f>IF(ISBLANK(Actuals!AB64),0,Actuals!AB64)</f>
        <v>0</v>
      </c>
      <c r="AC65" s="3">
        <f>IF(ISBLANK(Actuals!AC64),0,Actuals!AC64)</f>
        <v>0</v>
      </c>
      <c r="AD65" s="3">
        <f>IF(ISBLANK(Actuals!AD64),0,Actuals!AD64)</f>
        <v>0</v>
      </c>
      <c r="AE65" s="3">
        <f>IF(ISBLANK(Actuals!AE64),0,Actuals!AE64)</f>
        <v>0</v>
      </c>
      <c r="AF65" s="3">
        <f>IF(ISBLANK(Actuals!AF64),0,Actuals!AF64)</f>
        <v>0</v>
      </c>
      <c r="AG65" s="3">
        <f>IF(ISBLANK(Actuals!AG64),0,Actuals!AG64)</f>
        <v>0</v>
      </c>
      <c r="AH65" s="3">
        <f>IF(ISBLANK(Actuals!AH64),0,Actuals!AH64)</f>
        <v>0</v>
      </c>
      <c r="AI65" s="3">
        <f>IF(ISBLANK(Actuals!AI64),0,Actuals!AI64)</f>
        <v>0</v>
      </c>
      <c r="AJ65" s="3">
        <f>IF(ISBLANK(Actuals!AJ64),0,Actuals!AJ64)</f>
        <v>0</v>
      </c>
      <c r="AK65" s="3">
        <f>IF(ISBLANK(Actuals!AK64),0,Actuals!AK64)</f>
        <v>0</v>
      </c>
      <c r="AL65" s="3">
        <f>IF(ISBLANK(Actuals!AL64),0,Actuals!AL64)</f>
        <v>0</v>
      </c>
      <c r="AM65" s="3">
        <f>IF(ISBLANK(Actuals!AM64),0,Actuals!AM64)</f>
        <v>0</v>
      </c>
      <c r="AN65" s="3">
        <f>IF(ISBLANK(Actuals!AN64),0,Actuals!AN64)</f>
        <v>0</v>
      </c>
      <c r="AO65" s="3">
        <f>IF(ISBLANK(Actuals!AO64),0,Actuals!AO64)</f>
        <v>0</v>
      </c>
      <c r="AP65" s="3">
        <f>IF(ISBLANK(Actuals!AP64),0,Actuals!AP64)</f>
        <v>0</v>
      </c>
      <c r="AQ65" s="3">
        <f>IF(ISBLANK(Actuals!AQ64),0,Actuals!AQ64)</f>
        <v>0</v>
      </c>
      <c r="AR65" s="3">
        <f>IF(ISBLANK(Actuals!AR64),0,Actuals!AR64)</f>
        <v>0</v>
      </c>
      <c r="AS65" s="3">
        <f>IF(ISBLANK(Actuals!AS64),0,Actuals!AS64)</f>
        <v>0</v>
      </c>
      <c r="AT65" s="3">
        <f>IF(ISBLANK(Actuals!AT64),0,Actuals!AT64)</f>
        <v>0</v>
      </c>
      <c r="AU65" s="3">
        <f>IF(ISBLANK(Actuals!AU64),0,Actuals!AU64)</f>
        <v>0</v>
      </c>
      <c r="AV65" s="3">
        <f>IF(ISBLANK(Actuals!AV64),0,Actuals!AV64)</f>
        <v>0</v>
      </c>
      <c r="AW65" s="3">
        <f>IF(ISBLANK(Actuals!AW64),0,Actuals!AW64)</f>
        <v>0</v>
      </c>
      <c r="AX65" s="3">
        <f>IF(ISBLANK(Actuals!AX64),0,Actuals!AX64)</f>
        <v>0</v>
      </c>
      <c r="AY65" s="3">
        <f>IF(ISBLANK(Actuals!AY64),0,Actuals!AY64)</f>
        <v>0</v>
      </c>
      <c r="AZ65" s="3">
        <f>IF(ISBLANK(Actuals!AZ64),0,Actuals!AZ64)</f>
        <v>0</v>
      </c>
      <c r="BA65" s="3">
        <f>IF(ISBLANK(Actuals!BA64),0,Actuals!BA64)</f>
        <v>0</v>
      </c>
      <c r="BB65" s="3">
        <f>IF(ISBLANK(Actuals!BB64),0,Actuals!BB64)</f>
        <v>0</v>
      </c>
      <c r="BC65" s="3">
        <f>IF(ISBLANK(Actuals!BC64),0,Actuals!BC64)</f>
        <v>0</v>
      </c>
      <c r="BD65" s="3">
        <f>IF(ISBLANK(Actuals!BD64),0,Actuals!BD64)</f>
        <v>0</v>
      </c>
      <c r="BE65" s="3">
        <f>IF(ISBLANK(Actuals!BE64),0,Actuals!BE64)</f>
        <v>0</v>
      </c>
      <c r="BF65" s="3">
        <f>IF(ISBLANK(Actuals!BF64),0,Actuals!BF64)</f>
        <v>0</v>
      </c>
      <c r="BG65" s="3">
        <f>IF(ISBLANK(Actuals!BG64),0,Actuals!BG64)</f>
        <v>0</v>
      </c>
      <c r="BH65" s="3">
        <f>IF(ISBLANK(Actuals!BH64),0,Actuals!BH64)</f>
        <v>0</v>
      </c>
      <c r="BI65" s="3">
        <f>IF(ISBLANK(Actuals!BI64),0,Actuals!BI64)</f>
        <v>0</v>
      </c>
      <c r="BJ65" s="3">
        <f>IF(ISBLANK(Actuals!BJ64),0,Actuals!BJ64)</f>
        <v>0</v>
      </c>
      <c r="BK65" s="3">
        <f>IF(ISBLANK(Actuals!BK64),0,Actuals!BK64)</f>
        <v>0</v>
      </c>
      <c r="BL65" s="3">
        <f>IF(ISBLANK(Actuals!BL64),0,Actuals!BL64)</f>
        <v>0</v>
      </c>
      <c r="BM65" s="3">
        <f>IF(ISBLANK(Actuals!BM64),0,Actuals!BM64)</f>
        <v>0</v>
      </c>
      <c r="BN65" s="3">
        <f>IF(ISBLANK(Actuals!BN64),0,Actuals!BN64)</f>
        <v>0</v>
      </c>
      <c r="BO65" s="3">
        <f>IF(ISBLANK(Actuals!BO64),0,Actuals!BO64)</f>
        <v>0</v>
      </c>
      <c r="BP65" s="3">
        <f>IF(ISBLANK(Actuals!BP64),0,Actuals!BP64)</f>
        <v>0</v>
      </c>
      <c r="BQ65" s="3">
        <f>IF(ISBLANK(Actuals!BQ64),0,Actuals!BQ64)</f>
        <v>0</v>
      </c>
      <c r="BR65" s="3">
        <f>IF(ISBLANK(Actuals!BR64),0,Actuals!BR64)</f>
        <v>0</v>
      </c>
      <c r="BS65" s="3">
        <f>IF(ISBLANK(Actuals!BS64),0,Actuals!BS64)</f>
        <v>0</v>
      </c>
      <c r="BT65" s="3">
        <f>IF(ISBLANK(Actuals!BT64),0,Actuals!BT64)</f>
        <v>0</v>
      </c>
      <c r="BU65" s="3">
        <f>IF(ISBLANK(Actuals!BU64),0,Actuals!BU64)</f>
        <v>0</v>
      </c>
      <c r="BV65" s="3">
        <f>IF(ISBLANK(Actuals!BV64),0,Actuals!BV64)</f>
        <v>0</v>
      </c>
      <c r="BW65" s="3">
        <f>IF(ISBLANK(Actuals!BW64),0,Actuals!BW64)</f>
        <v>0</v>
      </c>
      <c r="BX65" s="3">
        <f>IF(ISBLANK(Actuals!BX64),0,Actuals!BX64)</f>
        <v>0</v>
      </c>
      <c r="BY65" s="3">
        <f>IF(ISBLANK(Actuals!BY64),0,Actuals!BY64)</f>
        <v>0</v>
      </c>
      <c r="BZ65" s="3">
        <f>IF(ISBLANK(Actuals!BZ64),0,Actuals!BZ64)</f>
        <v>0</v>
      </c>
      <c r="CA65" s="3">
        <f>IF(ISBLANK(Actuals!CA64),0,Actuals!CA64)</f>
        <v>0</v>
      </c>
      <c r="CB65" s="3">
        <f>IF(ISBLANK(Actuals!CB64),0,Actuals!CB64)</f>
        <v>0</v>
      </c>
      <c r="CC65" s="3">
        <f>IF(ISBLANK(Actuals!CC64),0,Actuals!CC64)</f>
        <v>0</v>
      </c>
      <c r="CD65" s="3">
        <f>IF(ISBLANK(Actuals!CD64),0,Actuals!CD64)</f>
        <v>0</v>
      </c>
      <c r="CE65" s="3">
        <f>IF(ISBLANK(Actuals!CE64),0,Actuals!CE64)</f>
        <v>0</v>
      </c>
      <c r="CF65" s="3">
        <f>IF(ISBLANK(Actuals!CF64),0,Actuals!CF64)</f>
        <v>0</v>
      </c>
      <c r="CG65" s="3">
        <f>IF(ISBLANK(Actuals!CG64),0,Actuals!CG64)</f>
        <v>0</v>
      </c>
      <c r="CH65" s="3">
        <f>IF(ISBLANK(Actuals!CH64),0,Actuals!CH64)</f>
        <v>0</v>
      </c>
      <c r="CI65" s="3">
        <f>IF(ISBLANK(Actuals!CI64),0,Actuals!CI64)</f>
        <v>0</v>
      </c>
      <c r="CJ65" s="3">
        <f>IF(ISBLANK(Actuals!CJ64),0,Actuals!CJ64)</f>
        <v>0</v>
      </c>
      <c r="CK65" s="3">
        <f>IF(ISBLANK(Actuals!CK64),0,Actuals!CK64)</f>
        <v>0</v>
      </c>
      <c r="CL65" s="3">
        <f>IF(ISBLANK(Actuals!CL64),0,Actuals!CL64)</f>
        <v>0</v>
      </c>
      <c r="CM65" s="3">
        <f>IF(ISBLANK(Actuals!CM64),0,Actuals!CM64)</f>
        <v>0</v>
      </c>
      <c r="CN65" s="3">
        <f>IF(ISBLANK(Actuals!CN64),0,Actuals!CN64)</f>
        <v>0</v>
      </c>
      <c r="CO65" s="3">
        <f>IF(ISBLANK(Actuals!CO64),0,Actuals!CO64)</f>
        <v>0</v>
      </c>
      <c r="CP65" s="3">
        <f>IF(ISBLANK(Actuals!CP64),0,Actuals!CP64)</f>
        <v>0</v>
      </c>
      <c r="CQ65" s="3">
        <f>IF(ISBLANK(Actuals!CQ64),0,Actuals!CQ64)</f>
        <v>0</v>
      </c>
      <c r="CR65" s="3">
        <f>IF(ISBLANK(Actuals!CR64),0,Actuals!CR64)</f>
        <v>0</v>
      </c>
      <c r="CS65" s="3">
        <f>IF(ISBLANK(Actuals!CS64),0,Actuals!CS64)</f>
        <v>0</v>
      </c>
      <c r="CT65" s="3">
        <f>IF(ISBLANK(Actuals!CT64),0,Actuals!CT64)</f>
        <v>0</v>
      </c>
      <c r="CU65" s="3">
        <f>IF(ISBLANK(Actuals!CU64),0,Actuals!CU64)</f>
        <v>0</v>
      </c>
      <c r="CV65" s="3">
        <f>IF(ISBLANK(Actuals!CV64),0,Actuals!CV64)</f>
        <v>0</v>
      </c>
      <c r="CW65" s="3">
        <f>IF(ISBLANK(Actuals!CW64),0,Actuals!CW64)</f>
        <v>0</v>
      </c>
      <c r="CX65" s="3">
        <f>IF(ISBLANK(Actuals!CX64),0,Actuals!CX64)</f>
        <v>0</v>
      </c>
      <c r="CY65" s="3">
        <f>IF(ISBLANK(Actuals!CY64),0,Actuals!CY64)</f>
        <v>0</v>
      </c>
      <c r="CZ65" s="3">
        <f>IF(ISBLANK(Actuals!CZ64),0,Actuals!CZ64)</f>
        <v>0</v>
      </c>
      <c r="DA65" s="3">
        <f>IF(ISBLANK(Actuals!DA64),0,Actuals!DA64)</f>
        <v>0</v>
      </c>
      <c r="DB65" s="3">
        <f>IF(ISBLANK(Actuals!DB64),0,Actuals!DB64)</f>
        <v>0</v>
      </c>
      <c r="DC65" s="3">
        <f>IF(ISBLANK(Actuals!DC64),0,Actuals!DC64)</f>
        <v>0</v>
      </c>
      <c r="DD65" s="3">
        <f>IF(ISBLANK(Actuals!DD64),0,Actuals!DD64)</f>
        <v>0</v>
      </c>
      <c r="DE65" s="3">
        <f>IF(ISBLANK(Actuals!DE64),0,Actuals!DE64)</f>
        <v>0</v>
      </c>
      <c r="DF65" s="3">
        <f>IF(ISBLANK(Actuals!DF64),0,Actuals!DF64)</f>
        <v>0</v>
      </c>
    </row>
    <row r="66" spans="1:110" ht="15" customHeight="1" x14ac:dyDescent="0.25">
      <c r="A66" s="13" t="s">
        <v>100</v>
      </c>
      <c r="B66" s="302"/>
      <c r="C66" s="3">
        <f>IF(ISBLANK(Actuals!C65),0,Actuals!C65)</f>
        <v>0</v>
      </c>
      <c r="D66" s="3">
        <f>IF(ISBLANK(Actuals!D65),0,Actuals!D65)</f>
        <v>0</v>
      </c>
      <c r="E66" s="3">
        <f>IF(ISBLANK(Actuals!E65),0,Actuals!E65)</f>
        <v>0</v>
      </c>
      <c r="F66" s="3">
        <f>IF(ISBLANK(Actuals!F65),0,Actuals!F65)</f>
        <v>0</v>
      </c>
      <c r="G66" s="3">
        <f>IF(ISBLANK(Actuals!G65),0,Actuals!G65)</f>
        <v>0</v>
      </c>
      <c r="H66" s="3">
        <f>IF(ISBLANK(Actuals!H65),0,Actuals!H65)</f>
        <v>0</v>
      </c>
      <c r="I66" s="3">
        <f>IF(ISBLANK(Actuals!I65),0,Actuals!I65)</f>
        <v>0</v>
      </c>
      <c r="J66" s="3">
        <f>IF(ISBLANK(Actuals!J65),0,Actuals!J65)</f>
        <v>0</v>
      </c>
      <c r="K66" s="3">
        <f>IF(ISBLANK(Actuals!K65),0,Actuals!K65)</f>
        <v>0</v>
      </c>
      <c r="L66" s="3">
        <f>IF(ISBLANK(Actuals!L65),0,Actuals!L65)</f>
        <v>0</v>
      </c>
      <c r="M66" s="3">
        <f>IF(ISBLANK(Actuals!M65),0,Actuals!M65)</f>
        <v>0</v>
      </c>
      <c r="N66" s="3">
        <f>IF(ISBLANK(Actuals!N65),0,Actuals!N65)</f>
        <v>0</v>
      </c>
      <c r="O66" s="3">
        <f>IF(ISBLANK(Actuals!O65),0,Actuals!O65)</f>
        <v>0</v>
      </c>
      <c r="P66" s="3">
        <f>IF(ISBLANK(Actuals!P65),0,Actuals!P65)</f>
        <v>0</v>
      </c>
      <c r="Q66" s="3">
        <f>IF(ISBLANK(Actuals!Q65),0,Actuals!Q65)</f>
        <v>0</v>
      </c>
      <c r="R66" s="3">
        <f>IF(ISBLANK(Actuals!R65),0,Actuals!R65)</f>
        <v>0</v>
      </c>
      <c r="S66" s="3">
        <f>IF(ISBLANK(Actuals!S65),0,Actuals!S65)</f>
        <v>0</v>
      </c>
      <c r="T66" s="3">
        <f>IF(ISBLANK(Actuals!T65),0,Actuals!T65)</f>
        <v>0</v>
      </c>
      <c r="U66" s="3">
        <f>IF(ISBLANK(Actuals!U65),0,Actuals!U65)</f>
        <v>0</v>
      </c>
      <c r="V66" s="3">
        <f>IF(ISBLANK(Actuals!V65),0,Actuals!V65)</f>
        <v>0</v>
      </c>
      <c r="W66" s="3">
        <f>IF(ISBLANK(Actuals!W65),0,Actuals!W65)</f>
        <v>0</v>
      </c>
      <c r="X66" s="3">
        <f>IF(ISBLANK(Actuals!X65),0,Actuals!X65)</f>
        <v>0</v>
      </c>
      <c r="Y66" s="3">
        <f>IF(ISBLANK(Actuals!Y65),0,Actuals!Y65)</f>
        <v>0</v>
      </c>
      <c r="Z66" s="3">
        <f>IF(ISBLANK(Actuals!Z65),0,Actuals!Z65)</f>
        <v>0</v>
      </c>
      <c r="AA66" s="3">
        <f>IF(ISBLANK(Actuals!AA65),0,Actuals!AA65)</f>
        <v>0</v>
      </c>
      <c r="AB66" s="3">
        <f>IF(ISBLANK(Actuals!AB65),0,Actuals!AB65)</f>
        <v>0</v>
      </c>
      <c r="AC66" s="3">
        <f>IF(ISBLANK(Actuals!AC65),IF(Projects!$G$3="Yes",57375,0),Actuals!AC65)</f>
        <v>57375</v>
      </c>
      <c r="AD66" s="3">
        <f>IF(ISBLANK(Actuals!AD65),0,Actuals!AD65)</f>
        <v>0</v>
      </c>
      <c r="AE66" s="3">
        <f>IF(ISBLANK(Actuals!AE65),0,Actuals!AE65)</f>
        <v>0</v>
      </c>
      <c r="AF66" s="3">
        <f>IF(ISBLANK(Actuals!AF65),0,Actuals!AF65)</f>
        <v>0</v>
      </c>
      <c r="AG66" s="3">
        <f>IF(ISBLANK(Actuals!AG65),0,Actuals!AG65)</f>
        <v>0</v>
      </c>
      <c r="AH66" s="3">
        <f>IF(ISBLANK(Actuals!AH65),0,Actuals!AH65)</f>
        <v>0</v>
      </c>
      <c r="AI66" s="3">
        <f>IF(ISBLANK(Actuals!AI65),0,Actuals!AI65)</f>
        <v>0</v>
      </c>
      <c r="AJ66" s="3">
        <f>IF(ISBLANK(Actuals!AJ65),0,Actuals!AJ65)</f>
        <v>0</v>
      </c>
      <c r="AK66" s="3">
        <f>IF(ISBLANK(Actuals!AK65),0,Actuals!AK65)</f>
        <v>0</v>
      </c>
      <c r="AL66" s="3">
        <f>IF(ISBLANK(Actuals!AL65),0,Actuals!AL65)</f>
        <v>0</v>
      </c>
      <c r="AM66" s="3">
        <f>IF(ISBLANK(Actuals!AM65),0,Actuals!AM65)</f>
        <v>0</v>
      </c>
      <c r="AN66" s="3">
        <f>IF(ISBLANK(Actuals!AN65),0,Actuals!AN65)</f>
        <v>0</v>
      </c>
      <c r="AO66" s="3">
        <f>IF(ISBLANK(Actuals!AO65),0,Actuals!AO65)</f>
        <v>0</v>
      </c>
      <c r="AP66" s="3">
        <f>IF(ISBLANK(Actuals!AP65),0,Actuals!AP65)</f>
        <v>0</v>
      </c>
      <c r="AQ66" s="3">
        <f>IF(ISBLANK(Actuals!AQ65),0,Actuals!AQ65)</f>
        <v>0</v>
      </c>
      <c r="AR66" s="3">
        <f>IF(ISBLANK(Actuals!AR65),0,Actuals!AR65)</f>
        <v>0</v>
      </c>
      <c r="AS66" s="3">
        <f>IF(ISBLANK(Actuals!AS65),0,Actuals!AS65)</f>
        <v>0</v>
      </c>
      <c r="AT66" s="3">
        <f>IF(ISBLANK(Actuals!AT65),0,Actuals!AT65)</f>
        <v>0</v>
      </c>
      <c r="AU66" s="3">
        <f>IF(ISBLANK(Actuals!AU65),0,Actuals!AU65)</f>
        <v>0</v>
      </c>
      <c r="AV66" s="3">
        <f>IF(ISBLANK(Actuals!AV65),0,Actuals!AV65)</f>
        <v>0</v>
      </c>
      <c r="AW66" s="3">
        <f>IF(ISBLANK(Actuals!AW65),0,Actuals!AW65)</f>
        <v>0</v>
      </c>
      <c r="AX66" s="3">
        <f>IF(ISBLANK(Actuals!AX65),0,Actuals!AX65)</f>
        <v>0</v>
      </c>
      <c r="AY66" s="3">
        <f>IF(ISBLANK(Actuals!AY65),0,Actuals!AY65)</f>
        <v>0</v>
      </c>
      <c r="AZ66" s="3">
        <f>IF(ISBLANK(Actuals!AZ65),0,Actuals!AZ65)</f>
        <v>0</v>
      </c>
      <c r="BA66" s="3">
        <f>IF(ISBLANK(Actuals!BA65),0,Actuals!BA65)</f>
        <v>0</v>
      </c>
      <c r="BB66" s="3">
        <f>IF(ISBLANK(Actuals!BB65),0,Actuals!BB65)</f>
        <v>0</v>
      </c>
      <c r="BC66" s="3">
        <f>IF(ISBLANK(Actuals!BC65),0,Actuals!BC65)</f>
        <v>0</v>
      </c>
      <c r="BD66" s="3">
        <f>IF(ISBLANK(Actuals!BD65),0,Actuals!BD65)</f>
        <v>0</v>
      </c>
      <c r="BE66" s="3">
        <f>IF(ISBLANK(Actuals!BE65),0,Actuals!BE65)</f>
        <v>0</v>
      </c>
      <c r="BF66" s="3">
        <f>IF(ISBLANK(Actuals!BF65),0,Actuals!BF65)</f>
        <v>0</v>
      </c>
      <c r="BG66" s="3">
        <f>IF(ISBLANK(Actuals!BG65),0,Actuals!BG65)</f>
        <v>0</v>
      </c>
      <c r="BH66" s="3">
        <f>IF(ISBLANK(Actuals!BH65),0,Actuals!BH65)</f>
        <v>0</v>
      </c>
      <c r="BI66" s="3">
        <f>IF(ISBLANK(Actuals!BI65),0,Actuals!BI65)</f>
        <v>0</v>
      </c>
      <c r="BJ66" s="3">
        <f>IF(ISBLANK(Actuals!BJ65),0,Actuals!BJ65)</f>
        <v>0</v>
      </c>
      <c r="BK66" s="3">
        <f>IF(ISBLANK(Actuals!BK65),0,Actuals!BK65)</f>
        <v>0</v>
      </c>
      <c r="BL66" s="3">
        <f>IF(ISBLANK(Actuals!BL65),0,Actuals!BL65)</f>
        <v>0</v>
      </c>
      <c r="BM66" s="3">
        <f>IF(ISBLANK(Actuals!BM65),0,Actuals!BM65)</f>
        <v>0</v>
      </c>
      <c r="BN66" s="3">
        <f>IF(ISBLANK(Actuals!BN65),0,Actuals!BN65)</f>
        <v>0</v>
      </c>
      <c r="BO66" s="3">
        <f>IF(ISBLANK(Actuals!BO65),0,Actuals!BO65)</f>
        <v>0</v>
      </c>
      <c r="BP66" s="3">
        <f>IF(ISBLANK(Actuals!BP65),0,Actuals!BP65)</f>
        <v>0</v>
      </c>
      <c r="BQ66" s="3">
        <f>IF(ISBLANK(Actuals!BQ65),0,Actuals!BQ65)</f>
        <v>0</v>
      </c>
      <c r="BR66" s="3">
        <f>IF(ISBLANK(Actuals!BR65),0,Actuals!BR65)</f>
        <v>0</v>
      </c>
      <c r="BS66" s="3">
        <f>IF(ISBLANK(Actuals!BS65),0,Actuals!BS65)</f>
        <v>0</v>
      </c>
      <c r="BT66" s="3">
        <f>IF(ISBLANK(Actuals!BT65),0,Actuals!BT65)</f>
        <v>0</v>
      </c>
      <c r="BU66" s="3">
        <f>IF(ISBLANK(Actuals!BU65),0,Actuals!BU65)</f>
        <v>0</v>
      </c>
      <c r="BV66" s="3">
        <f>IF(ISBLANK(Actuals!BV65),0,Actuals!BV65)</f>
        <v>0</v>
      </c>
      <c r="BW66" s="3">
        <f>IF(ISBLANK(Actuals!BW65),0,Actuals!BW65)</f>
        <v>0</v>
      </c>
      <c r="BX66" s="3">
        <f>IF(ISBLANK(Actuals!BX65),0,Actuals!BX65)</f>
        <v>0</v>
      </c>
      <c r="BY66" s="3">
        <f>IF(ISBLANK(Actuals!BY65),0,Actuals!BY65)</f>
        <v>0</v>
      </c>
      <c r="BZ66" s="3">
        <f>IF(ISBLANK(Actuals!BZ65),0,Actuals!BZ65)</f>
        <v>0</v>
      </c>
      <c r="CA66" s="3">
        <f>IF(ISBLANK(Actuals!CA65),0,Actuals!CA65)</f>
        <v>0</v>
      </c>
      <c r="CB66" s="3">
        <f>IF(ISBLANK(Actuals!CB65),0,Actuals!CB65)</f>
        <v>0</v>
      </c>
      <c r="CC66" s="3">
        <f>IF(ISBLANK(Actuals!CC65),0,Actuals!CC65)</f>
        <v>0</v>
      </c>
      <c r="CD66" s="3">
        <f>IF(ISBLANK(Actuals!CD65),0,Actuals!CD65)</f>
        <v>0</v>
      </c>
      <c r="CE66" s="3">
        <f>IF(ISBLANK(Actuals!CE65),0,Actuals!CE65)</f>
        <v>0</v>
      </c>
      <c r="CF66" s="3">
        <f>IF(ISBLANK(Actuals!CF65),0,Actuals!CF65)</f>
        <v>0</v>
      </c>
      <c r="CG66" s="3">
        <f>IF(ISBLANK(Actuals!CG65),0,Actuals!CG65)</f>
        <v>0</v>
      </c>
      <c r="CH66" s="3">
        <f>IF(ISBLANK(Actuals!CH65),0,Actuals!CH65)</f>
        <v>0</v>
      </c>
      <c r="CI66" s="3">
        <f>IF(ISBLANK(Actuals!CI65),0,Actuals!CI65)</f>
        <v>0</v>
      </c>
      <c r="CJ66" s="3">
        <f>IF(ISBLANK(Actuals!CJ65),0,Actuals!CJ65)</f>
        <v>0</v>
      </c>
      <c r="CK66" s="3">
        <f>IF(ISBLANK(Actuals!CK65),0,Actuals!CK65)</f>
        <v>0</v>
      </c>
      <c r="CL66" s="3">
        <f>IF(ISBLANK(Actuals!CL65),0,Actuals!CL65)</f>
        <v>0</v>
      </c>
      <c r="CM66" s="3">
        <f>IF(ISBLANK(Actuals!CM65),0,Actuals!CM65)</f>
        <v>0</v>
      </c>
      <c r="CN66" s="3">
        <f>IF(ISBLANK(Actuals!CN65),0,Actuals!CN65)</f>
        <v>0</v>
      </c>
      <c r="CO66" s="3">
        <f>IF(ISBLANK(Actuals!CO65),0,Actuals!CO65)</f>
        <v>0</v>
      </c>
      <c r="CP66" s="3">
        <f>IF(ISBLANK(Actuals!CP65),0,Actuals!CP65)</f>
        <v>0</v>
      </c>
      <c r="CQ66" s="3">
        <f>IF(ISBLANK(Actuals!CQ65),0,Actuals!CQ65)</f>
        <v>0</v>
      </c>
      <c r="CR66" s="3">
        <f>IF(ISBLANK(Actuals!CR65),0,Actuals!CR65)</f>
        <v>0</v>
      </c>
      <c r="CS66" s="3">
        <f>IF(ISBLANK(Actuals!CS65),0,Actuals!CS65)</f>
        <v>0</v>
      </c>
      <c r="CT66" s="3">
        <f>IF(ISBLANK(Actuals!CT65),0,Actuals!CT65)</f>
        <v>0</v>
      </c>
      <c r="CU66" s="3">
        <f>IF(ISBLANK(Actuals!CU65),0,Actuals!CU65)</f>
        <v>0</v>
      </c>
      <c r="CV66" s="3">
        <f>IF(ISBLANK(Actuals!CV65),0,Actuals!CV65)</f>
        <v>0</v>
      </c>
      <c r="CW66" s="3">
        <f>IF(ISBLANK(Actuals!CW65),0,Actuals!CW65)</f>
        <v>0</v>
      </c>
      <c r="CX66" s="3">
        <f>IF(ISBLANK(Actuals!CX65),0,Actuals!CX65)</f>
        <v>0</v>
      </c>
      <c r="CY66" s="3">
        <f>IF(ISBLANK(Actuals!CY65),0,Actuals!CY65)</f>
        <v>0</v>
      </c>
      <c r="CZ66" s="3">
        <f>IF(ISBLANK(Actuals!CZ65),0,Actuals!CZ65)</f>
        <v>0</v>
      </c>
      <c r="DA66" s="3">
        <f>IF(ISBLANK(Actuals!DA65),0,Actuals!DA65)</f>
        <v>0</v>
      </c>
      <c r="DB66" s="3">
        <f>IF(ISBLANK(Actuals!DB65),0,Actuals!DB65)</f>
        <v>0</v>
      </c>
      <c r="DC66" s="3">
        <f>IF(ISBLANK(Actuals!DC65),0,Actuals!DC65)</f>
        <v>0</v>
      </c>
      <c r="DD66" s="3">
        <f>IF(ISBLANK(Actuals!DD65),0,Actuals!DD65)</f>
        <v>0</v>
      </c>
      <c r="DE66" s="3">
        <f>IF(ISBLANK(Actuals!DE65),0,Actuals!DE65)</f>
        <v>0</v>
      </c>
      <c r="DF66" s="3">
        <f>IF(ISBLANK(Actuals!DF65),0,Actuals!DF65)</f>
        <v>0</v>
      </c>
    </row>
    <row r="67" spans="1:110" ht="15" customHeight="1" x14ac:dyDescent="0.25">
      <c r="A67" s="13" t="s">
        <v>101</v>
      </c>
      <c r="B67" s="302"/>
      <c r="C67" s="3">
        <f>IF(ISBLANK(Actuals!C66),0,Actuals!C66)</f>
        <v>0</v>
      </c>
      <c r="D67" s="3">
        <f>IF(ISBLANK(Actuals!D66),0,Actuals!D66)</f>
        <v>0</v>
      </c>
      <c r="E67" s="3">
        <f>IF(ISBLANK(Actuals!E66),0,Actuals!E66)</f>
        <v>0</v>
      </c>
      <c r="F67" s="3">
        <f>IF(ISBLANK(Actuals!F66),0,Actuals!F66)</f>
        <v>0</v>
      </c>
      <c r="G67" s="3">
        <f>IF(ISBLANK(Actuals!G66),0,Actuals!G66)</f>
        <v>0</v>
      </c>
      <c r="H67" s="3">
        <f>IF(ISBLANK(Actuals!H66),0,Actuals!H66)</f>
        <v>0</v>
      </c>
      <c r="I67" s="3">
        <f>IF(ISBLANK(Actuals!I66),0,Actuals!I66)</f>
        <v>0</v>
      </c>
      <c r="J67" s="3">
        <f>IF(ISBLANK(Actuals!J66),0,Actuals!J66)</f>
        <v>0</v>
      </c>
      <c r="K67" s="3">
        <f>IF(ISBLANK(Actuals!K66),0,Actuals!K66)</f>
        <v>0</v>
      </c>
      <c r="L67" s="3">
        <f>IF(ISBLANK(Actuals!L66),0,Actuals!L66)</f>
        <v>0</v>
      </c>
      <c r="M67" s="3">
        <f>IF(ISBLANK(Actuals!M66),0,Actuals!M66)</f>
        <v>0</v>
      </c>
      <c r="N67" s="3">
        <f>IF(ISBLANK(Actuals!N66),0,Actuals!N66)</f>
        <v>0</v>
      </c>
      <c r="O67" s="3">
        <f>IF(ISBLANK(Actuals!O66),0,Actuals!O66)</f>
        <v>0</v>
      </c>
      <c r="P67" s="3">
        <f>IF(ISBLANK(Actuals!P66),0,Actuals!P66)</f>
        <v>0</v>
      </c>
      <c r="Q67" s="3">
        <f>IF(ISBLANK(Actuals!Q66),0,Actuals!Q66)</f>
        <v>0</v>
      </c>
      <c r="R67" s="3">
        <f>IF(ISBLANK(Actuals!R66),0,Actuals!R66)</f>
        <v>0</v>
      </c>
      <c r="S67" s="3">
        <f>IF(ISBLANK(Actuals!S66),0,Actuals!S66)</f>
        <v>0</v>
      </c>
      <c r="T67" s="3">
        <f>IF(ISBLANK(Actuals!T66),0,Actuals!T66)</f>
        <v>0</v>
      </c>
      <c r="U67" s="3">
        <f>IF(ISBLANK(Actuals!U66),0,Actuals!U66)</f>
        <v>0</v>
      </c>
      <c r="V67" s="3">
        <f>IF(ISBLANK(Actuals!V66),0,Actuals!V66)</f>
        <v>0</v>
      </c>
      <c r="W67" s="3">
        <f>IF(ISBLANK(Actuals!W66),0,Actuals!W66)</f>
        <v>0</v>
      </c>
      <c r="X67" s="3">
        <f>IF(ISBLANK(Actuals!X66),0,Actuals!X66)</f>
        <v>0</v>
      </c>
      <c r="Y67" s="3">
        <f>IF(ISBLANK(Actuals!Y66),0,Actuals!Y66)</f>
        <v>0</v>
      </c>
      <c r="Z67" s="3">
        <f>IF(ISBLANK(Actuals!Z66),0,Actuals!Z66)</f>
        <v>0</v>
      </c>
      <c r="AA67" s="3">
        <f>IF(ISBLANK(Actuals!AA66),0,Actuals!AA66)</f>
        <v>0</v>
      </c>
      <c r="AB67" s="3">
        <f>IF(ISBLANK(Actuals!AB66),0,Actuals!AB66)</f>
        <v>0</v>
      </c>
      <c r="AC67" s="3">
        <f>IF(ISBLANK(Actuals!AC66),0,Actuals!AC66)</f>
        <v>0</v>
      </c>
      <c r="AD67" s="3">
        <f>IF(ISBLANK(Actuals!AD66),0,Actuals!AD66)</f>
        <v>0</v>
      </c>
      <c r="AE67" s="3">
        <f>IF(ISBLANK(Actuals!AE66),0,Actuals!AE66)</f>
        <v>0</v>
      </c>
      <c r="AF67" s="3">
        <f>IF(ISBLANK(Actuals!AF66),IF(Projects!$G$3="Yes",57375,0),Actuals!AF66)</f>
        <v>57375</v>
      </c>
      <c r="AG67" s="3">
        <f>IF(ISBLANK(Actuals!AG66),0,Actuals!AG66)</f>
        <v>0</v>
      </c>
      <c r="AH67" s="3">
        <f>IF(ISBLANK(Actuals!AH66),0,Actuals!AH66)</f>
        <v>0</v>
      </c>
      <c r="AI67" s="3">
        <f>IF(ISBLANK(Actuals!AI66),0,Actuals!AI66)</f>
        <v>0</v>
      </c>
      <c r="AJ67" s="3">
        <f>IF(ISBLANK(Actuals!AJ66),0,Actuals!AJ66)</f>
        <v>0</v>
      </c>
      <c r="AK67" s="3">
        <f>IF(ISBLANK(Actuals!AK66),0,Actuals!AK66)</f>
        <v>0</v>
      </c>
      <c r="AL67" s="3">
        <f>IF(ISBLANK(Actuals!AL66),0,Actuals!AL66)</f>
        <v>0</v>
      </c>
      <c r="AM67" s="3">
        <f>IF(ISBLANK(Actuals!AM66),0,Actuals!AM66)</f>
        <v>0</v>
      </c>
      <c r="AN67" s="3">
        <f>IF(ISBLANK(Actuals!AN66),0,Actuals!AN66)</f>
        <v>0</v>
      </c>
      <c r="AO67" s="3">
        <f>IF(ISBLANK(Actuals!AO66),0,Actuals!AO66)</f>
        <v>0</v>
      </c>
      <c r="AP67" s="3">
        <f>IF(ISBLANK(Actuals!AP66),0,Actuals!AP66)</f>
        <v>0</v>
      </c>
      <c r="AQ67" s="3">
        <f>IF(ISBLANK(Actuals!AQ66),0,Actuals!AQ66)</f>
        <v>0</v>
      </c>
      <c r="AR67" s="3">
        <f>IF(ISBLANK(Actuals!AR66),0,Actuals!AR66)</f>
        <v>0</v>
      </c>
      <c r="AS67" s="3">
        <f>IF(ISBLANK(Actuals!AS66),0,Actuals!AS66)</f>
        <v>0</v>
      </c>
      <c r="AT67" s="3">
        <f>IF(ISBLANK(Actuals!AT66),0,Actuals!AT66)</f>
        <v>0</v>
      </c>
      <c r="AU67" s="3">
        <f>IF(ISBLANK(Actuals!AU66),0,Actuals!AU66)</f>
        <v>0</v>
      </c>
      <c r="AV67" s="3">
        <f>IF(ISBLANK(Actuals!AV66),0,Actuals!AV66)</f>
        <v>0</v>
      </c>
      <c r="AW67" s="3">
        <f>IF(ISBLANK(Actuals!AW66),0,Actuals!AW66)</f>
        <v>0</v>
      </c>
      <c r="AX67" s="3">
        <f>IF(ISBLANK(Actuals!AX66),0,Actuals!AX66)</f>
        <v>0</v>
      </c>
      <c r="AY67" s="3">
        <f>IF(ISBLANK(Actuals!AY66),0,Actuals!AY66)</f>
        <v>0</v>
      </c>
      <c r="AZ67" s="3">
        <f>IF(ISBLANK(Actuals!AZ66),0,Actuals!AZ66)</f>
        <v>0</v>
      </c>
      <c r="BA67" s="3">
        <f>IF(ISBLANK(Actuals!BA66),0,Actuals!BA66)</f>
        <v>0</v>
      </c>
      <c r="BB67" s="3">
        <f>IF(ISBLANK(Actuals!BB66),0,Actuals!BB66)</f>
        <v>0</v>
      </c>
      <c r="BC67" s="3">
        <f>IF(ISBLANK(Actuals!BC66),0,Actuals!BC66)</f>
        <v>0</v>
      </c>
      <c r="BD67" s="3">
        <f>IF(ISBLANK(Actuals!BD66),0,Actuals!BD66)</f>
        <v>0</v>
      </c>
      <c r="BE67" s="3">
        <f>IF(ISBLANK(Actuals!BE66),0,Actuals!BE66)</f>
        <v>0</v>
      </c>
      <c r="BF67" s="3">
        <f>IF(ISBLANK(Actuals!BF66),0,Actuals!BF66)</f>
        <v>0</v>
      </c>
      <c r="BG67" s="3">
        <f>IF(ISBLANK(Actuals!BG66),0,Actuals!BG66)</f>
        <v>0</v>
      </c>
      <c r="BH67" s="3">
        <f>IF(ISBLANK(Actuals!BH66),0,Actuals!BH66)</f>
        <v>0</v>
      </c>
      <c r="BI67" s="3">
        <f>IF(ISBLANK(Actuals!BI66),0,Actuals!BI66)</f>
        <v>0</v>
      </c>
      <c r="BJ67" s="3">
        <f>IF(ISBLANK(Actuals!BJ66),0,Actuals!BJ66)</f>
        <v>0</v>
      </c>
      <c r="BK67" s="3">
        <f>IF(ISBLANK(Actuals!BK66),0,Actuals!BK66)</f>
        <v>0</v>
      </c>
      <c r="BL67" s="3">
        <f>IF(ISBLANK(Actuals!BL66),0,Actuals!BL66)</f>
        <v>0</v>
      </c>
      <c r="BM67" s="3">
        <f>IF(ISBLANK(Actuals!BM66),0,Actuals!BM66)</f>
        <v>0</v>
      </c>
      <c r="BN67" s="3">
        <f>IF(ISBLANK(Actuals!BN66),0,Actuals!BN66)</f>
        <v>0</v>
      </c>
      <c r="BO67" s="3">
        <f>IF(ISBLANK(Actuals!BO66),0,Actuals!BO66)</f>
        <v>0</v>
      </c>
      <c r="BP67" s="3">
        <f>IF(ISBLANK(Actuals!BP66),0,Actuals!BP66)</f>
        <v>0</v>
      </c>
      <c r="BQ67" s="3">
        <f>IF(ISBLANK(Actuals!BQ66),0,Actuals!BQ66)</f>
        <v>0</v>
      </c>
      <c r="BR67" s="3">
        <f>IF(ISBLANK(Actuals!BR66),0,Actuals!BR66)</f>
        <v>0</v>
      </c>
      <c r="BS67" s="3">
        <f>IF(ISBLANK(Actuals!BS66),0,Actuals!BS66)</f>
        <v>0</v>
      </c>
      <c r="BT67" s="3">
        <f>IF(ISBLANK(Actuals!BT66),0,Actuals!BT66)</f>
        <v>0</v>
      </c>
      <c r="BU67" s="3">
        <f>IF(ISBLANK(Actuals!BU66),0,Actuals!BU66)</f>
        <v>0</v>
      </c>
      <c r="BV67" s="3">
        <f>IF(ISBLANK(Actuals!BV66),0,Actuals!BV66)</f>
        <v>0</v>
      </c>
      <c r="BW67" s="3">
        <f>IF(ISBLANK(Actuals!BW66),0,Actuals!BW66)</f>
        <v>0</v>
      </c>
      <c r="BX67" s="3">
        <f>IF(ISBLANK(Actuals!BX66),0,Actuals!BX66)</f>
        <v>0</v>
      </c>
      <c r="BY67" s="3">
        <f>IF(ISBLANK(Actuals!BY66),0,Actuals!BY66)</f>
        <v>0</v>
      </c>
      <c r="BZ67" s="3">
        <f>IF(ISBLANK(Actuals!BZ66),0,Actuals!BZ66)</f>
        <v>0</v>
      </c>
      <c r="CA67" s="3">
        <f>IF(ISBLANK(Actuals!CA66),0,Actuals!CA66)</f>
        <v>0</v>
      </c>
      <c r="CB67" s="3">
        <f>IF(ISBLANK(Actuals!CB66),0,Actuals!CB66)</f>
        <v>0</v>
      </c>
      <c r="CC67" s="3">
        <f>IF(ISBLANK(Actuals!CC66),0,Actuals!CC66)</f>
        <v>0</v>
      </c>
      <c r="CD67" s="3">
        <f>IF(ISBLANK(Actuals!CD66),0,Actuals!CD66)</f>
        <v>0</v>
      </c>
      <c r="CE67" s="3">
        <f>IF(ISBLANK(Actuals!CE66),0,Actuals!CE66)</f>
        <v>0</v>
      </c>
      <c r="CF67" s="3">
        <f>IF(ISBLANK(Actuals!CF66),0,Actuals!CF66)</f>
        <v>0</v>
      </c>
      <c r="CG67" s="3">
        <f>IF(ISBLANK(Actuals!CG66),0,Actuals!CG66)</f>
        <v>0</v>
      </c>
      <c r="CH67" s="3">
        <f>IF(ISBLANK(Actuals!CH66),0,Actuals!CH66)</f>
        <v>0</v>
      </c>
      <c r="CI67" s="3">
        <f>IF(ISBLANK(Actuals!CI66),0,Actuals!CI66)</f>
        <v>0</v>
      </c>
      <c r="CJ67" s="3">
        <f>IF(ISBLANK(Actuals!CJ66),0,Actuals!CJ66)</f>
        <v>0</v>
      </c>
      <c r="CK67" s="3">
        <f>IF(ISBLANK(Actuals!CK66),0,Actuals!CK66)</f>
        <v>0</v>
      </c>
      <c r="CL67" s="3">
        <f>IF(ISBLANK(Actuals!CL66),0,Actuals!CL66)</f>
        <v>0</v>
      </c>
      <c r="CM67" s="3">
        <f>IF(ISBLANK(Actuals!CM66),0,Actuals!CM66)</f>
        <v>0</v>
      </c>
      <c r="CN67" s="3">
        <f>IF(ISBLANK(Actuals!CN66),0,Actuals!CN66)</f>
        <v>0</v>
      </c>
      <c r="CO67" s="3">
        <f>IF(ISBLANK(Actuals!CO66),0,Actuals!CO66)</f>
        <v>0</v>
      </c>
      <c r="CP67" s="3">
        <f>IF(ISBLANK(Actuals!CP66),0,Actuals!CP66)</f>
        <v>0</v>
      </c>
      <c r="CQ67" s="3">
        <f>IF(ISBLANK(Actuals!CQ66),0,Actuals!CQ66)</f>
        <v>0</v>
      </c>
      <c r="CR67" s="3">
        <f>IF(ISBLANK(Actuals!CR66),0,Actuals!CR66)</f>
        <v>0</v>
      </c>
      <c r="CS67" s="3">
        <f>IF(ISBLANK(Actuals!CS66),0,Actuals!CS66)</f>
        <v>0</v>
      </c>
      <c r="CT67" s="3">
        <f>IF(ISBLANK(Actuals!CT66),0,Actuals!CT66)</f>
        <v>0</v>
      </c>
      <c r="CU67" s="3">
        <f>IF(ISBLANK(Actuals!CU66),0,Actuals!CU66)</f>
        <v>0</v>
      </c>
      <c r="CV67" s="3">
        <f>IF(ISBLANK(Actuals!CV66),0,Actuals!CV66)</f>
        <v>0</v>
      </c>
      <c r="CW67" s="3">
        <f>IF(ISBLANK(Actuals!CW66),0,Actuals!CW66)</f>
        <v>0</v>
      </c>
      <c r="CX67" s="3">
        <f>IF(ISBLANK(Actuals!CX66),0,Actuals!CX66)</f>
        <v>0</v>
      </c>
      <c r="CY67" s="3">
        <f>IF(ISBLANK(Actuals!CY66),0,Actuals!CY66)</f>
        <v>0</v>
      </c>
      <c r="CZ67" s="3">
        <f>IF(ISBLANK(Actuals!CZ66),0,Actuals!CZ66)</f>
        <v>0</v>
      </c>
      <c r="DA67" s="3">
        <f>IF(ISBLANK(Actuals!DA66),0,Actuals!DA66)</f>
        <v>0</v>
      </c>
      <c r="DB67" s="3">
        <f>IF(ISBLANK(Actuals!DB66),0,Actuals!DB66)</f>
        <v>0</v>
      </c>
      <c r="DC67" s="3">
        <f>IF(ISBLANK(Actuals!DC66),0,Actuals!DC66)</f>
        <v>0</v>
      </c>
      <c r="DD67" s="3">
        <f>IF(ISBLANK(Actuals!DD66),0,Actuals!DD66)</f>
        <v>0</v>
      </c>
      <c r="DE67" s="3">
        <f>IF(ISBLANK(Actuals!DE66),0,Actuals!DE66)</f>
        <v>0</v>
      </c>
      <c r="DF67" s="3">
        <f>IF(ISBLANK(Actuals!DF66),0,Actuals!DF66)</f>
        <v>0</v>
      </c>
    </row>
    <row r="68" spans="1:110" ht="15" customHeight="1" x14ac:dyDescent="0.25">
      <c r="A68" s="13" t="s">
        <v>102</v>
      </c>
      <c r="B68" s="302"/>
      <c r="C68" s="3">
        <f>IF(ISBLANK(Actuals!C67),0,Actuals!C67)</f>
        <v>9375</v>
      </c>
      <c r="D68" s="3">
        <f>IF(ISBLANK(Actuals!D67),0,Actuals!D67)</f>
        <v>9375</v>
      </c>
      <c r="E68" s="3">
        <f>IF(ISBLANK(Actuals!E67),0,Actuals!E67)</f>
        <v>9375</v>
      </c>
      <c r="F68" s="3">
        <f>IF(ISBLANK(Actuals!F67),IF(Projects!$G$2="Yes",9375,0),Actuals!F67)</f>
        <v>9375</v>
      </c>
      <c r="G68" s="3">
        <f>IF(ISBLANK(Actuals!G67),IF(Projects!$G$2="Yes",9375,0),Actuals!G67)</f>
        <v>9375</v>
      </c>
      <c r="H68" s="3">
        <f>IF(ISBLANK(Actuals!H67),IF(Projects!$G$2="Yes",9375,0),Actuals!H67)</f>
        <v>9375</v>
      </c>
      <c r="I68" s="3">
        <f>IF(ISBLANK(Actuals!I67),IF(Projects!$G$2="Yes",9375,0),Actuals!I67)</f>
        <v>9375</v>
      </c>
      <c r="J68" s="3">
        <f>IF(ISBLANK(Actuals!J67),IF(Projects!$G$2="Yes",9375,0),Actuals!J67)</f>
        <v>9375</v>
      </c>
      <c r="K68" s="3">
        <f>IF(ISBLANK(Actuals!K67),IF(Projects!$G$2="Yes",9375,0),Actuals!K67)</f>
        <v>9375</v>
      </c>
      <c r="L68" s="3">
        <f>IF(ISBLANK(Actuals!L67),IF(Projects!$G$2="Yes",9375,0),Actuals!L67)</f>
        <v>9375</v>
      </c>
      <c r="M68" s="3">
        <f>IF(ISBLANK(Actuals!M67),0,Actuals!M67)</f>
        <v>0</v>
      </c>
      <c r="N68" s="3">
        <f>IF(ISBLANK(Actuals!N67),0,Actuals!N67)</f>
        <v>0</v>
      </c>
      <c r="O68" s="3">
        <f>IF(ISBLANK(Actuals!O67),0,Actuals!O67)</f>
        <v>0</v>
      </c>
      <c r="P68" s="3">
        <f>IF(ISBLANK(Actuals!P67),0,Actuals!P67)</f>
        <v>0</v>
      </c>
      <c r="Q68" s="3">
        <f>IF(ISBLANK(Actuals!Q67),0,Actuals!Q67)</f>
        <v>0</v>
      </c>
      <c r="R68" s="3">
        <f>IF(ISBLANK(Actuals!R67),0,Actuals!R67)</f>
        <v>0</v>
      </c>
      <c r="S68" s="3">
        <f>IF(ISBLANK(Actuals!S67),0,Actuals!S67)</f>
        <v>0</v>
      </c>
      <c r="T68" s="3">
        <f>IF(ISBLANK(Actuals!T67),0,Actuals!T67)</f>
        <v>0</v>
      </c>
      <c r="U68" s="3">
        <f>IF(ISBLANK(Actuals!U67),0,Actuals!U67)</f>
        <v>0</v>
      </c>
      <c r="V68" s="3">
        <f>IF(ISBLANK(Actuals!V67),0,Actuals!V67)</f>
        <v>0</v>
      </c>
      <c r="W68" s="3">
        <f>IF(ISBLANK(Actuals!W67),0,Actuals!W67)</f>
        <v>0</v>
      </c>
      <c r="X68" s="3">
        <f>IF(ISBLANK(Actuals!X67),0,Actuals!X67)</f>
        <v>0</v>
      </c>
      <c r="Y68" s="3">
        <f>IF(ISBLANK(Actuals!Y67),0,Actuals!Y67)</f>
        <v>0</v>
      </c>
      <c r="Z68" s="3">
        <f>IF(ISBLANK(Actuals!Z67),0,Actuals!Z67)</f>
        <v>0</v>
      </c>
      <c r="AA68" s="3">
        <f>IF(ISBLANK(Actuals!AA67),0,Actuals!AA67)</f>
        <v>0</v>
      </c>
      <c r="AB68" s="3">
        <f>IF(ISBLANK(Actuals!AB67),0,Actuals!AB67)</f>
        <v>0</v>
      </c>
      <c r="AC68" s="3">
        <f>IF(ISBLANK(Actuals!AC67),0,Actuals!AC67)</f>
        <v>0</v>
      </c>
      <c r="AD68" s="3">
        <f>IF(ISBLANK(Actuals!AD67),0,Actuals!AD67)</f>
        <v>0</v>
      </c>
      <c r="AE68" s="3">
        <f>IF(ISBLANK(Actuals!AE67),0,Actuals!AE67)</f>
        <v>0</v>
      </c>
      <c r="AF68" s="3">
        <f>IF(ISBLANK(Actuals!AF67),0,Actuals!AF67)</f>
        <v>0</v>
      </c>
      <c r="AG68" s="3">
        <f>IF(ISBLANK(Actuals!AG67),0,Actuals!AG67)</f>
        <v>0</v>
      </c>
      <c r="AH68" s="3">
        <f>IF(ISBLANK(Actuals!AH67),0,Actuals!AH67)</f>
        <v>0</v>
      </c>
      <c r="AI68" s="3">
        <f>IF(ISBLANK(Actuals!AI67),0,Actuals!AI67)</f>
        <v>0</v>
      </c>
      <c r="AJ68" s="3">
        <f>IF(ISBLANK(Actuals!AJ67),0,Actuals!AJ67)</f>
        <v>0</v>
      </c>
      <c r="AK68" s="3">
        <f>IF(ISBLANK(Actuals!AK67),0,Actuals!AK67)</f>
        <v>0</v>
      </c>
      <c r="AL68" s="3">
        <f>IF(ISBLANK(Actuals!AL67),0,Actuals!AL67)</f>
        <v>0</v>
      </c>
      <c r="AM68" s="3">
        <f>IF(ISBLANK(Actuals!AM67),0,Actuals!AM67)</f>
        <v>0</v>
      </c>
      <c r="AN68" s="3">
        <f>IF(ISBLANK(Actuals!AN67),0,Actuals!AN67)</f>
        <v>0</v>
      </c>
      <c r="AO68" s="3">
        <f>IF(ISBLANK(Actuals!AO67),0,Actuals!AO67)</f>
        <v>0</v>
      </c>
      <c r="AP68" s="3">
        <f>IF(ISBLANK(Actuals!AP67),0,Actuals!AP67)</f>
        <v>0</v>
      </c>
      <c r="AQ68" s="3">
        <f>IF(ISBLANK(Actuals!AQ67),0,Actuals!AQ67)</f>
        <v>0</v>
      </c>
      <c r="AR68" s="3">
        <f>IF(ISBLANK(Actuals!AR67),0,Actuals!AR67)</f>
        <v>0</v>
      </c>
      <c r="AS68" s="3">
        <f>IF(ISBLANK(Actuals!AS67),0,Actuals!AS67)</f>
        <v>0</v>
      </c>
      <c r="AT68" s="3">
        <f>IF(ISBLANK(Actuals!AT67),0,Actuals!AT67)</f>
        <v>0</v>
      </c>
      <c r="AU68" s="3">
        <f>IF(ISBLANK(Actuals!AU67),0,Actuals!AU67)</f>
        <v>0</v>
      </c>
      <c r="AV68" s="3">
        <f>IF(ISBLANK(Actuals!AV67),0,Actuals!AV67)</f>
        <v>0</v>
      </c>
      <c r="AW68" s="3">
        <f>IF(ISBLANK(Actuals!AW67),0,Actuals!AW67)</f>
        <v>0</v>
      </c>
      <c r="AX68" s="3">
        <f>IF(ISBLANK(Actuals!AX67),0,Actuals!AX67)</f>
        <v>0</v>
      </c>
      <c r="AY68" s="3">
        <f>IF(ISBLANK(Actuals!AY67),0,Actuals!AY67)</f>
        <v>0</v>
      </c>
      <c r="AZ68" s="3">
        <f>IF(ISBLANK(Actuals!AZ67),0,Actuals!AZ67)</f>
        <v>0</v>
      </c>
      <c r="BA68" s="3">
        <f>IF(ISBLANK(Actuals!BA67),0,Actuals!BA67)</f>
        <v>0</v>
      </c>
      <c r="BB68" s="3">
        <f>IF(ISBLANK(Actuals!BB67),0,Actuals!BB67)</f>
        <v>0</v>
      </c>
      <c r="BC68" s="3">
        <f>IF(ISBLANK(Actuals!BC67),0,Actuals!BC67)</f>
        <v>0</v>
      </c>
      <c r="BD68" s="3">
        <f>IF(ISBLANK(Actuals!BD67),0,Actuals!BD67)</f>
        <v>0</v>
      </c>
      <c r="BE68" s="3">
        <f>IF(ISBLANK(Actuals!BE67),0,Actuals!BE67)</f>
        <v>0</v>
      </c>
      <c r="BF68" s="3">
        <f>IF(ISBLANK(Actuals!BF67),0,Actuals!BF67)</f>
        <v>0</v>
      </c>
      <c r="BG68" s="3">
        <f>IF(ISBLANK(Actuals!BG67),0,Actuals!BG67)</f>
        <v>0</v>
      </c>
      <c r="BH68" s="3">
        <f>IF(ISBLANK(Actuals!BH67),0,Actuals!BH67)</f>
        <v>0</v>
      </c>
      <c r="BI68" s="3">
        <f>IF(ISBLANK(Actuals!BI67),0,Actuals!BI67)</f>
        <v>0</v>
      </c>
      <c r="BJ68" s="3">
        <f>IF(ISBLANK(Actuals!BJ67),0,Actuals!BJ67)</f>
        <v>0</v>
      </c>
      <c r="BK68" s="3">
        <f>IF(ISBLANK(Actuals!BK67),0,Actuals!BK67)</f>
        <v>0</v>
      </c>
      <c r="BL68" s="3">
        <f>IF(ISBLANK(Actuals!BL67),0,Actuals!BL67)</f>
        <v>0</v>
      </c>
      <c r="BM68" s="3">
        <f>IF(ISBLANK(Actuals!BM67),0,Actuals!BM67)</f>
        <v>0</v>
      </c>
      <c r="BN68" s="3">
        <f>IF(ISBLANK(Actuals!BN67),0,Actuals!BN67)</f>
        <v>0</v>
      </c>
      <c r="BO68" s="3">
        <f>IF(ISBLANK(Actuals!BO67),0,Actuals!BO67)</f>
        <v>0</v>
      </c>
      <c r="BP68" s="3">
        <f>IF(ISBLANK(Actuals!BP67),0,Actuals!BP67)</f>
        <v>0</v>
      </c>
      <c r="BQ68" s="3">
        <f>IF(ISBLANK(Actuals!BQ67),0,Actuals!BQ67)</f>
        <v>0</v>
      </c>
      <c r="BR68" s="3">
        <f>IF(ISBLANK(Actuals!BR67),0,Actuals!BR67)</f>
        <v>0</v>
      </c>
      <c r="BS68" s="3">
        <f>IF(ISBLANK(Actuals!BS67),0,Actuals!BS67)</f>
        <v>0</v>
      </c>
      <c r="BT68" s="3">
        <f>IF(ISBLANK(Actuals!BT67),0,Actuals!BT67)</f>
        <v>0</v>
      </c>
      <c r="BU68" s="3">
        <f>IF(ISBLANK(Actuals!BU67),0,Actuals!BU67)</f>
        <v>0</v>
      </c>
      <c r="BV68" s="3">
        <f>IF(ISBLANK(Actuals!BV67),0,Actuals!BV67)</f>
        <v>0</v>
      </c>
      <c r="BW68" s="3">
        <f>IF(ISBLANK(Actuals!BW67),0,Actuals!BW67)</f>
        <v>0</v>
      </c>
      <c r="BX68" s="3">
        <f>IF(ISBLANK(Actuals!BX67),0,Actuals!BX67)</f>
        <v>0</v>
      </c>
      <c r="BY68" s="3">
        <f>IF(ISBLANK(Actuals!BY67),0,Actuals!BY67)</f>
        <v>0</v>
      </c>
      <c r="BZ68" s="3">
        <f>IF(ISBLANK(Actuals!BZ67),0,Actuals!BZ67)</f>
        <v>0</v>
      </c>
      <c r="CA68" s="3">
        <f>IF(ISBLANK(Actuals!CA67),0,Actuals!CA67)</f>
        <v>0</v>
      </c>
      <c r="CB68" s="3">
        <f>IF(ISBLANK(Actuals!CB67),0,Actuals!CB67)</f>
        <v>0</v>
      </c>
      <c r="CC68" s="3">
        <f>IF(ISBLANK(Actuals!CC67),0,Actuals!CC67)</f>
        <v>0</v>
      </c>
      <c r="CD68" s="3">
        <f>IF(ISBLANK(Actuals!CD67),0,Actuals!CD67)</f>
        <v>0</v>
      </c>
      <c r="CE68" s="3">
        <f>IF(ISBLANK(Actuals!CE67),0,Actuals!CE67)</f>
        <v>0</v>
      </c>
      <c r="CF68" s="3">
        <f>IF(ISBLANK(Actuals!CF67),0,Actuals!CF67)</f>
        <v>0</v>
      </c>
      <c r="CG68" s="3">
        <f>IF(ISBLANK(Actuals!CG67),0,Actuals!CG67)</f>
        <v>0</v>
      </c>
      <c r="CH68" s="3">
        <f>IF(ISBLANK(Actuals!CH67),0,Actuals!CH67)</f>
        <v>0</v>
      </c>
      <c r="CI68" s="3">
        <f>IF(ISBLANK(Actuals!CI67),0,Actuals!CI67)</f>
        <v>0</v>
      </c>
      <c r="CJ68" s="3">
        <f>IF(ISBLANK(Actuals!CJ67),0,Actuals!CJ67)</f>
        <v>0</v>
      </c>
      <c r="CK68" s="3">
        <f>IF(ISBLANK(Actuals!CK67),0,Actuals!CK67)</f>
        <v>0</v>
      </c>
      <c r="CL68" s="3">
        <f>IF(ISBLANK(Actuals!CL67),0,Actuals!CL67)</f>
        <v>0</v>
      </c>
      <c r="CM68" s="3">
        <f>IF(ISBLANK(Actuals!CM67),0,Actuals!CM67)</f>
        <v>0</v>
      </c>
      <c r="CN68" s="3">
        <f>IF(ISBLANK(Actuals!CN67),0,Actuals!CN67)</f>
        <v>0</v>
      </c>
      <c r="CO68" s="3">
        <f>IF(ISBLANK(Actuals!CO67),0,Actuals!CO67)</f>
        <v>0</v>
      </c>
      <c r="CP68" s="3">
        <f>IF(ISBLANK(Actuals!CP67),0,Actuals!CP67)</f>
        <v>0</v>
      </c>
      <c r="CQ68" s="3">
        <f>IF(ISBLANK(Actuals!CQ67),0,Actuals!CQ67)</f>
        <v>0</v>
      </c>
      <c r="CR68" s="3">
        <f>IF(ISBLANK(Actuals!CR67),0,Actuals!CR67)</f>
        <v>0</v>
      </c>
      <c r="CS68" s="3">
        <f>IF(ISBLANK(Actuals!CS67),0,Actuals!CS67)</f>
        <v>0</v>
      </c>
      <c r="CT68" s="3">
        <f>IF(ISBLANK(Actuals!CT67),0,Actuals!CT67)</f>
        <v>0</v>
      </c>
      <c r="CU68" s="3">
        <f>IF(ISBLANK(Actuals!CU67),0,Actuals!CU67)</f>
        <v>0</v>
      </c>
      <c r="CV68" s="3">
        <f>IF(ISBLANK(Actuals!CV67),0,Actuals!CV67)</f>
        <v>0</v>
      </c>
      <c r="CW68" s="3">
        <f>IF(ISBLANK(Actuals!CW67),0,Actuals!CW67)</f>
        <v>0</v>
      </c>
      <c r="CX68" s="3">
        <f>IF(ISBLANK(Actuals!CX67),0,Actuals!CX67)</f>
        <v>0</v>
      </c>
      <c r="CY68" s="3">
        <f>IF(ISBLANK(Actuals!CY67),0,Actuals!CY67)</f>
        <v>0</v>
      </c>
      <c r="CZ68" s="3">
        <f>IF(ISBLANK(Actuals!CZ67),0,Actuals!CZ67)</f>
        <v>0</v>
      </c>
      <c r="DA68" s="3">
        <f>IF(ISBLANK(Actuals!DA67),0,Actuals!DA67)</f>
        <v>0</v>
      </c>
      <c r="DB68" s="3">
        <f>IF(ISBLANK(Actuals!DB67),0,Actuals!DB67)</f>
        <v>0</v>
      </c>
      <c r="DC68" s="3">
        <f>IF(ISBLANK(Actuals!DC67),0,Actuals!DC67)</f>
        <v>0</v>
      </c>
      <c r="DD68" s="3">
        <f>IF(ISBLANK(Actuals!DD67),0,Actuals!DD67)</f>
        <v>0</v>
      </c>
      <c r="DE68" s="3">
        <f>IF(ISBLANK(Actuals!DE67),0,Actuals!DE67)</f>
        <v>0</v>
      </c>
      <c r="DF68" s="3">
        <f>IF(ISBLANK(Actuals!DF67),0,Actuals!DF67)</f>
        <v>0</v>
      </c>
    </row>
    <row r="69" spans="1:110" ht="15" customHeight="1" x14ac:dyDescent="0.25">
      <c r="A69" s="13" t="s">
        <v>103</v>
      </c>
      <c r="B69" s="302"/>
      <c r="C69" s="3">
        <f>IF(ISBLANK(Actuals!C68),0,Actuals!C68)</f>
        <v>0</v>
      </c>
      <c r="D69" s="3">
        <f>IF(ISBLANK(Actuals!D68),0,Actuals!D68)</f>
        <v>0</v>
      </c>
      <c r="E69" s="3">
        <f>IF(ISBLANK(Actuals!E68),0,Actuals!E68)</f>
        <v>0</v>
      </c>
      <c r="F69" s="3">
        <f>IF(ISBLANK(Actuals!F68),9500,Actuals!F68)</f>
        <v>9500</v>
      </c>
      <c r="G69" s="3">
        <f>IF(ISBLANK(Actuals!G68),9500,Actuals!G68)</f>
        <v>9500</v>
      </c>
      <c r="H69" s="3">
        <f>IF(ISBLANK(Actuals!H68),9500,Actuals!H68)</f>
        <v>9500</v>
      </c>
      <c r="I69" s="3">
        <f>IF(ISBLANK(Actuals!I68),9500,Actuals!I68)</f>
        <v>9500</v>
      </c>
      <c r="J69" s="3">
        <f>IF(ISBLANK(Actuals!J68),9500,Actuals!J68)</f>
        <v>9500</v>
      </c>
      <c r="K69" s="3">
        <f>IF(ISBLANK(Actuals!K68),9500,Actuals!K68)</f>
        <v>9500</v>
      </c>
      <c r="L69" s="3">
        <f>IF(ISBLANK(Actuals!L68),9500,Actuals!L68)</f>
        <v>9500</v>
      </c>
      <c r="M69" s="3">
        <f>IF(ISBLANK(Actuals!M68),9500,Actuals!M68)</f>
        <v>9500</v>
      </c>
      <c r="N69" s="3">
        <f>IF(ISBLANK(Actuals!N68),9500,Actuals!N68)</f>
        <v>9500</v>
      </c>
      <c r="O69" s="3">
        <f>IF(ISBLANK(Actuals!O68),9500,Actuals!O68)</f>
        <v>9500</v>
      </c>
      <c r="P69" s="3">
        <f>IF(ISBLANK(Actuals!P68),9500,Actuals!P68)</f>
        <v>9500</v>
      </c>
      <c r="Q69" s="3">
        <f>IF(ISBLANK(Actuals!Q68),9500,Actuals!Q68)</f>
        <v>9500</v>
      </c>
      <c r="R69" s="3">
        <f>IF(ISBLANK(Actuals!R68),9500,Actuals!R68)</f>
        <v>9500</v>
      </c>
      <c r="S69" s="3">
        <f>IF(ISBLANK(Actuals!S68),9500,Actuals!S68)</f>
        <v>9500</v>
      </c>
      <c r="T69" s="3">
        <f>IF(ISBLANK(Actuals!T68),9500,Actuals!T68)</f>
        <v>9500</v>
      </c>
      <c r="U69" s="3">
        <f>IF(ISBLANK(Actuals!U68),9500,Actuals!U68)</f>
        <v>9500</v>
      </c>
      <c r="V69" s="3">
        <f>IF(ISBLANK(Actuals!V68),9500,Actuals!V68)</f>
        <v>9500</v>
      </c>
      <c r="W69" s="3">
        <f>IF(ISBLANK(Actuals!W68),9500,Actuals!W68)</f>
        <v>9500</v>
      </c>
      <c r="X69" s="3">
        <f>IF(ISBLANK(Actuals!X68),9500,Actuals!X68)</f>
        <v>9500</v>
      </c>
      <c r="Y69" s="3">
        <f>IF(ISBLANK(Actuals!Y68),9500,Actuals!Y68)</f>
        <v>9500</v>
      </c>
      <c r="Z69" s="3">
        <f>IF(ISBLANK(Actuals!Z68),9500,Actuals!Z68)</f>
        <v>9500</v>
      </c>
      <c r="AA69" s="3">
        <f>IF(ISBLANK(Actuals!AA68),9500,Actuals!AA68)</f>
        <v>9500</v>
      </c>
      <c r="AB69" s="3">
        <f>IF(ISBLANK(Actuals!AB68),9500,Actuals!AB68)</f>
        <v>9500</v>
      </c>
      <c r="AC69" s="3">
        <f>IF(ISBLANK(Actuals!AC68),9500,Actuals!AC68)</f>
        <v>9500</v>
      </c>
      <c r="AD69" s="3">
        <f>IF(ISBLANK(Actuals!AD68),9500,Actuals!AD68)</f>
        <v>9500</v>
      </c>
      <c r="AE69" s="3">
        <f>IF(ISBLANK(Actuals!AE68),9500,Actuals!AE68)</f>
        <v>9500</v>
      </c>
      <c r="AF69" s="3">
        <f>IF(ISBLANK(Actuals!AF68),9500,Actuals!AF68)</f>
        <v>9500</v>
      </c>
      <c r="AG69" s="3">
        <f>IF(ISBLANK(Actuals!AG68),9500,Actuals!AG68)</f>
        <v>9500</v>
      </c>
      <c r="AH69" s="3">
        <f>IF(ISBLANK(Actuals!AH68),9500,Actuals!AH68)</f>
        <v>9500</v>
      </c>
      <c r="AI69" s="3">
        <f>IF(ISBLANK(Actuals!AI68),9500,Actuals!AI68)</f>
        <v>9500</v>
      </c>
      <c r="AJ69" s="3">
        <f>IF(ISBLANK(Actuals!AJ68),0,Actuals!AJ68)</f>
        <v>0</v>
      </c>
      <c r="AK69" s="3">
        <f>IF(ISBLANK(Actuals!AK68),0,Actuals!AK68)</f>
        <v>0</v>
      </c>
      <c r="AL69" s="3">
        <f>IF(ISBLANK(Actuals!AL68),0,Actuals!AL68)</f>
        <v>0</v>
      </c>
      <c r="AM69" s="3">
        <f>IF(ISBLANK(Actuals!AM68),0,Actuals!AM68)</f>
        <v>0</v>
      </c>
      <c r="AN69" s="3">
        <f>IF(ISBLANK(Actuals!AN68),0,Actuals!AN68)</f>
        <v>0</v>
      </c>
      <c r="AO69" s="3">
        <f>IF(ISBLANK(Actuals!AO68),0,Actuals!AO68)</f>
        <v>0</v>
      </c>
      <c r="AP69" s="3">
        <f>IF(ISBLANK(Actuals!AP68),0,Actuals!AP68)</f>
        <v>0</v>
      </c>
      <c r="AQ69" s="3">
        <f>IF(ISBLANK(Actuals!AQ68),0,Actuals!AQ68)</f>
        <v>0</v>
      </c>
      <c r="AR69" s="3">
        <f>IF(ISBLANK(Actuals!AR68),0,Actuals!AR68)</f>
        <v>0</v>
      </c>
      <c r="AS69" s="3">
        <f>IF(ISBLANK(Actuals!AS68),0,Actuals!AS68)</f>
        <v>0</v>
      </c>
      <c r="AT69" s="3">
        <f>IF(ISBLANK(Actuals!AT68),0,Actuals!AT68)</f>
        <v>0</v>
      </c>
      <c r="AU69" s="3">
        <f>IF(ISBLANK(Actuals!AU68),0,Actuals!AU68)</f>
        <v>0</v>
      </c>
      <c r="AV69" s="3">
        <f>IF(ISBLANK(Actuals!AV68),0,Actuals!AV68)</f>
        <v>0</v>
      </c>
      <c r="AW69" s="3">
        <f>IF(ISBLANK(Actuals!AW68),0,Actuals!AW68)</f>
        <v>0</v>
      </c>
      <c r="AX69" s="3">
        <f>IF(ISBLANK(Actuals!AX68),0,Actuals!AX68)</f>
        <v>0</v>
      </c>
      <c r="AY69" s="3">
        <f>IF(ISBLANK(Actuals!AY68),0,Actuals!AY68)</f>
        <v>0</v>
      </c>
      <c r="AZ69" s="3">
        <f>IF(ISBLANK(Actuals!AZ68),0,Actuals!AZ68)</f>
        <v>0</v>
      </c>
      <c r="BA69" s="3">
        <f>IF(ISBLANK(Actuals!BA68),0,Actuals!BA68)</f>
        <v>0</v>
      </c>
      <c r="BB69" s="3">
        <f>IF(ISBLANK(Actuals!BB68),0,Actuals!BB68)</f>
        <v>0</v>
      </c>
      <c r="BC69" s="3">
        <f>IF(ISBLANK(Actuals!BC68),0,Actuals!BC68)</f>
        <v>0</v>
      </c>
      <c r="BD69" s="3">
        <f>IF(ISBLANK(Actuals!BD68),0,Actuals!BD68)</f>
        <v>0</v>
      </c>
      <c r="BE69" s="3">
        <f>IF(ISBLANK(Actuals!BE68),0,Actuals!BE68)</f>
        <v>0</v>
      </c>
      <c r="BF69" s="3">
        <f>IF(ISBLANK(Actuals!BF68),0,Actuals!BF68)</f>
        <v>0</v>
      </c>
      <c r="BG69" s="3">
        <f>IF(ISBLANK(Actuals!BG68),0,Actuals!BG68)</f>
        <v>0</v>
      </c>
      <c r="BH69" s="3">
        <f>IF(ISBLANK(Actuals!BH68),0,Actuals!BH68)</f>
        <v>0</v>
      </c>
      <c r="BI69" s="3">
        <f>IF(ISBLANK(Actuals!BI68),0,Actuals!BI68)</f>
        <v>0</v>
      </c>
      <c r="BJ69" s="3">
        <f>IF(ISBLANK(Actuals!BJ68),0,Actuals!BJ68)</f>
        <v>0</v>
      </c>
      <c r="BK69" s="3">
        <f>IF(ISBLANK(Actuals!BK68),0,Actuals!BK68)</f>
        <v>0</v>
      </c>
      <c r="BL69" s="3">
        <f>IF(ISBLANK(Actuals!BL68),0,Actuals!BL68)</f>
        <v>0</v>
      </c>
      <c r="BM69" s="3">
        <f>IF(ISBLANK(Actuals!BM68),0,Actuals!BM68)</f>
        <v>0</v>
      </c>
      <c r="BN69" s="3">
        <f>IF(ISBLANK(Actuals!BN68),0,Actuals!BN68)</f>
        <v>0</v>
      </c>
      <c r="BO69" s="3">
        <f>IF(ISBLANK(Actuals!BO68),0,Actuals!BO68)</f>
        <v>0</v>
      </c>
      <c r="BP69" s="3">
        <f>IF(ISBLANK(Actuals!BP68),0,Actuals!BP68)</f>
        <v>0</v>
      </c>
      <c r="BQ69" s="3">
        <f>IF(ISBLANK(Actuals!BQ68),0,Actuals!BQ68)</f>
        <v>0</v>
      </c>
      <c r="BR69" s="3">
        <f>IF(ISBLANK(Actuals!BR68),0,Actuals!BR68)</f>
        <v>0</v>
      </c>
      <c r="BS69" s="3">
        <f>IF(ISBLANK(Actuals!BS68),0,Actuals!BS68)</f>
        <v>0</v>
      </c>
      <c r="BT69" s="3">
        <f>IF(ISBLANK(Actuals!BT68),0,Actuals!BT68)</f>
        <v>0</v>
      </c>
      <c r="BU69" s="3">
        <f>IF(ISBLANK(Actuals!BU68),0,Actuals!BU68)</f>
        <v>0</v>
      </c>
      <c r="BV69" s="3">
        <f>IF(ISBLANK(Actuals!BV68),0,Actuals!BV68)</f>
        <v>0</v>
      </c>
      <c r="BW69" s="3">
        <f>IF(ISBLANK(Actuals!BW68),0,Actuals!BW68)</f>
        <v>0</v>
      </c>
      <c r="BX69" s="3">
        <f>IF(ISBLANK(Actuals!BX68),0,Actuals!BX68)</f>
        <v>0</v>
      </c>
      <c r="BY69" s="3">
        <f>IF(ISBLANK(Actuals!BY68),0,Actuals!BY68)</f>
        <v>0</v>
      </c>
      <c r="BZ69" s="3">
        <f>IF(ISBLANK(Actuals!BZ68),0,Actuals!BZ68)</f>
        <v>0</v>
      </c>
      <c r="CA69" s="3">
        <f>IF(ISBLANK(Actuals!CA68),0,Actuals!CA68)</f>
        <v>0</v>
      </c>
      <c r="CB69" s="3">
        <f>IF(ISBLANK(Actuals!CB68),0,Actuals!CB68)</f>
        <v>0</v>
      </c>
      <c r="CC69" s="3">
        <f>IF(ISBLANK(Actuals!CC68),0,Actuals!CC68)</f>
        <v>0</v>
      </c>
      <c r="CD69" s="3">
        <f>IF(ISBLANK(Actuals!CD68),0,Actuals!CD68)</f>
        <v>0</v>
      </c>
      <c r="CE69" s="3">
        <f>IF(ISBLANK(Actuals!CE68),0,Actuals!CE68)</f>
        <v>0</v>
      </c>
      <c r="CF69" s="3">
        <f>IF(ISBLANK(Actuals!CF68),0,Actuals!CF68)</f>
        <v>0</v>
      </c>
      <c r="CG69" s="3">
        <f>IF(ISBLANK(Actuals!CG68),0,Actuals!CG68)</f>
        <v>0</v>
      </c>
      <c r="CH69" s="3">
        <f>IF(ISBLANK(Actuals!CH68),0,Actuals!CH68)</f>
        <v>0</v>
      </c>
      <c r="CI69" s="3">
        <f>IF(ISBLANK(Actuals!CI68),0,Actuals!CI68)</f>
        <v>0</v>
      </c>
      <c r="CJ69" s="3">
        <f>IF(ISBLANK(Actuals!CJ68),0,Actuals!CJ68)</f>
        <v>0</v>
      </c>
      <c r="CK69" s="3">
        <f>IF(ISBLANK(Actuals!CK68),0,Actuals!CK68)</f>
        <v>0</v>
      </c>
      <c r="CL69" s="3">
        <f>IF(ISBLANK(Actuals!CL68),0,Actuals!CL68)</f>
        <v>0</v>
      </c>
      <c r="CM69" s="3">
        <f>IF(ISBLANK(Actuals!CM68),0,Actuals!CM68)</f>
        <v>0</v>
      </c>
      <c r="CN69" s="3">
        <f>IF(ISBLANK(Actuals!CN68),0,Actuals!CN68)</f>
        <v>0</v>
      </c>
      <c r="CO69" s="3">
        <f>IF(ISBLANK(Actuals!CO68),0,Actuals!CO68)</f>
        <v>0</v>
      </c>
      <c r="CP69" s="3">
        <f>IF(ISBLANK(Actuals!CP68),0,Actuals!CP68)</f>
        <v>0</v>
      </c>
      <c r="CQ69" s="3">
        <f>IF(ISBLANK(Actuals!CQ68),0,Actuals!CQ68)</f>
        <v>0</v>
      </c>
      <c r="CR69" s="3">
        <f>IF(ISBLANK(Actuals!CR68),0,Actuals!CR68)</f>
        <v>0</v>
      </c>
      <c r="CS69" s="3">
        <f>IF(ISBLANK(Actuals!CS68),0,Actuals!CS68)</f>
        <v>0</v>
      </c>
      <c r="CT69" s="3">
        <f>IF(ISBLANK(Actuals!CT68),0,Actuals!CT68)</f>
        <v>0</v>
      </c>
      <c r="CU69" s="3">
        <f>IF(ISBLANK(Actuals!CU68),0,Actuals!CU68)</f>
        <v>0</v>
      </c>
      <c r="CV69" s="3">
        <f>IF(ISBLANK(Actuals!CV68),0,Actuals!CV68)</f>
        <v>0</v>
      </c>
      <c r="CW69" s="3">
        <f>IF(ISBLANK(Actuals!CW68),0,Actuals!CW68)</f>
        <v>0</v>
      </c>
      <c r="CX69" s="3">
        <f>IF(ISBLANK(Actuals!CX68),0,Actuals!CX68)</f>
        <v>0</v>
      </c>
      <c r="CY69" s="3">
        <f>IF(ISBLANK(Actuals!CY68),0,Actuals!CY68)</f>
        <v>0</v>
      </c>
      <c r="CZ69" s="3">
        <f>IF(ISBLANK(Actuals!CZ68),0,Actuals!CZ68)</f>
        <v>0</v>
      </c>
      <c r="DA69" s="3">
        <f>IF(ISBLANK(Actuals!DA68),0,Actuals!DA68)</f>
        <v>0</v>
      </c>
      <c r="DB69" s="3">
        <f>IF(ISBLANK(Actuals!DB68),0,Actuals!DB68)</f>
        <v>0</v>
      </c>
      <c r="DC69" s="3">
        <f>IF(ISBLANK(Actuals!DC68),0,Actuals!DC68)</f>
        <v>0</v>
      </c>
      <c r="DD69" s="3">
        <f>IF(ISBLANK(Actuals!DD68),0,Actuals!DD68)</f>
        <v>0</v>
      </c>
      <c r="DE69" s="3">
        <f>IF(ISBLANK(Actuals!DE68),0,Actuals!DE68)</f>
        <v>0</v>
      </c>
      <c r="DF69" s="3">
        <f>IF(ISBLANK(Actuals!DF68),0,Actuals!DF68)</f>
        <v>0</v>
      </c>
    </row>
    <row r="70" spans="1:110" ht="15" customHeight="1" x14ac:dyDescent="0.25">
      <c r="A70" s="13" t="s">
        <v>104</v>
      </c>
      <c r="B70" s="302"/>
      <c r="C70" s="3">
        <f>IF(ISBLANK(Actuals!C69),0,Actuals!C69)</f>
        <v>0</v>
      </c>
      <c r="D70" s="3">
        <f>IF(ISBLANK(Actuals!D69),0,Actuals!D69)</f>
        <v>0</v>
      </c>
      <c r="E70" s="3">
        <f>IF(ISBLANK(Actuals!E69),0,Actuals!E69)</f>
        <v>0</v>
      </c>
      <c r="F70" s="3">
        <f>IF(ISBLANK(Actuals!F69),0,Actuals!F69)</f>
        <v>0</v>
      </c>
      <c r="G70" s="3">
        <f>IF(ISBLANK(Actuals!G69),0,Actuals!G69)</f>
        <v>0</v>
      </c>
      <c r="H70" s="3">
        <f>IF(ISBLANK(Actuals!H69),0,Actuals!H69)</f>
        <v>0</v>
      </c>
      <c r="I70" s="3">
        <f>IF(ISBLANK(Actuals!I69),0,Actuals!I69)</f>
        <v>0</v>
      </c>
      <c r="J70" s="3">
        <f>IF(ISBLANK(Actuals!J69),IF(Projects!$G$11="Yes",6315.79,0),Actuals!J69)</f>
        <v>0</v>
      </c>
      <c r="K70" s="3">
        <f>IF(ISBLANK(Actuals!K69),IF(Projects!$G$11="Yes",6315.79,0),Actuals!K69)</f>
        <v>0</v>
      </c>
      <c r="L70" s="3">
        <f>IF(ISBLANK(Actuals!L69),IF(Projects!$G$11="Yes",6315.79,0),Actuals!L69)</f>
        <v>0</v>
      </c>
      <c r="M70" s="3">
        <f>IF(ISBLANK(Actuals!M69),IF(Projects!$G$11="Yes",6315.79,0),Actuals!M69)</f>
        <v>0</v>
      </c>
      <c r="N70" s="3">
        <f>IF(ISBLANK(Actuals!N69),IF(Projects!$G$11="Yes",6315.79,0),Actuals!N69)</f>
        <v>0</v>
      </c>
      <c r="O70" s="3">
        <f>IF(ISBLANK(Actuals!O69),IF(Projects!$G$11="Yes",6315.79,0),Actuals!O69)</f>
        <v>0</v>
      </c>
      <c r="P70" s="3">
        <f>IF(ISBLANK(Actuals!P69),IF(Projects!$G$11="Yes",6315.79,0),Actuals!P69)</f>
        <v>0</v>
      </c>
      <c r="Q70" s="3">
        <f>IF(ISBLANK(Actuals!Q69),IF(Projects!$G$11="Yes",6315.79,0),Actuals!Q69)</f>
        <v>0</v>
      </c>
      <c r="R70" s="3">
        <f>IF(ISBLANK(Actuals!R69),IF(Projects!$G$11="Yes",6315.79,0),Actuals!R69)</f>
        <v>0</v>
      </c>
      <c r="S70" s="3">
        <f>IF(ISBLANK(Actuals!S69),IF(Projects!$G$11="Yes",6315.79,0),Actuals!S69)</f>
        <v>0</v>
      </c>
      <c r="T70" s="3">
        <f>IF(ISBLANK(Actuals!T69),IF(Projects!$G$11="Yes",6315.79,0),Actuals!T69)</f>
        <v>0</v>
      </c>
      <c r="U70" s="3">
        <f>IF(ISBLANK(Actuals!U69),IF(Projects!$G$11="Yes",6315.79,0),Actuals!U69)</f>
        <v>0</v>
      </c>
      <c r="V70" s="3">
        <f>IF(ISBLANK(Actuals!V69),IF(Projects!$G$11="Yes",6315.79,0),Actuals!V69)</f>
        <v>0</v>
      </c>
      <c r="W70" s="3">
        <f>IF(ISBLANK(Actuals!W69),IF(Projects!$G$11="Yes",6315.79,0),Actuals!W69)</f>
        <v>0</v>
      </c>
      <c r="X70" s="3">
        <f>IF(ISBLANK(Actuals!X69),IF(Projects!$G$11="Yes",6315.79,0),Actuals!X69)</f>
        <v>0</v>
      </c>
      <c r="Y70" s="3">
        <f>IF(ISBLANK(Actuals!Y69),IF(Projects!$G$11="Yes",6315.79,0),Actuals!Y69)</f>
        <v>0</v>
      </c>
      <c r="Z70" s="3">
        <f>IF(ISBLANK(Actuals!Z69),IF(Projects!$G$11="Yes",6315.79,0),Actuals!Z69)</f>
        <v>0</v>
      </c>
      <c r="AA70" s="3">
        <f>IF(ISBLANK(Actuals!AA69),IF(Projects!$G$11="Yes",6315.79,0),Actuals!AA69)</f>
        <v>0</v>
      </c>
      <c r="AB70" s="3">
        <f>IF(ISBLANK(Actuals!AB69),IF(Projects!$G$11="Yes",6315.79,0),Actuals!AB69)</f>
        <v>0</v>
      </c>
      <c r="AC70" s="3">
        <f>IF(ISBLANK(Actuals!AC69),0,Actuals!AC69)</f>
        <v>0</v>
      </c>
      <c r="AD70" s="3">
        <f>IF(ISBLANK(Actuals!AD69),0,Actuals!AD69)</f>
        <v>0</v>
      </c>
      <c r="AE70" s="3">
        <f>IF(ISBLANK(Actuals!AE69),0,Actuals!AE69)</f>
        <v>0</v>
      </c>
      <c r="AF70" s="3">
        <f>IF(ISBLANK(Actuals!AF69),0,Actuals!AF69)</f>
        <v>0</v>
      </c>
      <c r="AG70" s="3">
        <f>IF(ISBLANK(Actuals!AG69),0,Actuals!AG69)</f>
        <v>0</v>
      </c>
      <c r="AH70" s="3">
        <f>IF(ISBLANK(Actuals!AH69),0,Actuals!AH69)</f>
        <v>0</v>
      </c>
      <c r="AI70" s="3">
        <f>IF(ISBLANK(Actuals!AI69),0,Actuals!AI69)</f>
        <v>0</v>
      </c>
      <c r="AJ70" s="3">
        <f>IF(ISBLANK(Actuals!AJ69),0,Actuals!AJ69)</f>
        <v>0</v>
      </c>
      <c r="AK70" s="3">
        <f>IF(ISBLANK(Actuals!AK69),0,Actuals!AK69)</f>
        <v>0</v>
      </c>
      <c r="AL70" s="3">
        <f>IF(ISBLANK(Actuals!AL69),0,Actuals!AL69)</f>
        <v>0</v>
      </c>
      <c r="AM70" s="3">
        <f>IF(ISBLANK(Actuals!AM69),0,Actuals!AM69)</f>
        <v>0</v>
      </c>
      <c r="AN70" s="3">
        <f>IF(ISBLANK(Actuals!AN69),0,Actuals!AN69)</f>
        <v>0</v>
      </c>
      <c r="AO70" s="3">
        <f>IF(ISBLANK(Actuals!AO69),0,Actuals!AO69)</f>
        <v>0</v>
      </c>
      <c r="AP70" s="3">
        <f>IF(ISBLANK(Actuals!AP69),0,Actuals!AP69)</f>
        <v>0</v>
      </c>
      <c r="AQ70" s="3">
        <f>IF(ISBLANK(Actuals!AQ69),0,Actuals!AQ69)</f>
        <v>0</v>
      </c>
      <c r="AR70" s="3">
        <f>IF(ISBLANK(Actuals!AR69),0,Actuals!AR69)</f>
        <v>0</v>
      </c>
      <c r="AS70" s="3">
        <f>IF(ISBLANK(Actuals!AS69),0,Actuals!AS69)</f>
        <v>0</v>
      </c>
      <c r="AT70" s="3">
        <f>IF(ISBLANK(Actuals!AT69),0,Actuals!AT69)</f>
        <v>0</v>
      </c>
      <c r="AU70" s="3">
        <f>IF(ISBLANK(Actuals!AU69),0,Actuals!AU69)</f>
        <v>0</v>
      </c>
      <c r="AV70" s="3">
        <f>IF(ISBLANK(Actuals!AV69),0,Actuals!AV69)</f>
        <v>0</v>
      </c>
      <c r="AW70" s="3">
        <f>IF(ISBLANK(Actuals!AW69),0,Actuals!AW69)</f>
        <v>0</v>
      </c>
      <c r="AX70" s="3">
        <f>IF(ISBLANK(Actuals!AX69),0,Actuals!AX69)</f>
        <v>0</v>
      </c>
      <c r="AY70" s="3">
        <f>IF(ISBLANK(Actuals!AY69),0,Actuals!AY69)</f>
        <v>0</v>
      </c>
      <c r="AZ70" s="3">
        <f>IF(ISBLANK(Actuals!AZ69),0,Actuals!AZ69)</f>
        <v>0</v>
      </c>
      <c r="BA70" s="3">
        <f>IF(ISBLANK(Actuals!BA69),0,Actuals!BA69)</f>
        <v>0</v>
      </c>
      <c r="BB70" s="3">
        <f>IF(ISBLANK(Actuals!BB69),0,Actuals!BB69)</f>
        <v>0</v>
      </c>
      <c r="BC70" s="3">
        <f>IF(ISBLANK(Actuals!BC69),0,Actuals!BC69)</f>
        <v>0</v>
      </c>
      <c r="BD70" s="3">
        <f>IF(ISBLANK(Actuals!BD69),0,Actuals!BD69)</f>
        <v>0</v>
      </c>
      <c r="BE70" s="3">
        <f>IF(ISBLANK(Actuals!BE69),0,Actuals!BE69)</f>
        <v>0</v>
      </c>
      <c r="BF70" s="3">
        <f>IF(ISBLANK(Actuals!BF69),0,Actuals!BF69)</f>
        <v>0</v>
      </c>
      <c r="BG70" s="3">
        <f>IF(ISBLANK(Actuals!BG69),0,Actuals!BG69)</f>
        <v>0</v>
      </c>
      <c r="BH70" s="3">
        <f>IF(ISBLANK(Actuals!BH69),0,Actuals!BH69)</f>
        <v>0</v>
      </c>
      <c r="BI70" s="3">
        <f>IF(ISBLANK(Actuals!BI69),0,Actuals!BI69)</f>
        <v>0</v>
      </c>
      <c r="BJ70" s="3">
        <f>IF(ISBLANK(Actuals!BJ69),0,Actuals!BJ69)</f>
        <v>0</v>
      </c>
      <c r="BK70" s="3">
        <f>IF(ISBLANK(Actuals!BK69),0,Actuals!BK69)</f>
        <v>0</v>
      </c>
      <c r="BL70" s="3">
        <f>IF(ISBLANK(Actuals!BL69),0,Actuals!BL69)</f>
        <v>0</v>
      </c>
      <c r="BM70" s="3">
        <f>IF(ISBLANK(Actuals!BM69),0,Actuals!BM69)</f>
        <v>0</v>
      </c>
      <c r="BN70" s="3">
        <f>IF(ISBLANK(Actuals!BN69),0,Actuals!BN69)</f>
        <v>0</v>
      </c>
      <c r="BO70" s="3">
        <f>IF(ISBLANK(Actuals!BO69),0,Actuals!BO69)</f>
        <v>0</v>
      </c>
      <c r="BP70" s="3">
        <f>IF(ISBLANK(Actuals!BP69),0,Actuals!BP69)</f>
        <v>0</v>
      </c>
      <c r="BQ70" s="3">
        <f>IF(ISBLANK(Actuals!BQ69),0,Actuals!BQ69)</f>
        <v>0</v>
      </c>
      <c r="BR70" s="3">
        <f>IF(ISBLANK(Actuals!BR69),0,Actuals!BR69)</f>
        <v>0</v>
      </c>
      <c r="BS70" s="3">
        <f>IF(ISBLANK(Actuals!BS69),0,Actuals!BS69)</f>
        <v>0</v>
      </c>
      <c r="BT70" s="3">
        <f>IF(ISBLANK(Actuals!BT69),0,Actuals!BT69)</f>
        <v>0</v>
      </c>
      <c r="BU70" s="3">
        <f>IF(ISBLANK(Actuals!BU69),0,Actuals!BU69)</f>
        <v>0</v>
      </c>
      <c r="BV70" s="3">
        <f>IF(ISBLANK(Actuals!BV69),0,Actuals!BV69)</f>
        <v>0</v>
      </c>
      <c r="BW70" s="3">
        <f>IF(ISBLANK(Actuals!BW69),0,Actuals!BW69)</f>
        <v>0</v>
      </c>
      <c r="BX70" s="3">
        <f>IF(ISBLANK(Actuals!BX69),0,Actuals!BX69)</f>
        <v>0</v>
      </c>
      <c r="BY70" s="3">
        <f>IF(ISBLANK(Actuals!BY69),0,Actuals!BY69)</f>
        <v>0</v>
      </c>
      <c r="BZ70" s="3">
        <f>IF(ISBLANK(Actuals!BZ69),0,Actuals!BZ69)</f>
        <v>0</v>
      </c>
      <c r="CA70" s="3">
        <f>IF(ISBLANK(Actuals!CA69),0,Actuals!CA69)</f>
        <v>0</v>
      </c>
      <c r="CB70" s="3">
        <f>IF(ISBLANK(Actuals!CB69),0,Actuals!CB69)</f>
        <v>0</v>
      </c>
      <c r="CC70" s="3">
        <f>IF(ISBLANK(Actuals!CC69),0,Actuals!CC69)</f>
        <v>0</v>
      </c>
      <c r="CD70" s="3">
        <f>IF(ISBLANK(Actuals!CD69),0,Actuals!CD69)</f>
        <v>0</v>
      </c>
      <c r="CE70" s="3">
        <f>IF(ISBLANK(Actuals!CE69),0,Actuals!CE69)</f>
        <v>0</v>
      </c>
      <c r="CF70" s="3">
        <f>IF(ISBLANK(Actuals!CF69),0,Actuals!CF69)</f>
        <v>0</v>
      </c>
      <c r="CG70" s="3">
        <f>IF(ISBLANK(Actuals!CG69),0,Actuals!CG69)</f>
        <v>0</v>
      </c>
      <c r="CH70" s="3">
        <f>IF(ISBLANK(Actuals!CH69),0,Actuals!CH69)</f>
        <v>0</v>
      </c>
      <c r="CI70" s="3">
        <f>IF(ISBLANK(Actuals!CI69),0,Actuals!CI69)</f>
        <v>0</v>
      </c>
      <c r="CJ70" s="3">
        <f>IF(ISBLANK(Actuals!CJ69),0,Actuals!CJ69)</f>
        <v>0</v>
      </c>
      <c r="CK70" s="3">
        <f>IF(ISBLANK(Actuals!CK69),0,Actuals!CK69)</f>
        <v>0</v>
      </c>
      <c r="CL70" s="3">
        <f>IF(ISBLANK(Actuals!CL69),0,Actuals!CL69)</f>
        <v>0</v>
      </c>
      <c r="CM70" s="3">
        <f>IF(ISBLANK(Actuals!CM69),0,Actuals!CM69)</f>
        <v>0</v>
      </c>
      <c r="CN70" s="3">
        <f>IF(ISBLANK(Actuals!CN69),0,Actuals!CN69)</f>
        <v>0</v>
      </c>
      <c r="CO70" s="3">
        <f>IF(ISBLANK(Actuals!CO69),0,Actuals!CO69)</f>
        <v>0</v>
      </c>
      <c r="CP70" s="3">
        <f>IF(ISBLANK(Actuals!CP69),0,Actuals!CP69)</f>
        <v>0</v>
      </c>
      <c r="CQ70" s="3">
        <f>IF(ISBLANK(Actuals!CQ69),0,Actuals!CQ69)</f>
        <v>0</v>
      </c>
      <c r="CR70" s="3">
        <f>IF(ISBLANK(Actuals!CR69),0,Actuals!CR69)</f>
        <v>0</v>
      </c>
      <c r="CS70" s="3">
        <f>IF(ISBLANK(Actuals!CS69),0,Actuals!CS69)</f>
        <v>0</v>
      </c>
      <c r="CT70" s="3">
        <f>IF(ISBLANK(Actuals!CT69),0,Actuals!CT69)</f>
        <v>0</v>
      </c>
      <c r="CU70" s="3">
        <f>IF(ISBLANK(Actuals!CU69),0,Actuals!CU69)</f>
        <v>0</v>
      </c>
      <c r="CV70" s="3">
        <f>IF(ISBLANK(Actuals!CV69),0,Actuals!CV69)</f>
        <v>0</v>
      </c>
      <c r="CW70" s="3">
        <f>IF(ISBLANK(Actuals!CW69),0,Actuals!CW69)</f>
        <v>0</v>
      </c>
      <c r="CX70" s="3">
        <f>IF(ISBLANK(Actuals!CX69),0,Actuals!CX69)</f>
        <v>0</v>
      </c>
      <c r="CY70" s="3">
        <f>IF(ISBLANK(Actuals!CY69),0,Actuals!CY69)</f>
        <v>0</v>
      </c>
      <c r="CZ70" s="3">
        <f>IF(ISBLANK(Actuals!CZ69),0,Actuals!CZ69)</f>
        <v>0</v>
      </c>
      <c r="DA70" s="3">
        <f>IF(ISBLANK(Actuals!DA69),0,Actuals!DA69)</f>
        <v>0</v>
      </c>
      <c r="DB70" s="3">
        <f>IF(ISBLANK(Actuals!DB69),0,Actuals!DB69)</f>
        <v>0</v>
      </c>
      <c r="DC70" s="3">
        <f>IF(ISBLANK(Actuals!DC69),0,Actuals!DC69)</f>
        <v>0</v>
      </c>
      <c r="DD70" s="3">
        <f>IF(ISBLANK(Actuals!DD69),0,Actuals!DD69)</f>
        <v>0</v>
      </c>
      <c r="DE70" s="3">
        <f>IF(ISBLANK(Actuals!DE69),0,Actuals!DE69)</f>
        <v>0</v>
      </c>
      <c r="DF70" s="3">
        <f>IF(ISBLANK(Actuals!DF69),0,Actuals!DF69)</f>
        <v>0</v>
      </c>
    </row>
    <row r="71" spans="1:110" ht="15" customHeight="1" x14ac:dyDescent="0.25">
      <c r="A71" s="13" t="s">
        <v>105</v>
      </c>
      <c r="B71" s="302"/>
      <c r="C71" s="3">
        <f>IF(ISBLANK(Actuals!C70),0,Actuals!C70)</f>
        <v>0</v>
      </c>
      <c r="D71" s="3">
        <f>IF(ISBLANK(Actuals!D70),0,Actuals!D70)</f>
        <v>0</v>
      </c>
      <c r="E71" s="3">
        <f>IF(ISBLANK(Actuals!E70),0,Actuals!E70)</f>
        <v>0</v>
      </c>
      <c r="F71" s="3">
        <f>IF(ISBLANK(Actuals!F70),0,Actuals!F70)</f>
        <v>0</v>
      </c>
      <c r="G71" s="3">
        <f>IF(ISBLANK(Actuals!G70),0,Actuals!G70)</f>
        <v>0</v>
      </c>
      <c r="H71" s="3">
        <f>IF(ISBLANK(Actuals!H70),0,Actuals!H70)</f>
        <v>0</v>
      </c>
      <c r="I71" s="3">
        <f>IF(ISBLANK(Actuals!I70),0,Actuals!I70)</f>
        <v>0</v>
      </c>
      <c r="J71" s="3">
        <f>IF(ISBLANK(Actuals!J70),IF(Projects!$G$11="Yes",6315.79,0),Actuals!J70)</f>
        <v>0</v>
      </c>
      <c r="K71" s="3">
        <f>IF(ISBLANK(Actuals!K70),IF(Projects!$G$11="Yes",6315.79,0),Actuals!K70)</f>
        <v>0</v>
      </c>
      <c r="L71" s="3">
        <f>IF(ISBLANK(Actuals!L70),IF(Projects!$G$11="Yes",6315.79,0),Actuals!L70)</f>
        <v>0</v>
      </c>
      <c r="M71" s="3">
        <f>IF(ISBLANK(Actuals!M70),IF(Projects!$G$11="Yes",6315.79,0),Actuals!M70)</f>
        <v>0</v>
      </c>
      <c r="N71" s="3">
        <f>IF(ISBLANK(Actuals!N70),IF(Projects!$G$11="Yes",6315.79,0),Actuals!N70)</f>
        <v>0</v>
      </c>
      <c r="O71" s="3">
        <f>IF(ISBLANK(Actuals!O70),IF(Projects!$G$11="Yes",6315.79,0),Actuals!O70)</f>
        <v>0</v>
      </c>
      <c r="P71" s="3">
        <f>IF(ISBLANK(Actuals!P70),IF(Projects!$G$11="Yes",6315.79,0),Actuals!P70)</f>
        <v>0</v>
      </c>
      <c r="Q71" s="3">
        <f>IF(ISBLANK(Actuals!Q70),IF(Projects!$G$11="Yes",6315.79,0),Actuals!Q70)</f>
        <v>0</v>
      </c>
      <c r="R71" s="3">
        <f>IF(ISBLANK(Actuals!R70),IF(Projects!$G$11="Yes",6315.79,0),Actuals!R70)</f>
        <v>0</v>
      </c>
      <c r="S71" s="3">
        <f>IF(ISBLANK(Actuals!S70),IF(Projects!$G$11="Yes",6315.79,0),Actuals!S70)</f>
        <v>0</v>
      </c>
      <c r="T71" s="3">
        <f>IF(ISBLANK(Actuals!T70),IF(Projects!$G$11="Yes",6315.79,0),Actuals!T70)</f>
        <v>0</v>
      </c>
      <c r="U71" s="3">
        <f>IF(ISBLANK(Actuals!U70),IF(Projects!$G$11="Yes",6315.79,0),Actuals!U70)</f>
        <v>0</v>
      </c>
      <c r="V71" s="3">
        <f>IF(ISBLANK(Actuals!V70),IF(Projects!$G$11="Yes",6315.79,0),Actuals!V70)</f>
        <v>0</v>
      </c>
      <c r="W71" s="3">
        <f>IF(ISBLANK(Actuals!W70),IF(Projects!$G$11="Yes",6315.79,0),Actuals!W70)</f>
        <v>0</v>
      </c>
      <c r="X71" s="3">
        <f>IF(ISBLANK(Actuals!X70),IF(Projects!$G$11="Yes",6315.79,0),Actuals!X70)</f>
        <v>0</v>
      </c>
      <c r="Y71" s="3">
        <f>IF(ISBLANK(Actuals!Y70),IF(Projects!$G$11="Yes",6315.79,0),Actuals!Y70)</f>
        <v>0</v>
      </c>
      <c r="Z71" s="3">
        <f>IF(ISBLANK(Actuals!Z70),IF(Projects!$G$11="Yes",6315.79,0),Actuals!Z70)</f>
        <v>0</v>
      </c>
      <c r="AA71" s="3">
        <f>IF(ISBLANK(Actuals!AA70),IF(Projects!$G$11="Yes",6315.79,0),Actuals!AA70)</f>
        <v>0</v>
      </c>
      <c r="AB71" s="3">
        <f>IF(ISBLANK(Actuals!AB70),IF(Projects!$G$11="Yes",6315.79,0),Actuals!AB70)</f>
        <v>0</v>
      </c>
      <c r="AC71" s="3">
        <f>IF(ISBLANK(Actuals!AC70),0,Actuals!AC70)</f>
        <v>0</v>
      </c>
      <c r="AD71" s="3">
        <f>IF(ISBLANK(Actuals!AD70),0,Actuals!AD70)</f>
        <v>0</v>
      </c>
      <c r="AE71" s="3">
        <f>IF(ISBLANK(Actuals!AE70),0,Actuals!AE70)</f>
        <v>0</v>
      </c>
      <c r="AF71" s="3">
        <f>IF(ISBLANK(Actuals!AF70),0,Actuals!AF70)</f>
        <v>0</v>
      </c>
      <c r="AG71" s="3">
        <f>IF(ISBLANK(Actuals!AG70),0,Actuals!AG70)</f>
        <v>0</v>
      </c>
      <c r="AH71" s="3">
        <f>IF(ISBLANK(Actuals!AH70),0,Actuals!AH70)</f>
        <v>0</v>
      </c>
      <c r="AI71" s="3">
        <f>IF(ISBLANK(Actuals!AI70),0,Actuals!AI70)</f>
        <v>0</v>
      </c>
      <c r="AJ71" s="3">
        <f>IF(ISBLANK(Actuals!AJ70),0,Actuals!AJ70)</f>
        <v>0</v>
      </c>
      <c r="AK71" s="3">
        <f>IF(ISBLANK(Actuals!AK70),0,Actuals!AK70)</f>
        <v>0</v>
      </c>
      <c r="AL71" s="3">
        <f>IF(ISBLANK(Actuals!AL70),0,Actuals!AL70)</f>
        <v>0</v>
      </c>
      <c r="AM71" s="3">
        <f>IF(ISBLANK(Actuals!AM70),0,Actuals!AM70)</f>
        <v>0</v>
      </c>
      <c r="AN71" s="3">
        <f>IF(ISBLANK(Actuals!AN70),0,Actuals!AN70)</f>
        <v>0</v>
      </c>
      <c r="AO71" s="3">
        <f>IF(ISBLANK(Actuals!AO70),0,Actuals!AO70)</f>
        <v>0</v>
      </c>
      <c r="AP71" s="3">
        <f>IF(ISBLANK(Actuals!AP70),0,Actuals!AP70)</f>
        <v>0</v>
      </c>
      <c r="AQ71" s="3">
        <f>IF(ISBLANK(Actuals!AQ70),0,Actuals!AQ70)</f>
        <v>0</v>
      </c>
      <c r="AR71" s="3">
        <f>IF(ISBLANK(Actuals!AR70),0,Actuals!AR70)</f>
        <v>0</v>
      </c>
      <c r="AS71" s="3">
        <f>IF(ISBLANK(Actuals!AS70),0,Actuals!AS70)</f>
        <v>0</v>
      </c>
      <c r="AT71" s="3">
        <f>IF(ISBLANK(Actuals!AT70),0,Actuals!AT70)</f>
        <v>0</v>
      </c>
      <c r="AU71" s="3">
        <f>IF(ISBLANK(Actuals!AU70),0,Actuals!AU70)</f>
        <v>0</v>
      </c>
      <c r="AV71" s="3">
        <f>IF(ISBLANK(Actuals!AV70),0,Actuals!AV70)</f>
        <v>0</v>
      </c>
      <c r="AW71" s="3">
        <f>IF(ISBLANK(Actuals!AW70),0,Actuals!AW70)</f>
        <v>0</v>
      </c>
      <c r="AX71" s="3">
        <f>IF(ISBLANK(Actuals!AX70),0,Actuals!AX70)</f>
        <v>0</v>
      </c>
      <c r="AY71" s="3">
        <f>IF(ISBLANK(Actuals!AY70),0,Actuals!AY70)</f>
        <v>0</v>
      </c>
      <c r="AZ71" s="3">
        <f>IF(ISBLANK(Actuals!AZ70),0,Actuals!AZ70)</f>
        <v>0</v>
      </c>
      <c r="BA71" s="3">
        <f>IF(ISBLANK(Actuals!BA70),0,Actuals!BA70)</f>
        <v>0</v>
      </c>
      <c r="BB71" s="3">
        <f>IF(ISBLANK(Actuals!BB70),0,Actuals!BB70)</f>
        <v>0</v>
      </c>
      <c r="BC71" s="3">
        <f>IF(ISBLANK(Actuals!BC70),0,Actuals!BC70)</f>
        <v>0</v>
      </c>
      <c r="BD71" s="3">
        <f>IF(ISBLANK(Actuals!BD70),0,Actuals!BD70)</f>
        <v>0</v>
      </c>
      <c r="BE71" s="3">
        <f>IF(ISBLANK(Actuals!BE70),0,Actuals!BE70)</f>
        <v>0</v>
      </c>
      <c r="BF71" s="3">
        <f>IF(ISBLANK(Actuals!BF70),0,Actuals!BF70)</f>
        <v>0</v>
      </c>
      <c r="BG71" s="3">
        <f>IF(ISBLANK(Actuals!BG70),0,Actuals!BG70)</f>
        <v>0</v>
      </c>
      <c r="BH71" s="3">
        <f>IF(ISBLANK(Actuals!BH70),0,Actuals!BH70)</f>
        <v>0</v>
      </c>
      <c r="BI71" s="3">
        <f>IF(ISBLANK(Actuals!BI70),0,Actuals!BI70)</f>
        <v>0</v>
      </c>
      <c r="BJ71" s="3">
        <f>IF(ISBLANK(Actuals!BJ70),0,Actuals!BJ70)</f>
        <v>0</v>
      </c>
      <c r="BK71" s="3">
        <f>IF(ISBLANK(Actuals!BK70),0,Actuals!BK70)</f>
        <v>0</v>
      </c>
      <c r="BL71" s="3">
        <f>IF(ISBLANK(Actuals!BL70),0,Actuals!BL70)</f>
        <v>0</v>
      </c>
      <c r="BM71" s="3">
        <f>IF(ISBLANK(Actuals!BM70),0,Actuals!BM70)</f>
        <v>0</v>
      </c>
      <c r="BN71" s="3">
        <f>IF(ISBLANK(Actuals!BN70),0,Actuals!BN70)</f>
        <v>0</v>
      </c>
      <c r="BO71" s="3">
        <f>IF(ISBLANK(Actuals!BO70),0,Actuals!BO70)</f>
        <v>0</v>
      </c>
      <c r="BP71" s="3">
        <f>IF(ISBLANK(Actuals!BP70),0,Actuals!BP70)</f>
        <v>0</v>
      </c>
      <c r="BQ71" s="3">
        <f>IF(ISBLANK(Actuals!BQ70),0,Actuals!BQ70)</f>
        <v>0</v>
      </c>
      <c r="BR71" s="3">
        <f>IF(ISBLANK(Actuals!BR70),0,Actuals!BR70)</f>
        <v>0</v>
      </c>
      <c r="BS71" s="3">
        <f>IF(ISBLANK(Actuals!BS70),0,Actuals!BS70)</f>
        <v>0</v>
      </c>
      <c r="BT71" s="3">
        <f>IF(ISBLANK(Actuals!BT70),0,Actuals!BT70)</f>
        <v>0</v>
      </c>
      <c r="BU71" s="3">
        <f>IF(ISBLANK(Actuals!BU70),0,Actuals!BU70)</f>
        <v>0</v>
      </c>
      <c r="BV71" s="3">
        <f>IF(ISBLANK(Actuals!BV70),0,Actuals!BV70)</f>
        <v>0</v>
      </c>
      <c r="BW71" s="3">
        <f>IF(ISBLANK(Actuals!BW70),0,Actuals!BW70)</f>
        <v>0</v>
      </c>
      <c r="BX71" s="3">
        <f>IF(ISBLANK(Actuals!BX70),0,Actuals!BX70)</f>
        <v>0</v>
      </c>
      <c r="BY71" s="3">
        <f>IF(ISBLANK(Actuals!BY70),0,Actuals!BY70)</f>
        <v>0</v>
      </c>
      <c r="BZ71" s="3">
        <f>IF(ISBLANK(Actuals!BZ70),0,Actuals!BZ70)</f>
        <v>0</v>
      </c>
      <c r="CA71" s="3">
        <f>IF(ISBLANK(Actuals!CA70),0,Actuals!CA70)</f>
        <v>0</v>
      </c>
      <c r="CB71" s="3">
        <f>IF(ISBLANK(Actuals!CB70),0,Actuals!CB70)</f>
        <v>0</v>
      </c>
      <c r="CC71" s="3">
        <f>IF(ISBLANK(Actuals!CC70),0,Actuals!CC70)</f>
        <v>0</v>
      </c>
      <c r="CD71" s="3">
        <f>IF(ISBLANK(Actuals!CD70),0,Actuals!CD70)</f>
        <v>0</v>
      </c>
      <c r="CE71" s="3">
        <f>IF(ISBLANK(Actuals!CE70),0,Actuals!CE70)</f>
        <v>0</v>
      </c>
      <c r="CF71" s="3">
        <f>IF(ISBLANK(Actuals!CF70),0,Actuals!CF70)</f>
        <v>0</v>
      </c>
      <c r="CG71" s="3">
        <f>IF(ISBLANK(Actuals!CG70),0,Actuals!CG70)</f>
        <v>0</v>
      </c>
      <c r="CH71" s="3">
        <f>IF(ISBLANK(Actuals!CH70),0,Actuals!CH70)</f>
        <v>0</v>
      </c>
      <c r="CI71" s="3">
        <f>IF(ISBLANK(Actuals!CI70),0,Actuals!CI70)</f>
        <v>0</v>
      </c>
      <c r="CJ71" s="3">
        <f>IF(ISBLANK(Actuals!CJ70),0,Actuals!CJ70)</f>
        <v>0</v>
      </c>
      <c r="CK71" s="3">
        <f>IF(ISBLANK(Actuals!CK70),0,Actuals!CK70)</f>
        <v>0</v>
      </c>
      <c r="CL71" s="3">
        <f>IF(ISBLANK(Actuals!CL70),0,Actuals!CL70)</f>
        <v>0</v>
      </c>
      <c r="CM71" s="3">
        <f>IF(ISBLANK(Actuals!CM70),0,Actuals!CM70)</f>
        <v>0</v>
      </c>
      <c r="CN71" s="3">
        <f>IF(ISBLANK(Actuals!CN70),0,Actuals!CN70)</f>
        <v>0</v>
      </c>
      <c r="CO71" s="3">
        <f>IF(ISBLANK(Actuals!CO70),0,Actuals!CO70)</f>
        <v>0</v>
      </c>
      <c r="CP71" s="3">
        <f>IF(ISBLANK(Actuals!CP70),0,Actuals!CP70)</f>
        <v>0</v>
      </c>
      <c r="CQ71" s="3">
        <f>IF(ISBLANK(Actuals!CQ70),0,Actuals!CQ70)</f>
        <v>0</v>
      </c>
      <c r="CR71" s="3">
        <f>IF(ISBLANK(Actuals!CR70),0,Actuals!CR70)</f>
        <v>0</v>
      </c>
      <c r="CS71" s="3">
        <f>IF(ISBLANK(Actuals!CS70),0,Actuals!CS70)</f>
        <v>0</v>
      </c>
      <c r="CT71" s="3">
        <f>IF(ISBLANK(Actuals!CT70),0,Actuals!CT70)</f>
        <v>0</v>
      </c>
      <c r="CU71" s="3">
        <f>IF(ISBLANK(Actuals!CU70),0,Actuals!CU70)</f>
        <v>0</v>
      </c>
      <c r="CV71" s="3">
        <f>IF(ISBLANK(Actuals!CV70),0,Actuals!CV70)</f>
        <v>0</v>
      </c>
      <c r="CW71" s="3">
        <f>IF(ISBLANK(Actuals!CW70),0,Actuals!CW70)</f>
        <v>0</v>
      </c>
      <c r="CX71" s="3">
        <f>IF(ISBLANK(Actuals!CX70),0,Actuals!CX70)</f>
        <v>0</v>
      </c>
      <c r="CY71" s="3">
        <f>IF(ISBLANK(Actuals!CY70),0,Actuals!CY70)</f>
        <v>0</v>
      </c>
      <c r="CZ71" s="3">
        <f>IF(ISBLANK(Actuals!CZ70),0,Actuals!CZ70)</f>
        <v>0</v>
      </c>
      <c r="DA71" s="3">
        <f>IF(ISBLANK(Actuals!DA70),0,Actuals!DA70)</f>
        <v>0</v>
      </c>
      <c r="DB71" s="3">
        <f>IF(ISBLANK(Actuals!DB70),0,Actuals!DB70)</f>
        <v>0</v>
      </c>
      <c r="DC71" s="3">
        <f>IF(ISBLANK(Actuals!DC70),0,Actuals!DC70)</f>
        <v>0</v>
      </c>
      <c r="DD71" s="3">
        <f>IF(ISBLANK(Actuals!DD70),0,Actuals!DD70)</f>
        <v>0</v>
      </c>
      <c r="DE71" s="3">
        <f>IF(ISBLANK(Actuals!DE70),0,Actuals!DE70)</f>
        <v>0</v>
      </c>
      <c r="DF71" s="3">
        <f>IF(ISBLANK(Actuals!DF70),0,Actuals!DF70)</f>
        <v>0</v>
      </c>
    </row>
    <row r="72" spans="1:110" ht="15" customHeight="1" x14ac:dyDescent="0.25">
      <c r="A72" s="13" t="s">
        <v>106</v>
      </c>
      <c r="B72" s="302"/>
      <c r="C72" s="3">
        <f>IF(ISBLANK(Actuals!C71),0,Actuals!C71)</f>
        <v>0</v>
      </c>
      <c r="D72" s="3">
        <f>IF(ISBLANK(Actuals!D71),0,Actuals!D71)</f>
        <v>0</v>
      </c>
      <c r="E72" s="3">
        <f>IF(ISBLANK(Actuals!E71),0,Actuals!E71)</f>
        <v>0</v>
      </c>
      <c r="F72" s="3">
        <f>IF(ISBLANK(Actuals!F71),0,Actuals!F71)</f>
        <v>0</v>
      </c>
      <c r="G72" s="3">
        <f>IF(ISBLANK(Actuals!G71),0,Actuals!G71)</f>
        <v>0</v>
      </c>
      <c r="H72" s="3">
        <f>IF(ISBLANK(Actuals!H71),0,Actuals!H71)</f>
        <v>0</v>
      </c>
      <c r="I72" s="3">
        <f>IF(ISBLANK(Actuals!I71),0,Actuals!I71)</f>
        <v>0</v>
      </c>
      <c r="J72" s="3">
        <f>IF(ISBLANK(Actuals!J71),IF(Projects!$G$11="Yes",253980,0),Actuals!J71)</f>
        <v>0</v>
      </c>
      <c r="K72" s="3">
        <f>IF(ISBLANK(Actuals!K71),0,Actuals!K71)</f>
        <v>0</v>
      </c>
      <c r="L72" s="3">
        <f>IF(ISBLANK(Actuals!L71),0,Actuals!L71)</f>
        <v>0</v>
      </c>
      <c r="M72" s="3">
        <f>IF(ISBLANK(Actuals!M71),0,Actuals!M71)</f>
        <v>0</v>
      </c>
      <c r="N72" s="3">
        <f>IF(ISBLANK(Actuals!N71),0,Actuals!N71)</f>
        <v>0</v>
      </c>
      <c r="O72" s="3">
        <f>IF(ISBLANK(Actuals!O71),0,Actuals!O71)</f>
        <v>0</v>
      </c>
      <c r="P72" s="3">
        <f>IF(ISBLANK(Actuals!P71),0,Actuals!P71)</f>
        <v>0</v>
      </c>
      <c r="Q72" s="3">
        <f>IF(ISBLANK(Actuals!Q71),0,Actuals!Q71)</f>
        <v>0</v>
      </c>
      <c r="R72" s="3">
        <f>IF(ISBLANK(Actuals!R71),0,Actuals!R71)</f>
        <v>0</v>
      </c>
      <c r="S72" s="3">
        <f>IF(ISBLANK(Actuals!S71),0,Actuals!S71)</f>
        <v>0</v>
      </c>
      <c r="T72" s="3">
        <f>IF(ISBLANK(Actuals!T71),0,Actuals!T71)</f>
        <v>0</v>
      </c>
      <c r="U72" s="3">
        <f>IF(ISBLANK(Actuals!U71),0,Actuals!U71)</f>
        <v>0</v>
      </c>
      <c r="V72" s="3">
        <f>IF(ISBLANK(Actuals!V71),0,Actuals!V71)</f>
        <v>0</v>
      </c>
      <c r="W72" s="3">
        <f>IF(ISBLANK(Actuals!W71),0,Actuals!W71)</f>
        <v>0</v>
      </c>
      <c r="X72" s="3">
        <f>IF(ISBLANK(Actuals!X71),0,Actuals!X71)</f>
        <v>0</v>
      </c>
      <c r="Y72" s="3">
        <f>IF(ISBLANK(Actuals!Y71),0,Actuals!Y71)</f>
        <v>0</v>
      </c>
      <c r="Z72" s="3">
        <f>IF(ISBLANK(Actuals!Z71),0,Actuals!Z71)</f>
        <v>0</v>
      </c>
      <c r="AA72" s="3">
        <f>IF(ISBLANK(Actuals!AA71),0,Actuals!AA71)</f>
        <v>0</v>
      </c>
      <c r="AB72" s="3">
        <f>IF(ISBLANK(Actuals!AB71),0,Actuals!AB71)</f>
        <v>0</v>
      </c>
      <c r="AC72" s="3">
        <f>IF(ISBLANK(Actuals!AC71),0,Actuals!AC71)</f>
        <v>0</v>
      </c>
      <c r="AD72" s="3">
        <f>IF(ISBLANK(Actuals!AD71),0,Actuals!AD71)</f>
        <v>0</v>
      </c>
      <c r="AE72" s="3">
        <f>IF(ISBLANK(Actuals!AE71),0,Actuals!AE71)</f>
        <v>0</v>
      </c>
      <c r="AF72" s="3">
        <f>IF(ISBLANK(Actuals!AF71),0,Actuals!AF71)</f>
        <v>0</v>
      </c>
      <c r="AG72" s="3">
        <f>IF(ISBLANK(Actuals!AG71),0,Actuals!AG71)</f>
        <v>0</v>
      </c>
      <c r="AH72" s="3">
        <f>IF(ISBLANK(Actuals!AH71),0,Actuals!AH71)</f>
        <v>0</v>
      </c>
      <c r="AI72" s="3">
        <f>IF(ISBLANK(Actuals!AI71),0,Actuals!AI71)</f>
        <v>0</v>
      </c>
      <c r="AJ72" s="3">
        <f>IF(ISBLANK(Actuals!AJ71),0,Actuals!AJ71)</f>
        <v>0</v>
      </c>
      <c r="AK72" s="3">
        <f>IF(ISBLANK(Actuals!AK71),0,Actuals!AK71)</f>
        <v>0</v>
      </c>
      <c r="AL72" s="3">
        <f>IF(ISBLANK(Actuals!AL71),0,Actuals!AL71)</f>
        <v>0</v>
      </c>
      <c r="AM72" s="3">
        <f>IF(ISBLANK(Actuals!AM71),0,Actuals!AM71)</f>
        <v>0</v>
      </c>
      <c r="AN72" s="3">
        <f>IF(ISBLANK(Actuals!AN71),0,Actuals!AN71)</f>
        <v>0</v>
      </c>
      <c r="AO72" s="3">
        <f>IF(ISBLANK(Actuals!AO71),0,Actuals!AO71)</f>
        <v>0</v>
      </c>
      <c r="AP72" s="3">
        <f>IF(ISBLANK(Actuals!AP71),0,Actuals!AP71)</f>
        <v>0</v>
      </c>
      <c r="AQ72" s="3">
        <f>IF(ISBLANK(Actuals!AQ71),0,Actuals!AQ71)</f>
        <v>0</v>
      </c>
      <c r="AR72" s="3">
        <f>IF(ISBLANK(Actuals!AR71),0,Actuals!AR71)</f>
        <v>0</v>
      </c>
      <c r="AS72" s="3">
        <f>IF(ISBLANK(Actuals!AS71),0,Actuals!AS71)</f>
        <v>0</v>
      </c>
      <c r="AT72" s="3">
        <f>IF(ISBLANK(Actuals!AT71),0,Actuals!AT71)</f>
        <v>0</v>
      </c>
      <c r="AU72" s="3">
        <f>IF(ISBLANK(Actuals!AU71),0,Actuals!AU71)</f>
        <v>0</v>
      </c>
      <c r="AV72" s="3">
        <f>IF(ISBLANK(Actuals!AV71),0,Actuals!AV71)</f>
        <v>0</v>
      </c>
      <c r="AW72" s="3">
        <f>IF(ISBLANK(Actuals!AW71),0,Actuals!AW71)</f>
        <v>0</v>
      </c>
      <c r="AX72" s="3">
        <f>IF(ISBLANK(Actuals!AX71),0,Actuals!AX71)</f>
        <v>0</v>
      </c>
      <c r="AY72" s="3">
        <f>IF(ISBLANK(Actuals!AY71),0,Actuals!AY71)</f>
        <v>0</v>
      </c>
      <c r="AZ72" s="3">
        <f>IF(ISBLANK(Actuals!AZ71),0,Actuals!AZ71)</f>
        <v>0</v>
      </c>
      <c r="BA72" s="3">
        <f>IF(ISBLANK(Actuals!BA71),0,Actuals!BA71)</f>
        <v>0</v>
      </c>
      <c r="BB72" s="3">
        <f>IF(ISBLANK(Actuals!BB71),0,Actuals!BB71)</f>
        <v>0</v>
      </c>
      <c r="BC72" s="3">
        <f>IF(ISBLANK(Actuals!BC71),0,Actuals!BC71)</f>
        <v>0</v>
      </c>
      <c r="BD72" s="3">
        <f>IF(ISBLANK(Actuals!BD71),0,Actuals!BD71)</f>
        <v>0</v>
      </c>
      <c r="BE72" s="3">
        <f>IF(ISBLANK(Actuals!BE71),0,Actuals!BE71)</f>
        <v>0</v>
      </c>
      <c r="BF72" s="3">
        <f>IF(ISBLANK(Actuals!BF71),0,Actuals!BF71)</f>
        <v>0</v>
      </c>
      <c r="BG72" s="3">
        <f>IF(ISBLANK(Actuals!BG71),0,Actuals!BG71)</f>
        <v>0</v>
      </c>
      <c r="BH72" s="3">
        <f>IF(ISBLANK(Actuals!BH71),0,Actuals!BH71)</f>
        <v>0</v>
      </c>
      <c r="BI72" s="3">
        <f>IF(ISBLANK(Actuals!BI71),0,Actuals!BI71)</f>
        <v>0</v>
      </c>
      <c r="BJ72" s="3">
        <f>IF(ISBLANK(Actuals!BJ71),0,Actuals!BJ71)</f>
        <v>0</v>
      </c>
      <c r="BK72" s="3">
        <f>IF(ISBLANK(Actuals!BK71),0,Actuals!BK71)</f>
        <v>0</v>
      </c>
      <c r="BL72" s="3">
        <f>IF(ISBLANK(Actuals!BL71),0,Actuals!BL71)</f>
        <v>0</v>
      </c>
      <c r="BM72" s="3">
        <f>IF(ISBLANK(Actuals!BM71),0,Actuals!BM71)</f>
        <v>0</v>
      </c>
      <c r="BN72" s="3">
        <f>IF(ISBLANK(Actuals!BN71),0,Actuals!BN71)</f>
        <v>0</v>
      </c>
      <c r="BO72" s="3">
        <f>IF(ISBLANK(Actuals!BO71),0,Actuals!BO71)</f>
        <v>0</v>
      </c>
      <c r="BP72" s="3">
        <f>IF(ISBLANK(Actuals!BP71),0,Actuals!BP71)</f>
        <v>0</v>
      </c>
      <c r="BQ72" s="3">
        <f>IF(ISBLANK(Actuals!BQ71),0,Actuals!BQ71)</f>
        <v>0</v>
      </c>
      <c r="BR72" s="3">
        <f>IF(ISBLANK(Actuals!BR71),0,Actuals!BR71)</f>
        <v>0</v>
      </c>
      <c r="BS72" s="3">
        <f>IF(ISBLANK(Actuals!BS71),0,Actuals!BS71)</f>
        <v>0</v>
      </c>
      <c r="BT72" s="3">
        <f>IF(ISBLANK(Actuals!BT71),0,Actuals!BT71)</f>
        <v>0</v>
      </c>
      <c r="BU72" s="3">
        <f>IF(ISBLANK(Actuals!BU71),0,Actuals!BU71)</f>
        <v>0</v>
      </c>
      <c r="BV72" s="3">
        <f>IF(ISBLANK(Actuals!BV71),0,Actuals!BV71)</f>
        <v>0</v>
      </c>
      <c r="BW72" s="3">
        <f>IF(ISBLANK(Actuals!BW71),0,Actuals!BW71)</f>
        <v>0</v>
      </c>
      <c r="BX72" s="3">
        <f>IF(ISBLANK(Actuals!BX71),0,Actuals!BX71)</f>
        <v>0</v>
      </c>
      <c r="BY72" s="3">
        <f>IF(ISBLANK(Actuals!BY71),0,Actuals!BY71)</f>
        <v>0</v>
      </c>
      <c r="BZ72" s="3">
        <f>IF(ISBLANK(Actuals!BZ71),0,Actuals!BZ71)</f>
        <v>0</v>
      </c>
      <c r="CA72" s="3">
        <f>IF(ISBLANK(Actuals!CA71),0,Actuals!CA71)</f>
        <v>0</v>
      </c>
      <c r="CB72" s="3">
        <f>IF(ISBLANK(Actuals!CB71),0,Actuals!CB71)</f>
        <v>0</v>
      </c>
      <c r="CC72" s="3">
        <f>IF(ISBLANK(Actuals!CC71),0,Actuals!CC71)</f>
        <v>0</v>
      </c>
      <c r="CD72" s="3">
        <f>IF(ISBLANK(Actuals!CD71),0,Actuals!CD71)</f>
        <v>0</v>
      </c>
      <c r="CE72" s="3">
        <f>IF(ISBLANK(Actuals!CE71),0,Actuals!CE71)</f>
        <v>0</v>
      </c>
      <c r="CF72" s="3">
        <f>IF(ISBLANK(Actuals!CF71),0,Actuals!CF71)</f>
        <v>0</v>
      </c>
      <c r="CG72" s="3">
        <f>IF(ISBLANK(Actuals!CG71),0,Actuals!CG71)</f>
        <v>0</v>
      </c>
      <c r="CH72" s="3">
        <f>IF(ISBLANK(Actuals!CH71),0,Actuals!CH71)</f>
        <v>0</v>
      </c>
      <c r="CI72" s="3">
        <f>IF(ISBLANK(Actuals!CI71),0,Actuals!CI71)</f>
        <v>0</v>
      </c>
      <c r="CJ72" s="3">
        <f>IF(ISBLANK(Actuals!CJ71),0,Actuals!CJ71)</f>
        <v>0</v>
      </c>
      <c r="CK72" s="3">
        <f>IF(ISBLANK(Actuals!CK71),0,Actuals!CK71)</f>
        <v>0</v>
      </c>
      <c r="CL72" s="3">
        <f>IF(ISBLANK(Actuals!CL71),0,Actuals!CL71)</f>
        <v>0</v>
      </c>
      <c r="CM72" s="3">
        <f>IF(ISBLANK(Actuals!CM71),0,Actuals!CM71)</f>
        <v>0</v>
      </c>
      <c r="CN72" s="3">
        <f>IF(ISBLANK(Actuals!CN71),0,Actuals!CN71)</f>
        <v>0</v>
      </c>
      <c r="CO72" s="3">
        <f>IF(ISBLANK(Actuals!CO71),0,Actuals!CO71)</f>
        <v>0</v>
      </c>
      <c r="CP72" s="3">
        <f>IF(ISBLANK(Actuals!CP71),0,Actuals!CP71)</f>
        <v>0</v>
      </c>
      <c r="CQ72" s="3">
        <f>IF(ISBLANK(Actuals!CQ71),0,Actuals!CQ71)</f>
        <v>0</v>
      </c>
      <c r="CR72" s="3">
        <f>IF(ISBLANK(Actuals!CR71),0,Actuals!CR71)</f>
        <v>0</v>
      </c>
      <c r="CS72" s="3">
        <f>IF(ISBLANK(Actuals!CS71),0,Actuals!CS71)</f>
        <v>0</v>
      </c>
      <c r="CT72" s="3">
        <f>IF(ISBLANK(Actuals!CT71),0,Actuals!CT71)</f>
        <v>0</v>
      </c>
      <c r="CU72" s="3">
        <f>IF(ISBLANK(Actuals!CU71),0,Actuals!CU71)</f>
        <v>0</v>
      </c>
      <c r="CV72" s="3">
        <f>IF(ISBLANK(Actuals!CV71),0,Actuals!CV71)</f>
        <v>0</v>
      </c>
      <c r="CW72" s="3">
        <f>IF(ISBLANK(Actuals!CW71),0,Actuals!CW71)</f>
        <v>0</v>
      </c>
      <c r="CX72" s="3">
        <f>IF(ISBLANK(Actuals!CX71),0,Actuals!CX71)</f>
        <v>0</v>
      </c>
      <c r="CY72" s="3">
        <f>IF(ISBLANK(Actuals!CY71),0,Actuals!CY71)</f>
        <v>0</v>
      </c>
      <c r="CZ72" s="3">
        <f>IF(ISBLANK(Actuals!CZ71),0,Actuals!CZ71)</f>
        <v>0</v>
      </c>
      <c r="DA72" s="3">
        <f>IF(ISBLANK(Actuals!DA71),0,Actuals!DA71)</f>
        <v>0</v>
      </c>
      <c r="DB72" s="3">
        <f>IF(ISBLANK(Actuals!DB71),0,Actuals!DB71)</f>
        <v>0</v>
      </c>
      <c r="DC72" s="3">
        <f>IF(ISBLANK(Actuals!DC71),0,Actuals!DC71)</f>
        <v>0</v>
      </c>
      <c r="DD72" s="3">
        <f>IF(ISBLANK(Actuals!DD71),0,Actuals!DD71)</f>
        <v>0</v>
      </c>
      <c r="DE72" s="3">
        <f>IF(ISBLANK(Actuals!DE71),0,Actuals!DE71)</f>
        <v>0</v>
      </c>
      <c r="DF72" s="3">
        <f>IF(ISBLANK(Actuals!DF71),0,Actuals!DF71)</f>
        <v>0</v>
      </c>
    </row>
    <row r="73" spans="1:110" ht="15" customHeight="1" x14ac:dyDescent="0.25">
      <c r="A73" s="13" t="s">
        <v>107</v>
      </c>
      <c r="B73" s="302"/>
      <c r="C73" s="3">
        <f>IF(ISBLANK(Actuals!C72),0,Actuals!C72)</f>
        <v>0</v>
      </c>
      <c r="D73" s="3">
        <f>IF(ISBLANK(Actuals!D72),0,Actuals!D72)</f>
        <v>0</v>
      </c>
      <c r="E73" s="3">
        <f>IF(ISBLANK(Actuals!E72),0,Actuals!E72)</f>
        <v>0</v>
      </c>
      <c r="F73" s="3">
        <f>IF(ISBLANK(Actuals!F72),0,Actuals!F72)</f>
        <v>0</v>
      </c>
      <c r="G73" s="3">
        <f>IF(ISBLANK(Actuals!G72),0,Actuals!G72)</f>
        <v>0</v>
      </c>
      <c r="H73" s="3">
        <f>IF(ISBLANK(Actuals!H72),0,Actuals!H72)</f>
        <v>0</v>
      </c>
      <c r="I73" s="3">
        <f>IF(ISBLANK(Actuals!I72),0,Actuals!I72)</f>
        <v>0</v>
      </c>
      <c r="J73" s="3">
        <f>IF(ISBLANK(Actuals!J72),0,Actuals!J72)</f>
        <v>0</v>
      </c>
      <c r="K73" s="3">
        <f>IF(ISBLANK(Actuals!K72),IF(Projects!$G$12="Yes",6315.79,0),Actuals!K72)</f>
        <v>0</v>
      </c>
      <c r="L73" s="3">
        <f>IF(ISBLANK(Actuals!L72),IF(Projects!$G$12="Yes",6315.79,0),Actuals!L72)</f>
        <v>0</v>
      </c>
      <c r="M73" s="3">
        <f>IF(ISBLANK(Actuals!M72),IF(Projects!$G$12="Yes",6315.79,0),Actuals!M72)</f>
        <v>0</v>
      </c>
      <c r="N73" s="3">
        <f>IF(ISBLANK(Actuals!N72),IF(Projects!$G$12="Yes",6315.79,0),Actuals!N72)</f>
        <v>0</v>
      </c>
      <c r="O73" s="3">
        <f>IF(ISBLANK(Actuals!O72),IF(Projects!$G$12="Yes",6315.79,0),Actuals!O72)</f>
        <v>0</v>
      </c>
      <c r="P73" s="3">
        <f>IF(ISBLANK(Actuals!P72),IF(Projects!$G$12="Yes",6315.79,0),Actuals!P72)</f>
        <v>0</v>
      </c>
      <c r="Q73" s="3">
        <f>IF(ISBLANK(Actuals!Q72),IF(Projects!$G$12="Yes",6315.79,0),Actuals!Q72)</f>
        <v>0</v>
      </c>
      <c r="R73" s="3">
        <f>IF(ISBLANK(Actuals!R72),IF(Projects!$G$12="Yes",6315.79,0),Actuals!R72)</f>
        <v>0</v>
      </c>
      <c r="S73" s="3">
        <f>IF(ISBLANK(Actuals!S72),IF(Projects!$G$12="Yes",6315.79,0),Actuals!S72)</f>
        <v>0</v>
      </c>
      <c r="T73" s="3">
        <f>IF(ISBLANK(Actuals!T72),IF(Projects!$G$12="Yes",6315.79,0),Actuals!T72)</f>
        <v>0</v>
      </c>
      <c r="U73" s="3">
        <f>IF(ISBLANK(Actuals!U72),IF(Projects!$G$12="Yes",6315.79,0),Actuals!U72)</f>
        <v>0</v>
      </c>
      <c r="V73" s="3">
        <f>IF(ISBLANK(Actuals!V72),IF(Projects!$G$12="Yes",6315.79,0),Actuals!V72)</f>
        <v>0</v>
      </c>
      <c r="W73" s="3">
        <f>IF(ISBLANK(Actuals!W72),IF(Projects!$G$12="Yes",6315.79,0),Actuals!W72)</f>
        <v>0</v>
      </c>
      <c r="X73" s="3">
        <f>IF(ISBLANK(Actuals!X72),IF(Projects!$G$12="Yes",6315.79,0),Actuals!X72)</f>
        <v>0</v>
      </c>
      <c r="Y73" s="3">
        <f>IF(ISBLANK(Actuals!Y72),IF(Projects!$G$12="Yes",6315.79,0),Actuals!Y72)</f>
        <v>0</v>
      </c>
      <c r="Z73" s="3">
        <f>IF(ISBLANK(Actuals!Z72),IF(Projects!$G$12="Yes",6315.79,0),Actuals!Z72)</f>
        <v>0</v>
      </c>
      <c r="AA73" s="3">
        <f>IF(ISBLANK(Actuals!AA72),IF(Projects!$G$12="Yes",6315.79,0),Actuals!AA72)</f>
        <v>0</v>
      </c>
      <c r="AB73" s="3">
        <f>IF(ISBLANK(Actuals!AB72),IF(Projects!$G$12="Yes",6315.79,0),Actuals!AB72)</f>
        <v>0</v>
      </c>
      <c r="AC73" s="3">
        <f>IF(ISBLANK(Actuals!AC72),IF(Projects!$G$12="Yes",6315.79,0),Actuals!AC72)</f>
        <v>0</v>
      </c>
      <c r="AD73" s="3">
        <f>IF(ISBLANK(Actuals!AD72),0,Actuals!AD72)</f>
        <v>0</v>
      </c>
      <c r="AE73" s="3">
        <f>IF(ISBLANK(Actuals!AE72),0,Actuals!AE72)</f>
        <v>0</v>
      </c>
      <c r="AF73" s="3">
        <f>IF(ISBLANK(Actuals!AF72),0,Actuals!AF72)</f>
        <v>0</v>
      </c>
      <c r="AG73" s="3">
        <f>IF(ISBLANK(Actuals!AG72),0,Actuals!AG72)</f>
        <v>0</v>
      </c>
      <c r="AH73" s="3">
        <f>IF(ISBLANK(Actuals!AH72),0,Actuals!AH72)</f>
        <v>0</v>
      </c>
      <c r="AI73" s="3">
        <f>IF(ISBLANK(Actuals!AI72),0,Actuals!AI72)</f>
        <v>0</v>
      </c>
      <c r="AJ73" s="3">
        <f>IF(ISBLANK(Actuals!AJ72),0,Actuals!AJ72)</f>
        <v>0</v>
      </c>
      <c r="AK73" s="3">
        <f>IF(ISBLANK(Actuals!AK72),0,Actuals!AK72)</f>
        <v>0</v>
      </c>
      <c r="AL73" s="3">
        <f>IF(ISBLANK(Actuals!AL72),0,Actuals!AL72)</f>
        <v>0</v>
      </c>
      <c r="AM73" s="3">
        <f>IF(ISBLANK(Actuals!AM72),0,Actuals!AM72)</f>
        <v>0</v>
      </c>
      <c r="AN73" s="3">
        <f>IF(ISBLANK(Actuals!AN72),0,Actuals!AN72)</f>
        <v>0</v>
      </c>
      <c r="AO73" s="3">
        <f>IF(ISBLANK(Actuals!AO72),0,Actuals!AO72)</f>
        <v>0</v>
      </c>
      <c r="AP73" s="3">
        <f>IF(ISBLANK(Actuals!AP72),0,Actuals!AP72)</f>
        <v>0</v>
      </c>
      <c r="AQ73" s="3">
        <f>IF(ISBLANK(Actuals!AQ72),0,Actuals!AQ72)</f>
        <v>0</v>
      </c>
      <c r="AR73" s="3">
        <f>IF(ISBLANK(Actuals!AR72),0,Actuals!AR72)</f>
        <v>0</v>
      </c>
      <c r="AS73" s="3">
        <f>IF(ISBLANK(Actuals!AS72),0,Actuals!AS72)</f>
        <v>0</v>
      </c>
      <c r="AT73" s="3">
        <f>IF(ISBLANK(Actuals!AT72),0,Actuals!AT72)</f>
        <v>0</v>
      </c>
      <c r="AU73" s="3">
        <f>IF(ISBLANK(Actuals!AU72),0,Actuals!AU72)</f>
        <v>0</v>
      </c>
      <c r="AV73" s="3">
        <f>IF(ISBLANK(Actuals!AV72),0,Actuals!AV72)</f>
        <v>0</v>
      </c>
      <c r="AW73" s="3">
        <f>IF(ISBLANK(Actuals!AW72),0,Actuals!AW72)</f>
        <v>0</v>
      </c>
      <c r="AX73" s="3">
        <f>IF(ISBLANK(Actuals!AX72),0,Actuals!AX72)</f>
        <v>0</v>
      </c>
      <c r="AY73" s="3">
        <f>IF(ISBLANK(Actuals!AY72),0,Actuals!AY72)</f>
        <v>0</v>
      </c>
      <c r="AZ73" s="3">
        <f>IF(ISBLANK(Actuals!AZ72),0,Actuals!AZ72)</f>
        <v>0</v>
      </c>
      <c r="BA73" s="3">
        <f>IF(ISBLANK(Actuals!BA72),0,Actuals!BA72)</f>
        <v>0</v>
      </c>
      <c r="BB73" s="3">
        <f>IF(ISBLANK(Actuals!BB72),0,Actuals!BB72)</f>
        <v>0</v>
      </c>
      <c r="BC73" s="3">
        <f>IF(ISBLANK(Actuals!BC72),0,Actuals!BC72)</f>
        <v>0</v>
      </c>
      <c r="BD73" s="3">
        <f>IF(ISBLANK(Actuals!BD72),0,Actuals!BD72)</f>
        <v>0</v>
      </c>
      <c r="BE73" s="3">
        <f>IF(ISBLANK(Actuals!BE72),0,Actuals!BE72)</f>
        <v>0</v>
      </c>
      <c r="BF73" s="3">
        <f>IF(ISBLANK(Actuals!BF72),0,Actuals!BF72)</f>
        <v>0</v>
      </c>
      <c r="BG73" s="3">
        <f>IF(ISBLANK(Actuals!BG72),0,Actuals!BG72)</f>
        <v>0</v>
      </c>
      <c r="BH73" s="3">
        <f>IF(ISBLANK(Actuals!BH72),0,Actuals!BH72)</f>
        <v>0</v>
      </c>
      <c r="BI73" s="3">
        <f>IF(ISBLANK(Actuals!BI72),0,Actuals!BI72)</f>
        <v>0</v>
      </c>
      <c r="BJ73" s="3">
        <f>IF(ISBLANK(Actuals!BJ72),0,Actuals!BJ72)</f>
        <v>0</v>
      </c>
      <c r="BK73" s="3">
        <f>IF(ISBLANK(Actuals!BK72),0,Actuals!BK72)</f>
        <v>0</v>
      </c>
      <c r="BL73" s="3">
        <f>IF(ISBLANK(Actuals!BL72),0,Actuals!BL72)</f>
        <v>0</v>
      </c>
      <c r="BM73" s="3">
        <f>IF(ISBLANK(Actuals!BM72),0,Actuals!BM72)</f>
        <v>0</v>
      </c>
      <c r="BN73" s="3">
        <f>IF(ISBLANK(Actuals!BN72),0,Actuals!BN72)</f>
        <v>0</v>
      </c>
      <c r="BO73" s="3">
        <f>IF(ISBLANK(Actuals!BO72),0,Actuals!BO72)</f>
        <v>0</v>
      </c>
      <c r="BP73" s="3">
        <f>IF(ISBLANK(Actuals!BP72),0,Actuals!BP72)</f>
        <v>0</v>
      </c>
      <c r="BQ73" s="3">
        <f>IF(ISBLANK(Actuals!BQ72),0,Actuals!BQ72)</f>
        <v>0</v>
      </c>
      <c r="BR73" s="3">
        <f>IF(ISBLANK(Actuals!BR72),0,Actuals!BR72)</f>
        <v>0</v>
      </c>
      <c r="BS73" s="3">
        <f>IF(ISBLANK(Actuals!BS72),0,Actuals!BS72)</f>
        <v>0</v>
      </c>
      <c r="BT73" s="3">
        <f>IF(ISBLANK(Actuals!BT72),0,Actuals!BT72)</f>
        <v>0</v>
      </c>
      <c r="BU73" s="3">
        <f>IF(ISBLANK(Actuals!BU72),0,Actuals!BU72)</f>
        <v>0</v>
      </c>
      <c r="BV73" s="3">
        <f>IF(ISBLANK(Actuals!BV72),0,Actuals!BV72)</f>
        <v>0</v>
      </c>
      <c r="BW73" s="3">
        <f>IF(ISBLANK(Actuals!BW72),0,Actuals!BW72)</f>
        <v>0</v>
      </c>
      <c r="BX73" s="3">
        <f>IF(ISBLANK(Actuals!BX72),0,Actuals!BX72)</f>
        <v>0</v>
      </c>
      <c r="BY73" s="3">
        <f>IF(ISBLANK(Actuals!BY72),0,Actuals!BY72)</f>
        <v>0</v>
      </c>
      <c r="BZ73" s="3">
        <f>IF(ISBLANK(Actuals!BZ72),0,Actuals!BZ72)</f>
        <v>0</v>
      </c>
      <c r="CA73" s="3">
        <f>IF(ISBLANK(Actuals!CA72),0,Actuals!CA72)</f>
        <v>0</v>
      </c>
      <c r="CB73" s="3">
        <f>IF(ISBLANK(Actuals!CB72),0,Actuals!CB72)</f>
        <v>0</v>
      </c>
      <c r="CC73" s="3">
        <f>IF(ISBLANK(Actuals!CC72),0,Actuals!CC72)</f>
        <v>0</v>
      </c>
      <c r="CD73" s="3">
        <f>IF(ISBLANK(Actuals!CD72),0,Actuals!CD72)</f>
        <v>0</v>
      </c>
      <c r="CE73" s="3">
        <f>IF(ISBLANK(Actuals!CE72),0,Actuals!CE72)</f>
        <v>0</v>
      </c>
      <c r="CF73" s="3">
        <f>IF(ISBLANK(Actuals!CF72),0,Actuals!CF72)</f>
        <v>0</v>
      </c>
      <c r="CG73" s="3">
        <f>IF(ISBLANK(Actuals!CG72),0,Actuals!CG72)</f>
        <v>0</v>
      </c>
      <c r="CH73" s="3">
        <f>IF(ISBLANK(Actuals!CH72),0,Actuals!CH72)</f>
        <v>0</v>
      </c>
      <c r="CI73" s="3">
        <f>IF(ISBLANK(Actuals!CI72),0,Actuals!CI72)</f>
        <v>0</v>
      </c>
      <c r="CJ73" s="3">
        <f>IF(ISBLANK(Actuals!CJ72),0,Actuals!CJ72)</f>
        <v>0</v>
      </c>
      <c r="CK73" s="3">
        <f>IF(ISBLANK(Actuals!CK72),0,Actuals!CK72)</f>
        <v>0</v>
      </c>
      <c r="CL73" s="3">
        <f>IF(ISBLANK(Actuals!CL72),0,Actuals!CL72)</f>
        <v>0</v>
      </c>
      <c r="CM73" s="3">
        <f>IF(ISBLANK(Actuals!CM72),0,Actuals!CM72)</f>
        <v>0</v>
      </c>
      <c r="CN73" s="3">
        <f>IF(ISBLANK(Actuals!CN72),0,Actuals!CN72)</f>
        <v>0</v>
      </c>
      <c r="CO73" s="3">
        <f>IF(ISBLANK(Actuals!CO72),0,Actuals!CO72)</f>
        <v>0</v>
      </c>
      <c r="CP73" s="3">
        <f>IF(ISBLANK(Actuals!CP72),0,Actuals!CP72)</f>
        <v>0</v>
      </c>
      <c r="CQ73" s="3">
        <f>IF(ISBLANK(Actuals!CQ72),0,Actuals!CQ72)</f>
        <v>0</v>
      </c>
      <c r="CR73" s="3">
        <f>IF(ISBLANK(Actuals!CR72),0,Actuals!CR72)</f>
        <v>0</v>
      </c>
      <c r="CS73" s="3">
        <f>IF(ISBLANK(Actuals!CS72),0,Actuals!CS72)</f>
        <v>0</v>
      </c>
      <c r="CT73" s="3">
        <f>IF(ISBLANK(Actuals!CT72),0,Actuals!CT72)</f>
        <v>0</v>
      </c>
      <c r="CU73" s="3">
        <f>IF(ISBLANK(Actuals!CU72),0,Actuals!CU72)</f>
        <v>0</v>
      </c>
      <c r="CV73" s="3">
        <f>IF(ISBLANK(Actuals!CV72),0,Actuals!CV72)</f>
        <v>0</v>
      </c>
      <c r="CW73" s="3">
        <f>IF(ISBLANK(Actuals!CW72),0,Actuals!CW72)</f>
        <v>0</v>
      </c>
      <c r="CX73" s="3">
        <f>IF(ISBLANK(Actuals!CX72),0,Actuals!CX72)</f>
        <v>0</v>
      </c>
      <c r="CY73" s="3">
        <f>IF(ISBLANK(Actuals!CY72),0,Actuals!CY72)</f>
        <v>0</v>
      </c>
      <c r="CZ73" s="3">
        <f>IF(ISBLANK(Actuals!CZ72),0,Actuals!CZ72)</f>
        <v>0</v>
      </c>
      <c r="DA73" s="3">
        <f>IF(ISBLANK(Actuals!DA72),0,Actuals!DA72)</f>
        <v>0</v>
      </c>
      <c r="DB73" s="3">
        <f>IF(ISBLANK(Actuals!DB72),0,Actuals!DB72)</f>
        <v>0</v>
      </c>
      <c r="DC73" s="3">
        <f>IF(ISBLANK(Actuals!DC72),0,Actuals!DC72)</f>
        <v>0</v>
      </c>
      <c r="DD73" s="3">
        <f>IF(ISBLANK(Actuals!DD72),0,Actuals!DD72)</f>
        <v>0</v>
      </c>
      <c r="DE73" s="3">
        <f>IF(ISBLANK(Actuals!DE72),0,Actuals!DE72)</f>
        <v>0</v>
      </c>
      <c r="DF73" s="3">
        <f>IF(ISBLANK(Actuals!DF72),0,Actuals!DF72)</f>
        <v>0</v>
      </c>
    </row>
    <row r="74" spans="1:110" ht="15" customHeight="1" x14ac:dyDescent="0.25">
      <c r="A74" s="13" t="s">
        <v>108</v>
      </c>
      <c r="B74" s="302"/>
      <c r="C74" s="3">
        <f>IF(ISBLANK(Actuals!C73),0,Actuals!C73)</f>
        <v>0</v>
      </c>
      <c r="D74" s="3">
        <f>IF(ISBLANK(Actuals!D73),0,Actuals!D73)</f>
        <v>0</v>
      </c>
      <c r="E74" s="3">
        <f>IF(ISBLANK(Actuals!E73),0,Actuals!E73)</f>
        <v>0</v>
      </c>
      <c r="F74" s="3">
        <f>IF(ISBLANK(Actuals!F73),0,Actuals!F73)</f>
        <v>0</v>
      </c>
      <c r="G74" s="3">
        <f>IF(ISBLANK(Actuals!G73),0,Actuals!G73)</f>
        <v>0</v>
      </c>
      <c r="H74" s="3">
        <f>IF(ISBLANK(Actuals!H73),0,Actuals!H73)</f>
        <v>0</v>
      </c>
      <c r="I74" s="3">
        <f>IF(ISBLANK(Actuals!I73),0,Actuals!I73)</f>
        <v>0</v>
      </c>
      <c r="J74" s="3">
        <f>IF(ISBLANK(Actuals!J73),0,Actuals!J73)</f>
        <v>0</v>
      </c>
      <c r="K74" s="3">
        <f>IF(ISBLANK(Actuals!K73),IF(Projects!$G$12="Yes",4736.84,0),Actuals!K73)</f>
        <v>0</v>
      </c>
      <c r="L74" s="3">
        <f>IF(ISBLANK(Actuals!L73),IF(Projects!$G$12="Yes",4736.84,0),Actuals!L73)</f>
        <v>0</v>
      </c>
      <c r="M74" s="3">
        <f>IF(ISBLANK(Actuals!M73),IF(Projects!$G$12="Yes",4736.84,0),Actuals!M73)</f>
        <v>0</v>
      </c>
      <c r="N74" s="3">
        <f>IF(ISBLANK(Actuals!N73),IF(Projects!$G$12="Yes",4736.84,0),Actuals!N73)</f>
        <v>0</v>
      </c>
      <c r="O74" s="3">
        <f>IF(ISBLANK(Actuals!O73),IF(Projects!$G$12="Yes",4736.84,0),Actuals!O73)</f>
        <v>0</v>
      </c>
      <c r="P74" s="3">
        <f>IF(ISBLANK(Actuals!P73),IF(Projects!$G$12="Yes",4736.84,0),Actuals!P73)</f>
        <v>0</v>
      </c>
      <c r="Q74" s="3">
        <f>IF(ISBLANK(Actuals!Q73),IF(Projects!$G$12="Yes",4736.84,0),Actuals!Q73)</f>
        <v>0</v>
      </c>
      <c r="R74" s="3">
        <f>IF(ISBLANK(Actuals!R73),IF(Projects!$G$12="Yes",4736.84,0),Actuals!R73)</f>
        <v>0</v>
      </c>
      <c r="S74" s="3">
        <f>IF(ISBLANK(Actuals!S73),IF(Projects!$G$12="Yes",4736.84,0),Actuals!S73)</f>
        <v>0</v>
      </c>
      <c r="T74" s="3">
        <f>IF(ISBLANK(Actuals!T73),IF(Projects!$G$12="Yes",4736.84,0),Actuals!T73)</f>
        <v>0</v>
      </c>
      <c r="U74" s="3">
        <f>IF(ISBLANK(Actuals!U73),IF(Projects!$G$12="Yes",4736.84,0),Actuals!U73)</f>
        <v>0</v>
      </c>
      <c r="V74" s="3">
        <f>IF(ISBLANK(Actuals!V73),IF(Projects!$G$12="Yes",4736.84,0),Actuals!V73)</f>
        <v>0</v>
      </c>
      <c r="W74" s="3">
        <f>IF(ISBLANK(Actuals!W73),IF(Projects!$G$12="Yes",4736.84,0),Actuals!W73)</f>
        <v>0</v>
      </c>
      <c r="X74" s="3">
        <f>IF(ISBLANK(Actuals!X73),IF(Projects!$G$12="Yes",4736.84,0),Actuals!X73)</f>
        <v>0</v>
      </c>
      <c r="Y74" s="3">
        <f>IF(ISBLANK(Actuals!Y73),IF(Projects!$G$12="Yes",4736.84,0),Actuals!Y73)</f>
        <v>0</v>
      </c>
      <c r="Z74" s="3">
        <f>IF(ISBLANK(Actuals!Z73),IF(Projects!$G$12="Yes",4736.84,0),Actuals!Z73)</f>
        <v>0</v>
      </c>
      <c r="AA74" s="3">
        <f>IF(ISBLANK(Actuals!AA73),IF(Projects!$G$12="Yes",4736.84,0),Actuals!AA73)</f>
        <v>0</v>
      </c>
      <c r="AB74" s="3">
        <f>IF(ISBLANK(Actuals!AB73),IF(Projects!$G$12="Yes",4736.84,0),Actuals!AB73)</f>
        <v>0</v>
      </c>
      <c r="AC74" s="3">
        <f>IF(ISBLANK(Actuals!AC73),IF(Projects!$G$12="Yes",4736.84,0),Actuals!AC73)</f>
        <v>0</v>
      </c>
      <c r="AD74" s="3">
        <f>IF(ISBLANK(Actuals!AD73),0,Actuals!AD73)</f>
        <v>0</v>
      </c>
      <c r="AE74" s="3">
        <f>IF(ISBLANK(Actuals!AE73),0,Actuals!AE73)</f>
        <v>0</v>
      </c>
      <c r="AF74" s="3">
        <f>IF(ISBLANK(Actuals!AF73),0,Actuals!AF73)</f>
        <v>0</v>
      </c>
      <c r="AG74" s="3">
        <f>IF(ISBLANK(Actuals!AG73),0,Actuals!AG73)</f>
        <v>0</v>
      </c>
      <c r="AH74" s="3">
        <f>IF(ISBLANK(Actuals!AH73),0,Actuals!AH73)</f>
        <v>0</v>
      </c>
      <c r="AI74" s="3">
        <f>IF(ISBLANK(Actuals!AI73),0,Actuals!AI73)</f>
        <v>0</v>
      </c>
      <c r="AJ74" s="3">
        <f>IF(ISBLANK(Actuals!AJ73),0,Actuals!AJ73)</f>
        <v>0</v>
      </c>
      <c r="AK74" s="3">
        <f>IF(ISBLANK(Actuals!AK73),0,Actuals!AK73)</f>
        <v>0</v>
      </c>
      <c r="AL74" s="3">
        <f>IF(ISBLANK(Actuals!AL73),0,Actuals!AL73)</f>
        <v>0</v>
      </c>
      <c r="AM74" s="3">
        <f>IF(ISBLANK(Actuals!AM73),0,Actuals!AM73)</f>
        <v>0</v>
      </c>
      <c r="AN74" s="3">
        <f>IF(ISBLANK(Actuals!AN73),0,Actuals!AN73)</f>
        <v>0</v>
      </c>
      <c r="AO74" s="3">
        <f>IF(ISBLANK(Actuals!AO73),0,Actuals!AO73)</f>
        <v>0</v>
      </c>
      <c r="AP74" s="3">
        <f>IF(ISBLANK(Actuals!AP73),0,Actuals!AP73)</f>
        <v>0</v>
      </c>
      <c r="AQ74" s="3">
        <f>IF(ISBLANK(Actuals!AQ73),0,Actuals!AQ73)</f>
        <v>0</v>
      </c>
      <c r="AR74" s="3">
        <f>IF(ISBLANK(Actuals!AR73),0,Actuals!AR73)</f>
        <v>0</v>
      </c>
      <c r="AS74" s="3">
        <f>IF(ISBLANK(Actuals!AS73),0,Actuals!AS73)</f>
        <v>0</v>
      </c>
      <c r="AT74" s="3">
        <f>IF(ISBLANK(Actuals!AT73),0,Actuals!AT73)</f>
        <v>0</v>
      </c>
      <c r="AU74" s="3">
        <f>IF(ISBLANK(Actuals!AU73),0,Actuals!AU73)</f>
        <v>0</v>
      </c>
      <c r="AV74" s="3">
        <f>IF(ISBLANK(Actuals!AV73),0,Actuals!AV73)</f>
        <v>0</v>
      </c>
      <c r="AW74" s="3">
        <f>IF(ISBLANK(Actuals!AW73),0,Actuals!AW73)</f>
        <v>0</v>
      </c>
      <c r="AX74" s="3">
        <f>IF(ISBLANK(Actuals!AX73),0,Actuals!AX73)</f>
        <v>0</v>
      </c>
      <c r="AY74" s="3">
        <f>IF(ISBLANK(Actuals!AY73),0,Actuals!AY73)</f>
        <v>0</v>
      </c>
      <c r="AZ74" s="3">
        <f>IF(ISBLANK(Actuals!AZ73),0,Actuals!AZ73)</f>
        <v>0</v>
      </c>
      <c r="BA74" s="3">
        <f>IF(ISBLANK(Actuals!BA73),0,Actuals!BA73)</f>
        <v>0</v>
      </c>
      <c r="BB74" s="3">
        <f>IF(ISBLANK(Actuals!BB73),0,Actuals!BB73)</f>
        <v>0</v>
      </c>
      <c r="BC74" s="3">
        <f>IF(ISBLANK(Actuals!BC73),0,Actuals!BC73)</f>
        <v>0</v>
      </c>
      <c r="BD74" s="3">
        <f>IF(ISBLANK(Actuals!BD73),0,Actuals!BD73)</f>
        <v>0</v>
      </c>
      <c r="BE74" s="3">
        <f>IF(ISBLANK(Actuals!BE73),0,Actuals!BE73)</f>
        <v>0</v>
      </c>
      <c r="BF74" s="3">
        <f>IF(ISBLANK(Actuals!BF73),0,Actuals!BF73)</f>
        <v>0</v>
      </c>
      <c r="BG74" s="3">
        <f>IF(ISBLANK(Actuals!BG73),0,Actuals!BG73)</f>
        <v>0</v>
      </c>
      <c r="BH74" s="3">
        <f>IF(ISBLANK(Actuals!BH73),0,Actuals!BH73)</f>
        <v>0</v>
      </c>
      <c r="BI74" s="3">
        <f>IF(ISBLANK(Actuals!BI73),0,Actuals!BI73)</f>
        <v>0</v>
      </c>
      <c r="BJ74" s="3">
        <f>IF(ISBLANK(Actuals!BJ73),0,Actuals!BJ73)</f>
        <v>0</v>
      </c>
      <c r="BK74" s="3">
        <f>IF(ISBLANK(Actuals!BK73),0,Actuals!BK73)</f>
        <v>0</v>
      </c>
      <c r="BL74" s="3">
        <f>IF(ISBLANK(Actuals!BL73),0,Actuals!BL73)</f>
        <v>0</v>
      </c>
      <c r="BM74" s="3">
        <f>IF(ISBLANK(Actuals!BM73),0,Actuals!BM73)</f>
        <v>0</v>
      </c>
      <c r="BN74" s="3">
        <f>IF(ISBLANK(Actuals!BN73),0,Actuals!BN73)</f>
        <v>0</v>
      </c>
      <c r="BO74" s="3">
        <f>IF(ISBLANK(Actuals!BO73),0,Actuals!BO73)</f>
        <v>0</v>
      </c>
      <c r="BP74" s="3">
        <f>IF(ISBLANK(Actuals!BP73),0,Actuals!BP73)</f>
        <v>0</v>
      </c>
      <c r="BQ74" s="3">
        <f>IF(ISBLANK(Actuals!BQ73),0,Actuals!BQ73)</f>
        <v>0</v>
      </c>
      <c r="BR74" s="3">
        <f>IF(ISBLANK(Actuals!BR73),0,Actuals!BR73)</f>
        <v>0</v>
      </c>
      <c r="BS74" s="3">
        <f>IF(ISBLANK(Actuals!BS73),0,Actuals!BS73)</f>
        <v>0</v>
      </c>
      <c r="BT74" s="3">
        <f>IF(ISBLANK(Actuals!BT73),0,Actuals!BT73)</f>
        <v>0</v>
      </c>
      <c r="BU74" s="3">
        <f>IF(ISBLANK(Actuals!BU73),0,Actuals!BU73)</f>
        <v>0</v>
      </c>
      <c r="BV74" s="3">
        <f>IF(ISBLANK(Actuals!BV73),0,Actuals!BV73)</f>
        <v>0</v>
      </c>
      <c r="BW74" s="3">
        <f>IF(ISBLANK(Actuals!BW73),0,Actuals!BW73)</f>
        <v>0</v>
      </c>
      <c r="BX74" s="3">
        <f>IF(ISBLANK(Actuals!BX73),0,Actuals!BX73)</f>
        <v>0</v>
      </c>
      <c r="BY74" s="3">
        <f>IF(ISBLANK(Actuals!BY73),0,Actuals!BY73)</f>
        <v>0</v>
      </c>
      <c r="BZ74" s="3">
        <f>IF(ISBLANK(Actuals!BZ73),0,Actuals!BZ73)</f>
        <v>0</v>
      </c>
      <c r="CA74" s="3">
        <f>IF(ISBLANK(Actuals!CA73),0,Actuals!CA73)</f>
        <v>0</v>
      </c>
      <c r="CB74" s="3">
        <f>IF(ISBLANK(Actuals!CB73),0,Actuals!CB73)</f>
        <v>0</v>
      </c>
      <c r="CC74" s="3">
        <f>IF(ISBLANK(Actuals!CC73),0,Actuals!CC73)</f>
        <v>0</v>
      </c>
      <c r="CD74" s="3">
        <f>IF(ISBLANK(Actuals!CD73),0,Actuals!CD73)</f>
        <v>0</v>
      </c>
      <c r="CE74" s="3">
        <f>IF(ISBLANK(Actuals!CE73),0,Actuals!CE73)</f>
        <v>0</v>
      </c>
      <c r="CF74" s="3">
        <f>IF(ISBLANK(Actuals!CF73),0,Actuals!CF73)</f>
        <v>0</v>
      </c>
      <c r="CG74" s="3">
        <f>IF(ISBLANK(Actuals!CG73),0,Actuals!CG73)</f>
        <v>0</v>
      </c>
      <c r="CH74" s="3">
        <f>IF(ISBLANK(Actuals!CH73),0,Actuals!CH73)</f>
        <v>0</v>
      </c>
      <c r="CI74" s="3">
        <f>IF(ISBLANK(Actuals!CI73),0,Actuals!CI73)</f>
        <v>0</v>
      </c>
      <c r="CJ74" s="3">
        <f>IF(ISBLANK(Actuals!CJ73),0,Actuals!CJ73)</f>
        <v>0</v>
      </c>
      <c r="CK74" s="3">
        <f>IF(ISBLANK(Actuals!CK73),0,Actuals!CK73)</f>
        <v>0</v>
      </c>
      <c r="CL74" s="3">
        <f>IF(ISBLANK(Actuals!CL73),0,Actuals!CL73)</f>
        <v>0</v>
      </c>
      <c r="CM74" s="3">
        <f>IF(ISBLANK(Actuals!CM73),0,Actuals!CM73)</f>
        <v>0</v>
      </c>
      <c r="CN74" s="3">
        <f>IF(ISBLANK(Actuals!CN73),0,Actuals!CN73)</f>
        <v>0</v>
      </c>
      <c r="CO74" s="3">
        <f>IF(ISBLANK(Actuals!CO73),0,Actuals!CO73)</f>
        <v>0</v>
      </c>
      <c r="CP74" s="3">
        <f>IF(ISBLANK(Actuals!CP73),0,Actuals!CP73)</f>
        <v>0</v>
      </c>
      <c r="CQ74" s="3">
        <f>IF(ISBLANK(Actuals!CQ73),0,Actuals!CQ73)</f>
        <v>0</v>
      </c>
      <c r="CR74" s="3">
        <f>IF(ISBLANK(Actuals!CR73),0,Actuals!CR73)</f>
        <v>0</v>
      </c>
      <c r="CS74" s="3">
        <f>IF(ISBLANK(Actuals!CS73),0,Actuals!CS73)</f>
        <v>0</v>
      </c>
      <c r="CT74" s="3">
        <f>IF(ISBLANK(Actuals!CT73),0,Actuals!CT73)</f>
        <v>0</v>
      </c>
      <c r="CU74" s="3">
        <f>IF(ISBLANK(Actuals!CU73),0,Actuals!CU73)</f>
        <v>0</v>
      </c>
      <c r="CV74" s="3">
        <f>IF(ISBLANK(Actuals!CV73),0,Actuals!CV73)</f>
        <v>0</v>
      </c>
      <c r="CW74" s="3">
        <f>IF(ISBLANK(Actuals!CW73),0,Actuals!CW73)</f>
        <v>0</v>
      </c>
      <c r="CX74" s="3">
        <f>IF(ISBLANK(Actuals!CX73),0,Actuals!CX73)</f>
        <v>0</v>
      </c>
      <c r="CY74" s="3">
        <f>IF(ISBLANK(Actuals!CY73),0,Actuals!CY73)</f>
        <v>0</v>
      </c>
      <c r="CZ74" s="3">
        <f>IF(ISBLANK(Actuals!CZ73),0,Actuals!CZ73)</f>
        <v>0</v>
      </c>
      <c r="DA74" s="3">
        <f>IF(ISBLANK(Actuals!DA73),0,Actuals!DA73)</f>
        <v>0</v>
      </c>
      <c r="DB74" s="3">
        <f>IF(ISBLANK(Actuals!DB73),0,Actuals!DB73)</f>
        <v>0</v>
      </c>
      <c r="DC74" s="3">
        <f>IF(ISBLANK(Actuals!DC73),0,Actuals!DC73)</f>
        <v>0</v>
      </c>
      <c r="DD74" s="3">
        <f>IF(ISBLANK(Actuals!DD73),0,Actuals!DD73)</f>
        <v>0</v>
      </c>
      <c r="DE74" s="3">
        <f>IF(ISBLANK(Actuals!DE73),0,Actuals!DE73)</f>
        <v>0</v>
      </c>
      <c r="DF74" s="3">
        <f>IF(ISBLANK(Actuals!DF73),0,Actuals!DF73)</f>
        <v>0</v>
      </c>
    </row>
    <row r="75" spans="1:110" ht="15" customHeight="1" x14ac:dyDescent="0.25">
      <c r="A75" s="13" t="s">
        <v>109</v>
      </c>
      <c r="B75" s="302"/>
      <c r="C75" s="3">
        <f>IF(ISBLANK(Actuals!C74),0,Actuals!C74)</f>
        <v>0</v>
      </c>
      <c r="D75" s="3">
        <f>IF(ISBLANK(Actuals!D74),0,Actuals!D74)</f>
        <v>0</v>
      </c>
      <c r="E75" s="3">
        <f>IF(ISBLANK(Actuals!E74),0,Actuals!E74)</f>
        <v>0</v>
      </c>
      <c r="F75" s="3">
        <f>IF(ISBLANK(Actuals!F74),0,Actuals!F74)</f>
        <v>0</v>
      </c>
      <c r="G75" s="3">
        <f>IF(ISBLANK(Actuals!G74),0,Actuals!G74)</f>
        <v>0</v>
      </c>
      <c r="H75" s="3">
        <f>IF(ISBLANK(Actuals!H74),0,Actuals!H74)</f>
        <v>0</v>
      </c>
      <c r="I75" s="3">
        <f>IF(ISBLANK(Actuals!I74),0,Actuals!I74)</f>
        <v>0</v>
      </c>
      <c r="J75" s="3">
        <f>IF(ISBLANK(Actuals!J74),0,Actuals!J74)</f>
        <v>0</v>
      </c>
      <c r="K75" s="3">
        <f>IF(ISBLANK(Actuals!K74),IF(Projects!$G$12="Yes",181745,0),Actuals!K74)</f>
        <v>0</v>
      </c>
      <c r="L75" s="3">
        <f>IF(ISBLANK(Actuals!L74),0,Actuals!L74)</f>
        <v>0</v>
      </c>
      <c r="M75" s="3">
        <f>IF(ISBLANK(Actuals!M74),0,Actuals!M74)</f>
        <v>0</v>
      </c>
      <c r="N75" s="3">
        <f>IF(ISBLANK(Actuals!N74),0,Actuals!N74)</f>
        <v>0</v>
      </c>
      <c r="O75" s="3">
        <f>IF(ISBLANK(Actuals!O74),0,Actuals!O74)</f>
        <v>0</v>
      </c>
      <c r="P75" s="3">
        <f>IF(ISBLANK(Actuals!P74),0,Actuals!P74)</f>
        <v>0</v>
      </c>
      <c r="Q75" s="3">
        <f>IF(ISBLANK(Actuals!Q74),0,Actuals!Q74)</f>
        <v>0</v>
      </c>
      <c r="R75" s="3">
        <f>IF(ISBLANK(Actuals!R74),0,Actuals!R74)</f>
        <v>0</v>
      </c>
      <c r="S75" s="3">
        <f>IF(ISBLANK(Actuals!S74),0,Actuals!S74)</f>
        <v>0</v>
      </c>
      <c r="T75" s="3">
        <f>IF(ISBLANK(Actuals!T74),0,Actuals!T74)</f>
        <v>0</v>
      </c>
      <c r="U75" s="3">
        <f>IF(ISBLANK(Actuals!U74),0,Actuals!U74)</f>
        <v>0</v>
      </c>
      <c r="V75" s="3">
        <f>IF(ISBLANK(Actuals!V74),0,Actuals!V74)</f>
        <v>0</v>
      </c>
      <c r="W75" s="3">
        <f>IF(ISBLANK(Actuals!W74),0,Actuals!W74)</f>
        <v>0</v>
      </c>
      <c r="X75" s="3">
        <f>IF(ISBLANK(Actuals!X74),0,Actuals!X74)</f>
        <v>0</v>
      </c>
      <c r="Y75" s="3">
        <f>IF(ISBLANK(Actuals!Y74),0,Actuals!Y74)</f>
        <v>0</v>
      </c>
      <c r="Z75" s="3">
        <f>IF(ISBLANK(Actuals!Z74),0,Actuals!Z74)</f>
        <v>0</v>
      </c>
      <c r="AA75" s="3">
        <f>IF(ISBLANK(Actuals!AA74),0,Actuals!AA74)</f>
        <v>0</v>
      </c>
      <c r="AB75" s="3">
        <f>IF(ISBLANK(Actuals!AB74),0,Actuals!AB74)</f>
        <v>0</v>
      </c>
      <c r="AC75" s="3">
        <f>IF(ISBLANK(Actuals!AC74),0,Actuals!AC74)</f>
        <v>0</v>
      </c>
      <c r="AD75" s="3">
        <f>IF(ISBLANK(Actuals!AD74),0,Actuals!AD74)</f>
        <v>0</v>
      </c>
      <c r="AE75" s="3">
        <f>IF(ISBLANK(Actuals!AE74),0,Actuals!AE74)</f>
        <v>0</v>
      </c>
      <c r="AF75" s="3">
        <f>IF(ISBLANK(Actuals!AF74),0,Actuals!AF74)</f>
        <v>0</v>
      </c>
      <c r="AG75" s="3">
        <f>IF(ISBLANK(Actuals!AG74),0,Actuals!AG74)</f>
        <v>0</v>
      </c>
      <c r="AH75" s="3">
        <f>IF(ISBLANK(Actuals!AH74),0,Actuals!AH74)</f>
        <v>0</v>
      </c>
      <c r="AI75" s="3">
        <f>IF(ISBLANK(Actuals!AI74),0,Actuals!AI74)</f>
        <v>0</v>
      </c>
      <c r="AJ75" s="3">
        <f>IF(ISBLANK(Actuals!AJ74),0,Actuals!AJ74)</f>
        <v>0</v>
      </c>
      <c r="AK75" s="3">
        <f>IF(ISBLANK(Actuals!AK74),0,Actuals!AK74)</f>
        <v>0</v>
      </c>
      <c r="AL75" s="3">
        <f>IF(ISBLANK(Actuals!AL74),0,Actuals!AL74)</f>
        <v>0</v>
      </c>
      <c r="AM75" s="3">
        <f>IF(ISBLANK(Actuals!AM74),0,Actuals!AM74)</f>
        <v>0</v>
      </c>
      <c r="AN75" s="3">
        <f>IF(ISBLANK(Actuals!AN74),0,Actuals!AN74)</f>
        <v>0</v>
      </c>
      <c r="AO75" s="3">
        <f>IF(ISBLANK(Actuals!AO74),0,Actuals!AO74)</f>
        <v>0</v>
      </c>
      <c r="AP75" s="3">
        <f>IF(ISBLANK(Actuals!AP74),0,Actuals!AP74)</f>
        <v>0</v>
      </c>
      <c r="AQ75" s="3">
        <f>IF(ISBLANK(Actuals!AQ74),0,Actuals!AQ74)</f>
        <v>0</v>
      </c>
      <c r="AR75" s="3">
        <f>IF(ISBLANK(Actuals!AR74),0,Actuals!AR74)</f>
        <v>0</v>
      </c>
      <c r="AS75" s="3">
        <f>IF(ISBLANK(Actuals!AS74),0,Actuals!AS74)</f>
        <v>0</v>
      </c>
      <c r="AT75" s="3">
        <f>IF(ISBLANK(Actuals!AT74),0,Actuals!AT74)</f>
        <v>0</v>
      </c>
      <c r="AU75" s="3">
        <f>IF(ISBLANK(Actuals!AU74),0,Actuals!AU74)</f>
        <v>0</v>
      </c>
      <c r="AV75" s="3">
        <f>IF(ISBLANK(Actuals!AV74),0,Actuals!AV74)</f>
        <v>0</v>
      </c>
      <c r="AW75" s="3">
        <f>IF(ISBLANK(Actuals!AW74),0,Actuals!AW74)</f>
        <v>0</v>
      </c>
      <c r="AX75" s="3">
        <f>IF(ISBLANK(Actuals!AX74),0,Actuals!AX74)</f>
        <v>0</v>
      </c>
      <c r="AY75" s="3">
        <f>IF(ISBLANK(Actuals!AY74),0,Actuals!AY74)</f>
        <v>0</v>
      </c>
      <c r="AZ75" s="3">
        <f>IF(ISBLANK(Actuals!AZ74),0,Actuals!AZ74)</f>
        <v>0</v>
      </c>
      <c r="BA75" s="3">
        <f>IF(ISBLANK(Actuals!BA74),0,Actuals!BA74)</f>
        <v>0</v>
      </c>
      <c r="BB75" s="3">
        <f>IF(ISBLANK(Actuals!BB74),0,Actuals!BB74)</f>
        <v>0</v>
      </c>
      <c r="BC75" s="3">
        <f>IF(ISBLANK(Actuals!BC74),0,Actuals!BC74)</f>
        <v>0</v>
      </c>
      <c r="BD75" s="3">
        <f>IF(ISBLANK(Actuals!BD74),0,Actuals!BD74)</f>
        <v>0</v>
      </c>
      <c r="BE75" s="3">
        <f>IF(ISBLANK(Actuals!BE74),0,Actuals!BE74)</f>
        <v>0</v>
      </c>
      <c r="BF75" s="3">
        <f>IF(ISBLANK(Actuals!BF74),0,Actuals!BF74)</f>
        <v>0</v>
      </c>
      <c r="BG75" s="3">
        <f>IF(ISBLANK(Actuals!BG74),0,Actuals!BG74)</f>
        <v>0</v>
      </c>
      <c r="BH75" s="3">
        <f>IF(ISBLANK(Actuals!BH74),0,Actuals!BH74)</f>
        <v>0</v>
      </c>
      <c r="BI75" s="3">
        <f>IF(ISBLANK(Actuals!BI74),0,Actuals!BI74)</f>
        <v>0</v>
      </c>
      <c r="BJ75" s="3">
        <f>IF(ISBLANK(Actuals!BJ74),0,Actuals!BJ74)</f>
        <v>0</v>
      </c>
      <c r="BK75" s="3">
        <f>IF(ISBLANK(Actuals!BK74),0,Actuals!BK74)</f>
        <v>0</v>
      </c>
      <c r="BL75" s="3">
        <f>IF(ISBLANK(Actuals!BL74),0,Actuals!BL74)</f>
        <v>0</v>
      </c>
      <c r="BM75" s="3">
        <f>IF(ISBLANK(Actuals!BM74),0,Actuals!BM74)</f>
        <v>0</v>
      </c>
      <c r="BN75" s="3">
        <f>IF(ISBLANK(Actuals!BN74),0,Actuals!BN74)</f>
        <v>0</v>
      </c>
      <c r="BO75" s="3">
        <f>IF(ISBLANK(Actuals!BO74),0,Actuals!BO74)</f>
        <v>0</v>
      </c>
      <c r="BP75" s="3">
        <f>IF(ISBLANK(Actuals!BP74),0,Actuals!BP74)</f>
        <v>0</v>
      </c>
      <c r="BQ75" s="3">
        <f>IF(ISBLANK(Actuals!BQ74),0,Actuals!BQ74)</f>
        <v>0</v>
      </c>
      <c r="BR75" s="3">
        <f>IF(ISBLANK(Actuals!BR74),0,Actuals!BR74)</f>
        <v>0</v>
      </c>
      <c r="BS75" s="3">
        <f>IF(ISBLANK(Actuals!BS74),0,Actuals!BS74)</f>
        <v>0</v>
      </c>
      <c r="BT75" s="3">
        <f>IF(ISBLANK(Actuals!BT74),0,Actuals!BT74)</f>
        <v>0</v>
      </c>
      <c r="BU75" s="3">
        <f>IF(ISBLANK(Actuals!BU74),0,Actuals!BU74)</f>
        <v>0</v>
      </c>
      <c r="BV75" s="3">
        <f>IF(ISBLANK(Actuals!BV74),0,Actuals!BV74)</f>
        <v>0</v>
      </c>
      <c r="BW75" s="3">
        <f>IF(ISBLANK(Actuals!BW74),0,Actuals!BW74)</f>
        <v>0</v>
      </c>
      <c r="BX75" s="3">
        <f>IF(ISBLANK(Actuals!BX74),0,Actuals!BX74)</f>
        <v>0</v>
      </c>
      <c r="BY75" s="3">
        <f>IF(ISBLANK(Actuals!BY74),0,Actuals!BY74)</f>
        <v>0</v>
      </c>
      <c r="BZ75" s="3">
        <f>IF(ISBLANK(Actuals!BZ74),0,Actuals!BZ74)</f>
        <v>0</v>
      </c>
      <c r="CA75" s="3">
        <f>IF(ISBLANK(Actuals!CA74),0,Actuals!CA74)</f>
        <v>0</v>
      </c>
      <c r="CB75" s="3">
        <f>IF(ISBLANK(Actuals!CB74),0,Actuals!CB74)</f>
        <v>0</v>
      </c>
      <c r="CC75" s="3">
        <f>IF(ISBLANK(Actuals!CC74),0,Actuals!CC74)</f>
        <v>0</v>
      </c>
      <c r="CD75" s="3">
        <f>IF(ISBLANK(Actuals!CD74),0,Actuals!CD74)</f>
        <v>0</v>
      </c>
      <c r="CE75" s="3">
        <f>IF(ISBLANK(Actuals!CE74),0,Actuals!CE74)</f>
        <v>0</v>
      </c>
      <c r="CF75" s="3">
        <f>IF(ISBLANK(Actuals!CF74),0,Actuals!CF74)</f>
        <v>0</v>
      </c>
      <c r="CG75" s="3">
        <f>IF(ISBLANK(Actuals!CG74),0,Actuals!CG74)</f>
        <v>0</v>
      </c>
      <c r="CH75" s="3">
        <f>IF(ISBLANK(Actuals!CH74),0,Actuals!CH74)</f>
        <v>0</v>
      </c>
      <c r="CI75" s="3">
        <f>IF(ISBLANK(Actuals!CI74),0,Actuals!CI74)</f>
        <v>0</v>
      </c>
      <c r="CJ75" s="3">
        <f>IF(ISBLANK(Actuals!CJ74),0,Actuals!CJ74)</f>
        <v>0</v>
      </c>
      <c r="CK75" s="3">
        <f>IF(ISBLANK(Actuals!CK74),0,Actuals!CK74)</f>
        <v>0</v>
      </c>
      <c r="CL75" s="3">
        <f>IF(ISBLANK(Actuals!CL74),0,Actuals!CL74)</f>
        <v>0</v>
      </c>
      <c r="CM75" s="3">
        <f>IF(ISBLANK(Actuals!CM74),0,Actuals!CM74)</f>
        <v>0</v>
      </c>
      <c r="CN75" s="3">
        <f>IF(ISBLANK(Actuals!CN74),0,Actuals!CN74)</f>
        <v>0</v>
      </c>
      <c r="CO75" s="3">
        <f>IF(ISBLANK(Actuals!CO74),0,Actuals!CO74)</f>
        <v>0</v>
      </c>
      <c r="CP75" s="3">
        <f>IF(ISBLANK(Actuals!CP74),0,Actuals!CP74)</f>
        <v>0</v>
      </c>
      <c r="CQ75" s="3">
        <f>IF(ISBLANK(Actuals!CQ74),0,Actuals!CQ74)</f>
        <v>0</v>
      </c>
      <c r="CR75" s="3">
        <f>IF(ISBLANK(Actuals!CR74),0,Actuals!CR74)</f>
        <v>0</v>
      </c>
      <c r="CS75" s="3">
        <f>IF(ISBLANK(Actuals!CS74),0,Actuals!CS74)</f>
        <v>0</v>
      </c>
      <c r="CT75" s="3">
        <f>IF(ISBLANK(Actuals!CT74),0,Actuals!CT74)</f>
        <v>0</v>
      </c>
      <c r="CU75" s="3">
        <f>IF(ISBLANK(Actuals!CU74),0,Actuals!CU74)</f>
        <v>0</v>
      </c>
      <c r="CV75" s="3">
        <f>IF(ISBLANK(Actuals!CV74),0,Actuals!CV74)</f>
        <v>0</v>
      </c>
      <c r="CW75" s="3">
        <f>IF(ISBLANK(Actuals!CW74),0,Actuals!CW74)</f>
        <v>0</v>
      </c>
      <c r="CX75" s="3">
        <f>IF(ISBLANK(Actuals!CX74),0,Actuals!CX74)</f>
        <v>0</v>
      </c>
      <c r="CY75" s="3">
        <f>IF(ISBLANK(Actuals!CY74),0,Actuals!CY74)</f>
        <v>0</v>
      </c>
      <c r="CZ75" s="3">
        <f>IF(ISBLANK(Actuals!CZ74),0,Actuals!CZ74)</f>
        <v>0</v>
      </c>
      <c r="DA75" s="3">
        <f>IF(ISBLANK(Actuals!DA74),0,Actuals!DA74)</f>
        <v>0</v>
      </c>
      <c r="DB75" s="3">
        <f>IF(ISBLANK(Actuals!DB74),0,Actuals!DB74)</f>
        <v>0</v>
      </c>
      <c r="DC75" s="3">
        <f>IF(ISBLANK(Actuals!DC74),0,Actuals!DC74)</f>
        <v>0</v>
      </c>
      <c r="DD75" s="3">
        <f>IF(ISBLANK(Actuals!DD74),0,Actuals!DD74)</f>
        <v>0</v>
      </c>
      <c r="DE75" s="3">
        <f>IF(ISBLANK(Actuals!DE74),0,Actuals!DE74)</f>
        <v>0</v>
      </c>
      <c r="DF75" s="3">
        <f>IF(ISBLANK(Actuals!DF74),0,Actuals!DF74)</f>
        <v>0</v>
      </c>
    </row>
    <row r="76" spans="1:110" ht="15" customHeight="1" x14ac:dyDescent="0.25">
      <c r="A76" s="13" t="s">
        <v>110</v>
      </c>
      <c r="B76" s="302"/>
      <c r="C76" s="3">
        <f>IF(ISBLANK(Actuals!C75),0,Actuals!C75)</f>
        <v>0</v>
      </c>
      <c r="D76" s="3">
        <f>IF(ISBLANK(Actuals!D75),0,Actuals!D75)</f>
        <v>0</v>
      </c>
      <c r="E76" s="3">
        <f>IF(ISBLANK(Actuals!E75),0,Actuals!E75)</f>
        <v>0</v>
      </c>
      <c r="F76" s="3">
        <f>IF(ISBLANK(Actuals!F75),0,Actuals!F75)</f>
        <v>0</v>
      </c>
      <c r="G76" s="3">
        <f>IF(ISBLANK(Actuals!G75),0,Actuals!G75)</f>
        <v>0</v>
      </c>
      <c r="H76" s="3">
        <f>IF(ISBLANK(Actuals!H75),0,Actuals!H75)</f>
        <v>0</v>
      </c>
      <c r="I76" s="3">
        <f>IF(ISBLANK(Actuals!I75),0,Actuals!I75)</f>
        <v>0</v>
      </c>
      <c r="J76" s="3">
        <f>IF(ISBLANK(Actuals!J75),0,Actuals!J75)</f>
        <v>0</v>
      </c>
      <c r="K76" s="3">
        <f>IF(ISBLANK(Actuals!K75),0,Actuals!K75)</f>
        <v>0</v>
      </c>
      <c r="L76" s="3">
        <f>IF(ISBLANK(Actuals!L75),0,Actuals!L75)</f>
        <v>0</v>
      </c>
      <c r="M76" s="3">
        <f>IF(ISBLANK(Actuals!M75),0,Actuals!M75)</f>
        <v>0</v>
      </c>
      <c r="N76" s="3">
        <f>IF(ISBLANK(Actuals!N75),0,Actuals!N75)</f>
        <v>0</v>
      </c>
      <c r="O76" s="3">
        <f>IF(ISBLANK(Actuals!O75),0,Actuals!O75)</f>
        <v>0</v>
      </c>
      <c r="P76" s="3">
        <f>IF(ISBLANK(Actuals!P75),0,Actuals!P75)</f>
        <v>0</v>
      </c>
      <c r="Q76" s="3">
        <f>IF(ISBLANK(Actuals!Q75),0,Actuals!Q75)</f>
        <v>0</v>
      </c>
      <c r="R76" s="3">
        <f>IF(ISBLANK(Actuals!R75),0,Actuals!R75)</f>
        <v>0</v>
      </c>
      <c r="S76" s="3">
        <f>IF(ISBLANK(Actuals!S75),0,Actuals!S75)</f>
        <v>0</v>
      </c>
      <c r="T76" s="3">
        <f>IF(ISBLANK(Actuals!T75),0,Actuals!T75)</f>
        <v>0</v>
      </c>
      <c r="U76" s="3">
        <f>IF(ISBLANK(Actuals!U75),0,Actuals!U75)</f>
        <v>0</v>
      </c>
      <c r="V76" s="3">
        <f>IF(ISBLANK(Actuals!V75),0,Actuals!V75)</f>
        <v>0</v>
      </c>
      <c r="W76" s="3">
        <f>IF(ISBLANK(Actuals!W75),0,Actuals!W75)</f>
        <v>0</v>
      </c>
      <c r="X76" s="3">
        <f>IF(ISBLANK(Actuals!X75),0,Actuals!X75)</f>
        <v>0</v>
      </c>
      <c r="Y76" s="3">
        <f>IF(ISBLANK(Actuals!Y75),0,Actuals!Y75)</f>
        <v>0</v>
      </c>
      <c r="Z76" s="3">
        <f>IF(ISBLANK(Actuals!Z75),0,Actuals!Z75)</f>
        <v>0</v>
      </c>
      <c r="AA76" s="3">
        <f>IF(ISBLANK(Actuals!AA75),0,Actuals!AA75)</f>
        <v>0</v>
      </c>
      <c r="AB76" s="3">
        <f>IF(ISBLANK(Actuals!AB75),0,Actuals!AB75)</f>
        <v>0</v>
      </c>
      <c r="AC76" s="3">
        <f>IF(ISBLANK(Actuals!AC75),0,Actuals!AC75)</f>
        <v>0</v>
      </c>
      <c r="AD76" s="3">
        <f>IF(ISBLANK(Actuals!AD75),0,Actuals!AD75)</f>
        <v>0</v>
      </c>
      <c r="AE76" s="3">
        <f>IF(ISBLANK(Actuals!AE75),0,Actuals!AE75)</f>
        <v>0</v>
      </c>
      <c r="AF76" s="3">
        <f>IF(ISBLANK(Actuals!AF75),0,Actuals!AF75)</f>
        <v>0</v>
      </c>
      <c r="AG76" s="3">
        <f>IF(ISBLANK(Actuals!AG75),0,Actuals!AG75)</f>
        <v>0</v>
      </c>
      <c r="AH76" s="3">
        <f>IF(ISBLANK(Actuals!AH75),0,Actuals!AH75)</f>
        <v>0</v>
      </c>
      <c r="AI76" s="3">
        <f>IF(ISBLANK(Actuals!AI75),0,Actuals!AI75)</f>
        <v>0</v>
      </c>
      <c r="AJ76" s="3">
        <f>IF(ISBLANK(Actuals!AJ75),0,Actuals!AJ75)</f>
        <v>0</v>
      </c>
      <c r="AK76" s="3">
        <f>IF(ISBLANK(Actuals!AK75),0,Actuals!AK75)</f>
        <v>0</v>
      </c>
      <c r="AL76" s="3">
        <f>IF(ISBLANK(Actuals!AL75),0,Actuals!AL75)</f>
        <v>0</v>
      </c>
      <c r="AM76" s="3">
        <f>IF(ISBLANK(Actuals!AM75),0,Actuals!AM75)</f>
        <v>0</v>
      </c>
      <c r="AN76" s="3">
        <f>IF(ISBLANK(Actuals!AN75),0,Actuals!AN75)</f>
        <v>0</v>
      </c>
      <c r="AO76" s="3">
        <f>IF(ISBLANK(Actuals!AO75),0,Actuals!AO75)</f>
        <v>0</v>
      </c>
      <c r="AP76" s="3">
        <f>IF(ISBLANK(Actuals!AP75),0,Actuals!AP75)</f>
        <v>0</v>
      </c>
      <c r="AQ76" s="3">
        <f>IF(ISBLANK(Actuals!AQ75),0,Actuals!AQ75)</f>
        <v>0</v>
      </c>
      <c r="AR76" s="3">
        <f>IF(ISBLANK(Actuals!AR75),0,Actuals!AR75)</f>
        <v>0</v>
      </c>
      <c r="AS76" s="3">
        <f>IF(ISBLANK(Actuals!AS75),0,Actuals!AS75)</f>
        <v>0</v>
      </c>
      <c r="AT76" s="3">
        <f>IF(ISBLANK(Actuals!AT75),0,Actuals!AT75)</f>
        <v>0</v>
      </c>
      <c r="AU76" s="3">
        <f>IF(ISBLANK(Actuals!AU75),IF(Projects!$G$7="Yes",81683,0),Actuals!AU75)</f>
        <v>81683</v>
      </c>
      <c r="AV76" s="3">
        <f>IF(ISBLANK(Actuals!AV75),0,Actuals!AV75)</f>
        <v>0</v>
      </c>
      <c r="AW76" s="3">
        <f>IF(ISBLANK(Actuals!AW75),0,Actuals!AW75)</f>
        <v>0</v>
      </c>
      <c r="AX76" s="3">
        <f>IF(ISBLANK(Actuals!AX75),IF(Projects!$G$7="Yes",81682,0),Actuals!AX75)</f>
        <v>81682</v>
      </c>
      <c r="AY76" s="3">
        <f>IF(ISBLANK(Actuals!AY75),0,Actuals!AY75)</f>
        <v>0</v>
      </c>
      <c r="AZ76" s="3">
        <f>IF(ISBLANK(Actuals!AZ75),0,Actuals!AZ75)</f>
        <v>0</v>
      </c>
      <c r="BA76" s="3">
        <f>IF(ISBLANK(Actuals!BA75),IF(Projects!$G$7="Yes",81682,0),Actuals!BA75)</f>
        <v>81682</v>
      </c>
      <c r="BB76" s="3">
        <f>IF(ISBLANK(Actuals!BB75),0,Actuals!BB75)</f>
        <v>0</v>
      </c>
      <c r="BC76" s="3">
        <f>IF(ISBLANK(Actuals!BC75),0,Actuals!BC75)</f>
        <v>0</v>
      </c>
      <c r="BD76" s="3">
        <f>IF(ISBLANK(Actuals!BD75),IF(Projects!$G$7="Yes",81682,0),Actuals!BD75)</f>
        <v>81682</v>
      </c>
      <c r="BE76" s="3">
        <f>IF(ISBLANK(Actuals!BE75),0,Actuals!BE75)</f>
        <v>0</v>
      </c>
      <c r="BF76" s="3">
        <f>IF(ISBLANK(Actuals!BF75),0,Actuals!BF75)</f>
        <v>0</v>
      </c>
      <c r="BG76" s="3">
        <f>IF(ISBLANK(Actuals!BG75),IF(Projects!$G$7="Yes",59178,0),Actuals!BG75)</f>
        <v>59178</v>
      </c>
      <c r="BH76" s="3">
        <f>IF(ISBLANK(Actuals!BH75),0,Actuals!BH75)</f>
        <v>0</v>
      </c>
      <c r="BI76" s="3">
        <f>IF(ISBLANK(Actuals!BI75),0,Actuals!BI75)</f>
        <v>0</v>
      </c>
      <c r="BJ76" s="3">
        <f>IF(ISBLANK(Actuals!BJ75),IF(Projects!$G$7="Yes",59176,0),Actuals!BJ75)</f>
        <v>59176</v>
      </c>
      <c r="BK76" s="3">
        <f>IF(ISBLANK(Actuals!BK75),0,Actuals!BK75)</f>
        <v>0</v>
      </c>
      <c r="BL76" s="3">
        <f>IF(ISBLANK(Actuals!BL75),0,Actuals!BL75)</f>
        <v>0</v>
      </c>
      <c r="BM76" s="3">
        <f>IF(ISBLANK(Actuals!BM75),IF(Projects!$G$7="Yes",59176,0),Actuals!BM75)</f>
        <v>59176</v>
      </c>
      <c r="BN76" s="3">
        <f>IF(ISBLANK(Actuals!BN75),0,Actuals!BN75)</f>
        <v>0</v>
      </c>
      <c r="BO76" s="3">
        <f>IF(ISBLANK(Actuals!BO75),0,Actuals!BO75)</f>
        <v>0</v>
      </c>
      <c r="BP76" s="3">
        <f>IF(ISBLANK(Actuals!BP75),IF(Projects!$G$7="Yes",59176,0),Actuals!BP75)</f>
        <v>59176</v>
      </c>
      <c r="BQ76" s="3">
        <f>IF(ISBLANK(Actuals!BQ75),0,Actuals!BQ75)</f>
        <v>0</v>
      </c>
      <c r="BR76" s="3">
        <f>IF(ISBLANK(Actuals!BR75),0,Actuals!BR75)</f>
        <v>0</v>
      </c>
      <c r="BS76" s="3">
        <f>IF(ISBLANK(Actuals!BS75),IF(Projects!$G$7="Yes",67763,0),Actuals!BS75)</f>
        <v>67763</v>
      </c>
      <c r="BT76" s="3">
        <f>IF(ISBLANK(Actuals!BT75),0,Actuals!BT75)</f>
        <v>0</v>
      </c>
      <c r="BU76" s="3">
        <f>IF(ISBLANK(Actuals!BU75),0,Actuals!BU75)</f>
        <v>0</v>
      </c>
      <c r="BV76" s="3">
        <f>IF(ISBLANK(Actuals!BV75),IF(Projects!$G$7="Yes",67762,0),Actuals!BV75)</f>
        <v>67762</v>
      </c>
      <c r="BW76" s="3">
        <f>IF(ISBLANK(Actuals!BW75),0,Actuals!BW75)</f>
        <v>0</v>
      </c>
      <c r="BX76" s="3">
        <f>IF(ISBLANK(Actuals!BX75),0,Actuals!BX75)</f>
        <v>0</v>
      </c>
      <c r="BY76" s="3">
        <f>IF(ISBLANK(Actuals!BY75),IF(Projects!$G$7="Yes",67762,0),Actuals!BY75)</f>
        <v>67762</v>
      </c>
      <c r="BZ76" s="3">
        <f>IF(ISBLANK(Actuals!BZ75),0,Actuals!BZ75)</f>
        <v>0</v>
      </c>
      <c r="CA76" s="3">
        <f>IF(ISBLANK(Actuals!CA75),0,Actuals!CA75)</f>
        <v>0</v>
      </c>
      <c r="CB76" s="3">
        <f>IF(ISBLANK(Actuals!CB75),IF(Projects!$G$7="Yes",67762,0),Actuals!CB75)</f>
        <v>67762</v>
      </c>
      <c r="CC76" s="3">
        <f>IF(ISBLANK(Actuals!CC75),0,Actuals!CC75)</f>
        <v>0</v>
      </c>
      <c r="CD76" s="3">
        <f>IF(ISBLANK(Actuals!CD75),0,Actuals!CD75)</f>
        <v>0</v>
      </c>
      <c r="CE76" s="3">
        <f>IF(ISBLANK(Actuals!CE75),IF(Projects!$G$7="Yes",76499,0),Actuals!CE75)</f>
        <v>76499</v>
      </c>
      <c r="CF76" s="3">
        <f>IF(ISBLANK(Actuals!CF75),0,Actuals!CF75)</f>
        <v>0</v>
      </c>
      <c r="CG76" s="3">
        <f>IF(ISBLANK(Actuals!CG75),0,Actuals!CG75)</f>
        <v>0</v>
      </c>
      <c r="CH76" s="3">
        <f>IF(ISBLANK(Actuals!CH75),IF(Projects!$G$7="Yes",76499,0),Actuals!CH75)</f>
        <v>76499</v>
      </c>
      <c r="CI76" s="3">
        <f>IF(ISBLANK(Actuals!CI75),0,Actuals!CI75)</f>
        <v>0</v>
      </c>
      <c r="CJ76" s="3">
        <f>IF(ISBLANK(Actuals!CJ75),0,Actuals!CJ75)</f>
        <v>0</v>
      </c>
      <c r="CK76" s="3">
        <f>IF(ISBLANK(Actuals!CK75),IF(Projects!$G$7="Yes",76499,0),Actuals!CK75)</f>
        <v>76499</v>
      </c>
      <c r="CL76" s="3">
        <f>IF(ISBLANK(Actuals!CL75),IF(Projects!$G$7="Yes",76499,0),Actuals!CL75)</f>
        <v>76499</v>
      </c>
      <c r="CM76" s="3">
        <f>IF(ISBLANK(Actuals!CM75),IF(Projects!$G$7="Yes",76499,0),Actuals!CM75)</f>
        <v>76499</v>
      </c>
      <c r="CN76" s="3">
        <f>IF(ISBLANK(Actuals!CN75),IF(Projects!$G$7="Yes",76499,0),Actuals!CN75)</f>
        <v>76499</v>
      </c>
      <c r="CO76" s="3">
        <f>IF(ISBLANK(Actuals!CO75),IF(Projects!$G$7="Yes",76499,0),Actuals!CO75)</f>
        <v>76499</v>
      </c>
      <c r="CP76" s="3">
        <f>IF(ISBLANK(Actuals!CP75),IF(Projects!$G$7="Yes",76499,0),Actuals!CP75)</f>
        <v>76499</v>
      </c>
      <c r="CQ76" s="3">
        <f>IF(ISBLANK(Actuals!CQ75),IF(Projects!$G$7="Yes",76499,0),Actuals!CQ75)</f>
        <v>76499</v>
      </c>
      <c r="CR76" s="3">
        <f>IF(ISBLANK(Actuals!CR75),IF(Projects!$G$7="Yes",76499,0),Actuals!CR75)</f>
        <v>76499</v>
      </c>
      <c r="CS76" s="3">
        <f>IF(ISBLANK(Actuals!CS75),IF(Projects!$G$7="Yes",76499,0),Actuals!CS75)</f>
        <v>76499</v>
      </c>
      <c r="CT76" s="3">
        <f>IF(ISBLANK(Actuals!CT75),IF(Projects!$G$7="Yes",76499,0),Actuals!CT75)</f>
        <v>76499</v>
      </c>
      <c r="CU76" s="3">
        <f>IF(ISBLANK(Actuals!CU75),IF(Projects!$G$7="Yes",76499,0),Actuals!CU75)</f>
        <v>76499</v>
      </c>
      <c r="CV76" s="3">
        <f>IF(ISBLANK(Actuals!CV75),IF(Projects!$G$7="Yes",76499,0),Actuals!CV75)</f>
        <v>76499</v>
      </c>
      <c r="CW76" s="3">
        <f>IF(ISBLANK(Actuals!CW75),IF(Projects!$G$7="Yes",76499,0),Actuals!CW75)</f>
        <v>76499</v>
      </c>
      <c r="CX76" s="3">
        <f>IF(ISBLANK(Actuals!CX75),IF(Projects!$G$7="Yes",76499,0),Actuals!CX75)</f>
        <v>76499</v>
      </c>
      <c r="CY76" s="3">
        <f>IF(ISBLANK(Actuals!CY75),IF(Projects!$G$7="Yes",76499,0),Actuals!CY75)</f>
        <v>76499</v>
      </c>
      <c r="CZ76" s="3">
        <f>IF(ISBLANK(Actuals!CZ75),IF(Projects!$G$7="Yes",76499,0),Actuals!CZ75)</f>
        <v>76499</v>
      </c>
      <c r="DA76" s="3">
        <f>IF(ISBLANK(Actuals!DA75),IF(Projects!$G$7="Yes",76499,0),Actuals!DA75)</f>
        <v>76499</v>
      </c>
      <c r="DB76" s="3">
        <f>IF(ISBLANK(Actuals!DB75),IF(Projects!$G$7="Yes",76499,0),Actuals!DB75)</f>
        <v>76499</v>
      </c>
      <c r="DC76" s="3">
        <f>IF(ISBLANK(Actuals!DC75),IF(Projects!$G$7="Yes",76499,0),Actuals!DC75)</f>
        <v>76499</v>
      </c>
      <c r="DD76" s="3">
        <f>IF(ISBLANK(Actuals!DD75),IF(Projects!$G$7="Yes",76499,0),Actuals!DD75)</f>
        <v>76499</v>
      </c>
      <c r="DE76" s="3">
        <f>IF(ISBLANK(Actuals!DE75),IF(Projects!$G$7="Yes",76499,0),Actuals!DE75)</f>
        <v>76499</v>
      </c>
      <c r="DF76" s="3">
        <f>IF(ISBLANK(Actuals!DF75),IF(Projects!$G$7="Yes",76499,0),Actuals!DF75)</f>
        <v>76499</v>
      </c>
    </row>
    <row r="77" spans="1:110" ht="15" customHeight="1" x14ac:dyDescent="0.25">
      <c r="A77" s="13" t="s">
        <v>111</v>
      </c>
      <c r="B77" s="302"/>
      <c r="C77" s="3">
        <f>IF(ISBLANK(Actuals!C76),0,Actuals!C76)</f>
        <v>0</v>
      </c>
      <c r="D77" s="3">
        <f>IF(ISBLANK(Actuals!D76),0,Actuals!D76)</f>
        <v>0</v>
      </c>
      <c r="E77" s="3">
        <f>IF(ISBLANK(Actuals!E76),0,Actuals!E76)</f>
        <v>0</v>
      </c>
      <c r="F77" s="3">
        <f>IF(ISBLANK(Actuals!F76),0,Actuals!F76)</f>
        <v>0</v>
      </c>
      <c r="G77" s="3">
        <f>IF(ISBLANK(Actuals!G76),0,Actuals!G76)</f>
        <v>0</v>
      </c>
      <c r="H77" s="3">
        <f>IF(ISBLANK(Actuals!H76),0,Actuals!H76)</f>
        <v>0</v>
      </c>
      <c r="I77" s="3">
        <f>IF(ISBLANK(Actuals!I76),0,Actuals!I76)</f>
        <v>0</v>
      </c>
      <c r="J77" s="3">
        <f>IF(ISBLANK(Actuals!J76),0,Actuals!J76)</f>
        <v>0</v>
      </c>
      <c r="K77" s="3">
        <f>IF(ISBLANK(Actuals!K76),0,Actuals!K76)</f>
        <v>0</v>
      </c>
      <c r="L77" s="3">
        <f>IF(ISBLANK(Actuals!L76),0,Actuals!L76)</f>
        <v>0</v>
      </c>
      <c r="M77" s="3">
        <f>IF(ISBLANK(Actuals!M76),0,Actuals!M76)</f>
        <v>0</v>
      </c>
      <c r="N77" s="3">
        <f>IF(ISBLANK(Actuals!N76),0,Actuals!N76)</f>
        <v>0</v>
      </c>
      <c r="O77" s="3">
        <f>IF(ISBLANK(Actuals!O76),0,Actuals!O76)</f>
        <v>0</v>
      </c>
      <c r="P77" s="3">
        <f>IF(ISBLANK(Actuals!P76),0,Actuals!P76)</f>
        <v>0</v>
      </c>
      <c r="Q77" s="3">
        <f>IF(ISBLANK(Actuals!Q76),0,Actuals!Q76)</f>
        <v>0</v>
      </c>
      <c r="R77" s="3">
        <f>IF(ISBLANK(Actuals!R76),0,Actuals!R76)</f>
        <v>0</v>
      </c>
      <c r="S77" s="3">
        <f>IF(ISBLANK(Actuals!S76),0,Actuals!S76)</f>
        <v>0</v>
      </c>
      <c r="T77" s="3">
        <f>IF(ISBLANK(Actuals!T76),0,Actuals!T76)</f>
        <v>0</v>
      </c>
      <c r="U77" s="3">
        <f>IF(ISBLANK(Actuals!U76),0,Actuals!U76)</f>
        <v>0</v>
      </c>
      <c r="V77" s="3">
        <f>IF(ISBLANK(Actuals!V76),0,Actuals!V76)</f>
        <v>0</v>
      </c>
      <c r="W77" s="3">
        <f>IF(ISBLANK(Actuals!W76),0,Actuals!W76)</f>
        <v>0</v>
      </c>
      <c r="X77" s="3">
        <f>IF(ISBLANK(Actuals!X76),0,Actuals!X76)</f>
        <v>0</v>
      </c>
      <c r="Y77" s="3">
        <f>IF(ISBLANK(Actuals!Y76),0,Actuals!Y76)</f>
        <v>0</v>
      </c>
      <c r="Z77" s="3">
        <f>IF(ISBLANK(Actuals!Z76),0,Actuals!Z76)</f>
        <v>0</v>
      </c>
      <c r="AA77" s="3">
        <f>IF(ISBLANK(Actuals!AA76),0,Actuals!AA76)</f>
        <v>0</v>
      </c>
      <c r="AB77" s="3">
        <f>IF(ISBLANK(Actuals!AB76),0,Actuals!AB76)</f>
        <v>0</v>
      </c>
      <c r="AC77" s="3">
        <f>IF(ISBLANK(Actuals!AC76),0,Actuals!AC76)</f>
        <v>0</v>
      </c>
      <c r="AD77" s="3">
        <f>IF(ISBLANK(Actuals!AD76),0,Actuals!AD76)</f>
        <v>0</v>
      </c>
      <c r="AE77" s="3">
        <f>IF(ISBLANK(Actuals!AE76),0,Actuals!AE76)</f>
        <v>0</v>
      </c>
      <c r="AF77" s="3">
        <f>IF(ISBLANK(Actuals!AF76),0,Actuals!AF76)</f>
        <v>0</v>
      </c>
      <c r="AG77" s="3">
        <f>IF(ISBLANK(Actuals!AG76),0,Actuals!AG76)</f>
        <v>0</v>
      </c>
      <c r="AH77" s="3">
        <f>IF(ISBLANK(Actuals!AH76),0,Actuals!AH76)</f>
        <v>0</v>
      </c>
      <c r="AI77" s="3">
        <f>IF(ISBLANK(Actuals!AI76),0,Actuals!AI76)</f>
        <v>0</v>
      </c>
      <c r="AJ77" s="3">
        <f>IF(ISBLANK(Actuals!AJ76),0,Actuals!AJ76)</f>
        <v>0</v>
      </c>
      <c r="AK77" s="3">
        <f>IF(ISBLANK(Actuals!AK76),0,Actuals!AK76)</f>
        <v>0</v>
      </c>
      <c r="AL77" s="3">
        <f>IF(ISBLANK(Actuals!AL76),0,Actuals!AL76)</f>
        <v>0</v>
      </c>
      <c r="AM77" s="3">
        <f>IF(ISBLANK(Actuals!AM76),0,Actuals!AM76)</f>
        <v>0</v>
      </c>
      <c r="AN77" s="3">
        <f>IF(ISBLANK(Actuals!AN76),0,Actuals!AN76)</f>
        <v>0</v>
      </c>
      <c r="AO77" s="3">
        <f>IF(ISBLANK(Actuals!AO76),0,Actuals!AO76)</f>
        <v>0</v>
      </c>
      <c r="AP77" s="3">
        <f>IF(ISBLANK(Actuals!AP76),0,Actuals!AP76)</f>
        <v>0</v>
      </c>
      <c r="AQ77" s="3">
        <f>IF(ISBLANK(Actuals!AQ76),0,Actuals!AQ76)</f>
        <v>0</v>
      </c>
      <c r="AR77" s="3">
        <f>IF(ISBLANK(Actuals!AR76),0,Actuals!AR76)</f>
        <v>0</v>
      </c>
      <c r="AS77" s="3">
        <f>IF(ISBLANK(Actuals!AS76),0,Actuals!AS76)</f>
        <v>0</v>
      </c>
      <c r="AT77" s="3">
        <f>IF(ISBLANK(Actuals!AT76),0,Actuals!AT76)</f>
        <v>0</v>
      </c>
      <c r="AU77" s="3">
        <f>IF(ISBLANK(Actuals!AU76),0,Actuals!AU76)</f>
        <v>0</v>
      </c>
      <c r="AV77" s="3">
        <f>IF(ISBLANK(Actuals!AV76),0,Actuals!AV76)</f>
        <v>0</v>
      </c>
      <c r="AW77" s="3">
        <f>IF(ISBLANK(Actuals!AW76),0,Actuals!AW76)</f>
        <v>0</v>
      </c>
      <c r="AX77" s="3">
        <f>IF(ISBLANK(Actuals!AX76),0,Actuals!AX76)</f>
        <v>0</v>
      </c>
      <c r="AY77" s="3">
        <f>IF(ISBLANK(Actuals!AY76),0,Actuals!AY76)</f>
        <v>0</v>
      </c>
      <c r="AZ77" s="3">
        <f>IF(ISBLANK(Actuals!AZ76),0,Actuals!AZ76)</f>
        <v>0</v>
      </c>
      <c r="BA77" s="3">
        <f>IF(ISBLANK(Actuals!BA76),0,Actuals!BA76)</f>
        <v>0</v>
      </c>
      <c r="BB77" s="3">
        <f>IF(ISBLANK(Actuals!BB76),0,Actuals!BB76)</f>
        <v>0</v>
      </c>
      <c r="BC77" s="3">
        <f>IF(ISBLANK(Actuals!BC76),0,Actuals!BC76)</f>
        <v>0</v>
      </c>
      <c r="BD77" s="3">
        <f>IF(ISBLANK(Actuals!BD76),IF(Projects!$G$13="Yes",851839,0),Actuals!BD76)</f>
        <v>851839</v>
      </c>
      <c r="BE77" s="3">
        <f>IF(ISBLANK(Actuals!BE76),0,Actuals!BE76)</f>
        <v>0</v>
      </c>
      <c r="BF77" s="3">
        <f>IF(ISBLANK(Actuals!BF76),0,Actuals!BF76)</f>
        <v>0</v>
      </c>
      <c r="BG77" s="3">
        <f>IF(ISBLANK(Actuals!BG76),IF(Projects!$G$13="Yes",71700,0),Actuals!BG76)</f>
        <v>71700</v>
      </c>
      <c r="BH77" s="3">
        <f>IF(ISBLANK(Actuals!BH76),0,Actuals!BH76)</f>
        <v>0</v>
      </c>
      <c r="BI77" s="3">
        <f>IF(ISBLANK(Actuals!BI76),0,Actuals!BI76)</f>
        <v>0</v>
      </c>
      <c r="BJ77" s="3">
        <f>IF(ISBLANK(Actuals!BJ76),IF(Projects!$G$13="Yes",71700,0),Actuals!BJ76)</f>
        <v>71700</v>
      </c>
      <c r="BK77" s="3">
        <f>IF(ISBLANK(Actuals!BK76),0,Actuals!BK76)</f>
        <v>0</v>
      </c>
      <c r="BL77" s="3">
        <f>IF(ISBLANK(Actuals!BL76),0,Actuals!BL76)</f>
        <v>0</v>
      </c>
      <c r="BM77" s="3">
        <f>IF(ISBLANK(Actuals!BM76),IF(Projects!$G$13="Yes",71700,0),Actuals!BM76)</f>
        <v>71700</v>
      </c>
      <c r="BN77" s="3">
        <f>IF(ISBLANK(Actuals!BN76),0,Actuals!BN76)</f>
        <v>0</v>
      </c>
      <c r="BO77" s="3">
        <f>IF(ISBLANK(Actuals!BO76),0,Actuals!BO76)</f>
        <v>0</v>
      </c>
      <c r="BP77" s="3">
        <f>IF(ISBLANK(Actuals!BP76),IF(Projects!$G$13="Yes",71700,0),Actuals!BP76)</f>
        <v>71700</v>
      </c>
      <c r="BQ77" s="3">
        <f>IF(ISBLANK(Actuals!BQ76),0,Actuals!BQ76)</f>
        <v>0</v>
      </c>
      <c r="BR77" s="3">
        <f>IF(ISBLANK(Actuals!BR76),0,Actuals!BR76)</f>
        <v>0</v>
      </c>
      <c r="BS77" s="3">
        <f>IF(ISBLANK(Actuals!BS76),IF(Projects!$G$13="Yes",74643,0),Actuals!BS76)</f>
        <v>74643</v>
      </c>
      <c r="BT77" s="3">
        <f>IF(ISBLANK(Actuals!BT76),0,Actuals!BT76)</f>
        <v>0</v>
      </c>
      <c r="BU77" s="3">
        <f>IF(ISBLANK(Actuals!BU76),0,Actuals!BU76)</f>
        <v>0</v>
      </c>
      <c r="BV77" s="3">
        <f>IF(ISBLANK(Actuals!BV76),IF(Projects!$G$13="Yes",74640,0),Actuals!BV76)</f>
        <v>74640</v>
      </c>
      <c r="BW77" s="3">
        <f>IF(ISBLANK(Actuals!BW76),0,Actuals!BW76)</f>
        <v>0</v>
      </c>
      <c r="BX77" s="3">
        <f>IF(ISBLANK(Actuals!BX76),0,Actuals!BX76)</f>
        <v>0</v>
      </c>
      <c r="BY77" s="3">
        <f>IF(ISBLANK(Actuals!BY76),IF(Projects!$G$13="Yes",74640,0),Actuals!BY76)</f>
        <v>74640</v>
      </c>
      <c r="BZ77" s="3">
        <f>IF(ISBLANK(Actuals!BZ76),0,Actuals!BZ76)</f>
        <v>0</v>
      </c>
      <c r="CA77" s="3">
        <f>IF(ISBLANK(Actuals!CA76),0,Actuals!CA76)</f>
        <v>0</v>
      </c>
      <c r="CB77" s="3">
        <f>IF(ISBLANK(Actuals!CB76),IF(Projects!$G$13="Yes",74640,0),Actuals!CB76)</f>
        <v>74640</v>
      </c>
      <c r="CC77" s="3">
        <f>IF(ISBLANK(Actuals!CC76),0,Actuals!CC76)</f>
        <v>0</v>
      </c>
      <c r="CD77" s="3">
        <f>IF(ISBLANK(Actuals!CD76),0,Actuals!CD76)</f>
        <v>0</v>
      </c>
      <c r="CE77" s="3">
        <f>IF(ISBLANK(Actuals!CE76),IF(Projects!$G$13="Yes",81363,0),Actuals!CE76)</f>
        <v>81363</v>
      </c>
      <c r="CF77" s="3">
        <f>IF(ISBLANK(Actuals!CF76),0,Actuals!CF76)</f>
        <v>0</v>
      </c>
      <c r="CG77" s="3">
        <f>IF(ISBLANK(Actuals!CG76),0,Actuals!CG76)</f>
        <v>0</v>
      </c>
      <c r="CH77" s="3">
        <f>IF(ISBLANK(Actuals!CH76),IF(Projects!$G$13="Yes",81362,0),Actuals!CH76)</f>
        <v>81362</v>
      </c>
      <c r="CI77" s="3">
        <f>IF(ISBLANK(Actuals!CI76),0,Actuals!CI76)</f>
        <v>0</v>
      </c>
      <c r="CJ77" s="3">
        <f>IF(ISBLANK(Actuals!CJ76),0,Actuals!CJ76)</f>
        <v>0</v>
      </c>
      <c r="CK77" s="3">
        <f>IF(ISBLANK(Actuals!CK76),IF(Projects!$G$13="Yes",81362,0),Actuals!CK76)</f>
        <v>81362</v>
      </c>
      <c r="CL77" s="3">
        <f>IF(ISBLANK(Actuals!CL76),IF(Projects!$G$13="Yes",81362,0),Actuals!CL76)</f>
        <v>81362</v>
      </c>
      <c r="CM77" s="3">
        <f>IF(ISBLANK(Actuals!CM76),IF(Projects!$G$13="Yes",81362,0),Actuals!CM76)</f>
        <v>81362</v>
      </c>
      <c r="CN77" s="3">
        <f>IF(ISBLANK(Actuals!CN76),IF(Projects!$G$13="Yes",81362,0),Actuals!CN76)</f>
        <v>81362</v>
      </c>
      <c r="CO77" s="3">
        <f>IF(ISBLANK(Actuals!CO76),IF(Projects!$G$13="Yes",81362,0),Actuals!CO76)</f>
        <v>81362</v>
      </c>
      <c r="CP77" s="3">
        <f>IF(ISBLANK(Actuals!CP76),IF(Projects!$G$13="Yes",81362,0),Actuals!CP76)</f>
        <v>81362</v>
      </c>
      <c r="CQ77" s="3">
        <f>IF(ISBLANK(Actuals!CQ76),IF(Projects!$G$13="Yes",81362,0),Actuals!CQ76)</f>
        <v>81362</v>
      </c>
      <c r="CR77" s="3">
        <f>IF(ISBLANK(Actuals!CR76),IF(Projects!$G$13="Yes",81362,0),Actuals!CR76)</f>
        <v>81362</v>
      </c>
      <c r="CS77" s="3">
        <f>IF(ISBLANK(Actuals!CS76),IF(Projects!$G$13="Yes",81362,0),Actuals!CS76)</f>
        <v>81362</v>
      </c>
      <c r="CT77" s="3">
        <f>IF(ISBLANK(Actuals!CT76),IF(Projects!$G$13="Yes",81362,0),Actuals!CT76)</f>
        <v>81362</v>
      </c>
      <c r="CU77" s="3">
        <f>IF(ISBLANK(Actuals!CU76),IF(Projects!$G$13="Yes",81362,0),Actuals!CU76)</f>
        <v>81362</v>
      </c>
      <c r="CV77" s="3">
        <f>IF(ISBLANK(Actuals!CV76),IF(Projects!$G$13="Yes",81362,0),Actuals!CV76)</f>
        <v>81362</v>
      </c>
      <c r="CW77" s="3">
        <f>IF(ISBLANK(Actuals!CW76),IF(Projects!$G$13="Yes",81362,0),Actuals!CW76)</f>
        <v>81362</v>
      </c>
      <c r="CX77" s="3">
        <f>IF(ISBLANK(Actuals!CX76),IF(Projects!$G$13="Yes",81362,0),Actuals!CX76)</f>
        <v>81362</v>
      </c>
      <c r="CY77" s="3">
        <f>IF(ISBLANK(Actuals!CY76),IF(Projects!$G$13="Yes",81362,0),Actuals!CY76)</f>
        <v>81362</v>
      </c>
      <c r="CZ77" s="3">
        <f>IF(ISBLANK(Actuals!CZ76),IF(Projects!$G$13="Yes",81362,0),Actuals!CZ76)</f>
        <v>81362</v>
      </c>
      <c r="DA77" s="3">
        <f>IF(ISBLANK(Actuals!DA76),IF(Projects!$G$13="Yes",81362,0),Actuals!DA76)</f>
        <v>81362</v>
      </c>
      <c r="DB77" s="3">
        <f>IF(ISBLANK(Actuals!DB76),IF(Projects!$G$13="Yes",81362,0),Actuals!DB76)</f>
        <v>81362</v>
      </c>
      <c r="DC77" s="3">
        <f>IF(ISBLANK(Actuals!DC76),IF(Projects!$G$13="Yes",81362,0),Actuals!DC76)</f>
        <v>81362</v>
      </c>
      <c r="DD77" s="3">
        <f>IF(ISBLANK(Actuals!DD76),IF(Projects!$G$13="Yes",81362,0),Actuals!DD76)</f>
        <v>81362</v>
      </c>
      <c r="DE77" s="3">
        <f>IF(ISBLANK(Actuals!DE76),IF(Projects!$G$13="Yes",81362,0),Actuals!DE76)</f>
        <v>81362</v>
      </c>
      <c r="DF77" s="3">
        <f>IF(ISBLANK(Actuals!DF76),IF(Projects!$G$13="Yes",81362,0),Actuals!DF76)</f>
        <v>81362</v>
      </c>
    </row>
    <row r="78" spans="1:110" ht="15" customHeight="1" x14ac:dyDescent="0.25">
      <c r="A78" s="13" t="s">
        <v>112</v>
      </c>
      <c r="B78" s="13"/>
      <c r="C78" s="3">
        <f>IF(ISBLANK(Actuals!C77),0,Actuals!C77)</f>
        <v>0</v>
      </c>
      <c r="D78" s="3">
        <f>IF(ISBLANK(Actuals!D77),0,Actuals!D77)</f>
        <v>0</v>
      </c>
      <c r="E78" s="3">
        <f>IF(ISBLANK(Actuals!E77),0,Actuals!E77)</f>
        <v>0</v>
      </c>
      <c r="F78" s="3">
        <f>IF(ISBLANK(Actuals!F77),0,Actuals!F77)</f>
        <v>0</v>
      </c>
      <c r="G78" s="3">
        <f>IF(ISBLANK(Actuals!G77),0,Actuals!G77)</f>
        <v>0</v>
      </c>
      <c r="H78" s="3">
        <f>IF(ISBLANK(Actuals!H77),0,Actuals!H77)</f>
        <v>0</v>
      </c>
      <c r="I78" s="3">
        <f>IF(ISBLANK(Actuals!I77),0,Actuals!I77)</f>
        <v>0</v>
      </c>
      <c r="J78" s="3">
        <f>IF(ISBLANK(Actuals!J77),0,Actuals!J77)</f>
        <v>0</v>
      </c>
      <c r="K78" s="3">
        <f>IF(ISBLANK(Actuals!K77),0,Actuals!K77)</f>
        <v>0</v>
      </c>
      <c r="L78" s="3">
        <f>IF(ISBLANK(Actuals!L77),0,Actuals!L77)</f>
        <v>0</v>
      </c>
      <c r="M78" s="3">
        <f>IF(ISBLANK(Actuals!M77),0,Actuals!M77)</f>
        <v>0</v>
      </c>
      <c r="N78" s="3">
        <f>IF(ISBLANK(Actuals!N77),0,Actuals!N77)</f>
        <v>0</v>
      </c>
      <c r="O78" s="3">
        <f>IF(ISBLANK(Actuals!O77),0,Actuals!O77)</f>
        <v>0</v>
      </c>
      <c r="P78" s="3">
        <f>IF(ISBLANK(Actuals!P77),0,Actuals!P77)</f>
        <v>0</v>
      </c>
      <c r="Q78" s="3">
        <f>IF(ISBLANK(Actuals!Q77),0,Actuals!Q77)</f>
        <v>0</v>
      </c>
      <c r="R78" s="3">
        <f>IF(ISBLANK(Actuals!R77),0,Actuals!R77)</f>
        <v>0</v>
      </c>
      <c r="S78" s="3">
        <f>IF(ISBLANK(Actuals!S77),0,Actuals!S77)</f>
        <v>0</v>
      </c>
      <c r="T78" s="3">
        <f>IF(ISBLANK(Actuals!T77),0,Actuals!T77)</f>
        <v>0</v>
      </c>
      <c r="U78" s="3">
        <f>IF(ISBLANK(Actuals!U77),0,Actuals!U77)</f>
        <v>0</v>
      </c>
      <c r="V78" s="3">
        <f>IF(ISBLANK(Actuals!V77),0,Actuals!V77)</f>
        <v>0</v>
      </c>
      <c r="W78" s="3">
        <f>IF(ISBLANK(Actuals!W77),0,Actuals!W77)</f>
        <v>0</v>
      </c>
      <c r="X78" s="3">
        <f>IF(ISBLANK(Actuals!X77),0,Actuals!X77)</f>
        <v>0</v>
      </c>
      <c r="Y78" s="3">
        <f>IF(ISBLANK(Actuals!Y77),0,Actuals!Y77)</f>
        <v>0</v>
      </c>
      <c r="Z78" s="3">
        <f>IF(ISBLANK(Actuals!Z77),0,Actuals!Z77)</f>
        <v>0</v>
      </c>
      <c r="AA78" s="3">
        <f>IF(ISBLANK(Actuals!AA77),0,Actuals!AA77)</f>
        <v>0</v>
      </c>
      <c r="AB78" s="3">
        <f>IF(ISBLANK(Actuals!AB77),0,Actuals!AB77)</f>
        <v>0</v>
      </c>
      <c r="AC78" s="3">
        <f>IF(ISBLANK(Actuals!AC77),0,Actuals!AC77)</f>
        <v>0</v>
      </c>
      <c r="AD78" s="3">
        <f>IF(ISBLANK(Actuals!AD77),0,Actuals!AD77)</f>
        <v>0</v>
      </c>
      <c r="AE78" s="3">
        <f>IF(ISBLANK(Actuals!AE77),0,Actuals!AE77)</f>
        <v>0</v>
      </c>
      <c r="AF78" s="3">
        <f>IF(ISBLANK(Actuals!AF77),0,Actuals!AF77)</f>
        <v>0</v>
      </c>
      <c r="AG78" s="3">
        <f>IF(ISBLANK(Actuals!AG77),0,Actuals!AG77)</f>
        <v>0</v>
      </c>
      <c r="AH78" s="3">
        <f>IF(ISBLANK(Actuals!AH77),0,Actuals!AH77)</f>
        <v>0</v>
      </c>
      <c r="AI78" s="3">
        <f>IF(ISBLANK(Actuals!AI77),0,Actuals!AI77)</f>
        <v>0</v>
      </c>
      <c r="AJ78" s="3">
        <f>IF(ISBLANK(Actuals!AJ77),0,Actuals!AJ77)</f>
        <v>0</v>
      </c>
      <c r="AK78" s="3">
        <f>IF(ISBLANK(Actuals!AK77),0,Actuals!AK77)</f>
        <v>0</v>
      </c>
      <c r="AL78" s="3">
        <f>IF(ISBLANK(Actuals!AL77),0,Actuals!AL77)</f>
        <v>0</v>
      </c>
      <c r="AM78" s="3">
        <f>IF(ISBLANK(Actuals!AM77),0,Actuals!AM77)</f>
        <v>0</v>
      </c>
      <c r="AN78" s="3">
        <f>IF(ISBLANK(Actuals!AN77),0,Actuals!AN77)</f>
        <v>0</v>
      </c>
      <c r="AO78" s="3">
        <f>IF(ISBLANK(Actuals!AO77),0,Actuals!AO77)</f>
        <v>0</v>
      </c>
      <c r="AP78" s="3">
        <f>IF(ISBLANK(Actuals!AP77),0,Actuals!AP77)</f>
        <v>0</v>
      </c>
      <c r="AQ78" s="3">
        <f>IF(ISBLANK(Actuals!AQ77),0,Actuals!AQ77)</f>
        <v>0</v>
      </c>
      <c r="AR78" s="3">
        <f>IF(ISBLANK(Actuals!AR77),0,Actuals!AR77)</f>
        <v>0</v>
      </c>
      <c r="AS78" s="3">
        <f>IF(ISBLANK(Actuals!AS77),0,Actuals!AS77)</f>
        <v>0</v>
      </c>
      <c r="AT78" s="3">
        <f>IF(ISBLANK(Actuals!AT77),0,Actuals!AT77)</f>
        <v>0</v>
      </c>
      <c r="AU78" s="3">
        <f>IF(ISBLANK(Actuals!AU77),0,Actuals!AU77)</f>
        <v>0</v>
      </c>
      <c r="AV78" s="3">
        <f>IF(ISBLANK(Actuals!AV77),0,Actuals!AV77)</f>
        <v>0</v>
      </c>
      <c r="AW78" s="3">
        <f>IF(ISBLANK(Actuals!AW77),0,Actuals!AW77)</f>
        <v>0</v>
      </c>
      <c r="AX78" s="3">
        <f>IF(ISBLANK(Actuals!AX77),0,Actuals!AX77)</f>
        <v>0</v>
      </c>
      <c r="AY78" s="3">
        <f>IF(ISBLANK(Actuals!AY77),0,Actuals!AY77)</f>
        <v>0</v>
      </c>
      <c r="AZ78" s="3">
        <f>IF(ISBLANK(Actuals!AZ77),0,Actuals!AZ77)</f>
        <v>0</v>
      </c>
      <c r="BA78" s="3">
        <f>IF(ISBLANK(Actuals!BA77),0,Actuals!BA77)</f>
        <v>0</v>
      </c>
      <c r="BB78" s="3">
        <f>IF(ISBLANK(Actuals!BB77),0,Actuals!BB77)</f>
        <v>0</v>
      </c>
      <c r="BC78" s="3">
        <f>IF(ISBLANK(Actuals!BC77),0,Actuals!BC77)</f>
        <v>0</v>
      </c>
      <c r="BD78" s="3">
        <f>IF(ISBLANK(Actuals!BD77),0,Actuals!BD77)</f>
        <v>0</v>
      </c>
      <c r="BE78" s="3">
        <f>IF(ISBLANK(Actuals!BE77),0,Actuals!BE77)</f>
        <v>0</v>
      </c>
      <c r="BF78" s="3">
        <f>IF(ISBLANK(Actuals!BF77),0,Actuals!BF77)</f>
        <v>0</v>
      </c>
      <c r="BG78" s="3">
        <f>IF(ISBLANK(Actuals!BG77),0,Actuals!BG77)</f>
        <v>0</v>
      </c>
      <c r="BH78" s="3">
        <f>IF(ISBLANK(Actuals!BH77),0,Actuals!BH77)</f>
        <v>0</v>
      </c>
      <c r="BI78" s="3">
        <f>IF(ISBLANK(Actuals!BI77),0,Actuals!BI77)</f>
        <v>0</v>
      </c>
      <c r="BJ78" s="3">
        <f>IF(ISBLANK(Actuals!BJ77),0,Actuals!BJ77)</f>
        <v>0</v>
      </c>
      <c r="BK78" s="3">
        <f>IF(ISBLANK(Actuals!BK77),0,Actuals!BK77)</f>
        <v>0</v>
      </c>
      <c r="BL78" s="3">
        <f>IF(ISBLANK(Actuals!BL77),0,Actuals!BL77)</f>
        <v>0</v>
      </c>
      <c r="BM78" s="3">
        <f>IF(ISBLANK(Actuals!BM77),0,Actuals!BM77)</f>
        <v>0</v>
      </c>
      <c r="BN78" s="3">
        <f>IF(ISBLANK(Actuals!BN77),0,Actuals!BN77)</f>
        <v>0</v>
      </c>
      <c r="BO78" s="3">
        <f>IF(ISBLANK(Actuals!BO77),0,Actuals!BO77)</f>
        <v>0</v>
      </c>
      <c r="BP78" s="3">
        <f>IF(ISBLANK(Actuals!BP77),0,Actuals!BP77)</f>
        <v>0</v>
      </c>
      <c r="BQ78" s="3">
        <f>IF(ISBLANK(Actuals!BQ77),0,Actuals!BQ77)</f>
        <v>0</v>
      </c>
      <c r="BR78" s="3">
        <f>IF(ISBLANK(Actuals!BR77),0,Actuals!BR77)</f>
        <v>0</v>
      </c>
      <c r="BS78" s="3">
        <f>IF(ISBLANK(Actuals!BS77),0,Actuals!BS77)</f>
        <v>0</v>
      </c>
      <c r="BT78" s="3">
        <f>IF(ISBLANK(Actuals!BT77),0,Actuals!BT77)</f>
        <v>0</v>
      </c>
      <c r="BU78" s="3">
        <f>IF(ISBLANK(Actuals!BU77),0,Actuals!BU77)</f>
        <v>0</v>
      </c>
      <c r="BV78" s="3">
        <f>IF(ISBLANK(Actuals!BV77),0,Actuals!BV77)</f>
        <v>0</v>
      </c>
      <c r="BW78" s="3">
        <f>IF(ISBLANK(Actuals!BW77),0,Actuals!BW77)</f>
        <v>0</v>
      </c>
      <c r="BX78" s="3">
        <f>IF(ISBLANK(Actuals!BX77),0,Actuals!BX77)</f>
        <v>0</v>
      </c>
      <c r="BY78" s="3">
        <f>IF(ISBLANK(Actuals!BY77),0,Actuals!BY77)</f>
        <v>0</v>
      </c>
      <c r="BZ78" s="3">
        <f>IF(ISBLANK(Actuals!BZ77),0,Actuals!BZ77)</f>
        <v>0</v>
      </c>
      <c r="CA78" s="3">
        <f>IF(ISBLANK(Actuals!CA77),0,Actuals!CA77)</f>
        <v>0</v>
      </c>
      <c r="CB78" s="3">
        <f>IF(ISBLANK(Actuals!CB77),IF(Projects!$G$14="Yes",73156,0),Actuals!CB77)</f>
        <v>73156</v>
      </c>
      <c r="CC78" s="3">
        <f>IF(ISBLANK(Actuals!CC77),0,Actuals!CC77)</f>
        <v>0</v>
      </c>
      <c r="CD78" s="3">
        <f>IF(ISBLANK(Actuals!CD77),0,Actuals!CD77)</f>
        <v>0</v>
      </c>
      <c r="CE78" s="3">
        <f>IF(ISBLANK(Actuals!CE77),IF(Projects!$G$14="Yes",73155,0),Actuals!CE77)</f>
        <v>73155</v>
      </c>
      <c r="CF78" s="3">
        <f>IF(ISBLANK(Actuals!CF77),0,Actuals!CF77)</f>
        <v>0</v>
      </c>
      <c r="CG78" s="3">
        <f>IF(ISBLANK(Actuals!CG77),0,Actuals!CG77)</f>
        <v>0</v>
      </c>
      <c r="CH78" s="3">
        <f>IF(ISBLANK(Actuals!CH77),IF(Projects!$G$14="Yes",73155,0),Actuals!CH77)</f>
        <v>73155</v>
      </c>
      <c r="CI78" s="3">
        <f>IF(ISBLANK(Actuals!CI77),0,Actuals!CI77)</f>
        <v>0</v>
      </c>
      <c r="CJ78" s="3">
        <f>IF(ISBLANK(Actuals!CJ77),0,Actuals!CJ77)</f>
        <v>0</v>
      </c>
      <c r="CK78" s="3">
        <f>IF(ISBLANK(Actuals!CK77),IF(Projects!$G$14="Yes",73155,0),Actuals!CK77)</f>
        <v>73155</v>
      </c>
      <c r="CL78" s="3">
        <f>IF(ISBLANK(Actuals!CL77),IF(Projects!$G$14="Yes",73155,0),Actuals!CL77)</f>
        <v>73155</v>
      </c>
      <c r="CM78" s="3">
        <f>IF(ISBLANK(Actuals!CM77),IF(Projects!$G$14="Yes",73155,0),Actuals!CM77)</f>
        <v>73155</v>
      </c>
      <c r="CN78" s="3">
        <f>IF(ISBLANK(Actuals!CN77),IF(Projects!$G$14="Yes",73155,0),Actuals!CN77)</f>
        <v>73155</v>
      </c>
      <c r="CO78" s="3">
        <f>IF(ISBLANK(Actuals!CO77),IF(Projects!$G$14="Yes",73155,0),Actuals!CO77)</f>
        <v>73155</v>
      </c>
      <c r="CP78" s="3">
        <f>IF(ISBLANK(Actuals!CP77),IF(Projects!$G$14="Yes",73155,0),Actuals!CP77)</f>
        <v>73155</v>
      </c>
      <c r="CQ78" s="3">
        <f>IF(ISBLANK(Actuals!CQ77),IF(Projects!$G$14="Yes",73155,0),Actuals!CQ77)</f>
        <v>73155</v>
      </c>
      <c r="CR78" s="3">
        <f>IF(ISBLANK(Actuals!CR77),IF(Projects!$G$14="Yes",73155,0),Actuals!CR77)</f>
        <v>73155</v>
      </c>
      <c r="CS78" s="3">
        <f>IF(ISBLANK(Actuals!CS77),IF(Projects!$G$14="Yes",73155,0),Actuals!CS77)</f>
        <v>73155</v>
      </c>
      <c r="CT78" s="3">
        <f>IF(ISBLANK(Actuals!CT77),IF(Projects!$G$14="Yes",73155,0),Actuals!CT77)</f>
        <v>73155</v>
      </c>
      <c r="CU78" s="3">
        <f>IF(ISBLANK(Actuals!CU77),IF(Projects!$G$14="Yes",73155,0),Actuals!CU77)</f>
        <v>73155</v>
      </c>
      <c r="CV78" s="3">
        <f>IF(ISBLANK(Actuals!CV77),IF(Projects!$G$14="Yes",73155,0),Actuals!CV77)</f>
        <v>73155</v>
      </c>
      <c r="CW78" s="3">
        <f>IF(ISBLANK(Actuals!CW77),IF(Projects!$G$14="Yes",73155,0),Actuals!CW77)</f>
        <v>73155</v>
      </c>
      <c r="CX78" s="3">
        <f>IF(ISBLANK(Actuals!CX77),IF(Projects!$G$14="Yes",73155,0),Actuals!CX77)</f>
        <v>73155</v>
      </c>
      <c r="CY78" s="3">
        <f>IF(ISBLANK(Actuals!CY77),IF(Projects!$G$14="Yes",73155,0),Actuals!CY77)</f>
        <v>73155</v>
      </c>
      <c r="CZ78" s="3">
        <f>IF(ISBLANK(Actuals!CZ77),IF(Projects!$G$14="Yes",73155,0),Actuals!CZ77)</f>
        <v>73155</v>
      </c>
      <c r="DA78" s="3">
        <f>IF(ISBLANK(Actuals!DA77),IF(Projects!$G$14="Yes",73155,0),Actuals!DA77)</f>
        <v>73155</v>
      </c>
      <c r="DB78" s="3">
        <f>IF(ISBLANK(Actuals!DB77),IF(Projects!$G$14="Yes",73155,0),Actuals!DB77)</f>
        <v>73155</v>
      </c>
      <c r="DC78" s="3">
        <f>IF(ISBLANK(Actuals!DC77),IF(Projects!$G$14="Yes",73155,0),Actuals!DC77)</f>
        <v>73155</v>
      </c>
      <c r="DD78" s="3">
        <f>IF(ISBLANK(Actuals!DD77),IF(Projects!$G$14="Yes",73155,0),Actuals!DD77)</f>
        <v>73155</v>
      </c>
      <c r="DE78" s="3">
        <f>IF(ISBLANK(Actuals!DE77),IF(Projects!$G$14="Yes",73155,0),Actuals!DE77)</f>
        <v>73155</v>
      </c>
      <c r="DF78" s="3">
        <f>IF(ISBLANK(Actuals!DF77),IF(Projects!$G$14="Yes",73155,0),Actuals!DF77)</f>
        <v>73155</v>
      </c>
    </row>
    <row r="79" spans="1:110" ht="15" customHeight="1" x14ac:dyDescent="0.25">
      <c r="A79" s="13" t="s">
        <v>113</v>
      </c>
      <c r="B79" s="13"/>
      <c r="C79" s="3">
        <f>IF(ISBLANK(Actuals!C78),0,Actuals!C78)</f>
        <v>0</v>
      </c>
      <c r="D79" s="3">
        <f>IF(ISBLANK(Actuals!D78),0,Actuals!D78)</f>
        <v>0</v>
      </c>
      <c r="E79" s="3">
        <f>IF(ISBLANK(Actuals!E78),0,Actuals!E78)</f>
        <v>0</v>
      </c>
      <c r="F79" s="3">
        <f>IF(ISBLANK(Actuals!F78),IF(Uplifters!$B$2="Yes",Uplifters!C107,0),Actuals!F78)</f>
        <v>0</v>
      </c>
      <c r="G79" s="3">
        <f>IF(ISBLANK(Actuals!G78),IF(Uplifters!$B$2="Yes",Uplifters!D107,0),Actuals!G78)</f>
        <v>0</v>
      </c>
      <c r="H79" s="3">
        <f>IF(ISBLANK(Actuals!H78),IF(Uplifters!$B$2="Yes",Uplifters!E107,0),Actuals!H78)</f>
        <v>0</v>
      </c>
      <c r="I79" s="3">
        <f>IF(ISBLANK(Actuals!I78),IF(Uplifters!$B$2="Yes",Uplifters!F107,0),Actuals!I78)</f>
        <v>0</v>
      </c>
      <c r="J79" s="3">
        <f>IF(ISBLANK(Actuals!J78),IF(Uplifters!$B$2="Yes",Uplifters!G107,0),Actuals!J78)</f>
        <v>0</v>
      </c>
      <c r="K79" s="3">
        <f>IF(ISBLANK(Actuals!K78),IF(Uplifters!$B$2="Yes",Uplifters!H107,0),Actuals!K78)</f>
        <v>0</v>
      </c>
      <c r="L79" s="3">
        <f>IF(ISBLANK(Actuals!L78),IF(Uplifters!$B$2="Yes",Uplifters!I107,0),Actuals!L78)</f>
        <v>0</v>
      </c>
      <c r="M79" s="3">
        <f>IF(ISBLANK(Actuals!M78),IF(Uplifters!$B$2="Yes",Uplifters!J107,0),Actuals!M78)</f>
        <v>0</v>
      </c>
      <c r="N79" s="3">
        <f>IF(ISBLANK(Actuals!N78),IF(Uplifters!$B$2="Yes",Uplifters!K107,0),Actuals!N78)</f>
        <v>0</v>
      </c>
      <c r="O79" s="3">
        <f>IF(ISBLANK(Actuals!O78),IF(Uplifters!$B$2="Yes",Uplifters!L107,0),Actuals!O78)</f>
        <v>23132.2304</v>
      </c>
      <c r="P79" s="3">
        <f>IF(ISBLANK(Actuals!P78),IF(Uplifters!$B$2="Yes",Uplifters!M107,0),Actuals!P78)</f>
        <v>16882.0304</v>
      </c>
      <c r="Q79" s="3">
        <f>IF(ISBLANK(Actuals!Q78),IF(Uplifters!$B$2="Yes",Uplifters!N107,0),Actuals!Q78)</f>
        <v>16882.0304</v>
      </c>
      <c r="R79" s="3">
        <f>IF(ISBLANK(Actuals!R78),IF(Uplifters!$B$2="Yes",Uplifters!O107,0),Actuals!R78)</f>
        <v>16882.0304</v>
      </c>
      <c r="S79" s="3">
        <f>IF(ISBLANK(Actuals!S78),IF(Uplifters!$B$2="Yes",Uplifters!P107,0),Actuals!S78)</f>
        <v>12382.0304</v>
      </c>
      <c r="T79" s="3">
        <f>IF(ISBLANK(Actuals!T78),IF(Uplifters!$B$2="Yes",Uplifters!Q107,0),Actuals!T78)</f>
        <v>12382.0304</v>
      </c>
      <c r="U79" s="3">
        <f>IF(ISBLANK(Actuals!U78),IF(Uplifters!$B$2="Yes",Uplifters!R107,0),Actuals!U78)</f>
        <v>28954.292799999999</v>
      </c>
      <c r="V79" s="3">
        <f>IF(ISBLANK(Actuals!V78),IF(Uplifters!$B$2="Yes",Uplifters!S107,0),Actuals!V78)</f>
        <v>45526.555199999995</v>
      </c>
      <c r="W79" s="3">
        <f>IF(ISBLANK(Actuals!W78),IF(Uplifters!$B$2="Yes",Uplifters!T107,0),Actuals!W78)</f>
        <v>62098.817599999995</v>
      </c>
      <c r="X79" s="3">
        <f>IF(ISBLANK(Actuals!X78),IF(Uplifters!$B$2="Yes",Uplifters!U107,0),Actuals!X78)</f>
        <v>72225.793999999994</v>
      </c>
      <c r="Y79" s="3">
        <f>IF(ISBLANK(Actuals!Y78),IF(Uplifters!$B$2="Yes",Uplifters!V107,0),Actuals!Y78)</f>
        <v>87762.296000000002</v>
      </c>
      <c r="Z79" s="3">
        <f>IF(ISBLANK(Actuals!Z78),IF(Uplifters!$B$2="Yes",Uplifters!W107,0),Actuals!Z78)</f>
        <v>103298.78599999999</v>
      </c>
      <c r="AA79" s="3">
        <f>IF(ISBLANK(Actuals!AA78),IF(Uplifters!$B$2="Yes",Uplifters!X107,0),Actuals!AA78)</f>
        <v>118835.276</v>
      </c>
      <c r="AB79" s="3">
        <f>IF(ISBLANK(Actuals!AB78),IF(Uplifters!$B$2="Yes",Uplifters!Y107,0),Actuals!AB78)</f>
        <v>134371.772</v>
      </c>
      <c r="AC79" s="3">
        <f>IF(ISBLANK(Actuals!AC78),IF(Uplifters!$B$2="Yes",Uplifters!Z107,0),Actuals!AC78)</f>
        <v>149908.27399999998</v>
      </c>
      <c r="AD79" s="3">
        <f>IF(ISBLANK(Actuals!AD78),IF(Uplifters!$B$2="Yes",Uplifters!AA107,0),Actuals!AD78)</f>
        <v>152699.367</v>
      </c>
      <c r="AE79" s="3">
        <f>IF(ISBLANK(Actuals!AE78),IF(Uplifters!$B$2="Yes",Uplifters!AB107,0),Actuals!AE78)</f>
        <v>166941.1605</v>
      </c>
      <c r="AF79" s="3">
        <f>IF(ISBLANK(Actuals!AF78),IF(Uplifters!$B$2="Yes",Uplifters!AC107,0),Actuals!AF78)</f>
        <v>200231.2855</v>
      </c>
      <c r="AG79" s="3">
        <f>IF(ISBLANK(Actuals!AG78),IF(Uplifters!$B$2="Yes",Uplifters!AD107,0),Actuals!AG78)</f>
        <v>151106.05550000002</v>
      </c>
      <c r="AH79" s="3">
        <f>IF(ISBLANK(Actuals!AH78),IF(Uplifters!$B$2="Yes",Uplifters!AE107,0),Actuals!AH78)</f>
        <v>151536.22149999999</v>
      </c>
      <c r="AI79" s="3">
        <f>IF(ISBLANK(Actuals!AI78),IF(Uplifters!$B$2="Yes",Uplifters!AF107,0),Actuals!AI78)</f>
        <v>151966.37649999998</v>
      </c>
      <c r="AJ79" s="3">
        <f>IF(ISBLANK(Actuals!AJ78),IF(Uplifters!$B$2="Yes",Uplifters!AG107,0),Actuals!AJ78)</f>
        <v>152396.53700000001</v>
      </c>
      <c r="AK79" s="3">
        <f>IF(ISBLANK(Actuals!AK78),IF(Uplifters!$B$2="Yes",Uplifters!AH107,0),Actuals!AK78)</f>
        <v>152826.69199999998</v>
      </c>
      <c r="AL79" s="3">
        <f>IF(ISBLANK(Actuals!AL78),IF(Uplifters!$B$2="Yes",Uplifters!AI107,0),Actuals!AL78)</f>
        <v>167498.64050000001</v>
      </c>
      <c r="AM79" s="3">
        <f>IF(ISBLANK(Actuals!AM78),IF(Uplifters!$B$2="Yes",Uplifters!AJ107,0),Actuals!AM78)</f>
        <v>153687.01850000001</v>
      </c>
      <c r="AN79" s="3">
        <f>IF(ISBLANK(Actuals!AN78),IF(Uplifters!$B$2="Yes",Uplifters!AK107,0),Actuals!AN78)</f>
        <v>139875.391</v>
      </c>
      <c r="AO79" s="3">
        <f>IF(ISBLANK(Actuals!AO78),IF(Uplifters!$B$2="Yes",Uplifters!AL107,0),Actuals!AO78)</f>
        <v>126063.7635</v>
      </c>
      <c r="AP79" s="3">
        <f>IF(ISBLANK(Actuals!AP78),IF(Uplifters!$B$2="Yes",Uplifters!AM107,0),Actuals!AP78)</f>
        <v>112252.1305</v>
      </c>
      <c r="AQ79" s="3">
        <f>IF(ISBLANK(Actuals!AQ78),IF(Uplifters!$B$2="Yes",Uplifters!AN107,0),Actuals!AQ78)</f>
        <v>90627.735000000001</v>
      </c>
      <c r="AR79" s="3">
        <f>IF(ISBLANK(Actuals!AR78),IF(Uplifters!$B$2="Yes",Uplifters!AO107,0),Actuals!AR78)</f>
        <v>78071.710000000006</v>
      </c>
      <c r="AS79" s="3">
        <f>IF(ISBLANK(Actuals!AS78),IF(Uplifters!$B$2="Yes",Uplifters!AP107,0),Actuals!AS78)</f>
        <v>65515.679999999993</v>
      </c>
      <c r="AT79" s="3">
        <f>IF(ISBLANK(Actuals!AT78),IF(Uplifters!$B$2="Yes",Uplifters!AQ107,0),Actuals!AT78)</f>
        <v>52959.66</v>
      </c>
      <c r="AU79" s="3">
        <f>IF(ISBLANK(Actuals!AU78),IF(Uplifters!$B$2="Yes",Uplifters!AR107,0),Actuals!AU78)</f>
        <v>39919.048500000004</v>
      </c>
      <c r="AV79" s="3">
        <f>IF(ISBLANK(Actuals!AV78),IF(Uplifters!$B$2="Yes",Uplifters!AS107,0),Actuals!AV78)</f>
        <v>80797.05</v>
      </c>
      <c r="AW79" s="3">
        <f>IF(ISBLANK(Actuals!AW78),IF(Uplifters!$B$2="Yes",Uplifters!AT107,0),Actuals!AW78)</f>
        <v>67849.975000000006</v>
      </c>
      <c r="AX79" s="3">
        <f>IF(ISBLANK(Actuals!AX78),IF(Uplifters!$B$2="Yes",Uplifters!AU107,0),Actuals!AX78)</f>
        <v>42056.612500000003</v>
      </c>
      <c r="AY79" s="3">
        <f>IF(ISBLANK(Actuals!AY78),IF(Uplifters!$B$2="Yes",Uplifters!AV107,0),Actuals!AY78)</f>
        <v>41626.451999999997</v>
      </c>
      <c r="AZ79" s="3">
        <f>IF(ISBLANK(Actuals!AZ78),IF(Uplifters!$B$2="Yes",Uplifters!AW107,0),Actuals!AZ78)</f>
        <v>41196.286</v>
      </c>
      <c r="BA79" s="3">
        <f>IF(ISBLANK(Actuals!BA78),IF(Uplifters!$B$2="Yes",Uplifters!AX107,0),Actuals!BA78)</f>
        <v>40766.130999999994</v>
      </c>
      <c r="BB79" s="3">
        <f>IF(ISBLANK(Actuals!BB78),IF(Uplifters!$B$2="Yes",Uplifters!AY107,0),Actuals!BB78)</f>
        <v>40335.970499999996</v>
      </c>
      <c r="BC79" s="3">
        <f>IF(ISBLANK(Actuals!BC78),IF(Uplifters!$B$2="Yes",Uplifters!AZ107,0),Actuals!BC78)</f>
        <v>39905.81</v>
      </c>
      <c r="BD79" s="3">
        <f>IF(ISBLANK(Actuals!BD78),IF(Uplifters!$B$2="Yes",Uplifters!BA107,0),Actuals!BD78)</f>
        <v>39475.6495</v>
      </c>
      <c r="BE79" s="3">
        <f>IF(ISBLANK(Actuals!BE78),IF(Uplifters!$B$2="Yes",Uplifters!BB107,0),Actuals!BE78)</f>
        <v>39045.489000000001</v>
      </c>
      <c r="BF79" s="3">
        <f>IF(ISBLANK(Actuals!BF78),IF(Uplifters!$B$2="Yes",Uplifters!BC107,0),Actuals!BF78)</f>
        <v>38615.328500000003</v>
      </c>
      <c r="BG79" s="3">
        <f>IF(ISBLANK(Actuals!BG78),IF(Uplifters!$B$2="Yes",Uplifters!BD107,0),Actuals!BG78)</f>
        <v>38185.167999999998</v>
      </c>
      <c r="BH79" s="3">
        <f>IF(ISBLANK(Actuals!BH78),IF(Uplifters!$B$2="Yes",Uplifters!BE107,0),Actuals!BH78)</f>
        <v>37755.0075</v>
      </c>
      <c r="BI79" s="3">
        <f>IF(ISBLANK(Actuals!BI78),IF(Uplifters!$B$2="Yes",Uplifters!BF107,0),Actuals!BI78)</f>
        <v>37324.846999999994</v>
      </c>
      <c r="BJ79" s="3">
        <f>IF(ISBLANK(Actuals!BJ78),IF(Uplifters!$B$2="Yes",Uplifters!BG107,0),Actuals!BJ78)</f>
        <v>36894.692000000003</v>
      </c>
      <c r="BK79" s="3">
        <f>IF(ISBLANK(Actuals!BK78),IF(Uplifters!$B$2="Yes",Uplifters!BH107,0),Actuals!BK78)</f>
        <v>59965.026000000005</v>
      </c>
      <c r="BL79" s="3">
        <f>IF(ISBLANK(Actuals!BL78),IF(Uplifters!$B$2="Yes",Uplifters!BI107,0),Actuals!BL78)</f>
        <v>59534.865500000007</v>
      </c>
      <c r="BM79" s="3">
        <f>IF(ISBLANK(Actuals!BM78),IF(Uplifters!$B$2="Yes",Uplifters!BJ107,0),Actuals!BM78)</f>
        <v>112930.995</v>
      </c>
      <c r="BN79" s="3">
        <f>IF(ISBLANK(Actuals!BN78),IF(Uplifters!$B$2="Yes",Uplifters!BK107,0),Actuals!BN78)</f>
        <v>0</v>
      </c>
      <c r="BO79" s="3">
        <f>IF(ISBLANK(Actuals!BO78),IF(Uplifters!$B$2="Yes",Uplifters!BL107,0),Actuals!BO78)</f>
        <v>0</v>
      </c>
      <c r="BP79" s="3">
        <f>IF(ISBLANK(Actuals!BP78),IF(Uplifters!$B$2="Yes",Uplifters!BM107,0),Actuals!BP78)</f>
        <v>0</v>
      </c>
      <c r="BQ79" s="3">
        <f>IF(ISBLANK(Actuals!BQ78),IF(Uplifters!$B$2="Yes",Uplifters!BN107,0),Actuals!BQ78)</f>
        <v>0</v>
      </c>
      <c r="BR79" s="3">
        <f>IF(ISBLANK(Actuals!BR78),IF(Uplifters!$B$2="Yes",Uplifters!BO107,0),Actuals!BR78)</f>
        <v>0</v>
      </c>
      <c r="BS79" s="3">
        <f>IF(ISBLANK(Actuals!BS78),IF(Uplifters!$B$2="Yes",Uplifters!BP107,0),Actuals!BS78)</f>
        <v>0</v>
      </c>
      <c r="BT79" s="3">
        <f>IF(ISBLANK(Actuals!BT78),IF(Uplifters!$B$2="Yes",Uplifters!BQ107,0),Actuals!BT78)</f>
        <v>0</v>
      </c>
      <c r="BU79" s="3">
        <f>IF(ISBLANK(Actuals!BU78),IF(Uplifters!$B$2="Yes",Uplifters!BR107,0),Actuals!BU78)</f>
        <v>0</v>
      </c>
      <c r="BV79" s="3">
        <f>IF(ISBLANK(Actuals!BV78),IF(Uplifters!$B$2="Yes",Uplifters!BS107,0),Actuals!BV78)</f>
        <v>0</v>
      </c>
      <c r="BW79" s="3">
        <f>IF(ISBLANK(Actuals!BW78),IF(Uplifters!$B$2="Yes",Uplifters!BT107,0),Actuals!BW78)</f>
        <v>0</v>
      </c>
      <c r="BX79" s="3">
        <f>IF(ISBLANK(Actuals!BX78),IF(Uplifters!$B$2="Yes",Uplifters!BU107,0),Actuals!BX78)</f>
        <v>0</v>
      </c>
      <c r="BY79" s="3">
        <f>IF(ISBLANK(Actuals!BY78),IF(Uplifters!$B$2="Yes",Uplifters!BV107,0),Actuals!BY78)</f>
        <v>0</v>
      </c>
      <c r="BZ79" s="3">
        <f>IF(ISBLANK(Actuals!BZ78),IF(Uplifters!$B$2="Yes",Uplifters!BW107,0),Actuals!BZ78)</f>
        <v>0</v>
      </c>
      <c r="CA79" s="3">
        <f>IF(ISBLANK(Actuals!CA78),IF(Uplifters!$B$2="Yes",Uplifters!BX107,0),Actuals!CA78)</f>
        <v>0</v>
      </c>
      <c r="CB79" s="3">
        <f>IF(ISBLANK(Actuals!CB78),IF(Uplifters!$B$2="Yes",Uplifters!BY107,0),Actuals!CB78)</f>
        <v>0</v>
      </c>
      <c r="CC79" s="3">
        <f>IF(ISBLANK(Actuals!CC78),IF(Uplifters!$B$2="Yes",Uplifters!BZ107,0),Actuals!CC78)</f>
        <v>0</v>
      </c>
      <c r="CD79" s="3">
        <f>IF(ISBLANK(Actuals!CD78),IF(Uplifters!$B$2="Yes",Uplifters!CA107,0),Actuals!CD78)</f>
        <v>0</v>
      </c>
      <c r="CE79" s="3">
        <f>IF(ISBLANK(Actuals!CE78),IF(Uplifters!$B$2="Yes",Uplifters!CB107,0),Actuals!CE78)</f>
        <v>0</v>
      </c>
      <c r="CF79" s="3">
        <f>IF(ISBLANK(Actuals!CF78),IF(Uplifters!$B$2="Yes",Uplifters!CC107,0),Actuals!CF78)</f>
        <v>0</v>
      </c>
      <c r="CG79" s="3">
        <f>IF(ISBLANK(Actuals!CG78),IF(Uplifters!$B$2="Yes",Uplifters!CD107,0),Actuals!CG78)</f>
        <v>0</v>
      </c>
      <c r="CH79" s="3">
        <f>IF(ISBLANK(Actuals!CH78),IF(Uplifters!$B$2="Yes",Uplifters!CE107,0),Actuals!CH78)</f>
        <v>0</v>
      </c>
      <c r="CI79" s="3">
        <f>IF(ISBLANK(Actuals!CI78),IF(Uplifters!$B$2="Yes",Uplifters!CF107,0),Actuals!CI78)</f>
        <v>0</v>
      </c>
      <c r="CJ79" s="3">
        <f>IF(ISBLANK(Actuals!CJ78),IF(Uplifters!$B$2="Yes",Uplifters!CG107,0),Actuals!CJ78)</f>
        <v>0</v>
      </c>
      <c r="CK79" s="3">
        <f>IF(ISBLANK(Actuals!CK78),IF(Uplifters!$B$2="Yes",Uplifters!CH107,0),Actuals!CK78)</f>
        <v>0</v>
      </c>
      <c r="CL79" s="3">
        <f>IF(ISBLANK(Actuals!CL78),IF(Uplifters!$B$2="Yes",Uplifters!CI107,0),Actuals!CL78)</f>
        <v>0</v>
      </c>
      <c r="CM79" s="3">
        <f>IF(ISBLANK(Actuals!CM78),IF(Uplifters!$B$2="Yes",Uplifters!CJ107,0),Actuals!CM78)</f>
        <v>0</v>
      </c>
      <c r="CN79" s="3">
        <f>IF(ISBLANK(Actuals!CN78),IF(Uplifters!$B$2="Yes",Uplifters!CK107,0),Actuals!CN78)</f>
        <v>0</v>
      </c>
      <c r="CO79" s="3">
        <f>IF(ISBLANK(Actuals!CO78),IF(Uplifters!$B$2="Yes",Uplifters!CL107,0),Actuals!CO78)</f>
        <v>0</v>
      </c>
      <c r="CP79" s="3">
        <f>IF(ISBLANK(Actuals!CP78),IF(Uplifters!$B$2="Yes",Uplifters!CM107,0),Actuals!CP78)</f>
        <v>0</v>
      </c>
      <c r="CQ79" s="3">
        <f>IF(ISBLANK(Actuals!CQ78),IF(Uplifters!$B$2="Yes",Uplifters!CN107,0),Actuals!CQ78)</f>
        <v>0</v>
      </c>
      <c r="CR79" s="3">
        <f>IF(ISBLANK(Actuals!CR78),IF(Uplifters!$B$2="Yes",Uplifters!CO107,0),Actuals!CR78)</f>
        <v>0</v>
      </c>
      <c r="CS79" s="3">
        <f>IF(ISBLANK(Actuals!CS78),IF(Uplifters!$B$2="Yes",Uplifters!CP107,0),Actuals!CS78)</f>
        <v>0</v>
      </c>
      <c r="CT79" s="3">
        <f>IF(ISBLANK(Actuals!CT78),IF(Uplifters!$B$2="Yes",Uplifters!CQ107,0),Actuals!CT78)</f>
        <v>0</v>
      </c>
      <c r="CU79" s="3">
        <f>IF(ISBLANK(Actuals!CU78),IF(Uplifters!$B$2="Yes",Uplifters!CR107,0),Actuals!CU78)</f>
        <v>0</v>
      </c>
      <c r="CV79" s="3">
        <f>IF(ISBLANK(Actuals!CV78),IF(Uplifters!$B$2="Yes",Uplifters!CS107,0),Actuals!CV78)</f>
        <v>0</v>
      </c>
      <c r="CW79" s="3">
        <f>IF(ISBLANK(Actuals!CW78),IF(Uplifters!$B$2="Yes",Uplifters!CT107,0),Actuals!CW78)</f>
        <v>0</v>
      </c>
      <c r="CX79" s="3">
        <f>IF(ISBLANK(Actuals!CX78),IF(Uplifters!$B$2="Yes",Uplifters!CU107,0),Actuals!CX78)</f>
        <v>0</v>
      </c>
      <c r="CY79" s="3">
        <f>IF(ISBLANK(Actuals!CY78),IF(Uplifters!$B$2="Yes",Uplifters!CV107,0),Actuals!CY78)</f>
        <v>0</v>
      </c>
      <c r="CZ79" s="3">
        <f>IF(ISBLANK(Actuals!CZ78),IF(Uplifters!$B$2="Yes",Uplifters!CW107,0),Actuals!CZ78)</f>
        <v>0</v>
      </c>
      <c r="DA79" s="3">
        <f>IF(ISBLANK(Actuals!DA78),IF(Uplifters!$B$2="Yes",Uplifters!CX107,0),Actuals!DA78)</f>
        <v>0</v>
      </c>
      <c r="DB79" s="3">
        <f>IF(ISBLANK(Actuals!DB78),IF(Uplifters!$B$2="Yes",Uplifters!CY107,0),Actuals!DB78)</f>
        <v>0</v>
      </c>
      <c r="DC79" s="3">
        <f>IF(ISBLANK(Actuals!DC78),IF(Uplifters!$B$2="Yes",Uplifters!CZ107,0),Actuals!DC78)</f>
        <v>0</v>
      </c>
      <c r="DD79" s="3">
        <f>IF(ISBLANK(Actuals!DD78),IF(Uplifters!$B$2="Yes",Uplifters!DA107,0),Actuals!DD78)</f>
        <v>0</v>
      </c>
      <c r="DE79" s="3">
        <f>IF(ISBLANK(Actuals!DE78),IF(Uplifters!$B$2="Yes",Uplifters!DB107,0),Actuals!DE78)</f>
        <v>0</v>
      </c>
      <c r="DF79" s="3">
        <f>IF(ISBLANK(Actuals!DF78),IF(Uplifters!$B$2="Yes",Uplifters!DC107,0),Actuals!DF78)</f>
        <v>0</v>
      </c>
    </row>
    <row r="80" spans="1:110" ht="19.5" customHeight="1" x14ac:dyDescent="0.25">
      <c r="A80" s="18" t="s">
        <v>114</v>
      </c>
      <c r="B80" s="19"/>
      <c r="C80" s="20">
        <f t="shared" ref="C80:AH80" si="24">SUM(C63:C79)</f>
        <v>34114.58</v>
      </c>
      <c r="D80" s="20">
        <f t="shared" si="24"/>
        <v>34114.58</v>
      </c>
      <c r="E80" s="20">
        <f t="shared" si="24"/>
        <v>34114.58</v>
      </c>
      <c r="F80" s="20">
        <f t="shared" si="24"/>
        <v>43614.58</v>
      </c>
      <c r="G80" s="20">
        <f t="shared" si="24"/>
        <v>43614.58</v>
      </c>
      <c r="H80" s="20">
        <f t="shared" si="24"/>
        <v>43614.58</v>
      </c>
      <c r="I80" s="20">
        <f t="shared" si="24"/>
        <v>43614.58</v>
      </c>
      <c r="J80" s="20">
        <f t="shared" si="24"/>
        <v>43614.58</v>
      </c>
      <c r="K80" s="20">
        <f t="shared" si="24"/>
        <v>42781.25</v>
      </c>
      <c r="L80" s="20">
        <f t="shared" si="24"/>
        <v>42781.25</v>
      </c>
      <c r="M80" s="20">
        <f t="shared" si="24"/>
        <v>33406.25</v>
      </c>
      <c r="N80" s="20">
        <f t="shared" si="24"/>
        <v>33406.25</v>
      </c>
      <c r="O80" s="20">
        <f t="shared" si="24"/>
        <v>56538.4804</v>
      </c>
      <c r="P80" s="20">
        <f t="shared" si="24"/>
        <v>50288.280400000003</v>
      </c>
      <c r="Q80" s="20">
        <f t="shared" si="24"/>
        <v>50288.280400000003</v>
      </c>
      <c r="R80" s="20">
        <f t="shared" si="24"/>
        <v>50288.280400000003</v>
      </c>
      <c r="S80" s="20">
        <f t="shared" si="24"/>
        <v>45788.280400000003</v>
      </c>
      <c r="T80" s="20">
        <f t="shared" si="24"/>
        <v>45788.280400000003</v>
      </c>
      <c r="U80" s="20">
        <f t="shared" si="24"/>
        <v>38454.292799999996</v>
      </c>
      <c r="V80" s="20">
        <f t="shared" si="24"/>
        <v>55026.555199999995</v>
      </c>
      <c r="W80" s="20">
        <f t="shared" si="24"/>
        <v>71598.817599999995</v>
      </c>
      <c r="X80" s="20">
        <f t="shared" si="24"/>
        <v>81725.793999999994</v>
      </c>
      <c r="Y80" s="20">
        <f t="shared" si="24"/>
        <v>97262.296000000002</v>
      </c>
      <c r="Z80" s="20">
        <f t="shared" si="24"/>
        <v>170173.78599999999</v>
      </c>
      <c r="AA80" s="20">
        <f t="shared" si="24"/>
        <v>128335.276</v>
      </c>
      <c r="AB80" s="20">
        <f t="shared" si="24"/>
        <v>143871.772</v>
      </c>
      <c r="AC80" s="20">
        <f t="shared" si="24"/>
        <v>216783.27399999998</v>
      </c>
      <c r="AD80" s="20">
        <f t="shared" si="24"/>
        <v>162199.367</v>
      </c>
      <c r="AE80" s="20">
        <f t="shared" si="24"/>
        <v>176441.1605</v>
      </c>
      <c r="AF80" s="20">
        <f t="shared" si="24"/>
        <v>267106.2855</v>
      </c>
      <c r="AG80" s="20">
        <f t="shared" si="24"/>
        <v>160606.05550000002</v>
      </c>
      <c r="AH80" s="20">
        <f t="shared" si="24"/>
        <v>161036.22149999999</v>
      </c>
      <c r="AI80" s="20">
        <f t="shared" ref="AI80:BN80" si="25">SUM(AI63:AI79)</f>
        <v>161466.37649999998</v>
      </c>
      <c r="AJ80" s="20">
        <f t="shared" si="25"/>
        <v>152396.53700000001</v>
      </c>
      <c r="AK80" s="20">
        <f t="shared" si="25"/>
        <v>152826.69199999998</v>
      </c>
      <c r="AL80" s="20">
        <f t="shared" si="25"/>
        <v>167498.64050000001</v>
      </c>
      <c r="AM80" s="20">
        <f t="shared" si="25"/>
        <v>153687.01850000001</v>
      </c>
      <c r="AN80" s="20">
        <f t="shared" si="25"/>
        <v>139875.391</v>
      </c>
      <c r="AO80" s="20">
        <f t="shared" si="25"/>
        <v>126063.7635</v>
      </c>
      <c r="AP80" s="20">
        <f t="shared" si="25"/>
        <v>112252.1305</v>
      </c>
      <c r="AQ80" s="20">
        <f t="shared" si="25"/>
        <v>90627.735000000001</v>
      </c>
      <c r="AR80" s="20">
        <f t="shared" si="25"/>
        <v>78071.710000000006</v>
      </c>
      <c r="AS80" s="20">
        <f t="shared" si="25"/>
        <v>65515.679999999993</v>
      </c>
      <c r="AT80" s="20">
        <f t="shared" si="25"/>
        <v>52959.66</v>
      </c>
      <c r="AU80" s="20">
        <f t="shared" si="25"/>
        <v>121602.0485</v>
      </c>
      <c r="AV80" s="20">
        <f t="shared" si="25"/>
        <v>80797.05</v>
      </c>
      <c r="AW80" s="20">
        <f t="shared" si="25"/>
        <v>67849.975000000006</v>
      </c>
      <c r="AX80" s="20">
        <f t="shared" si="25"/>
        <v>123738.6125</v>
      </c>
      <c r="AY80" s="20">
        <f t="shared" si="25"/>
        <v>41626.451999999997</v>
      </c>
      <c r="AZ80" s="20">
        <f t="shared" si="25"/>
        <v>41196.286</v>
      </c>
      <c r="BA80" s="20">
        <f t="shared" si="25"/>
        <v>122448.13099999999</v>
      </c>
      <c r="BB80" s="20">
        <f t="shared" si="25"/>
        <v>40335.970499999996</v>
      </c>
      <c r="BC80" s="20">
        <f t="shared" si="25"/>
        <v>39905.81</v>
      </c>
      <c r="BD80" s="20">
        <f t="shared" si="25"/>
        <v>972996.64950000006</v>
      </c>
      <c r="BE80" s="20">
        <f t="shared" si="25"/>
        <v>39045.489000000001</v>
      </c>
      <c r="BF80" s="20">
        <f t="shared" si="25"/>
        <v>38615.328500000003</v>
      </c>
      <c r="BG80" s="20">
        <f t="shared" si="25"/>
        <v>169063.16800000001</v>
      </c>
      <c r="BH80" s="20">
        <f t="shared" si="25"/>
        <v>37755.0075</v>
      </c>
      <c r="BI80" s="20">
        <f t="shared" si="25"/>
        <v>37324.846999999994</v>
      </c>
      <c r="BJ80" s="20">
        <f t="shared" si="25"/>
        <v>167770.69200000001</v>
      </c>
      <c r="BK80" s="20">
        <f t="shared" si="25"/>
        <v>59965.026000000005</v>
      </c>
      <c r="BL80" s="20">
        <f t="shared" si="25"/>
        <v>59534.865500000007</v>
      </c>
      <c r="BM80" s="20">
        <f t="shared" si="25"/>
        <v>243806.995</v>
      </c>
      <c r="BN80" s="20">
        <f t="shared" si="25"/>
        <v>0</v>
      </c>
      <c r="BO80" s="20">
        <f t="shared" ref="BO80:CT80" si="26">SUM(BO63:BO79)</f>
        <v>0</v>
      </c>
      <c r="BP80" s="20">
        <f t="shared" si="26"/>
        <v>130876</v>
      </c>
      <c r="BQ80" s="20">
        <f t="shared" si="26"/>
        <v>0</v>
      </c>
      <c r="BR80" s="20">
        <f t="shared" si="26"/>
        <v>0</v>
      </c>
      <c r="BS80" s="20">
        <f t="shared" si="26"/>
        <v>142406</v>
      </c>
      <c r="BT80" s="20">
        <f t="shared" si="26"/>
        <v>0</v>
      </c>
      <c r="BU80" s="20">
        <f t="shared" si="26"/>
        <v>0</v>
      </c>
      <c r="BV80" s="20">
        <f t="shared" si="26"/>
        <v>142402</v>
      </c>
      <c r="BW80" s="20">
        <f t="shared" si="26"/>
        <v>0</v>
      </c>
      <c r="BX80" s="20">
        <f t="shared" si="26"/>
        <v>0</v>
      </c>
      <c r="BY80" s="20">
        <f t="shared" si="26"/>
        <v>142402</v>
      </c>
      <c r="BZ80" s="20">
        <f t="shared" si="26"/>
        <v>0</v>
      </c>
      <c r="CA80" s="20">
        <f t="shared" si="26"/>
        <v>0</v>
      </c>
      <c r="CB80" s="20">
        <f t="shared" si="26"/>
        <v>215558</v>
      </c>
      <c r="CC80" s="20">
        <f t="shared" si="26"/>
        <v>0</v>
      </c>
      <c r="CD80" s="20">
        <f t="shared" si="26"/>
        <v>0</v>
      </c>
      <c r="CE80" s="20">
        <f t="shared" si="26"/>
        <v>231017</v>
      </c>
      <c r="CF80" s="20">
        <f t="shared" si="26"/>
        <v>0</v>
      </c>
      <c r="CG80" s="20">
        <f t="shared" si="26"/>
        <v>0</v>
      </c>
      <c r="CH80" s="20">
        <f t="shared" si="26"/>
        <v>231016</v>
      </c>
      <c r="CI80" s="20">
        <f t="shared" si="26"/>
        <v>0</v>
      </c>
      <c r="CJ80" s="20">
        <f t="shared" si="26"/>
        <v>0</v>
      </c>
      <c r="CK80" s="20">
        <f t="shared" si="26"/>
        <v>231016</v>
      </c>
      <c r="CL80" s="20">
        <f t="shared" si="26"/>
        <v>231016</v>
      </c>
      <c r="CM80" s="20">
        <f t="shared" si="26"/>
        <v>231016</v>
      </c>
      <c r="CN80" s="20">
        <f t="shared" si="26"/>
        <v>231016</v>
      </c>
      <c r="CO80" s="20">
        <f t="shared" si="26"/>
        <v>231016</v>
      </c>
      <c r="CP80" s="20">
        <f t="shared" si="26"/>
        <v>231016</v>
      </c>
      <c r="CQ80" s="20">
        <f t="shared" si="26"/>
        <v>231016</v>
      </c>
      <c r="CR80" s="20">
        <f t="shared" si="26"/>
        <v>231016</v>
      </c>
      <c r="CS80" s="20">
        <f t="shared" si="26"/>
        <v>231016</v>
      </c>
      <c r="CT80" s="20">
        <f t="shared" si="26"/>
        <v>231016</v>
      </c>
      <c r="CU80" s="20">
        <f t="shared" ref="CU80:DZ80" si="27">SUM(CU63:CU79)</f>
        <v>231016</v>
      </c>
      <c r="CV80" s="20">
        <f t="shared" si="27"/>
        <v>231016</v>
      </c>
      <c r="CW80" s="20">
        <f t="shared" si="27"/>
        <v>231016</v>
      </c>
      <c r="CX80" s="20">
        <f t="shared" si="27"/>
        <v>231016</v>
      </c>
      <c r="CY80" s="20">
        <f t="shared" si="27"/>
        <v>231016</v>
      </c>
      <c r="CZ80" s="20">
        <f t="shared" si="27"/>
        <v>231016</v>
      </c>
      <c r="DA80" s="20">
        <f t="shared" si="27"/>
        <v>231016</v>
      </c>
      <c r="DB80" s="20">
        <f t="shared" si="27"/>
        <v>231016</v>
      </c>
      <c r="DC80" s="20">
        <f t="shared" si="27"/>
        <v>231016</v>
      </c>
      <c r="DD80" s="20">
        <f t="shared" si="27"/>
        <v>231016</v>
      </c>
      <c r="DE80" s="20">
        <f t="shared" si="27"/>
        <v>231016</v>
      </c>
      <c r="DF80" s="20">
        <f t="shared" si="27"/>
        <v>231016</v>
      </c>
    </row>
    <row r="81" spans="1:110" ht="15" customHeight="1" x14ac:dyDescent="0.25">
      <c r="A81" s="315" t="s">
        <v>31</v>
      </c>
      <c r="B81" s="315"/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P81" s="316"/>
      <c r="AQ81" s="316"/>
      <c r="AR81" s="316"/>
      <c r="AS81" s="316"/>
      <c r="AT81" s="316"/>
      <c r="AU81" s="316"/>
      <c r="AV81" s="316"/>
      <c r="AW81" s="316"/>
      <c r="AX81" s="316"/>
      <c r="AY81" s="316"/>
      <c r="AZ81" s="316"/>
      <c r="BA81" s="316"/>
      <c r="BB81" s="316"/>
      <c r="BC81" s="316"/>
      <c r="BD81" s="316"/>
      <c r="BE81" s="316"/>
      <c r="BF81" s="316"/>
      <c r="BG81" s="316"/>
      <c r="BH81" s="316"/>
      <c r="BI81" s="316"/>
      <c r="BJ81" s="316"/>
      <c r="BK81" s="316"/>
      <c r="BL81" s="316"/>
      <c r="BM81" s="316"/>
      <c r="BN81" s="316"/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6"/>
      <c r="CC81" s="316"/>
      <c r="CD81" s="316"/>
      <c r="CE81" s="316"/>
      <c r="CF81" s="316"/>
      <c r="CG81" s="316"/>
      <c r="CH81" s="316"/>
      <c r="CI81" s="316"/>
      <c r="CJ81" s="316"/>
      <c r="CK81" s="316"/>
      <c r="CL81" s="316"/>
      <c r="CM81" s="316"/>
      <c r="CN81" s="316"/>
      <c r="CO81" s="316"/>
      <c r="CP81" s="316"/>
      <c r="CQ81" s="316"/>
      <c r="CR81" s="316"/>
      <c r="CS81" s="316"/>
      <c r="CT81" s="316"/>
      <c r="CU81" s="316"/>
      <c r="CV81" s="316"/>
      <c r="CW81" s="316"/>
      <c r="CX81" s="316"/>
      <c r="CY81" s="316"/>
      <c r="CZ81" s="316"/>
      <c r="DA81" s="316"/>
      <c r="DB81" s="316"/>
      <c r="DC81" s="316"/>
      <c r="DD81" s="316"/>
      <c r="DE81" s="316"/>
      <c r="DF81" s="316"/>
    </row>
    <row r="82" spans="1:110" ht="15" customHeight="1" x14ac:dyDescent="0.25">
      <c r="A82" s="27" t="s">
        <v>63</v>
      </c>
      <c r="B82" s="27"/>
      <c r="C82" s="28">
        <f>IF(ISBLANK(Actuals!C81),0,Actuals!C81)</f>
        <v>-54421</v>
      </c>
      <c r="D82" s="28">
        <f>IF(ISBLANK(Actuals!D81),0,Actuals!D81)</f>
        <v>-54166.68</v>
      </c>
      <c r="E82" s="28">
        <f>IF(ISBLANK(Actuals!E81),0,Actuals!E81)</f>
        <v>-54166.68</v>
      </c>
      <c r="F82" s="28">
        <f>IF(ISBLANK(Actuals!F81),(-(IF(AND(1&gt;=Personnel!$E$40,Personnel!$G$40="Yes"),Personnel!$D$40*(1-Personnel!$I$40),0)+IF(AND(1&gt;=Personnel!$E$41,Personnel!$G$41="Yes"),Personnel!$D$41*(1-Personnel!$I$41),0)+IF(AND(1&gt;=Personnel!$E$42,Personnel!$G$42="Yes"),Personnel!$D$42*(1-Personnel!$I$42),0)))*Escalation!$B$2,Actuals!F81)</f>
        <v>-54166.68</v>
      </c>
      <c r="G82" s="28">
        <f>IF(ISBLANK(Actuals!G81),(-(IF(AND(2&gt;=Personnel!$E$40,Personnel!$G$40="Yes"),Personnel!$D$40*(1-Personnel!$I$40),0)+IF(AND(2&gt;=Personnel!$E$41,Personnel!$G$41="Yes"),Personnel!$D$41*(1-Personnel!$I$41),0)+IF(AND(2&gt;=Personnel!$E$42,Personnel!$G$42="Yes"),Personnel!$D$42*(1-Personnel!$I$42),0)))*Escalation!$B$3,Actuals!G81)</f>
        <v>-11458.333333333334</v>
      </c>
      <c r="H82" s="28">
        <f>IF(ISBLANK(Actuals!H81),(-(IF(AND(3&gt;=Personnel!$E$40,Personnel!$G$40="Yes"),Personnel!$D$40*(1-Personnel!$I$40),0)+IF(AND(3&gt;=Personnel!$E$41,Personnel!$G$41="Yes"),Personnel!$D$41*(1-Personnel!$I$41),0)+IF(AND(3&gt;=Personnel!$E$42,Personnel!$G$42="Yes"),Personnel!$D$42*(1-Personnel!$I$42),0)))*Escalation!$B$4,Actuals!H81)</f>
        <v>-11458.333333333334</v>
      </c>
      <c r="I82" s="28">
        <f>IF(ISBLANK(Actuals!I81),(-(IF(AND(4&gt;=Personnel!$E$40,Personnel!$G$40="Yes"),Personnel!$D$40*(1-Personnel!$I$40),0)+IF(AND(4&gt;=Personnel!$E$41,Personnel!$G$41="Yes"),Personnel!$D$41*(1-Personnel!$I$41),0)+IF(AND(4&gt;=Personnel!$E$42,Personnel!$G$42="Yes"),Personnel!$D$42*(1-Personnel!$I$42),0)))*Escalation!$B$5,Actuals!I81)</f>
        <v>-11458.333333333334</v>
      </c>
      <c r="J82" s="28">
        <f>IF(ISBLANK(Actuals!J81),(-(IF(AND(5&gt;=Personnel!$E$40,Personnel!$G$40="Yes"),Personnel!$D$40*(1-Personnel!$I$40),0)+IF(AND(5&gt;=Personnel!$E$41,Personnel!$G$41="Yes"),Personnel!$D$41*(1-Personnel!$I$41),0)+IF(AND(5&gt;=Personnel!$E$42,Personnel!$G$42="Yes"),Personnel!$D$42*(1-Personnel!$I$42),0)))*Escalation!$B$6,Actuals!J81)</f>
        <v>-11458.333333333334</v>
      </c>
      <c r="K82" s="28">
        <f>IF(ISBLANK(Actuals!K81),(-(IF(AND(6&gt;=Personnel!$E$40,Personnel!$G$40="Yes"),Personnel!$D$40*(1-Personnel!$I$40),0)+IF(AND(6&gt;=Personnel!$E$41,Personnel!$G$41="Yes"),Personnel!$D$41*(1-Personnel!$I$41),0)+IF(AND(6&gt;=Personnel!$E$42,Personnel!$G$42="Yes"),Personnel!$D$42*(1-Personnel!$I$42),0)))*Escalation!$B$7,Actuals!K81)</f>
        <v>-11458.333333333334</v>
      </c>
      <c r="L82" s="28">
        <f>IF(ISBLANK(Actuals!L81),(-(IF(AND(7&gt;=Personnel!$E$40,Personnel!$G$40="Yes"),Personnel!$D$40*(1-Personnel!$I$40),0)+IF(AND(7&gt;=Personnel!$E$41,Personnel!$G$41="Yes"),Personnel!$D$41*(1-Personnel!$I$41),0)+IF(AND(7&gt;=Personnel!$E$42,Personnel!$G$42="Yes"),Personnel!$D$42*(1-Personnel!$I$42),0)))*Escalation!$B$8,Actuals!L81)</f>
        <v>-11458.333333333334</v>
      </c>
      <c r="M82" s="28">
        <f>IF(ISBLANK(Actuals!M81),(-(IF(AND(8&gt;=Personnel!$E$40,Personnel!$G$40="Yes"),Personnel!$D$40*(1-Personnel!$I$40),0)+IF(AND(8&gt;=Personnel!$E$41,Personnel!$G$41="Yes"),Personnel!$D$41*(1-Personnel!$I$41),0)+IF(AND(8&gt;=Personnel!$E$42,Personnel!$G$42="Yes"),Personnel!$D$42*(1-Personnel!$I$42),0)))*Escalation!$B$9,Actuals!M81)</f>
        <v>-11458.333333333334</v>
      </c>
      <c r="N82" s="28">
        <f>IF(ISBLANK(Actuals!N81),(-(IF(AND(9&gt;=Personnel!$E$40,Personnel!$G$40="Yes"),Personnel!$D$40*(1-Personnel!$I$40),0)+IF(AND(9&gt;=Personnel!$E$41,Personnel!$G$41="Yes"),Personnel!$D$41*(1-Personnel!$I$41),0)+IF(AND(9&gt;=Personnel!$E$42,Personnel!$G$42="Yes"),Personnel!$D$42*(1-Personnel!$I$42),0)))*Escalation!$B$10,Actuals!N81)</f>
        <v>-11458.333333333334</v>
      </c>
      <c r="O82" s="28">
        <f>IF(ISBLANK(Actuals!O81),(-(IF(AND(10&gt;=Personnel!$E$40,Personnel!$G$40="Yes"),Personnel!$D$40*(1-Personnel!$I$40),0)+IF(AND(10&gt;=Personnel!$E$41,Personnel!$G$41="Yes"),Personnel!$D$41*(1-Personnel!$I$41),0)+IF(AND(10&gt;=Personnel!$E$42,Personnel!$G$42="Yes"),Personnel!$D$42*(1-Personnel!$I$42),0)))*Escalation!$B$11,Actuals!O81)</f>
        <v>-11458.333333333334</v>
      </c>
      <c r="P82" s="28">
        <f>IF(ISBLANK(Actuals!P81),(-(IF(AND(11&gt;=Personnel!$E$40,Personnel!$G$40="Yes"),Personnel!$D$40*(1-Personnel!$I$40),0)+IF(AND(11&gt;=Personnel!$E$41,Personnel!$G$41="Yes"),Personnel!$D$41*(1-Personnel!$I$41),0)+IF(AND(11&gt;=Personnel!$E$42,Personnel!$G$42="Yes"),Personnel!$D$42*(1-Personnel!$I$42),0)))*Escalation!$B$12,Actuals!P81)</f>
        <v>-11458.333333333334</v>
      </c>
      <c r="Q82" s="28">
        <f>IF(ISBLANK(Actuals!Q81),(-(IF(AND(12&gt;=Personnel!$E$40,Personnel!$G$40="Yes"),Personnel!$D$40*(1-Personnel!$I$40),0)+IF(AND(12&gt;=Personnel!$E$41,Personnel!$G$41="Yes"),Personnel!$D$41*(1-Personnel!$I$41),0)+IF(AND(12&gt;=Personnel!$E$42,Personnel!$G$42="Yes"),Personnel!$D$42*(1-Personnel!$I$42),0)))*Escalation!$B$13,Actuals!Q81)</f>
        <v>-11458.333333333334</v>
      </c>
      <c r="R82" s="28">
        <f>IF(ISBLANK(Actuals!R81),(-(IF(AND(13&gt;=Personnel!$E$40,Personnel!$G$40="Yes"),Personnel!$D$40*(1-Personnel!$I$40),0)+IF(AND(13&gt;=Personnel!$E$41,Personnel!$G$41="Yes"),Personnel!$D$41*(1-Personnel!$I$41),0)+IF(AND(13&gt;=Personnel!$E$42,Personnel!$G$42="Yes"),Personnel!$D$42*(1-Personnel!$I$42),0)))*Escalation!$B$14,Actuals!R81)</f>
        <v>-11687.5</v>
      </c>
      <c r="S82" s="28">
        <f>IF(ISBLANK(Actuals!S81),(-(IF(AND(14&gt;=Personnel!$E$40,Personnel!$G$40="Yes"),Personnel!$D$40*(1-Personnel!$I$40),0)+IF(AND(14&gt;=Personnel!$E$41,Personnel!$G$41="Yes"),Personnel!$D$41*(1-Personnel!$I$41),0)+IF(AND(14&gt;=Personnel!$E$42,Personnel!$G$42="Yes"),Personnel!$D$42*(1-Personnel!$I$42),0)))*Escalation!$B$15,Actuals!S81)</f>
        <v>-11687.5</v>
      </c>
      <c r="T82" s="28">
        <f>IF(ISBLANK(Actuals!T81),(-(IF(AND(15&gt;=Personnel!$E$40,Personnel!$G$40="Yes"),Personnel!$D$40*(1-Personnel!$I$40),0)+IF(AND(15&gt;=Personnel!$E$41,Personnel!$G$41="Yes"),Personnel!$D$41*(1-Personnel!$I$41),0)+IF(AND(15&gt;=Personnel!$E$42,Personnel!$G$42="Yes"),Personnel!$D$42*(1-Personnel!$I$42),0)))*Escalation!$B$16,Actuals!T81)</f>
        <v>-11687.5</v>
      </c>
      <c r="U82" s="28">
        <f>IF(ISBLANK(Actuals!U81),(-(IF(AND(16&gt;=Personnel!$E$40,Personnel!$G$40="Yes"),Personnel!$D$40*(1-Personnel!$I$40),0)+IF(AND(16&gt;=Personnel!$E$41,Personnel!$G$41="Yes"),Personnel!$D$41*(1-Personnel!$I$41),0)+IF(AND(16&gt;=Personnel!$E$42,Personnel!$G$42="Yes"),Personnel!$D$42*(1-Personnel!$I$42),0)))*Escalation!$B$17,Actuals!U81)</f>
        <v>-11687.5</v>
      </c>
      <c r="V82" s="28">
        <f>IF(ISBLANK(Actuals!V81),(-(IF(AND(17&gt;=Personnel!$E$40,Personnel!$G$40="Yes"),Personnel!$D$40*(1-Personnel!$I$40),0)+IF(AND(17&gt;=Personnel!$E$41,Personnel!$G$41="Yes"),Personnel!$D$41*(1-Personnel!$I$41),0)+IF(AND(17&gt;=Personnel!$E$42,Personnel!$G$42="Yes"),Personnel!$D$42*(1-Personnel!$I$42),0)))*Escalation!$B$18,Actuals!V81)</f>
        <v>-11687.5</v>
      </c>
      <c r="W82" s="28">
        <f>IF(ISBLANK(Actuals!W81),(-(IF(AND(18&gt;=Personnel!$E$40,Personnel!$G$40="Yes"),Personnel!$D$40*(1-Personnel!$I$40),0)+IF(AND(18&gt;=Personnel!$E$41,Personnel!$G$41="Yes"),Personnel!$D$41*(1-Personnel!$I$41),0)+IF(AND(18&gt;=Personnel!$E$42,Personnel!$G$42="Yes"),Personnel!$D$42*(1-Personnel!$I$42),0)))*Escalation!$B$19,Actuals!W81)</f>
        <v>-11687.5</v>
      </c>
      <c r="X82" s="28">
        <f>IF(ISBLANK(Actuals!X81),(-(IF(AND(19&gt;=Personnel!$E$40,Personnel!$G$40="Yes"),Personnel!$D$40*(1-Personnel!$I$40),0)+IF(AND(19&gt;=Personnel!$E$41,Personnel!$G$41="Yes"),Personnel!$D$41*(1-Personnel!$I$41),0)+IF(AND(19&gt;=Personnel!$E$42,Personnel!$G$42="Yes"),Personnel!$D$42*(1-Personnel!$I$42),0)))*Escalation!$B$20,Actuals!X81)</f>
        <v>-11687.5</v>
      </c>
      <c r="Y82" s="28">
        <f>IF(ISBLANK(Actuals!Y81),(-(IF(AND(20&gt;=Personnel!$E$40,Personnel!$G$40="Yes"),Personnel!$D$40*(1-Personnel!$I$40),0)+IF(AND(20&gt;=Personnel!$E$41,Personnel!$G$41="Yes"),Personnel!$D$41*(1-Personnel!$I$41),0)+IF(AND(20&gt;=Personnel!$E$42,Personnel!$G$42="Yes"),Personnel!$D$42*(1-Personnel!$I$42),0)))*Escalation!$B$21,Actuals!Y81)</f>
        <v>-11687.5</v>
      </c>
      <c r="Z82" s="28">
        <f>IF(ISBLANK(Actuals!Z81),(-(IF(AND(21&gt;=Personnel!$E$40,Personnel!$G$40="Yes"),Personnel!$D$40*(1-Personnel!$I$40),0)+IF(AND(21&gt;=Personnel!$E$41,Personnel!$G$41="Yes"),Personnel!$D$41*(1-Personnel!$I$41),0)+IF(AND(21&gt;=Personnel!$E$42,Personnel!$G$42="Yes"),Personnel!$D$42*(1-Personnel!$I$42),0)))*Escalation!$B$22,Actuals!Z81)</f>
        <v>-11687.5</v>
      </c>
      <c r="AA82" s="28">
        <f>IF(ISBLANK(Actuals!AA81),(-(IF(AND(22&gt;=Personnel!$E$40,Personnel!$G$40="Yes"),Personnel!$D$40*(1-Personnel!$I$40),0)+IF(AND(22&gt;=Personnel!$E$41,Personnel!$G$41="Yes"),Personnel!$D$41*(1-Personnel!$I$41),0)+IF(AND(22&gt;=Personnel!$E$42,Personnel!$G$42="Yes"),Personnel!$D$42*(1-Personnel!$I$42),0)))*Escalation!$B$23,Actuals!AA81)</f>
        <v>-11687.5</v>
      </c>
      <c r="AB82" s="28">
        <f>IF(ISBLANK(Actuals!AB81),(-(IF(AND(23&gt;=Personnel!$E$40,Personnel!$G$40="Yes"),Personnel!$D$40*(1-Personnel!$I$40),0)+IF(AND(23&gt;=Personnel!$E$41,Personnel!$G$41="Yes"),Personnel!$D$41*(1-Personnel!$I$41),0)+IF(AND(23&gt;=Personnel!$E$42,Personnel!$G$42="Yes"),Personnel!$D$42*(1-Personnel!$I$42),0)))*Escalation!$B$24,Actuals!AB81)</f>
        <v>-11687.5</v>
      </c>
      <c r="AC82" s="28">
        <f>IF(ISBLANK(Actuals!AC81),(-(IF(AND(24&gt;=Personnel!$E$40,Personnel!$G$40="Yes"),Personnel!$D$40*(1-Personnel!$I$40),0)+IF(AND(24&gt;=Personnel!$E$41,Personnel!$G$41="Yes"),Personnel!$D$41*(1-Personnel!$I$41),0)+IF(AND(24&gt;=Personnel!$E$42,Personnel!$G$42="Yes"),Personnel!$D$42*(1-Personnel!$I$42),0)))*Escalation!$B$25,Actuals!AC81)</f>
        <v>-11687.5</v>
      </c>
      <c r="AD82" s="28">
        <f>IF(ISBLANK(Actuals!AD81),(-(IF(AND(25&gt;=Personnel!$E$40,Personnel!$G$40="Yes"),Personnel!$D$40*(1-Personnel!$I$40),0)+IF(AND(25&gt;=Personnel!$E$41,Personnel!$G$41="Yes"),Personnel!$D$41*(1-Personnel!$I$41),0)+IF(AND(25&gt;=Personnel!$E$42,Personnel!$G$42="Yes"),Personnel!$D$42*(1-Personnel!$I$42),0)))*Escalation!$B$26,Actuals!AD81)</f>
        <v>-11921.25</v>
      </c>
      <c r="AE82" s="28">
        <f>IF(ISBLANK(Actuals!AE81),(-(IF(AND(26&gt;=Personnel!$E$40,Personnel!$G$40="Yes"),Personnel!$D$40*(1-Personnel!$I$40),0)+IF(AND(26&gt;=Personnel!$E$41,Personnel!$G$41="Yes"),Personnel!$D$41*(1-Personnel!$I$41),0)+IF(AND(26&gt;=Personnel!$E$42,Personnel!$G$42="Yes"),Personnel!$D$42*(1-Personnel!$I$42),0)))*Escalation!$B$27,Actuals!AE81)</f>
        <v>-11921.25</v>
      </c>
      <c r="AF82" s="28">
        <f>IF(ISBLANK(Actuals!AF81),(-(IF(AND(27&gt;=Personnel!$E$40,Personnel!$G$40="Yes"),Personnel!$D$40*(1-Personnel!$I$40),0)+IF(AND(27&gt;=Personnel!$E$41,Personnel!$G$41="Yes"),Personnel!$D$41*(1-Personnel!$I$41),0)+IF(AND(27&gt;=Personnel!$E$42,Personnel!$G$42="Yes"),Personnel!$D$42*(1-Personnel!$I$42),0)))*Escalation!$B$28,Actuals!AF81)</f>
        <v>-11921.25</v>
      </c>
      <c r="AG82" s="28">
        <f>IF(ISBLANK(Actuals!AG81),(-(IF(AND(28&gt;=Personnel!$E$40,Personnel!$G$40="Yes"),Personnel!$D$40*(1-Personnel!$I$40),0)+IF(AND(28&gt;=Personnel!$E$41,Personnel!$G$41="Yes"),Personnel!$D$41*(1-Personnel!$I$41),0)+IF(AND(28&gt;=Personnel!$E$42,Personnel!$G$42="Yes"),Personnel!$D$42*(1-Personnel!$I$42),0)))*Escalation!$B$29,Actuals!AG81)</f>
        <v>-11921.25</v>
      </c>
      <c r="AH82" s="28">
        <f>IF(ISBLANK(Actuals!AH81),(-(IF(AND(29&gt;=Personnel!$E$40,Personnel!$G$40="Yes"),Personnel!$D$40*(1-Personnel!$I$40),0)+IF(AND(29&gt;=Personnel!$E$41,Personnel!$G$41="Yes"),Personnel!$D$41*(1-Personnel!$I$41),0)+IF(AND(29&gt;=Personnel!$E$42,Personnel!$G$42="Yes"),Personnel!$D$42*(1-Personnel!$I$42),0)))*Escalation!$B$30,Actuals!AH81)</f>
        <v>-11921.25</v>
      </c>
      <c r="AI82" s="28">
        <f>IF(ISBLANK(Actuals!AI81),(-(IF(AND(30&gt;=Personnel!$E$40,Personnel!$G$40="Yes"),Personnel!$D$40*(1-Personnel!$I$40),0)+IF(AND(30&gt;=Personnel!$E$41,Personnel!$G$41="Yes"),Personnel!$D$41*(1-Personnel!$I$41),0)+IF(AND(30&gt;=Personnel!$E$42,Personnel!$G$42="Yes"),Personnel!$D$42*(1-Personnel!$I$42),0)))*Escalation!$B$31,Actuals!AI81)</f>
        <v>-11921.25</v>
      </c>
      <c r="AJ82" s="28">
        <f>IF(ISBLANK(Actuals!AJ81),(-(IF(AND(31&gt;=Personnel!$E$40,Personnel!$G$40="Yes"),Personnel!$D$40*(1-Personnel!$I$40),0)+IF(AND(31&gt;=Personnel!$E$41,Personnel!$G$41="Yes"),Personnel!$D$41*(1-Personnel!$I$41),0)+IF(AND(31&gt;=Personnel!$E$42,Personnel!$G$42="Yes"),Personnel!$D$42*(1-Personnel!$I$42),0)))*Escalation!$B$32,Actuals!AJ81)</f>
        <v>-11921.25</v>
      </c>
      <c r="AK82" s="28">
        <f>IF(ISBLANK(Actuals!AK81),(-(IF(AND(32&gt;=Personnel!$E$40,Personnel!$G$40="Yes"),Personnel!$D$40*(1-Personnel!$I$40),0)+IF(AND(32&gt;=Personnel!$E$41,Personnel!$G$41="Yes"),Personnel!$D$41*(1-Personnel!$I$41),0)+IF(AND(32&gt;=Personnel!$E$42,Personnel!$G$42="Yes"),Personnel!$D$42*(1-Personnel!$I$42),0)))*Escalation!$B$33,Actuals!AK81)</f>
        <v>-11921.25</v>
      </c>
      <c r="AL82" s="28">
        <f>IF(ISBLANK(Actuals!AL81),(-(IF(AND(33&gt;=Personnel!$E$40,Personnel!$G$40="Yes"),Personnel!$D$40*(1-Personnel!$I$40),0)+IF(AND(33&gt;=Personnel!$E$41,Personnel!$G$41="Yes"),Personnel!$D$41*(1-Personnel!$I$41),0)+IF(AND(33&gt;=Personnel!$E$42,Personnel!$G$42="Yes"),Personnel!$D$42*(1-Personnel!$I$42),0)))*Escalation!$B$34,Actuals!AL81)</f>
        <v>-11921.25</v>
      </c>
      <c r="AM82" s="28">
        <f>IF(ISBLANK(Actuals!AM81),(-(IF(AND(34&gt;=Personnel!$E$40,Personnel!$G$40="Yes"),Personnel!$D$40*(1-Personnel!$I$40),0)+IF(AND(34&gt;=Personnel!$E$41,Personnel!$G$41="Yes"),Personnel!$D$41*(1-Personnel!$I$41),0)+IF(AND(34&gt;=Personnel!$E$42,Personnel!$G$42="Yes"),Personnel!$D$42*(1-Personnel!$I$42),0)))*Escalation!$B$35,Actuals!AM81)</f>
        <v>-11921.25</v>
      </c>
      <c r="AN82" s="28">
        <f>IF(ISBLANK(Actuals!AN81),(-(IF(AND(35&gt;=Personnel!$E$40,Personnel!$G$40="Yes"),Personnel!$D$40*(1-Personnel!$I$40),0)+IF(AND(35&gt;=Personnel!$E$41,Personnel!$G$41="Yes"),Personnel!$D$41*(1-Personnel!$I$41),0)+IF(AND(35&gt;=Personnel!$E$42,Personnel!$G$42="Yes"),Personnel!$D$42*(1-Personnel!$I$42),0)))*Escalation!$B$36,Actuals!AN81)</f>
        <v>-11921.25</v>
      </c>
      <c r="AO82" s="28">
        <f>IF(ISBLANK(Actuals!AO81),(-(IF(AND(36&gt;=Personnel!$E$40,Personnel!$G$40="Yes"),Personnel!$D$40*(1-Personnel!$I$40),0)+IF(AND(36&gt;=Personnel!$E$41,Personnel!$G$41="Yes"),Personnel!$D$41*(1-Personnel!$I$41),0)+IF(AND(36&gt;=Personnel!$E$42,Personnel!$G$42="Yes"),Personnel!$D$42*(1-Personnel!$I$42),0)))*Escalation!$B$37,Actuals!AO81)</f>
        <v>-11921.25</v>
      </c>
      <c r="AP82" s="28">
        <f>IF(ISBLANK(Actuals!AP81),(-(IF(AND(37&gt;=Personnel!$E$40,Personnel!$G$40="Yes"),Personnel!$D$40*(1-Personnel!$I$40),0)+IF(AND(37&gt;=Personnel!$E$41,Personnel!$G$41="Yes"),Personnel!$D$41*(1-Personnel!$I$41),0)+IF(AND(37&gt;=Personnel!$E$42,Personnel!$G$42="Yes"),Personnel!$D$42*(1-Personnel!$I$42),0)))*Escalation!$B$38,Actuals!AP81)</f>
        <v>-12159.674999999999</v>
      </c>
      <c r="AQ82" s="28">
        <f>IF(ISBLANK(Actuals!AQ81),(-(IF(AND(38&gt;=Personnel!$E$40,Personnel!$G$40="Yes"),Personnel!$D$40*(1-Personnel!$I$40),0)+IF(AND(38&gt;=Personnel!$E$41,Personnel!$G$41="Yes"),Personnel!$D$41*(1-Personnel!$I$41),0)+IF(AND(38&gt;=Personnel!$E$42,Personnel!$G$42="Yes"),Personnel!$D$42*(1-Personnel!$I$42),0)))*Escalation!$B$39,Actuals!AQ81)</f>
        <v>-12159.674999999999</v>
      </c>
      <c r="AR82" s="28">
        <f>IF(ISBLANK(Actuals!AR81),(-(IF(AND(39&gt;=Personnel!$E$40,Personnel!$G$40="Yes"),Personnel!$D$40*(1-Personnel!$I$40),0)+IF(AND(39&gt;=Personnel!$E$41,Personnel!$G$41="Yes"),Personnel!$D$41*(1-Personnel!$I$41),0)+IF(AND(39&gt;=Personnel!$E$42,Personnel!$G$42="Yes"),Personnel!$D$42*(1-Personnel!$I$42),0)))*Escalation!$B$40,Actuals!AR81)</f>
        <v>-12159.674999999999</v>
      </c>
      <c r="AS82" s="28">
        <f>IF(ISBLANK(Actuals!AS81),(-(IF(AND(40&gt;=Personnel!$E$40,Personnel!$G$40="Yes"),Personnel!$D$40*(1-Personnel!$I$40),0)+IF(AND(40&gt;=Personnel!$E$41,Personnel!$G$41="Yes"),Personnel!$D$41*(1-Personnel!$I$41),0)+IF(AND(40&gt;=Personnel!$E$42,Personnel!$G$42="Yes"),Personnel!$D$42*(1-Personnel!$I$42),0)))*Escalation!$B$41,Actuals!AS81)</f>
        <v>-12159.674999999999</v>
      </c>
      <c r="AT82" s="28">
        <f>IF(ISBLANK(Actuals!AT81),(-(IF(AND(41&gt;=Personnel!$E$40,Personnel!$G$40="Yes"),Personnel!$D$40*(1-Personnel!$I$40),0)+IF(AND(41&gt;=Personnel!$E$41,Personnel!$G$41="Yes"),Personnel!$D$41*(1-Personnel!$I$41),0)+IF(AND(41&gt;=Personnel!$E$42,Personnel!$G$42="Yes"),Personnel!$D$42*(1-Personnel!$I$42),0)))*Escalation!$B$42,Actuals!AT81)</f>
        <v>-12159.674999999999</v>
      </c>
      <c r="AU82" s="28">
        <f>IF(ISBLANK(Actuals!AU81),(-(IF(AND(42&gt;=Personnel!$E$40,Personnel!$G$40="Yes"),Personnel!$D$40*(1-Personnel!$I$40),0)+IF(AND(42&gt;=Personnel!$E$41,Personnel!$G$41="Yes"),Personnel!$D$41*(1-Personnel!$I$41),0)+IF(AND(42&gt;=Personnel!$E$42,Personnel!$G$42="Yes"),Personnel!$D$42*(1-Personnel!$I$42),0)))*Escalation!$B$43,Actuals!AU81)</f>
        <v>-12159.674999999999</v>
      </c>
      <c r="AV82" s="28">
        <f>IF(ISBLANK(Actuals!AV81),(-(IF(AND(43&gt;=Personnel!$E$40,Personnel!$G$40="Yes"),Personnel!$D$40*(1-Personnel!$I$40),0)+IF(AND(43&gt;=Personnel!$E$41,Personnel!$G$41="Yes"),Personnel!$D$41*(1-Personnel!$I$41),0)+IF(AND(43&gt;=Personnel!$E$42,Personnel!$G$42="Yes"),Personnel!$D$42*(1-Personnel!$I$42),0)))*Escalation!$B$44,Actuals!AV81)</f>
        <v>-12159.674999999999</v>
      </c>
      <c r="AW82" s="28">
        <f>IF(ISBLANK(Actuals!AW81),(-(IF(AND(44&gt;=Personnel!$E$40,Personnel!$G$40="Yes"),Personnel!$D$40*(1-Personnel!$I$40),0)+IF(AND(44&gt;=Personnel!$E$41,Personnel!$G$41="Yes"),Personnel!$D$41*(1-Personnel!$I$41),0)+IF(AND(44&gt;=Personnel!$E$42,Personnel!$G$42="Yes"),Personnel!$D$42*(1-Personnel!$I$42),0)))*Escalation!$B$45,Actuals!AW81)</f>
        <v>-12159.674999999999</v>
      </c>
      <c r="AX82" s="28">
        <f>IF(ISBLANK(Actuals!AX81),(-(IF(AND(45&gt;=Personnel!$E$40,Personnel!$G$40="Yes"),Personnel!$D$40*(1-Personnel!$I$40),0)+IF(AND(45&gt;=Personnel!$E$41,Personnel!$G$41="Yes"),Personnel!$D$41*(1-Personnel!$I$41),0)+IF(AND(45&gt;=Personnel!$E$42,Personnel!$G$42="Yes"),Personnel!$D$42*(1-Personnel!$I$42),0)))*Escalation!$B$46,Actuals!AX81)</f>
        <v>-12159.674999999999</v>
      </c>
      <c r="AY82" s="28">
        <f>IF(ISBLANK(Actuals!AY81),(-(IF(AND(46&gt;=Personnel!$E$40,Personnel!$G$40="Yes"),Personnel!$D$40*(1-Personnel!$I$40),0)+IF(AND(46&gt;=Personnel!$E$41,Personnel!$G$41="Yes"),Personnel!$D$41*(1-Personnel!$I$41),0)+IF(AND(46&gt;=Personnel!$E$42,Personnel!$G$42="Yes"),Personnel!$D$42*(1-Personnel!$I$42),0)))*Escalation!$B$47,Actuals!AY81)</f>
        <v>-12159.674999999999</v>
      </c>
      <c r="AZ82" s="28">
        <f>IF(ISBLANK(Actuals!AZ81),(-(IF(AND(47&gt;=Personnel!$E$40,Personnel!$G$40="Yes"),Personnel!$D$40*(1-Personnel!$I$40),0)+IF(AND(47&gt;=Personnel!$E$41,Personnel!$G$41="Yes"),Personnel!$D$41*(1-Personnel!$I$41),0)+IF(AND(47&gt;=Personnel!$E$42,Personnel!$G$42="Yes"),Personnel!$D$42*(1-Personnel!$I$42),0)))*Escalation!$B$48,Actuals!AZ81)</f>
        <v>-12159.674999999999</v>
      </c>
      <c r="BA82" s="28">
        <f>IF(ISBLANK(Actuals!BA81),(-(IF(AND(48&gt;=Personnel!$E$40,Personnel!$G$40="Yes"),Personnel!$D$40*(1-Personnel!$I$40),0)+IF(AND(48&gt;=Personnel!$E$41,Personnel!$G$41="Yes"),Personnel!$D$41*(1-Personnel!$I$41),0)+IF(AND(48&gt;=Personnel!$E$42,Personnel!$G$42="Yes"),Personnel!$D$42*(1-Personnel!$I$42),0)))*Escalation!$B$49,Actuals!BA81)</f>
        <v>-12159.674999999999</v>
      </c>
      <c r="BB82" s="28">
        <f>IF(ISBLANK(Actuals!BB81),(-(IF(AND(49&gt;=Personnel!$E$40,Personnel!$G$40="Yes"),Personnel!$D$40*(1-Personnel!$I$40),0)+IF(AND(49&gt;=Personnel!$E$41,Personnel!$G$41="Yes"),Personnel!$D$41*(1-Personnel!$I$41),0)+IF(AND(49&gt;=Personnel!$E$42,Personnel!$G$42="Yes"),Personnel!$D$42*(1-Personnel!$I$42),0)))*Escalation!$B$50,Actuals!BB81)</f>
        <v>-12402.8685</v>
      </c>
      <c r="BC82" s="28">
        <f>IF(ISBLANK(Actuals!BC81),(-(IF(AND(50&gt;=Personnel!$E$40,Personnel!$G$40="Yes"),Personnel!$D$40*(1-Personnel!$I$40),0)+IF(AND(50&gt;=Personnel!$E$41,Personnel!$G$41="Yes"),Personnel!$D$41*(1-Personnel!$I$41),0)+IF(AND(50&gt;=Personnel!$E$42,Personnel!$G$42="Yes"),Personnel!$D$42*(1-Personnel!$I$42),0)))*Escalation!$B$51,Actuals!BC81)</f>
        <v>-12402.8685</v>
      </c>
      <c r="BD82" s="28">
        <f>IF(ISBLANK(Actuals!BD81),(-(IF(AND(51&gt;=Personnel!$E$40,Personnel!$G$40="Yes"),Personnel!$D$40*(1-Personnel!$I$40),0)+IF(AND(51&gt;=Personnel!$E$41,Personnel!$G$41="Yes"),Personnel!$D$41*(1-Personnel!$I$41),0)+IF(AND(51&gt;=Personnel!$E$42,Personnel!$G$42="Yes"),Personnel!$D$42*(1-Personnel!$I$42),0)))*Escalation!$B$52,Actuals!BD81)</f>
        <v>-12402.8685</v>
      </c>
      <c r="BE82" s="28">
        <f>IF(ISBLANK(Actuals!BE81),(-(IF(AND(52&gt;=Personnel!$E$40,Personnel!$G$40="Yes"),Personnel!$D$40*(1-Personnel!$I$40),0)+IF(AND(52&gt;=Personnel!$E$41,Personnel!$G$41="Yes"),Personnel!$D$41*(1-Personnel!$I$41),0)+IF(AND(52&gt;=Personnel!$E$42,Personnel!$G$42="Yes"),Personnel!$D$42*(1-Personnel!$I$42),0)))*Escalation!$B$53,Actuals!BE81)</f>
        <v>-12402.8685</v>
      </c>
      <c r="BF82" s="28">
        <f>IF(ISBLANK(Actuals!BF81),(-(IF(AND(53&gt;=Personnel!$E$40,Personnel!$G$40="Yes"),Personnel!$D$40*(1-Personnel!$I$40),0)+IF(AND(53&gt;=Personnel!$E$41,Personnel!$G$41="Yes"),Personnel!$D$41*(1-Personnel!$I$41),0)+IF(AND(53&gt;=Personnel!$E$42,Personnel!$G$42="Yes"),Personnel!$D$42*(1-Personnel!$I$42),0)))*Escalation!$B$54,Actuals!BF81)</f>
        <v>-12402.8685</v>
      </c>
      <c r="BG82" s="28">
        <f>IF(ISBLANK(Actuals!BG81),(-(IF(AND(54&gt;=Personnel!$E$40,Personnel!$G$40="Yes"),Personnel!$D$40*(1-Personnel!$I$40),0)+IF(AND(54&gt;=Personnel!$E$41,Personnel!$G$41="Yes"),Personnel!$D$41*(1-Personnel!$I$41),0)+IF(AND(54&gt;=Personnel!$E$42,Personnel!$G$42="Yes"),Personnel!$D$42*(1-Personnel!$I$42),0)))*Escalation!$B$55,Actuals!BG81)</f>
        <v>-12402.8685</v>
      </c>
      <c r="BH82" s="28">
        <f>IF(ISBLANK(Actuals!BH81),(-(IF(AND(55&gt;=Personnel!$E$40,Personnel!$G$40="Yes"),Personnel!$D$40*(1-Personnel!$I$40),0)+IF(AND(55&gt;=Personnel!$E$41,Personnel!$G$41="Yes"),Personnel!$D$41*(1-Personnel!$I$41),0)+IF(AND(55&gt;=Personnel!$E$42,Personnel!$G$42="Yes"),Personnel!$D$42*(1-Personnel!$I$42),0)))*Escalation!$B$56,Actuals!BH81)</f>
        <v>-12402.8685</v>
      </c>
      <c r="BI82" s="28">
        <f>IF(ISBLANK(Actuals!BI81),(-(IF(AND(56&gt;=Personnel!$E$40,Personnel!$G$40="Yes"),Personnel!$D$40*(1-Personnel!$I$40),0)+IF(AND(56&gt;=Personnel!$E$41,Personnel!$G$41="Yes"),Personnel!$D$41*(1-Personnel!$I$41),0)+IF(AND(56&gt;=Personnel!$E$42,Personnel!$G$42="Yes"),Personnel!$D$42*(1-Personnel!$I$42),0)))*Escalation!$B$57,Actuals!BI81)</f>
        <v>-12402.8685</v>
      </c>
      <c r="BJ82" s="28">
        <f>IF(ISBLANK(Actuals!BJ81),(-(IF(AND(57&gt;=Personnel!$E$40,Personnel!$G$40="Yes"),Personnel!$D$40*(1-Personnel!$I$40),0)+IF(AND(57&gt;=Personnel!$E$41,Personnel!$G$41="Yes"),Personnel!$D$41*(1-Personnel!$I$41),0)+IF(AND(57&gt;=Personnel!$E$42,Personnel!$G$42="Yes"),Personnel!$D$42*(1-Personnel!$I$42),0)))*Escalation!$B$58,Actuals!BJ81)</f>
        <v>-12402.8685</v>
      </c>
      <c r="BK82" s="28">
        <f>IF(ISBLANK(Actuals!BK81),(-(IF(AND(58&gt;=Personnel!$E$40,Personnel!$G$40="Yes"),Personnel!$D$40*(1-Personnel!$I$40),0)+IF(AND(58&gt;=Personnel!$E$41,Personnel!$G$41="Yes"),Personnel!$D$41*(1-Personnel!$I$41),0)+IF(AND(58&gt;=Personnel!$E$42,Personnel!$G$42="Yes"),Personnel!$D$42*(1-Personnel!$I$42),0)))*Escalation!$B$59,Actuals!BK81)</f>
        <v>-12402.8685</v>
      </c>
      <c r="BL82" s="28">
        <f>IF(ISBLANK(Actuals!BL81),(-(IF(AND(59&gt;=Personnel!$E$40,Personnel!$G$40="Yes"),Personnel!$D$40*(1-Personnel!$I$40),0)+IF(AND(59&gt;=Personnel!$E$41,Personnel!$G$41="Yes"),Personnel!$D$41*(1-Personnel!$I$41),0)+IF(AND(59&gt;=Personnel!$E$42,Personnel!$G$42="Yes"),Personnel!$D$42*(1-Personnel!$I$42),0)))*Escalation!$B$60,Actuals!BL81)</f>
        <v>-12402.8685</v>
      </c>
      <c r="BM82" s="28">
        <f>IF(ISBLANK(Actuals!BM81),(-(IF(AND(60&gt;=Personnel!$E$40,Personnel!$G$40="Yes"),Personnel!$D$40*(1-Personnel!$I$40),0)+IF(AND(60&gt;=Personnel!$E$41,Personnel!$G$41="Yes"),Personnel!$D$41*(1-Personnel!$I$41),0)+IF(AND(60&gt;=Personnel!$E$42,Personnel!$G$42="Yes"),Personnel!$D$42*(1-Personnel!$I$42),0)))*Escalation!$B$61,Actuals!BM81)</f>
        <v>-12402.8685</v>
      </c>
      <c r="BN82" s="28">
        <f>IF(ISBLANK(Actuals!BN81),(-(IF(AND(61&gt;=Personnel!$E$40,Personnel!$G$40="Yes"),Personnel!$D$40*(1-Personnel!$I$40),0)+IF(AND(61&gt;=Personnel!$E$41,Personnel!$G$41="Yes"),Personnel!$D$41*(1-Personnel!$I$41),0)+IF(AND(61&gt;=Personnel!$E$42,Personnel!$G$42="Yes"),Personnel!$D$42*(1-Personnel!$I$42),0)))*Escalation!$B$62,Actuals!BN81)</f>
        <v>-12650.925870000001</v>
      </c>
      <c r="BO82" s="28">
        <f>IF(ISBLANK(Actuals!BO81),(-(IF(AND(62&gt;=Personnel!$E$40,Personnel!$G$40="Yes"),Personnel!$D$40*(1-Personnel!$I$40),0)+IF(AND(62&gt;=Personnel!$E$41,Personnel!$G$41="Yes"),Personnel!$D$41*(1-Personnel!$I$41),0)+IF(AND(62&gt;=Personnel!$E$42,Personnel!$G$42="Yes"),Personnel!$D$42*(1-Personnel!$I$42),0)))*Escalation!$B$63,Actuals!BO81)</f>
        <v>-12650.925870000001</v>
      </c>
      <c r="BP82" s="28">
        <f>IF(ISBLANK(Actuals!BP81),(-(IF(AND(63&gt;=Personnel!$E$40,Personnel!$G$40="Yes"),Personnel!$D$40*(1-Personnel!$I$40),0)+IF(AND(63&gt;=Personnel!$E$41,Personnel!$G$41="Yes"),Personnel!$D$41*(1-Personnel!$I$41),0)+IF(AND(63&gt;=Personnel!$E$42,Personnel!$G$42="Yes"),Personnel!$D$42*(1-Personnel!$I$42),0)))*Escalation!$B$64,Actuals!BP81)</f>
        <v>-12650.925870000001</v>
      </c>
      <c r="BQ82" s="28">
        <f>IF(ISBLANK(Actuals!BQ81),(-(IF(AND(64&gt;=Personnel!$E$40,Personnel!$G$40="Yes"),Personnel!$D$40*(1-Personnel!$I$40),0)+IF(AND(64&gt;=Personnel!$E$41,Personnel!$G$41="Yes"),Personnel!$D$41*(1-Personnel!$I$41),0)+IF(AND(64&gt;=Personnel!$E$42,Personnel!$G$42="Yes"),Personnel!$D$42*(1-Personnel!$I$42),0)))*Escalation!$B$65,Actuals!BQ81)</f>
        <v>-12650.925870000001</v>
      </c>
      <c r="BR82" s="28">
        <f>IF(ISBLANK(Actuals!BR81),(-(IF(AND(65&gt;=Personnel!$E$40,Personnel!$G$40="Yes"),Personnel!$D$40*(1-Personnel!$I$40),0)+IF(AND(65&gt;=Personnel!$E$41,Personnel!$G$41="Yes"),Personnel!$D$41*(1-Personnel!$I$41),0)+IF(AND(65&gt;=Personnel!$E$42,Personnel!$G$42="Yes"),Personnel!$D$42*(1-Personnel!$I$42),0)))*Escalation!$B$66,Actuals!BR81)</f>
        <v>-12650.925870000001</v>
      </c>
      <c r="BS82" s="28">
        <f>IF(ISBLANK(Actuals!BS81),(-(IF(AND(66&gt;=Personnel!$E$40,Personnel!$G$40="Yes"),Personnel!$D$40*(1-Personnel!$I$40),0)+IF(AND(66&gt;=Personnel!$E$41,Personnel!$G$41="Yes"),Personnel!$D$41*(1-Personnel!$I$41),0)+IF(AND(66&gt;=Personnel!$E$42,Personnel!$G$42="Yes"),Personnel!$D$42*(1-Personnel!$I$42),0)))*Escalation!$B$67,Actuals!BS81)</f>
        <v>-12650.925870000001</v>
      </c>
      <c r="BT82" s="28">
        <f>IF(ISBLANK(Actuals!BT81),(-(IF(AND(67&gt;=Personnel!$E$40,Personnel!$G$40="Yes"),Personnel!$D$40*(1-Personnel!$I$40),0)+IF(AND(67&gt;=Personnel!$E$41,Personnel!$G$41="Yes"),Personnel!$D$41*(1-Personnel!$I$41),0)+IF(AND(67&gt;=Personnel!$E$42,Personnel!$G$42="Yes"),Personnel!$D$42*(1-Personnel!$I$42),0)))*Escalation!$B$68,Actuals!BT81)</f>
        <v>-12650.925870000001</v>
      </c>
      <c r="BU82" s="28">
        <f>IF(ISBLANK(Actuals!BU81),(-(IF(AND(68&gt;=Personnel!$E$40,Personnel!$G$40="Yes"),Personnel!$D$40*(1-Personnel!$I$40),0)+IF(AND(68&gt;=Personnel!$E$41,Personnel!$G$41="Yes"),Personnel!$D$41*(1-Personnel!$I$41),0)+IF(AND(68&gt;=Personnel!$E$42,Personnel!$G$42="Yes"),Personnel!$D$42*(1-Personnel!$I$42),0)))*Escalation!$B$69,Actuals!BU81)</f>
        <v>-12650.925870000001</v>
      </c>
      <c r="BV82" s="28">
        <f>IF(ISBLANK(Actuals!BV81),(-(IF(AND(69&gt;=Personnel!$E$40,Personnel!$G$40="Yes"),Personnel!$D$40*(1-Personnel!$I$40),0)+IF(AND(69&gt;=Personnel!$E$41,Personnel!$G$41="Yes"),Personnel!$D$41*(1-Personnel!$I$41),0)+IF(AND(69&gt;=Personnel!$E$42,Personnel!$G$42="Yes"),Personnel!$D$42*(1-Personnel!$I$42),0)))*Escalation!$B$70,Actuals!BV81)</f>
        <v>-12650.925870000001</v>
      </c>
      <c r="BW82" s="28">
        <f>IF(ISBLANK(Actuals!BW81),(-(IF(AND(70&gt;=Personnel!$E$40,Personnel!$G$40="Yes"),Personnel!$D$40*(1-Personnel!$I$40),0)+IF(AND(70&gt;=Personnel!$E$41,Personnel!$G$41="Yes"),Personnel!$D$41*(1-Personnel!$I$41),0)+IF(AND(70&gt;=Personnel!$E$42,Personnel!$G$42="Yes"),Personnel!$D$42*(1-Personnel!$I$42),0)))*Escalation!$B$71,Actuals!BW81)</f>
        <v>-12650.925870000001</v>
      </c>
      <c r="BX82" s="28">
        <f>IF(ISBLANK(Actuals!BX81),(-(IF(AND(71&gt;=Personnel!$E$40,Personnel!$G$40="Yes"),Personnel!$D$40*(1-Personnel!$I$40),0)+IF(AND(71&gt;=Personnel!$E$41,Personnel!$G$41="Yes"),Personnel!$D$41*(1-Personnel!$I$41),0)+IF(AND(71&gt;=Personnel!$E$42,Personnel!$G$42="Yes"),Personnel!$D$42*(1-Personnel!$I$42),0)))*Escalation!$B$72,Actuals!BX81)</f>
        <v>-12650.925870000001</v>
      </c>
      <c r="BY82" s="28">
        <f>IF(ISBLANK(Actuals!BY81),(-(IF(AND(72&gt;=Personnel!$E$40,Personnel!$G$40="Yes"),Personnel!$D$40*(1-Personnel!$I$40),0)+IF(AND(72&gt;=Personnel!$E$41,Personnel!$G$41="Yes"),Personnel!$D$41*(1-Personnel!$I$41),0)+IF(AND(72&gt;=Personnel!$E$42,Personnel!$G$42="Yes"),Personnel!$D$42*(1-Personnel!$I$42),0)))*Escalation!$B$73,Actuals!BY81)</f>
        <v>-12650.925870000001</v>
      </c>
      <c r="BZ82" s="28">
        <f>IF(ISBLANK(Actuals!BZ81),(-(IF(AND(73&gt;=Personnel!$E$40,Personnel!$G$40="Yes"),Personnel!$D$40*(1-Personnel!$I$40),0)+IF(AND(73&gt;=Personnel!$E$41,Personnel!$G$41="Yes"),Personnel!$D$41*(1-Personnel!$I$41),0)+IF(AND(73&gt;=Personnel!$E$42,Personnel!$G$42="Yes"),Personnel!$D$42*(1-Personnel!$I$42),0)))*Escalation!$B$74,Actuals!BZ81)</f>
        <v>-12903.944387400001</v>
      </c>
      <c r="CA82" s="28">
        <f>IF(ISBLANK(Actuals!CA81),(-(IF(AND(74&gt;=Personnel!$E$40,Personnel!$G$40="Yes"),Personnel!$D$40*(1-Personnel!$I$40),0)+IF(AND(74&gt;=Personnel!$E$41,Personnel!$G$41="Yes"),Personnel!$D$41*(1-Personnel!$I$41),0)+IF(AND(74&gt;=Personnel!$E$42,Personnel!$G$42="Yes"),Personnel!$D$42*(1-Personnel!$I$42),0)))*Escalation!$B$75,Actuals!CA81)</f>
        <v>-12903.944387400001</v>
      </c>
      <c r="CB82" s="28">
        <f>IF(ISBLANK(Actuals!CB81),(-(IF(AND(75&gt;=Personnel!$E$40,Personnel!$G$40="Yes"),Personnel!$D$40*(1-Personnel!$I$40),0)+IF(AND(75&gt;=Personnel!$E$41,Personnel!$G$41="Yes"),Personnel!$D$41*(1-Personnel!$I$41),0)+IF(AND(75&gt;=Personnel!$E$42,Personnel!$G$42="Yes"),Personnel!$D$42*(1-Personnel!$I$42),0)))*Escalation!$B$76,Actuals!CB81)</f>
        <v>-12903.944387400001</v>
      </c>
      <c r="CC82" s="28">
        <f>IF(ISBLANK(Actuals!CC81),(-(IF(AND(76&gt;=Personnel!$E$40,Personnel!$G$40="Yes"),Personnel!$D$40*(1-Personnel!$I$40),0)+IF(AND(76&gt;=Personnel!$E$41,Personnel!$G$41="Yes"),Personnel!$D$41*(1-Personnel!$I$41),0)+IF(AND(76&gt;=Personnel!$E$42,Personnel!$G$42="Yes"),Personnel!$D$42*(1-Personnel!$I$42),0)))*Escalation!$B$77,Actuals!CC81)</f>
        <v>-12903.944387400001</v>
      </c>
      <c r="CD82" s="28">
        <f>IF(ISBLANK(Actuals!CD81),(-(IF(AND(77&gt;=Personnel!$E$40,Personnel!$G$40="Yes"),Personnel!$D$40*(1-Personnel!$I$40),0)+IF(AND(77&gt;=Personnel!$E$41,Personnel!$G$41="Yes"),Personnel!$D$41*(1-Personnel!$I$41),0)+IF(AND(77&gt;=Personnel!$E$42,Personnel!$G$42="Yes"),Personnel!$D$42*(1-Personnel!$I$42),0)))*Escalation!$B$78,Actuals!CD81)</f>
        <v>-12903.944387400001</v>
      </c>
      <c r="CE82" s="28">
        <f>IF(ISBLANK(Actuals!CE81),(-(IF(AND(78&gt;=Personnel!$E$40,Personnel!$G$40="Yes"),Personnel!$D$40*(1-Personnel!$I$40),0)+IF(AND(78&gt;=Personnel!$E$41,Personnel!$G$41="Yes"),Personnel!$D$41*(1-Personnel!$I$41),0)+IF(AND(78&gt;=Personnel!$E$42,Personnel!$G$42="Yes"),Personnel!$D$42*(1-Personnel!$I$42),0)))*Escalation!$B$79,Actuals!CE81)</f>
        <v>-12903.944387400001</v>
      </c>
      <c r="CF82" s="28">
        <f>IF(ISBLANK(Actuals!CF81),(-(IF(AND(79&gt;=Personnel!$E$40,Personnel!$G$40="Yes"),Personnel!$D$40*(1-Personnel!$I$40),0)+IF(AND(79&gt;=Personnel!$E$41,Personnel!$G$41="Yes"),Personnel!$D$41*(1-Personnel!$I$41),0)+IF(AND(79&gt;=Personnel!$E$42,Personnel!$G$42="Yes"),Personnel!$D$42*(1-Personnel!$I$42),0)))*Escalation!$B$80,Actuals!CF81)</f>
        <v>-12903.944387400001</v>
      </c>
      <c r="CG82" s="28">
        <f>IF(ISBLANK(Actuals!CG81),(-(IF(AND(80&gt;=Personnel!$E$40,Personnel!$G$40="Yes"),Personnel!$D$40*(1-Personnel!$I$40),0)+IF(AND(80&gt;=Personnel!$E$41,Personnel!$G$41="Yes"),Personnel!$D$41*(1-Personnel!$I$41),0)+IF(AND(80&gt;=Personnel!$E$42,Personnel!$G$42="Yes"),Personnel!$D$42*(1-Personnel!$I$42),0)))*Escalation!$B$81,Actuals!CG81)</f>
        <v>-12903.944387400001</v>
      </c>
      <c r="CH82" s="28">
        <f>IF(ISBLANK(Actuals!CH81),(-(IF(AND(81&gt;=Personnel!$E$40,Personnel!$G$40="Yes"),Personnel!$D$40*(1-Personnel!$I$40),0)+IF(AND(81&gt;=Personnel!$E$41,Personnel!$G$41="Yes"),Personnel!$D$41*(1-Personnel!$I$41),0)+IF(AND(81&gt;=Personnel!$E$42,Personnel!$G$42="Yes"),Personnel!$D$42*(1-Personnel!$I$42),0)))*Escalation!$B$82,Actuals!CH81)</f>
        <v>-12903.944387400001</v>
      </c>
      <c r="CI82" s="28">
        <f>IF(ISBLANK(Actuals!CI81),(-(IF(AND(82&gt;=Personnel!$E$40,Personnel!$G$40="Yes"),Personnel!$D$40*(1-Personnel!$I$40),0)+IF(AND(82&gt;=Personnel!$E$41,Personnel!$G$41="Yes"),Personnel!$D$41*(1-Personnel!$I$41),0)+IF(AND(82&gt;=Personnel!$E$42,Personnel!$G$42="Yes"),Personnel!$D$42*(1-Personnel!$I$42),0)))*Escalation!$B$83,Actuals!CI81)</f>
        <v>-12903.944387400001</v>
      </c>
      <c r="CJ82" s="28">
        <f>IF(ISBLANK(Actuals!CJ81),(-(IF(AND(83&gt;=Personnel!$E$40,Personnel!$G$40="Yes"),Personnel!$D$40*(1-Personnel!$I$40),0)+IF(AND(83&gt;=Personnel!$E$41,Personnel!$G$41="Yes"),Personnel!$D$41*(1-Personnel!$I$41),0)+IF(AND(83&gt;=Personnel!$E$42,Personnel!$G$42="Yes"),Personnel!$D$42*(1-Personnel!$I$42),0)))*Escalation!$B$84,Actuals!CJ81)</f>
        <v>-12903.944387400001</v>
      </c>
      <c r="CK82" s="28">
        <f>IF(ISBLANK(Actuals!CK81),(-(IF(AND(84&gt;=Personnel!$E$40,Personnel!$G$40="Yes"),Personnel!$D$40*(1-Personnel!$I$40),0)+IF(AND(84&gt;=Personnel!$E$41,Personnel!$G$41="Yes"),Personnel!$D$41*(1-Personnel!$I$41),0)+IF(AND(84&gt;=Personnel!$E$42,Personnel!$G$42="Yes"),Personnel!$D$42*(1-Personnel!$I$42),0)))*Escalation!$B$85,Actuals!CK81)</f>
        <v>-12903.944387400001</v>
      </c>
      <c r="CL82" s="28">
        <f>IF(ISBLANK(Actuals!CL81),(-(IF(AND(85&gt;=Personnel!$E$40,Personnel!$G$40="Yes"),Personnel!$D$40*(1-Personnel!$I$40),0)+IF(AND(85&gt;=Personnel!$E$41,Personnel!$G$41="Yes"),Personnel!$D$41*(1-Personnel!$I$41),0)+IF(AND(85&gt;=Personnel!$E$42,Personnel!$G$42="Yes"),Personnel!$D$42*(1-Personnel!$I$42),0)))*Escalation!$B$86,Actuals!CL81)</f>
        <v>-13162.023275147998</v>
      </c>
      <c r="CM82" s="28">
        <f>IF(ISBLANK(Actuals!CM81),(-(IF(AND(86&gt;=Personnel!$E$40,Personnel!$G$40="Yes"),Personnel!$D$40*(1-Personnel!$I$40),0)+IF(AND(86&gt;=Personnel!$E$41,Personnel!$G$41="Yes"),Personnel!$D$41*(1-Personnel!$I$41),0)+IF(AND(86&gt;=Personnel!$E$42,Personnel!$G$42="Yes"),Personnel!$D$42*(1-Personnel!$I$42),0)))*Escalation!$B$87,Actuals!CM81)</f>
        <v>-13162.023275147998</v>
      </c>
      <c r="CN82" s="28">
        <f>IF(ISBLANK(Actuals!CN81),(-(IF(AND(87&gt;=Personnel!$E$40,Personnel!$G$40="Yes"),Personnel!$D$40*(1-Personnel!$I$40),0)+IF(AND(87&gt;=Personnel!$E$41,Personnel!$G$41="Yes"),Personnel!$D$41*(1-Personnel!$I$41),0)+IF(AND(87&gt;=Personnel!$E$42,Personnel!$G$42="Yes"),Personnel!$D$42*(1-Personnel!$I$42),0)))*Escalation!$B$88,Actuals!CN81)</f>
        <v>-13162.023275147998</v>
      </c>
      <c r="CO82" s="28">
        <f>IF(ISBLANK(Actuals!CO81),(-(IF(AND(88&gt;=Personnel!$E$40,Personnel!$G$40="Yes"),Personnel!$D$40*(1-Personnel!$I$40),0)+IF(AND(88&gt;=Personnel!$E$41,Personnel!$G$41="Yes"),Personnel!$D$41*(1-Personnel!$I$41),0)+IF(AND(88&gt;=Personnel!$E$42,Personnel!$G$42="Yes"),Personnel!$D$42*(1-Personnel!$I$42),0)))*Escalation!$B$89,Actuals!CO81)</f>
        <v>-13162.023275147998</v>
      </c>
      <c r="CP82" s="28">
        <f>IF(ISBLANK(Actuals!CP81),(-(IF(AND(89&gt;=Personnel!$E$40,Personnel!$G$40="Yes"),Personnel!$D$40*(1-Personnel!$I$40),0)+IF(AND(89&gt;=Personnel!$E$41,Personnel!$G$41="Yes"),Personnel!$D$41*(1-Personnel!$I$41),0)+IF(AND(89&gt;=Personnel!$E$42,Personnel!$G$42="Yes"),Personnel!$D$42*(1-Personnel!$I$42),0)))*Escalation!$B$90,Actuals!CP81)</f>
        <v>-13162.023275147998</v>
      </c>
      <c r="CQ82" s="28">
        <f>IF(ISBLANK(Actuals!CQ81),(-(IF(AND(90&gt;=Personnel!$E$40,Personnel!$G$40="Yes"),Personnel!$D$40*(1-Personnel!$I$40),0)+IF(AND(90&gt;=Personnel!$E$41,Personnel!$G$41="Yes"),Personnel!$D$41*(1-Personnel!$I$41),0)+IF(AND(90&gt;=Personnel!$E$42,Personnel!$G$42="Yes"),Personnel!$D$42*(1-Personnel!$I$42),0)))*Escalation!$B$91,Actuals!CQ81)</f>
        <v>-13162.023275147998</v>
      </c>
      <c r="CR82" s="28">
        <f>IF(ISBLANK(Actuals!CR81),(-(IF(AND(91&gt;=Personnel!$E$40,Personnel!$G$40="Yes"),Personnel!$D$40*(1-Personnel!$I$40),0)+IF(AND(91&gt;=Personnel!$E$41,Personnel!$G$41="Yes"),Personnel!$D$41*(1-Personnel!$I$41),0)+IF(AND(91&gt;=Personnel!$E$42,Personnel!$G$42="Yes"),Personnel!$D$42*(1-Personnel!$I$42),0)))*Escalation!$B$92,Actuals!CR81)</f>
        <v>-13162.023275147998</v>
      </c>
      <c r="CS82" s="28">
        <f>IF(ISBLANK(Actuals!CS81),(-(IF(AND(92&gt;=Personnel!$E$40,Personnel!$G$40="Yes"),Personnel!$D$40*(1-Personnel!$I$40),0)+IF(AND(92&gt;=Personnel!$E$41,Personnel!$G$41="Yes"),Personnel!$D$41*(1-Personnel!$I$41),0)+IF(AND(92&gt;=Personnel!$E$42,Personnel!$G$42="Yes"),Personnel!$D$42*(1-Personnel!$I$42),0)))*Escalation!$B$93,Actuals!CS81)</f>
        <v>-13162.023275147998</v>
      </c>
      <c r="CT82" s="28">
        <f>IF(ISBLANK(Actuals!CT81),(-(IF(AND(93&gt;=Personnel!$E$40,Personnel!$G$40="Yes"),Personnel!$D$40*(1-Personnel!$I$40),0)+IF(AND(93&gt;=Personnel!$E$41,Personnel!$G$41="Yes"),Personnel!$D$41*(1-Personnel!$I$41),0)+IF(AND(93&gt;=Personnel!$E$42,Personnel!$G$42="Yes"),Personnel!$D$42*(1-Personnel!$I$42),0)))*Escalation!$B$94,Actuals!CT81)</f>
        <v>-13162.023275147998</v>
      </c>
      <c r="CU82" s="28">
        <f>IF(ISBLANK(Actuals!CU81),(-(IF(AND(94&gt;=Personnel!$E$40,Personnel!$G$40="Yes"),Personnel!$D$40*(1-Personnel!$I$40),0)+IF(AND(94&gt;=Personnel!$E$41,Personnel!$G$41="Yes"),Personnel!$D$41*(1-Personnel!$I$41),0)+IF(AND(94&gt;=Personnel!$E$42,Personnel!$G$42="Yes"),Personnel!$D$42*(1-Personnel!$I$42),0)))*Escalation!$B$95,Actuals!CU81)</f>
        <v>-13162.023275147998</v>
      </c>
      <c r="CV82" s="28">
        <f>IF(ISBLANK(Actuals!CV81),(-(IF(AND(95&gt;=Personnel!$E$40,Personnel!$G$40="Yes"),Personnel!$D$40*(1-Personnel!$I$40),0)+IF(AND(95&gt;=Personnel!$E$41,Personnel!$G$41="Yes"),Personnel!$D$41*(1-Personnel!$I$41),0)+IF(AND(95&gt;=Personnel!$E$42,Personnel!$G$42="Yes"),Personnel!$D$42*(1-Personnel!$I$42),0)))*Escalation!$B$96,Actuals!CV81)</f>
        <v>-13162.023275147998</v>
      </c>
      <c r="CW82" s="28">
        <f>IF(ISBLANK(Actuals!CW81),(-(IF(AND(96&gt;=Personnel!$E$40,Personnel!$G$40="Yes"),Personnel!$D$40*(1-Personnel!$I$40),0)+IF(AND(96&gt;=Personnel!$E$41,Personnel!$G$41="Yes"),Personnel!$D$41*(1-Personnel!$I$41),0)+IF(AND(96&gt;=Personnel!$E$42,Personnel!$G$42="Yes"),Personnel!$D$42*(1-Personnel!$I$42),0)))*Escalation!$B$97,Actuals!CW81)</f>
        <v>-13162.023275147998</v>
      </c>
      <c r="CX82" s="28">
        <f>IF(ISBLANK(Actuals!CX81),(-(IF(AND(97&gt;=Personnel!$E$40,Personnel!$G$40="Yes"),Personnel!$D$40*(1-Personnel!$I$40),0)+IF(AND(97&gt;=Personnel!$E$41,Personnel!$G$41="Yes"),Personnel!$D$41*(1-Personnel!$I$41),0)+IF(AND(97&gt;=Personnel!$E$42,Personnel!$G$42="Yes"),Personnel!$D$42*(1-Personnel!$I$42),0)))*Escalation!$B$98,Actuals!CX81)</f>
        <v>-13425.26374065096</v>
      </c>
      <c r="CY82" s="28">
        <f>IF(ISBLANK(Actuals!CY81),(-(IF(AND(98&gt;=Personnel!$E$40,Personnel!$G$40="Yes"),Personnel!$D$40*(1-Personnel!$I$40),0)+IF(AND(98&gt;=Personnel!$E$41,Personnel!$G$41="Yes"),Personnel!$D$41*(1-Personnel!$I$41),0)+IF(AND(98&gt;=Personnel!$E$42,Personnel!$G$42="Yes"),Personnel!$D$42*(1-Personnel!$I$42),0)))*Escalation!$B$99,Actuals!CY81)</f>
        <v>-13425.26374065096</v>
      </c>
      <c r="CZ82" s="28">
        <f>IF(ISBLANK(Actuals!CZ81),(-(IF(AND(99&gt;=Personnel!$E$40,Personnel!$G$40="Yes"),Personnel!$D$40*(1-Personnel!$I$40),0)+IF(AND(99&gt;=Personnel!$E$41,Personnel!$G$41="Yes"),Personnel!$D$41*(1-Personnel!$I$41),0)+IF(AND(99&gt;=Personnel!$E$42,Personnel!$G$42="Yes"),Personnel!$D$42*(1-Personnel!$I$42),0)))*Escalation!$B$100,Actuals!CZ81)</f>
        <v>-13425.26374065096</v>
      </c>
      <c r="DA82" s="28">
        <f>IF(ISBLANK(Actuals!DA81),(-(IF(AND(100&gt;=Personnel!$E$40,Personnel!$G$40="Yes"),Personnel!$D$40*(1-Personnel!$I$40),0)+IF(AND(100&gt;=Personnel!$E$41,Personnel!$G$41="Yes"),Personnel!$D$41*(1-Personnel!$I$41),0)+IF(AND(100&gt;=Personnel!$E$42,Personnel!$G$42="Yes"),Personnel!$D$42*(1-Personnel!$I$42),0)))*Escalation!$B$101,Actuals!DA81)</f>
        <v>-13425.26374065096</v>
      </c>
      <c r="DB82" s="28">
        <f>IF(ISBLANK(Actuals!DB81),(-(IF(AND(101&gt;=Personnel!$E$40,Personnel!$G$40="Yes"),Personnel!$D$40*(1-Personnel!$I$40),0)+IF(AND(101&gt;=Personnel!$E$41,Personnel!$G$41="Yes"),Personnel!$D$41*(1-Personnel!$I$41),0)+IF(AND(101&gt;=Personnel!$E$42,Personnel!$G$42="Yes"),Personnel!$D$42*(1-Personnel!$I$42),0)))*Escalation!$B$102,Actuals!DB81)</f>
        <v>-13425.26374065096</v>
      </c>
      <c r="DC82" s="28">
        <f>IF(ISBLANK(Actuals!DC81),(-(IF(AND(102&gt;=Personnel!$E$40,Personnel!$G$40="Yes"),Personnel!$D$40*(1-Personnel!$I$40),0)+IF(AND(102&gt;=Personnel!$E$41,Personnel!$G$41="Yes"),Personnel!$D$41*(1-Personnel!$I$41),0)+IF(AND(102&gt;=Personnel!$E$42,Personnel!$G$42="Yes"),Personnel!$D$42*(1-Personnel!$I$42),0)))*Escalation!$B$103,Actuals!DC81)</f>
        <v>-13425.26374065096</v>
      </c>
      <c r="DD82" s="28">
        <f>IF(ISBLANK(Actuals!DD81),(-(IF(AND(103&gt;=Personnel!$E$40,Personnel!$G$40="Yes"),Personnel!$D$40*(1-Personnel!$I$40),0)+IF(AND(103&gt;=Personnel!$E$41,Personnel!$G$41="Yes"),Personnel!$D$41*(1-Personnel!$I$41),0)+IF(AND(103&gt;=Personnel!$E$42,Personnel!$G$42="Yes"),Personnel!$D$42*(1-Personnel!$I$42),0)))*Escalation!$B$104,Actuals!DD81)</f>
        <v>-13425.26374065096</v>
      </c>
      <c r="DE82" s="28">
        <f>IF(ISBLANK(Actuals!DE81),(-(IF(AND(104&gt;=Personnel!$E$40,Personnel!$G$40="Yes"),Personnel!$D$40*(1-Personnel!$I$40),0)+IF(AND(104&gt;=Personnel!$E$41,Personnel!$G$41="Yes"),Personnel!$D$41*(1-Personnel!$I$41),0)+IF(AND(104&gt;=Personnel!$E$42,Personnel!$G$42="Yes"),Personnel!$D$42*(1-Personnel!$I$42),0)))*Escalation!$B$105,Actuals!DE81)</f>
        <v>-13425.26374065096</v>
      </c>
      <c r="DF82" s="28">
        <f>IF(ISBLANK(Actuals!DF81),(-(IF(AND(105&gt;=Personnel!$E$40,Personnel!$G$40="Yes"),Personnel!$D$40*(1-Personnel!$I$40),0)+IF(AND(105&gt;=Personnel!$E$41,Personnel!$G$41="Yes"),Personnel!$D$41*(1-Personnel!$I$41),0)+IF(AND(105&gt;=Personnel!$E$42,Personnel!$G$42="Yes"),Personnel!$D$42*(1-Personnel!$I$42),0)))*Escalation!$B$106,Actuals!DF81)</f>
        <v>-13425.26374065096</v>
      </c>
    </row>
    <row r="83" spans="1:110" ht="15" customHeight="1" x14ac:dyDescent="0.25">
      <c r="A83" s="27" t="s">
        <v>64</v>
      </c>
      <c r="B83" s="27"/>
      <c r="C83" s="28">
        <f>IF(ISBLANK(Actuals!C82),0,Actuals!C82)</f>
        <v>-5302</v>
      </c>
      <c r="D83" s="28">
        <f>IF(ISBLANK(Actuals!D82),0,Actuals!D82)</f>
        <v>-4279.79</v>
      </c>
      <c r="E83" s="28">
        <f>IF(ISBLANK(Actuals!E82),0,Actuals!E82)</f>
        <v>-4145.97</v>
      </c>
      <c r="F83" s="28">
        <f>IF(ISBLANK(Actuals!F82),-Helpers!C5*Assumptions!$B$20,Actuals!F82)</f>
        <v>-4145.96</v>
      </c>
      <c r="G83" s="28">
        <f>IF(ISBLANK(Actuals!G82),-Helpers!D5*Assumptions!$B$20,Actuals!G82)</f>
        <v>-802.08333333333348</v>
      </c>
      <c r="H83" s="28">
        <f>IF(ISBLANK(Actuals!H82),-Helpers!E5*Assumptions!$B$20,Actuals!H82)</f>
        <v>-802.08333333333348</v>
      </c>
      <c r="I83" s="28">
        <f>IF(ISBLANK(Actuals!I82),-Helpers!F5*Assumptions!$B$20,Actuals!I82)</f>
        <v>-802.08333333333348</v>
      </c>
      <c r="J83" s="28">
        <f>IF(ISBLANK(Actuals!J82),-Helpers!G5*Assumptions!$B$20,Actuals!J82)</f>
        <v>-802.08333333333348</v>
      </c>
      <c r="K83" s="28">
        <f>IF(ISBLANK(Actuals!K82),-Helpers!H5*Assumptions!$B$20,Actuals!K82)</f>
        <v>-802.08333333333348</v>
      </c>
      <c r="L83" s="28">
        <f>IF(ISBLANK(Actuals!L82),-Helpers!I5*Assumptions!$B$20,Actuals!L82)</f>
        <v>-802.08333333333348</v>
      </c>
      <c r="M83" s="28">
        <f>IF(ISBLANK(Actuals!M82),-Helpers!J5*Assumptions!$B$20,Actuals!M82)</f>
        <v>-802.08333333333348</v>
      </c>
      <c r="N83" s="28">
        <f>IF(ISBLANK(Actuals!N82),-Helpers!K5*Assumptions!$B$20,Actuals!N82)</f>
        <v>-802.08333333333348</v>
      </c>
      <c r="O83" s="28">
        <f>IF(ISBLANK(Actuals!O82),-Helpers!L5*Assumptions!$B$20,Actuals!O82)</f>
        <v>-802.08333333333348</v>
      </c>
      <c r="P83" s="28">
        <f>IF(ISBLANK(Actuals!P82),-Helpers!M5*Assumptions!$B$20,Actuals!P82)</f>
        <v>-802.08333333333348</v>
      </c>
      <c r="Q83" s="28">
        <f>IF(ISBLANK(Actuals!Q82),-Helpers!N5*Assumptions!$B$20,Actuals!Q82)</f>
        <v>-802.08333333333348</v>
      </c>
      <c r="R83" s="28">
        <f>IF(ISBLANK(Actuals!R82),-Helpers!O5*Assumptions!$B$20,Actuals!R82)</f>
        <v>-818.12500000000011</v>
      </c>
      <c r="S83" s="28">
        <f>IF(ISBLANK(Actuals!S82),-Helpers!P5*Assumptions!$B$20,Actuals!S82)</f>
        <v>-818.12500000000011</v>
      </c>
      <c r="T83" s="28">
        <f>IF(ISBLANK(Actuals!T82),-Helpers!Q5*Assumptions!$B$20,Actuals!T82)</f>
        <v>-818.12500000000011</v>
      </c>
      <c r="U83" s="28">
        <f>IF(ISBLANK(Actuals!U82),-Helpers!R5*Assumptions!$B$20,Actuals!U82)</f>
        <v>-818.12500000000011</v>
      </c>
      <c r="V83" s="28">
        <f>IF(ISBLANK(Actuals!V82),-Helpers!S5*Assumptions!$B$20,Actuals!V82)</f>
        <v>-818.12500000000011</v>
      </c>
      <c r="W83" s="28">
        <f>IF(ISBLANK(Actuals!W82),-Helpers!T5*Assumptions!$B$20,Actuals!W82)</f>
        <v>-818.12500000000011</v>
      </c>
      <c r="X83" s="28">
        <f>IF(ISBLANK(Actuals!X82),-Helpers!U5*Assumptions!$B$20,Actuals!X82)</f>
        <v>-818.12500000000011</v>
      </c>
      <c r="Y83" s="28">
        <f>IF(ISBLANK(Actuals!Y82),-Helpers!V5*Assumptions!$B$20,Actuals!Y82)</f>
        <v>-818.12500000000011</v>
      </c>
      <c r="Z83" s="28">
        <f>IF(ISBLANK(Actuals!Z82),-Helpers!W5*Assumptions!$B$20,Actuals!Z82)</f>
        <v>-818.12500000000011</v>
      </c>
      <c r="AA83" s="28">
        <f>IF(ISBLANK(Actuals!AA82),-Helpers!X5*Assumptions!$B$20,Actuals!AA82)</f>
        <v>-818.12500000000011</v>
      </c>
      <c r="AB83" s="28">
        <f>IF(ISBLANK(Actuals!AB82),-Helpers!Y5*Assumptions!$B$20,Actuals!AB82)</f>
        <v>-818.12500000000011</v>
      </c>
      <c r="AC83" s="28">
        <f>IF(ISBLANK(Actuals!AC82),-Helpers!Z5*Assumptions!$B$20,Actuals!AC82)</f>
        <v>-818.12500000000011</v>
      </c>
      <c r="AD83" s="28">
        <f>IF(ISBLANK(Actuals!AD82),-Helpers!AA5*Assumptions!$B$20,Actuals!AD82)</f>
        <v>-834.48750000000007</v>
      </c>
      <c r="AE83" s="28">
        <f>IF(ISBLANK(Actuals!AE82),-Helpers!AB5*Assumptions!$B$20,Actuals!AE82)</f>
        <v>-834.48750000000007</v>
      </c>
      <c r="AF83" s="28">
        <f>IF(ISBLANK(Actuals!AF82),-Helpers!AC5*Assumptions!$B$20,Actuals!AF82)</f>
        <v>-834.48750000000007</v>
      </c>
      <c r="AG83" s="28">
        <f>IF(ISBLANK(Actuals!AG82),-Helpers!AD5*Assumptions!$B$20,Actuals!AG82)</f>
        <v>-834.48750000000007</v>
      </c>
      <c r="AH83" s="28">
        <f>IF(ISBLANK(Actuals!AH82),-Helpers!AE5*Assumptions!$B$20,Actuals!AH82)</f>
        <v>-834.48750000000007</v>
      </c>
      <c r="AI83" s="28">
        <f>IF(ISBLANK(Actuals!AI82),-Helpers!AF5*Assumptions!$B$20,Actuals!AI82)</f>
        <v>-834.48750000000007</v>
      </c>
      <c r="AJ83" s="28">
        <f>IF(ISBLANK(Actuals!AJ82),-Helpers!AG5*Assumptions!$B$20,Actuals!AJ82)</f>
        <v>-834.48750000000007</v>
      </c>
      <c r="AK83" s="28">
        <f>IF(ISBLANK(Actuals!AK82),-Helpers!AH5*Assumptions!$B$20,Actuals!AK82)</f>
        <v>-834.48750000000007</v>
      </c>
      <c r="AL83" s="28">
        <f>IF(ISBLANK(Actuals!AL82),-Helpers!AI5*Assumptions!$B$20,Actuals!AL82)</f>
        <v>-834.48750000000007</v>
      </c>
      <c r="AM83" s="28">
        <f>IF(ISBLANK(Actuals!AM82),-Helpers!AJ5*Assumptions!$B$20,Actuals!AM82)</f>
        <v>-834.48750000000007</v>
      </c>
      <c r="AN83" s="28">
        <f>IF(ISBLANK(Actuals!AN82),-Helpers!AK5*Assumptions!$B$20,Actuals!AN82)</f>
        <v>-834.48750000000007</v>
      </c>
      <c r="AO83" s="28">
        <f>IF(ISBLANK(Actuals!AO82),-Helpers!AL5*Assumptions!$B$20,Actuals!AO82)</f>
        <v>-834.48750000000007</v>
      </c>
      <c r="AP83" s="28">
        <f>IF(ISBLANK(Actuals!AP82),-Helpers!AM5*Assumptions!$B$20,Actuals!AP82)</f>
        <v>-851.17725000000007</v>
      </c>
      <c r="AQ83" s="28">
        <f>IF(ISBLANK(Actuals!AQ82),-Helpers!AN5*Assumptions!$B$20,Actuals!AQ82)</f>
        <v>-851.17725000000007</v>
      </c>
      <c r="AR83" s="28">
        <f>IF(ISBLANK(Actuals!AR82),-Helpers!AO5*Assumptions!$B$20,Actuals!AR82)</f>
        <v>-851.17725000000007</v>
      </c>
      <c r="AS83" s="28">
        <f>IF(ISBLANK(Actuals!AS82),-Helpers!AP5*Assumptions!$B$20,Actuals!AS82)</f>
        <v>-851.17725000000007</v>
      </c>
      <c r="AT83" s="28">
        <f>IF(ISBLANK(Actuals!AT82),-Helpers!AQ5*Assumptions!$B$20,Actuals!AT82)</f>
        <v>-851.17725000000007</v>
      </c>
      <c r="AU83" s="28">
        <f>IF(ISBLANK(Actuals!AU82),-Helpers!AR5*Assumptions!$B$20,Actuals!AU82)</f>
        <v>-851.17725000000007</v>
      </c>
      <c r="AV83" s="28">
        <f>IF(ISBLANK(Actuals!AV82),-Helpers!AS5*Assumptions!$B$20,Actuals!AV82)</f>
        <v>-851.17725000000007</v>
      </c>
      <c r="AW83" s="28">
        <f>IF(ISBLANK(Actuals!AW82),-Helpers!AT5*Assumptions!$B$20,Actuals!AW82)</f>
        <v>-851.17725000000007</v>
      </c>
      <c r="AX83" s="28">
        <f>IF(ISBLANK(Actuals!AX82),-Helpers!AU5*Assumptions!$B$20,Actuals!AX82)</f>
        <v>-851.17725000000007</v>
      </c>
      <c r="AY83" s="28">
        <f>IF(ISBLANK(Actuals!AY82),-Helpers!AV5*Assumptions!$B$20,Actuals!AY82)</f>
        <v>-851.17725000000007</v>
      </c>
      <c r="AZ83" s="28">
        <f>IF(ISBLANK(Actuals!AZ82),-Helpers!AW5*Assumptions!$B$20,Actuals!AZ82)</f>
        <v>-851.17725000000007</v>
      </c>
      <c r="BA83" s="28">
        <f>IF(ISBLANK(Actuals!BA82),-Helpers!AX5*Assumptions!$B$20,Actuals!BA82)</f>
        <v>-851.17725000000007</v>
      </c>
      <c r="BB83" s="28">
        <f>IF(ISBLANK(Actuals!BB82),-Helpers!AY5*Assumptions!$B$20,Actuals!BB82)</f>
        <v>-868.20079500000008</v>
      </c>
      <c r="BC83" s="28">
        <f>IF(ISBLANK(Actuals!BC82),-Helpers!AZ5*Assumptions!$B$20,Actuals!BC82)</f>
        <v>-868.20079500000008</v>
      </c>
      <c r="BD83" s="28">
        <f>IF(ISBLANK(Actuals!BD82),-Helpers!BA5*Assumptions!$B$20,Actuals!BD82)</f>
        <v>-868.20079500000008</v>
      </c>
      <c r="BE83" s="28">
        <f>IF(ISBLANK(Actuals!BE82),-Helpers!BB5*Assumptions!$B$20,Actuals!BE82)</f>
        <v>-868.20079500000008</v>
      </c>
      <c r="BF83" s="28">
        <f>IF(ISBLANK(Actuals!BF82),-Helpers!BC5*Assumptions!$B$20,Actuals!BF82)</f>
        <v>-868.20079500000008</v>
      </c>
      <c r="BG83" s="28">
        <f>IF(ISBLANK(Actuals!BG82),-Helpers!BD5*Assumptions!$B$20,Actuals!BG82)</f>
        <v>-868.20079500000008</v>
      </c>
      <c r="BH83" s="28">
        <f>IF(ISBLANK(Actuals!BH82),-Helpers!BE5*Assumptions!$B$20,Actuals!BH82)</f>
        <v>-868.20079500000008</v>
      </c>
      <c r="BI83" s="28">
        <f>IF(ISBLANK(Actuals!BI82),-Helpers!BF5*Assumptions!$B$20,Actuals!BI82)</f>
        <v>-868.20079500000008</v>
      </c>
      <c r="BJ83" s="28">
        <f>IF(ISBLANK(Actuals!BJ82),-Helpers!BG5*Assumptions!$B$20,Actuals!BJ82)</f>
        <v>-868.20079500000008</v>
      </c>
      <c r="BK83" s="28">
        <f>IF(ISBLANK(Actuals!BK82),-Helpers!BH5*Assumptions!$B$20,Actuals!BK82)</f>
        <v>-868.20079500000008</v>
      </c>
      <c r="BL83" s="28">
        <f>IF(ISBLANK(Actuals!BL82),-Helpers!BI5*Assumptions!$B$20,Actuals!BL82)</f>
        <v>-868.20079500000008</v>
      </c>
      <c r="BM83" s="28">
        <f>IF(ISBLANK(Actuals!BM82),-Helpers!BJ5*Assumptions!$B$20,Actuals!BM82)</f>
        <v>-868.20079500000008</v>
      </c>
      <c r="BN83" s="28">
        <f>IF(ISBLANK(Actuals!BN82),-Helpers!BK5*Assumptions!$B$20,Actuals!BN82)</f>
        <v>-885.56481090000011</v>
      </c>
      <c r="BO83" s="28">
        <f>IF(ISBLANK(Actuals!BO82),-Helpers!BL5*Assumptions!$B$20,Actuals!BO82)</f>
        <v>-885.56481090000011</v>
      </c>
      <c r="BP83" s="28">
        <f>IF(ISBLANK(Actuals!BP82),-Helpers!BM5*Assumptions!$B$20,Actuals!BP82)</f>
        <v>-885.56481090000011</v>
      </c>
      <c r="BQ83" s="28">
        <f>IF(ISBLANK(Actuals!BQ82),-Helpers!BN5*Assumptions!$B$20,Actuals!BQ82)</f>
        <v>-885.56481090000011</v>
      </c>
      <c r="BR83" s="28">
        <f>IF(ISBLANK(Actuals!BR82),-Helpers!BO5*Assumptions!$B$20,Actuals!BR82)</f>
        <v>-885.56481090000011</v>
      </c>
      <c r="BS83" s="28">
        <f>IF(ISBLANK(Actuals!BS82),-Helpers!BP5*Assumptions!$B$20,Actuals!BS82)</f>
        <v>-885.56481090000011</v>
      </c>
      <c r="BT83" s="28">
        <f>IF(ISBLANK(Actuals!BT82),-Helpers!BQ5*Assumptions!$B$20,Actuals!BT82)</f>
        <v>-885.56481090000011</v>
      </c>
      <c r="BU83" s="28">
        <f>IF(ISBLANK(Actuals!BU82),-Helpers!BR5*Assumptions!$B$20,Actuals!BU82)</f>
        <v>-885.56481090000011</v>
      </c>
      <c r="BV83" s="28">
        <f>IF(ISBLANK(Actuals!BV82),-Helpers!BS5*Assumptions!$B$20,Actuals!BV82)</f>
        <v>-885.56481090000011</v>
      </c>
      <c r="BW83" s="28">
        <f>IF(ISBLANK(Actuals!BW82),-Helpers!BT5*Assumptions!$B$20,Actuals!BW82)</f>
        <v>-885.56481090000011</v>
      </c>
      <c r="BX83" s="28">
        <f>IF(ISBLANK(Actuals!BX82),-Helpers!BU5*Assumptions!$B$20,Actuals!BX82)</f>
        <v>-885.56481090000011</v>
      </c>
      <c r="BY83" s="28">
        <f>IF(ISBLANK(Actuals!BY82),-Helpers!BV5*Assumptions!$B$20,Actuals!BY82)</f>
        <v>-885.56481090000011</v>
      </c>
      <c r="BZ83" s="28">
        <f>IF(ISBLANK(Actuals!BZ82),-Helpers!BW5*Assumptions!$B$20,Actuals!BZ82)</f>
        <v>-903.27610711800014</v>
      </c>
      <c r="CA83" s="28">
        <f>IF(ISBLANK(Actuals!CA82),-Helpers!BX5*Assumptions!$B$20,Actuals!CA82)</f>
        <v>-903.27610711800014</v>
      </c>
      <c r="CB83" s="28">
        <f>IF(ISBLANK(Actuals!CB82),-Helpers!BY5*Assumptions!$B$20,Actuals!CB82)</f>
        <v>-903.27610711800014</v>
      </c>
      <c r="CC83" s="28">
        <f>IF(ISBLANK(Actuals!CC82),-Helpers!BZ5*Assumptions!$B$20,Actuals!CC82)</f>
        <v>-903.27610711800014</v>
      </c>
      <c r="CD83" s="28">
        <f>IF(ISBLANK(Actuals!CD82),-Helpers!CA5*Assumptions!$B$20,Actuals!CD82)</f>
        <v>-903.27610711800014</v>
      </c>
      <c r="CE83" s="28">
        <f>IF(ISBLANK(Actuals!CE82),-Helpers!CB5*Assumptions!$B$20,Actuals!CE82)</f>
        <v>-903.27610711800014</v>
      </c>
      <c r="CF83" s="28">
        <f>IF(ISBLANK(Actuals!CF82),-Helpers!CC5*Assumptions!$B$20,Actuals!CF82)</f>
        <v>-903.27610711800014</v>
      </c>
      <c r="CG83" s="28">
        <f>IF(ISBLANK(Actuals!CG82),-Helpers!CD5*Assumptions!$B$20,Actuals!CG82)</f>
        <v>-903.27610711800014</v>
      </c>
      <c r="CH83" s="28">
        <f>IF(ISBLANK(Actuals!CH82),-Helpers!CE5*Assumptions!$B$20,Actuals!CH82)</f>
        <v>-903.27610711800014</v>
      </c>
      <c r="CI83" s="28">
        <f>IF(ISBLANK(Actuals!CI82),-Helpers!CF5*Assumptions!$B$20,Actuals!CI82)</f>
        <v>-903.27610711800014</v>
      </c>
      <c r="CJ83" s="28">
        <f>IF(ISBLANK(Actuals!CJ82),-Helpers!CG5*Assumptions!$B$20,Actuals!CJ82)</f>
        <v>-903.27610711800014</v>
      </c>
      <c r="CK83" s="28">
        <f>IF(ISBLANK(Actuals!CK82),-Helpers!CH5*Assumptions!$B$20,Actuals!CK82)</f>
        <v>-903.27610711800014</v>
      </c>
      <c r="CL83" s="28">
        <f>IF(ISBLANK(Actuals!CL82),-Helpers!CI5*Assumptions!$B$20,Actuals!CL82)</f>
        <v>-921.34162926035992</v>
      </c>
      <c r="CM83" s="28">
        <f>IF(ISBLANK(Actuals!CM82),-Helpers!CJ5*Assumptions!$B$20,Actuals!CM82)</f>
        <v>-921.34162926035992</v>
      </c>
      <c r="CN83" s="28">
        <f>IF(ISBLANK(Actuals!CN82),-Helpers!CK5*Assumptions!$B$20,Actuals!CN82)</f>
        <v>-921.34162926035992</v>
      </c>
      <c r="CO83" s="28">
        <f>IF(ISBLANK(Actuals!CO82),-Helpers!CL5*Assumptions!$B$20,Actuals!CO82)</f>
        <v>-921.34162926035992</v>
      </c>
      <c r="CP83" s="28">
        <f>IF(ISBLANK(Actuals!CP82),-Helpers!CM5*Assumptions!$B$20,Actuals!CP82)</f>
        <v>-921.34162926035992</v>
      </c>
      <c r="CQ83" s="28">
        <f>IF(ISBLANK(Actuals!CQ82),-Helpers!CN5*Assumptions!$B$20,Actuals!CQ82)</f>
        <v>-921.34162926035992</v>
      </c>
      <c r="CR83" s="28">
        <f>IF(ISBLANK(Actuals!CR82),-Helpers!CO5*Assumptions!$B$20,Actuals!CR82)</f>
        <v>-921.34162926035992</v>
      </c>
      <c r="CS83" s="28">
        <f>IF(ISBLANK(Actuals!CS82),-Helpers!CP5*Assumptions!$B$20,Actuals!CS82)</f>
        <v>-921.34162926035992</v>
      </c>
      <c r="CT83" s="28">
        <f>IF(ISBLANK(Actuals!CT82),-Helpers!CQ5*Assumptions!$B$20,Actuals!CT82)</f>
        <v>-921.34162926035992</v>
      </c>
      <c r="CU83" s="28">
        <f>IF(ISBLANK(Actuals!CU82),-Helpers!CR5*Assumptions!$B$20,Actuals!CU82)</f>
        <v>0</v>
      </c>
      <c r="CV83" s="28">
        <f>IF(ISBLANK(Actuals!CV82),-Helpers!CS5*Assumptions!$B$20,Actuals!CV82)</f>
        <v>0</v>
      </c>
      <c r="CW83" s="28">
        <f>IF(ISBLANK(Actuals!CW82),-Helpers!CT5*Assumptions!$B$20,Actuals!CW82)</f>
        <v>0</v>
      </c>
      <c r="CX83" s="28">
        <f>IF(ISBLANK(Actuals!CX82),-Helpers!CU5*Assumptions!$B$20,Actuals!CX82)</f>
        <v>0</v>
      </c>
      <c r="CY83" s="28">
        <f>IF(ISBLANK(Actuals!CY82),-Helpers!CV5*Assumptions!$B$20,Actuals!CY82)</f>
        <v>0</v>
      </c>
      <c r="CZ83" s="28">
        <f>IF(ISBLANK(Actuals!CZ82),-Helpers!CW5*Assumptions!$B$20,Actuals!CZ82)</f>
        <v>0</v>
      </c>
      <c r="DA83" s="28">
        <f>IF(ISBLANK(Actuals!DA82),-Helpers!CX5*Assumptions!$B$20,Actuals!DA82)</f>
        <v>0</v>
      </c>
      <c r="DB83" s="28">
        <f>IF(ISBLANK(Actuals!DB82),-Helpers!CY5*Assumptions!$B$20,Actuals!DB82)</f>
        <v>0</v>
      </c>
      <c r="DC83" s="28">
        <f>IF(ISBLANK(Actuals!DC82),-Helpers!CZ5*Assumptions!$B$20,Actuals!DC82)</f>
        <v>0</v>
      </c>
      <c r="DD83" s="28">
        <f>IF(ISBLANK(Actuals!DD82),-Helpers!DA5*Assumptions!$B$20,Actuals!DD82)</f>
        <v>0</v>
      </c>
      <c r="DE83" s="28">
        <f>IF(ISBLANK(Actuals!DE82),-Helpers!DB5*Assumptions!$B$20,Actuals!DE82)</f>
        <v>0</v>
      </c>
      <c r="DF83" s="28">
        <f>IF(ISBLANK(Actuals!DF82),-Helpers!DC5*Assumptions!$B$20,Actuals!DF82)</f>
        <v>0</v>
      </c>
    </row>
    <row r="84" spans="1:110" ht="15" customHeight="1" x14ac:dyDescent="0.25">
      <c r="A84" s="27" t="s">
        <v>66</v>
      </c>
      <c r="B84" s="27"/>
      <c r="C84" s="28">
        <f>IF(ISBLANK(Actuals!C83),0,Actuals!C83)</f>
        <v>-12137.77</v>
      </c>
      <c r="D84" s="28">
        <f>IF(ISBLANK(Actuals!D83),0,Actuals!D83)</f>
        <v>-12137.78</v>
      </c>
      <c r="E84" s="28">
        <f>IF(ISBLANK(Actuals!E83),0,Actuals!E83)</f>
        <v>-12137.78</v>
      </c>
      <c r="F84" s="28">
        <f>IF(ISBLANK(Actuals!F83),-Helpers!C5*Assumptions!$B$22,Actuals!F83)</f>
        <v>-12137.78</v>
      </c>
      <c r="G84" s="28">
        <f>IF(ISBLANK(Actuals!G83),-Helpers!D5*Assumptions!$B$22,Actuals!G83)</f>
        <v>-572.91666666666674</v>
      </c>
      <c r="H84" s="28">
        <f>IF(ISBLANK(Actuals!H83),-Helpers!E5*Assumptions!$B$22,Actuals!H83)</f>
        <v>-572.91666666666674</v>
      </c>
      <c r="I84" s="28">
        <f>IF(ISBLANK(Actuals!I83),-Helpers!F5*Assumptions!$B$22,Actuals!I83)</f>
        <v>-572.91666666666674</v>
      </c>
      <c r="J84" s="28">
        <f>IF(ISBLANK(Actuals!J83),-Helpers!G5*Assumptions!$B$22,Actuals!J83)</f>
        <v>-572.91666666666674</v>
      </c>
      <c r="K84" s="28">
        <f>IF(ISBLANK(Actuals!K83),-Helpers!H5*Assumptions!$B$22,Actuals!K83)</f>
        <v>-572.91666666666674</v>
      </c>
      <c r="L84" s="28">
        <f>IF(ISBLANK(Actuals!L83),-Helpers!I5*Assumptions!$B$22,Actuals!L83)</f>
        <v>-572.91666666666674</v>
      </c>
      <c r="M84" s="28">
        <f>IF(ISBLANK(Actuals!M83),-Helpers!J5*Assumptions!$B$22,Actuals!M83)</f>
        <v>-572.91666666666674</v>
      </c>
      <c r="N84" s="28">
        <f>IF(ISBLANK(Actuals!N83),-Helpers!K5*Assumptions!$B$22,Actuals!N83)</f>
        <v>-572.91666666666674</v>
      </c>
      <c r="O84" s="28">
        <f>IF(ISBLANK(Actuals!O83),-Helpers!L5*Assumptions!$B$22,Actuals!O83)</f>
        <v>-572.91666666666674</v>
      </c>
      <c r="P84" s="28">
        <f>IF(ISBLANK(Actuals!P83),-Helpers!M5*Assumptions!$B$22,Actuals!P83)</f>
        <v>-572.91666666666674</v>
      </c>
      <c r="Q84" s="28">
        <f>IF(ISBLANK(Actuals!Q83),-Helpers!N5*Assumptions!$B$22,Actuals!Q83)</f>
        <v>-572.91666666666674</v>
      </c>
      <c r="R84" s="28">
        <f>IF(ISBLANK(Actuals!R83),-Helpers!O5*Assumptions!$B$22,Actuals!R83)</f>
        <v>-584.375</v>
      </c>
      <c r="S84" s="28">
        <f>IF(ISBLANK(Actuals!S83),-Helpers!P5*Assumptions!$B$22,Actuals!S83)</f>
        <v>-584.375</v>
      </c>
      <c r="T84" s="28">
        <f>IF(ISBLANK(Actuals!T83),-Helpers!Q5*Assumptions!$B$22,Actuals!T83)</f>
        <v>-584.375</v>
      </c>
      <c r="U84" s="28">
        <f>IF(ISBLANK(Actuals!U83),-Helpers!R5*Assumptions!$B$22,Actuals!U83)</f>
        <v>-584.375</v>
      </c>
      <c r="V84" s="28">
        <f>IF(ISBLANK(Actuals!V83),-Helpers!S5*Assumptions!$B$22,Actuals!V83)</f>
        <v>-584.375</v>
      </c>
      <c r="W84" s="28">
        <f>IF(ISBLANK(Actuals!W83),-Helpers!T5*Assumptions!$B$22,Actuals!W83)</f>
        <v>-584.375</v>
      </c>
      <c r="X84" s="28">
        <f>IF(ISBLANK(Actuals!X83),-Helpers!U5*Assumptions!$B$22,Actuals!X83)</f>
        <v>-584.375</v>
      </c>
      <c r="Y84" s="28">
        <f>IF(ISBLANK(Actuals!Y83),-Helpers!V5*Assumptions!$B$22,Actuals!Y83)</f>
        <v>-584.375</v>
      </c>
      <c r="Z84" s="28">
        <f>IF(ISBLANK(Actuals!Z83),-Helpers!W5*Assumptions!$B$22,Actuals!Z83)</f>
        <v>-584.375</v>
      </c>
      <c r="AA84" s="28">
        <f>IF(ISBLANK(Actuals!AA83),-Helpers!X5*Assumptions!$B$22,Actuals!AA83)</f>
        <v>-584.375</v>
      </c>
      <c r="AB84" s="28">
        <f>IF(ISBLANK(Actuals!AB83),-Helpers!Y5*Assumptions!$B$22,Actuals!AB83)</f>
        <v>-584.375</v>
      </c>
      <c r="AC84" s="28">
        <f>IF(ISBLANK(Actuals!AC83),-Helpers!Z5*Assumptions!$B$22,Actuals!AC83)</f>
        <v>-584.375</v>
      </c>
      <c r="AD84" s="28">
        <f>IF(ISBLANK(Actuals!AD83),-Helpers!AA5*Assumptions!$B$22,Actuals!AD83)</f>
        <v>-596.0625</v>
      </c>
      <c r="AE84" s="28">
        <f>IF(ISBLANK(Actuals!AE83),-Helpers!AB5*Assumptions!$B$22,Actuals!AE83)</f>
        <v>-596.0625</v>
      </c>
      <c r="AF84" s="28">
        <f>IF(ISBLANK(Actuals!AF83),-Helpers!AC5*Assumptions!$B$22,Actuals!AF83)</f>
        <v>-596.0625</v>
      </c>
      <c r="AG84" s="28">
        <f>IF(ISBLANK(Actuals!AG83),-Helpers!AD5*Assumptions!$B$22,Actuals!AG83)</f>
        <v>-596.0625</v>
      </c>
      <c r="AH84" s="28">
        <f>IF(ISBLANK(Actuals!AH83),-Helpers!AE5*Assumptions!$B$22,Actuals!AH83)</f>
        <v>-596.0625</v>
      </c>
      <c r="AI84" s="28">
        <f>IF(ISBLANK(Actuals!AI83),-Helpers!AF5*Assumptions!$B$22,Actuals!AI83)</f>
        <v>-596.0625</v>
      </c>
      <c r="AJ84" s="28">
        <f>IF(ISBLANK(Actuals!AJ83),-Helpers!AG5*Assumptions!$B$22,Actuals!AJ83)</f>
        <v>-596.0625</v>
      </c>
      <c r="AK84" s="28">
        <f>IF(ISBLANK(Actuals!AK83),-Helpers!AH5*Assumptions!$B$22,Actuals!AK83)</f>
        <v>-596.0625</v>
      </c>
      <c r="AL84" s="28">
        <f>IF(ISBLANK(Actuals!AL83),-Helpers!AI5*Assumptions!$B$22,Actuals!AL83)</f>
        <v>-596.0625</v>
      </c>
      <c r="AM84" s="28">
        <f>IF(ISBLANK(Actuals!AM83),-Helpers!AJ5*Assumptions!$B$22,Actuals!AM83)</f>
        <v>-596.0625</v>
      </c>
      <c r="AN84" s="28">
        <f>IF(ISBLANK(Actuals!AN83),-Helpers!AK5*Assumptions!$B$22,Actuals!AN83)</f>
        <v>-596.0625</v>
      </c>
      <c r="AO84" s="28">
        <f>IF(ISBLANK(Actuals!AO83),-Helpers!AL5*Assumptions!$B$22,Actuals!AO83)</f>
        <v>-596.0625</v>
      </c>
      <c r="AP84" s="28">
        <f>IF(ISBLANK(Actuals!AP83),-Helpers!AM5*Assumptions!$B$22,Actuals!AP83)</f>
        <v>-607.98374999999999</v>
      </c>
      <c r="AQ84" s="28">
        <f>IF(ISBLANK(Actuals!AQ83),-Helpers!AN5*Assumptions!$B$22,Actuals!AQ83)</f>
        <v>-607.98374999999999</v>
      </c>
      <c r="AR84" s="28">
        <f>IF(ISBLANK(Actuals!AR83),-Helpers!AO5*Assumptions!$B$22,Actuals!AR83)</f>
        <v>-607.98374999999999</v>
      </c>
      <c r="AS84" s="28">
        <f>IF(ISBLANK(Actuals!AS83),-Helpers!AP5*Assumptions!$B$22,Actuals!AS83)</f>
        <v>-607.98374999999999</v>
      </c>
      <c r="AT84" s="28">
        <f>IF(ISBLANK(Actuals!AT83),-Helpers!AQ5*Assumptions!$B$22,Actuals!AT83)</f>
        <v>-607.98374999999999</v>
      </c>
      <c r="AU84" s="28">
        <f>IF(ISBLANK(Actuals!AU83),-Helpers!AR5*Assumptions!$B$22,Actuals!AU83)</f>
        <v>-607.98374999999999</v>
      </c>
      <c r="AV84" s="28">
        <f>IF(ISBLANK(Actuals!AV83),-Helpers!AS5*Assumptions!$B$22,Actuals!AV83)</f>
        <v>-607.98374999999999</v>
      </c>
      <c r="AW84" s="28">
        <f>IF(ISBLANK(Actuals!AW83),-Helpers!AT5*Assumptions!$B$22,Actuals!AW83)</f>
        <v>-607.98374999999999</v>
      </c>
      <c r="AX84" s="28">
        <f>IF(ISBLANK(Actuals!AX83),-Helpers!AU5*Assumptions!$B$22,Actuals!AX83)</f>
        <v>-607.98374999999999</v>
      </c>
      <c r="AY84" s="28">
        <f>IF(ISBLANK(Actuals!AY83),-Helpers!AV5*Assumptions!$B$22,Actuals!AY83)</f>
        <v>-607.98374999999999</v>
      </c>
      <c r="AZ84" s="28">
        <f>IF(ISBLANK(Actuals!AZ83),-Helpers!AW5*Assumptions!$B$22,Actuals!AZ83)</f>
        <v>-607.98374999999999</v>
      </c>
      <c r="BA84" s="28">
        <f>IF(ISBLANK(Actuals!BA83),-Helpers!AX5*Assumptions!$B$22,Actuals!BA83)</f>
        <v>-607.98374999999999</v>
      </c>
      <c r="BB84" s="28">
        <f>IF(ISBLANK(Actuals!BB83),-Helpers!AY5*Assumptions!$B$22,Actuals!BB83)</f>
        <v>-620.14342500000009</v>
      </c>
      <c r="BC84" s="28">
        <f>IF(ISBLANK(Actuals!BC83),-Helpers!AZ5*Assumptions!$B$22,Actuals!BC83)</f>
        <v>-620.14342500000009</v>
      </c>
      <c r="BD84" s="28">
        <f>IF(ISBLANK(Actuals!BD83),-Helpers!BA5*Assumptions!$B$22,Actuals!BD83)</f>
        <v>-620.14342500000009</v>
      </c>
      <c r="BE84" s="28">
        <f>IF(ISBLANK(Actuals!BE83),-Helpers!BB5*Assumptions!$B$22,Actuals!BE83)</f>
        <v>-620.14342500000009</v>
      </c>
      <c r="BF84" s="28">
        <f>IF(ISBLANK(Actuals!BF83),-Helpers!BC5*Assumptions!$B$22,Actuals!BF83)</f>
        <v>-620.14342500000009</v>
      </c>
      <c r="BG84" s="28">
        <f>IF(ISBLANK(Actuals!BG83),-Helpers!BD5*Assumptions!$B$22,Actuals!BG83)</f>
        <v>-620.14342500000009</v>
      </c>
      <c r="BH84" s="28">
        <f>IF(ISBLANK(Actuals!BH83),-Helpers!BE5*Assumptions!$B$22,Actuals!BH83)</f>
        <v>-620.14342500000009</v>
      </c>
      <c r="BI84" s="28">
        <f>IF(ISBLANK(Actuals!BI83),-Helpers!BF5*Assumptions!$B$22,Actuals!BI83)</f>
        <v>-620.14342500000009</v>
      </c>
      <c r="BJ84" s="28">
        <f>IF(ISBLANK(Actuals!BJ83),-Helpers!BG5*Assumptions!$B$22,Actuals!BJ83)</f>
        <v>-620.14342500000009</v>
      </c>
      <c r="BK84" s="28">
        <f>IF(ISBLANK(Actuals!BK83),-Helpers!BH5*Assumptions!$B$22,Actuals!BK83)</f>
        <v>-620.14342500000009</v>
      </c>
      <c r="BL84" s="28">
        <f>IF(ISBLANK(Actuals!BL83),-Helpers!BI5*Assumptions!$B$22,Actuals!BL83)</f>
        <v>-620.14342500000009</v>
      </c>
      <c r="BM84" s="28">
        <f>IF(ISBLANK(Actuals!BM83),-Helpers!BJ5*Assumptions!$B$22,Actuals!BM83)</f>
        <v>-620.14342500000009</v>
      </c>
      <c r="BN84" s="28">
        <f>IF(ISBLANK(Actuals!BN83),-Helpers!BK5*Assumptions!$B$22,Actuals!BN83)</f>
        <v>-632.54629350000005</v>
      </c>
      <c r="BO84" s="28">
        <f>IF(ISBLANK(Actuals!BO83),-Helpers!BL5*Assumptions!$B$22,Actuals!BO83)</f>
        <v>-632.54629350000005</v>
      </c>
      <c r="BP84" s="28">
        <f>IF(ISBLANK(Actuals!BP83),-Helpers!BM5*Assumptions!$B$22,Actuals!BP83)</f>
        <v>-632.54629350000005</v>
      </c>
      <c r="BQ84" s="28">
        <f>IF(ISBLANK(Actuals!BQ83),-Helpers!BN5*Assumptions!$B$22,Actuals!BQ83)</f>
        <v>-632.54629350000005</v>
      </c>
      <c r="BR84" s="28">
        <f>IF(ISBLANK(Actuals!BR83),-Helpers!BO5*Assumptions!$B$22,Actuals!BR83)</f>
        <v>-632.54629350000005</v>
      </c>
      <c r="BS84" s="28">
        <f>IF(ISBLANK(Actuals!BS83),-Helpers!BP5*Assumptions!$B$22,Actuals!BS83)</f>
        <v>-632.54629350000005</v>
      </c>
      <c r="BT84" s="28">
        <f>IF(ISBLANK(Actuals!BT83),-Helpers!BQ5*Assumptions!$B$22,Actuals!BT83)</f>
        <v>-632.54629350000005</v>
      </c>
      <c r="BU84" s="28">
        <f>IF(ISBLANK(Actuals!BU83),-Helpers!BR5*Assumptions!$B$22,Actuals!BU83)</f>
        <v>-632.54629350000005</v>
      </c>
      <c r="BV84" s="28">
        <f>IF(ISBLANK(Actuals!BV83),-Helpers!BS5*Assumptions!$B$22,Actuals!BV83)</f>
        <v>-632.54629350000005</v>
      </c>
      <c r="BW84" s="28">
        <f>IF(ISBLANK(Actuals!BW83),-Helpers!BT5*Assumptions!$B$22,Actuals!BW83)</f>
        <v>-632.54629350000005</v>
      </c>
      <c r="BX84" s="28">
        <f>IF(ISBLANK(Actuals!BX83),-Helpers!BU5*Assumptions!$B$22,Actuals!BX83)</f>
        <v>-632.54629350000005</v>
      </c>
      <c r="BY84" s="28">
        <f>IF(ISBLANK(Actuals!BY83),-Helpers!BV5*Assumptions!$B$22,Actuals!BY83)</f>
        <v>-632.54629350000005</v>
      </c>
      <c r="BZ84" s="28">
        <f>IF(ISBLANK(Actuals!BZ83),-Helpers!BW5*Assumptions!$B$22,Actuals!BZ83)</f>
        <v>-645.19721937000008</v>
      </c>
      <c r="CA84" s="28">
        <f>IF(ISBLANK(Actuals!CA83),-Helpers!BX5*Assumptions!$B$22,Actuals!CA83)</f>
        <v>-645.19721937000008</v>
      </c>
      <c r="CB84" s="28">
        <f>IF(ISBLANK(Actuals!CB83),-Helpers!BY5*Assumptions!$B$22,Actuals!CB83)</f>
        <v>-645.19721937000008</v>
      </c>
      <c r="CC84" s="28">
        <f>IF(ISBLANK(Actuals!CC83),-Helpers!BZ5*Assumptions!$B$22,Actuals!CC83)</f>
        <v>-645.19721937000008</v>
      </c>
      <c r="CD84" s="28">
        <f>IF(ISBLANK(Actuals!CD83),-Helpers!CA5*Assumptions!$B$22,Actuals!CD83)</f>
        <v>-645.19721937000008</v>
      </c>
      <c r="CE84" s="28">
        <f>IF(ISBLANK(Actuals!CE83),-Helpers!CB5*Assumptions!$B$22,Actuals!CE83)</f>
        <v>-645.19721937000008</v>
      </c>
      <c r="CF84" s="28">
        <f>IF(ISBLANK(Actuals!CF83),-Helpers!CC5*Assumptions!$B$22,Actuals!CF83)</f>
        <v>-645.19721937000008</v>
      </c>
      <c r="CG84" s="28">
        <f>IF(ISBLANK(Actuals!CG83),-Helpers!CD5*Assumptions!$B$22,Actuals!CG83)</f>
        <v>-645.19721937000008</v>
      </c>
      <c r="CH84" s="28">
        <f>IF(ISBLANK(Actuals!CH83),-Helpers!CE5*Assumptions!$B$22,Actuals!CH83)</f>
        <v>-645.19721937000008</v>
      </c>
      <c r="CI84" s="28">
        <f>IF(ISBLANK(Actuals!CI83),-Helpers!CF5*Assumptions!$B$22,Actuals!CI83)</f>
        <v>-645.19721937000008</v>
      </c>
      <c r="CJ84" s="28">
        <f>IF(ISBLANK(Actuals!CJ83),-Helpers!CG5*Assumptions!$B$22,Actuals!CJ83)</f>
        <v>-645.19721937000008</v>
      </c>
      <c r="CK84" s="28">
        <f>IF(ISBLANK(Actuals!CK83),-Helpers!CH5*Assumptions!$B$22,Actuals!CK83)</f>
        <v>-645.19721937000008</v>
      </c>
      <c r="CL84" s="28">
        <f>IF(ISBLANK(Actuals!CL83),-Helpers!CI5*Assumptions!$B$22,Actuals!CL83)</f>
        <v>-658.10116375739995</v>
      </c>
      <c r="CM84" s="28">
        <f>IF(ISBLANK(Actuals!CM83),-Helpers!CJ5*Assumptions!$B$22,Actuals!CM83)</f>
        <v>-658.10116375739995</v>
      </c>
      <c r="CN84" s="28">
        <f>IF(ISBLANK(Actuals!CN83),-Helpers!CK5*Assumptions!$B$22,Actuals!CN83)</f>
        <v>-658.10116375739995</v>
      </c>
      <c r="CO84" s="28">
        <f>IF(ISBLANK(Actuals!CO83),-Helpers!CL5*Assumptions!$B$22,Actuals!CO83)</f>
        <v>-658.10116375739995</v>
      </c>
      <c r="CP84" s="28">
        <f>IF(ISBLANK(Actuals!CP83),-Helpers!CM5*Assumptions!$B$22,Actuals!CP83)</f>
        <v>-658.10116375739995</v>
      </c>
      <c r="CQ84" s="28">
        <f>IF(ISBLANK(Actuals!CQ83),-Helpers!CN5*Assumptions!$B$22,Actuals!CQ83)</f>
        <v>-658.10116375739995</v>
      </c>
      <c r="CR84" s="28">
        <f>IF(ISBLANK(Actuals!CR83),-Helpers!CO5*Assumptions!$B$22,Actuals!CR83)</f>
        <v>-658.10116375739995</v>
      </c>
      <c r="CS84" s="28">
        <f>IF(ISBLANK(Actuals!CS83),-Helpers!CP5*Assumptions!$B$22,Actuals!CS83)</f>
        <v>-658.10116375739995</v>
      </c>
      <c r="CT84" s="28">
        <f>IF(ISBLANK(Actuals!CT83),-Helpers!CQ5*Assumptions!$B$22,Actuals!CT83)</f>
        <v>-658.10116375739995</v>
      </c>
      <c r="CU84" s="28">
        <f>IF(ISBLANK(Actuals!CU83),-Helpers!CR5*Assumptions!$B$22,Actuals!CU83)</f>
        <v>0</v>
      </c>
      <c r="CV84" s="28">
        <f>IF(ISBLANK(Actuals!CV83),-Helpers!CS5*Assumptions!$B$22,Actuals!CV83)</f>
        <v>0</v>
      </c>
      <c r="CW84" s="28">
        <f>IF(ISBLANK(Actuals!CW83),-Helpers!CT5*Assumptions!$B$22,Actuals!CW83)</f>
        <v>0</v>
      </c>
      <c r="CX84" s="28">
        <f>IF(ISBLANK(Actuals!CX83),-Helpers!CU5*Assumptions!$B$22,Actuals!CX83)</f>
        <v>0</v>
      </c>
      <c r="CY84" s="28">
        <f>IF(ISBLANK(Actuals!CY83),-Helpers!CV5*Assumptions!$B$22,Actuals!CY83)</f>
        <v>0</v>
      </c>
      <c r="CZ84" s="28">
        <f>IF(ISBLANK(Actuals!CZ83),-Helpers!CW5*Assumptions!$B$22,Actuals!CZ83)</f>
        <v>0</v>
      </c>
      <c r="DA84" s="28">
        <f>IF(ISBLANK(Actuals!DA83),-Helpers!CX5*Assumptions!$B$22,Actuals!DA83)</f>
        <v>0</v>
      </c>
      <c r="DB84" s="28">
        <f>IF(ISBLANK(Actuals!DB83),-Helpers!CY5*Assumptions!$B$22,Actuals!DB83)</f>
        <v>0</v>
      </c>
      <c r="DC84" s="28">
        <f>IF(ISBLANK(Actuals!DC83),-Helpers!CZ5*Assumptions!$B$22,Actuals!DC83)</f>
        <v>0</v>
      </c>
      <c r="DD84" s="28">
        <f>IF(ISBLANK(Actuals!DD83),-Helpers!DA5*Assumptions!$B$22,Actuals!DD83)</f>
        <v>0</v>
      </c>
      <c r="DE84" s="28">
        <f>IF(ISBLANK(Actuals!DE83),-Helpers!DB5*Assumptions!$B$22,Actuals!DE83)</f>
        <v>0</v>
      </c>
      <c r="DF84" s="28">
        <f>IF(ISBLANK(Actuals!DF83),-Helpers!DC5*Assumptions!$B$22,Actuals!DF83)</f>
        <v>0</v>
      </c>
    </row>
    <row r="85" spans="1:110" ht="15" customHeight="1" x14ac:dyDescent="0.25">
      <c r="A85" s="27" t="s">
        <v>67</v>
      </c>
      <c r="B85" s="27"/>
      <c r="C85" s="28">
        <f>IF(ISBLANK(Actuals!C84),0,Actuals!C84)</f>
        <v>-475.76</v>
      </c>
      <c r="D85" s="28">
        <f>IF(ISBLANK(Actuals!D84),0,Actuals!D84)</f>
        <v>-475.76</v>
      </c>
      <c r="E85" s="28">
        <f>IF(ISBLANK(Actuals!E84),0,Actuals!E84)</f>
        <v>-475.76</v>
      </c>
      <c r="F85" s="28">
        <f>IF(ISBLANK(Actuals!F84),-Helpers!C5*Assumptions!$B$23,Actuals!F84)</f>
        <v>-475.76</v>
      </c>
      <c r="G85" s="28">
        <f>IF(ISBLANK(Actuals!G84),-Helpers!D5*Assumptions!$B$23,Actuals!G84)</f>
        <v>-229.16666666666669</v>
      </c>
      <c r="H85" s="28">
        <f>IF(ISBLANK(Actuals!H84),-Helpers!E5*Assumptions!$B$23,Actuals!H84)</f>
        <v>-229.16666666666669</v>
      </c>
      <c r="I85" s="28">
        <f>IF(ISBLANK(Actuals!I84),-Helpers!F5*Assumptions!$B$23,Actuals!I84)</f>
        <v>-229.16666666666669</v>
      </c>
      <c r="J85" s="28">
        <f>IF(ISBLANK(Actuals!J84),-Helpers!G5*Assumptions!$B$23,Actuals!J84)</f>
        <v>-229.16666666666669</v>
      </c>
      <c r="K85" s="28">
        <f>IF(ISBLANK(Actuals!K84),-Helpers!H5*Assumptions!$B$23,Actuals!K84)</f>
        <v>-229.16666666666669</v>
      </c>
      <c r="L85" s="28">
        <f>IF(ISBLANK(Actuals!L84),-Helpers!I5*Assumptions!$B$23,Actuals!L84)</f>
        <v>-229.16666666666669</v>
      </c>
      <c r="M85" s="28">
        <f>IF(ISBLANK(Actuals!M84),-Helpers!J5*Assumptions!$B$23,Actuals!M84)</f>
        <v>-229.16666666666669</v>
      </c>
      <c r="N85" s="28">
        <f>IF(ISBLANK(Actuals!N84),-Helpers!K5*Assumptions!$B$23,Actuals!N84)</f>
        <v>-229.16666666666669</v>
      </c>
      <c r="O85" s="28">
        <f>IF(ISBLANK(Actuals!O84),-Helpers!L5*Assumptions!$B$23,Actuals!O84)</f>
        <v>-229.16666666666669</v>
      </c>
      <c r="P85" s="28">
        <f>IF(ISBLANK(Actuals!P84),-Helpers!M5*Assumptions!$B$23,Actuals!P84)</f>
        <v>-229.16666666666669</v>
      </c>
      <c r="Q85" s="28">
        <f>IF(ISBLANK(Actuals!Q84),-Helpers!N5*Assumptions!$B$23,Actuals!Q84)</f>
        <v>-229.16666666666669</v>
      </c>
      <c r="R85" s="28">
        <f>IF(ISBLANK(Actuals!R84),-Helpers!O5*Assumptions!$B$23,Actuals!R84)</f>
        <v>-233.75</v>
      </c>
      <c r="S85" s="28">
        <f>IF(ISBLANK(Actuals!S84),-Helpers!P5*Assumptions!$B$23,Actuals!S84)</f>
        <v>-233.75</v>
      </c>
      <c r="T85" s="28">
        <f>IF(ISBLANK(Actuals!T84),-Helpers!Q5*Assumptions!$B$23,Actuals!T84)</f>
        <v>-233.75</v>
      </c>
      <c r="U85" s="28">
        <f>IF(ISBLANK(Actuals!U84),-Helpers!R5*Assumptions!$B$23,Actuals!U84)</f>
        <v>-233.75</v>
      </c>
      <c r="V85" s="28">
        <f>IF(ISBLANK(Actuals!V84),-Helpers!S5*Assumptions!$B$23,Actuals!V84)</f>
        <v>-233.75</v>
      </c>
      <c r="W85" s="28">
        <f>IF(ISBLANK(Actuals!W84),-Helpers!T5*Assumptions!$B$23,Actuals!W84)</f>
        <v>-233.75</v>
      </c>
      <c r="X85" s="28">
        <f>IF(ISBLANK(Actuals!X84),-Helpers!U5*Assumptions!$B$23,Actuals!X84)</f>
        <v>-233.75</v>
      </c>
      <c r="Y85" s="28">
        <f>IF(ISBLANK(Actuals!Y84),-Helpers!V5*Assumptions!$B$23,Actuals!Y84)</f>
        <v>-233.75</v>
      </c>
      <c r="Z85" s="28">
        <f>IF(ISBLANK(Actuals!Z84),-Helpers!W5*Assumptions!$B$23,Actuals!Z84)</f>
        <v>-233.75</v>
      </c>
      <c r="AA85" s="28">
        <f>IF(ISBLANK(Actuals!AA84),-Helpers!X5*Assumptions!$B$23,Actuals!AA84)</f>
        <v>-233.75</v>
      </c>
      <c r="AB85" s="28">
        <f>IF(ISBLANK(Actuals!AB84),-Helpers!Y5*Assumptions!$B$23,Actuals!AB84)</f>
        <v>-233.75</v>
      </c>
      <c r="AC85" s="28">
        <f>IF(ISBLANK(Actuals!AC84),-Helpers!Z5*Assumptions!$B$23,Actuals!AC84)</f>
        <v>-233.75</v>
      </c>
      <c r="AD85" s="28">
        <f>IF(ISBLANK(Actuals!AD84),-Helpers!AA5*Assumptions!$B$23,Actuals!AD84)</f>
        <v>-238.42500000000001</v>
      </c>
      <c r="AE85" s="28">
        <f>IF(ISBLANK(Actuals!AE84),-Helpers!AB5*Assumptions!$B$23,Actuals!AE84)</f>
        <v>-238.42500000000001</v>
      </c>
      <c r="AF85" s="28">
        <f>IF(ISBLANK(Actuals!AF84),-Helpers!AC5*Assumptions!$B$23,Actuals!AF84)</f>
        <v>-238.42500000000001</v>
      </c>
      <c r="AG85" s="28">
        <f>IF(ISBLANK(Actuals!AG84),-Helpers!AD5*Assumptions!$B$23,Actuals!AG84)</f>
        <v>-238.42500000000001</v>
      </c>
      <c r="AH85" s="28">
        <f>IF(ISBLANK(Actuals!AH84),-Helpers!AE5*Assumptions!$B$23,Actuals!AH84)</f>
        <v>-238.42500000000001</v>
      </c>
      <c r="AI85" s="28">
        <f>IF(ISBLANK(Actuals!AI84),-Helpers!AF5*Assumptions!$B$23,Actuals!AI84)</f>
        <v>-238.42500000000001</v>
      </c>
      <c r="AJ85" s="28">
        <f>IF(ISBLANK(Actuals!AJ84),-Helpers!AG5*Assumptions!$B$23,Actuals!AJ84)</f>
        <v>-238.42500000000001</v>
      </c>
      <c r="AK85" s="28">
        <f>IF(ISBLANK(Actuals!AK84),-Helpers!AH5*Assumptions!$B$23,Actuals!AK84)</f>
        <v>-238.42500000000001</v>
      </c>
      <c r="AL85" s="28">
        <f>IF(ISBLANK(Actuals!AL84),-Helpers!AI5*Assumptions!$B$23,Actuals!AL84)</f>
        <v>-238.42500000000001</v>
      </c>
      <c r="AM85" s="28">
        <f>IF(ISBLANK(Actuals!AM84),-Helpers!AJ5*Assumptions!$B$23,Actuals!AM84)</f>
        <v>-238.42500000000001</v>
      </c>
      <c r="AN85" s="28">
        <f>IF(ISBLANK(Actuals!AN84),-Helpers!AK5*Assumptions!$B$23,Actuals!AN84)</f>
        <v>-238.42500000000001</v>
      </c>
      <c r="AO85" s="28">
        <f>IF(ISBLANK(Actuals!AO84),-Helpers!AL5*Assumptions!$B$23,Actuals!AO84)</f>
        <v>-238.42500000000001</v>
      </c>
      <c r="AP85" s="28">
        <f>IF(ISBLANK(Actuals!AP84),-Helpers!AM5*Assumptions!$B$23,Actuals!AP84)</f>
        <v>-243.1935</v>
      </c>
      <c r="AQ85" s="28">
        <f>IF(ISBLANK(Actuals!AQ84),-Helpers!AN5*Assumptions!$B$23,Actuals!AQ84)</f>
        <v>-243.1935</v>
      </c>
      <c r="AR85" s="28">
        <f>IF(ISBLANK(Actuals!AR84),-Helpers!AO5*Assumptions!$B$23,Actuals!AR84)</f>
        <v>-243.1935</v>
      </c>
      <c r="AS85" s="28">
        <f>IF(ISBLANK(Actuals!AS84),-Helpers!AP5*Assumptions!$B$23,Actuals!AS84)</f>
        <v>-243.1935</v>
      </c>
      <c r="AT85" s="28">
        <f>IF(ISBLANK(Actuals!AT84),-Helpers!AQ5*Assumptions!$B$23,Actuals!AT84)</f>
        <v>-243.1935</v>
      </c>
      <c r="AU85" s="28">
        <f>IF(ISBLANK(Actuals!AU84),-Helpers!AR5*Assumptions!$B$23,Actuals!AU84)</f>
        <v>-243.1935</v>
      </c>
      <c r="AV85" s="28">
        <f>IF(ISBLANK(Actuals!AV84),-Helpers!AS5*Assumptions!$B$23,Actuals!AV84)</f>
        <v>-243.1935</v>
      </c>
      <c r="AW85" s="28">
        <f>IF(ISBLANK(Actuals!AW84),-Helpers!AT5*Assumptions!$B$23,Actuals!AW84)</f>
        <v>-243.1935</v>
      </c>
      <c r="AX85" s="28">
        <f>IF(ISBLANK(Actuals!AX84),-Helpers!AU5*Assumptions!$B$23,Actuals!AX84)</f>
        <v>-243.1935</v>
      </c>
      <c r="AY85" s="28">
        <f>IF(ISBLANK(Actuals!AY84),-Helpers!AV5*Assumptions!$B$23,Actuals!AY84)</f>
        <v>-243.1935</v>
      </c>
      <c r="AZ85" s="28">
        <f>IF(ISBLANK(Actuals!AZ84),-Helpers!AW5*Assumptions!$B$23,Actuals!AZ84)</f>
        <v>-243.1935</v>
      </c>
      <c r="BA85" s="28">
        <f>IF(ISBLANK(Actuals!BA84),-Helpers!AX5*Assumptions!$B$23,Actuals!BA84)</f>
        <v>-243.1935</v>
      </c>
      <c r="BB85" s="28">
        <f>IF(ISBLANK(Actuals!BB84),-Helpers!AY5*Assumptions!$B$23,Actuals!BB84)</f>
        <v>-248.05737000000002</v>
      </c>
      <c r="BC85" s="28">
        <f>IF(ISBLANK(Actuals!BC84),-Helpers!AZ5*Assumptions!$B$23,Actuals!BC84)</f>
        <v>-248.05737000000002</v>
      </c>
      <c r="BD85" s="28">
        <f>IF(ISBLANK(Actuals!BD84),-Helpers!BA5*Assumptions!$B$23,Actuals!BD84)</f>
        <v>-248.05737000000002</v>
      </c>
      <c r="BE85" s="28">
        <f>IF(ISBLANK(Actuals!BE84),-Helpers!BB5*Assumptions!$B$23,Actuals!BE84)</f>
        <v>-248.05737000000002</v>
      </c>
      <c r="BF85" s="28">
        <f>IF(ISBLANK(Actuals!BF84),-Helpers!BC5*Assumptions!$B$23,Actuals!BF84)</f>
        <v>-248.05737000000002</v>
      </c>
      <c r="BG85" s="28">
        <f>IF(ISBLANK(Actuals!BG84),-Helpers!BD5*Assumptions!$B$23,Actuals!BG84)</f>
        <v>-248.05737000000002</v>
      </c>
      <c r="BH85" s="28">
        <f>IF(ISBLANK(Actuals!BH84),-Helpers!BE5*Assumptions!$B$23,Actuals!BH84)</f>
        <v>-248.05737000000002</v>
      </c>
      <c r="BI85" s="28">
        <f>IF(ISBLANK(Actuals!BI84),-Helpers!BF5*Assumptions!$B$23,Actuals!BI84)</f>
        <v>-248.05737000000002</v>
      </c>
      <c r="BJ85" s="28">
        <f>IF(ISBLANK(Actuals!BJ84),-Helpers!BG5*Assumptions!$B$23,Actuals!BJ84)</f>
        <v>-248.05737000000002</v>
      </c>
      <c r="BK85" s="28">
        <f>IF(ISBLANK(Actuals!BK84),-Helpers!BH5*Assumptions!$B$23,Actuals!BK84)</f>
        <v>-248.05737000000002</v>
      </c>
      <c r="BL85" s="28">
        <f>IF(ISBLANK(Actuals!BL84),-Helpers!BI5*Assumptions!$B$23,Actuals!BL84)</f>
        <v>-248.05737000000002</v>
      </c>
      <c r="BM85" s="28">
        <f>IF(ISBLANK(Actuals!BM84),-Helpers!BJ5*Assumptions!$B$23,Actuals!BM84)</f>
        <v>-248.05737000000002</v>
      </c>
      <c r="BN85" s="28">
        <f>IF(ISBLANK(Actuals!BN84),-Helpers!BK5*Assumptions!$B$23,Actuals!BN84)</f>
        <v>-253.01851740000004</v>
      </c>
      <c r="BO85" s="28">
        <f>IF(ISBLANK(Actuals!BO84),-Helpers!BL5*Assumptions!$B$23,Actuals!BO84)</f>
        <v>-253.01851740000004</v>
      </c>
      <c r="BP85" s="28">
        <f>IF(ISBLANK(Actuals!BP84),-Helpers!BM5*Assumptions!$B$23,Actuals!BP84)</f>
        <v>-253.01851740000004</v>
      </c>
      <c r="BQ85" s="28">
        <f>IF(ISBLANK(Actuals!BQ84),-Helpers!BN5*Assumptions!$B$23,Actuals!BQ84)</f>
        <v>-253.01851740000004</v>
      </c>
      <c r="BR85" s="28">
        <f>IF(ISBLANK(Actuals!BR84),-Helpers!BO5*Assumptions!$B$23,Actuals!BR84)</f>
        <v>-253.01851740000004</v>
      </c>
      <c r="BS85" s="28">
        <f>IF(ISBLANK(Actuals!BS84),-Helpers!BP5*Assumptions!$B$23,Actuals!BS84)</f>
        <v>-253.01851740000004</v>
      </c>
      <c r="BT85" s="28">
        <f>IF(ISBLANK(Actuals!BT84),-Helpers!BQ5*Assumptions!$B$23,Actuals!BT84)</f>
        <v>-253.01851740000004</v>
      </c>
      <c r="BU85" s="28">
        <f>IF(ISBLANK(Actuals!BU84),-Helpers!BR5*Assumptions!$B$23,Actuals!BU84)</f>
        <v>-253.01851740000004</v>
      </c>
      <c r="BV85" s="28">
        <f>IF(ISBLANK(Actuals!BV84),-Helpers!BS5*Assumptions!$B$23,Actuals!BV84)</f>
        <v>-253.01851740000004</v>
      </c>
      <c r="BW85" s="28">
        <f>IF(ISBLANK(Actuals!BW84),-Helpers!BT5*Assumptions!$B$23,Actuals!BW84)</f>
        <v>-253.01851740000004</v>
      </c>
      <c r="BX85" s="28">
        <f>IF(ISBLANK(Actuals!BX84),-Helpers!BU5*Assumptions!$B$23,Actuals!BX84)</f>
        <v>-253.01851740000004</v>
      </c>
      <c r="BY85" s="28">
        <f>IF(ISBLANK(Actuals!BY84),-Helpers!BV5*Assumptions!$B$23,Actuals!BY84)</f>
        <v>-253.01851740000004</v>
      </c>
      <c r="BZ85" s="28">
        <f>IF(ISBLANK(Actuals!BZ84),-Helpers!BW5*Assumptions!$B$23,Actuals!BZ84)</f>
        <v>-258.078887748</v>
      </c>
      <c r="CA85" s="28">
        <f>IF(ISBLANK(Actuals!CA84),-Helpers!BX5*Assumptions!$B$23,Actuals!CA84)</f>
        <v>-258.078887748</v>
      </c>
      <c r="CB85" s="28">
        <f>IF(ISBLANK(Actuals!CB84),-Helpers!BY5*Assumptions!$B$23,Actuals!CB84)</f>
        <v>-258.078887748</v>
      </c>
      <c r="CC85" s="28">
        <f>IF(ISBLANK(Actuals!CC84),-Helpers!BZ5*Assumptions!$B$23,Actuals!CC84)</f>
        <v>-258.078887748</v>
      </c>
      <c r="CD85" s="28">
        <f>IF(ISBLANK(Actuals!CD84),-Helpers!CA5*Assumptions!$B$23,Actuals!CD84)</f>
        <v>-258.078887748</v>
      </c>
      <c r="CE85" s="28">
        <f>IF(ISBLANK(Actuals!CE84),-Helpers!CB5*Assumptions!$B$23,Actuals!CE84)</f>
        <v>-258.078887748</v>
      </c>
      <c r="CF85" s="28">
        <f>IF(ISBLANK(Actuals!CF84),-Helpers!CC5*Assumptions!$B$23,Actuals!CF84)</f>
        <v>-258.078887748</v>
      </c>
      <c r="CG85" s="28">
        <f>IF(ISBLANK(Actuals!CG84),-Helpers!CD5*Assumptions!$B$23,Actuals!CG84)</f>
        <v>-258.078887748</v>
      </c>
      <c r="CH85" s="28">
        <f>IF(ISBLANK(Actuals!CH84),-Helpers!CE5*Assumptions!$B$23,Actuals!CH84)</f>
        <v>-258.078887748</v>
      </c>
      <c r="CI85" s="28">
        <f>IF(ISBLANK(Actuals!CI84),-Helpers!CF5*Assumptions!$B$23,Actuals!CI84)</f>
        <v>-258.078887748</v>
      </c>
      <c r="CJ85" s="28">
        <f>IF(ISBLANK(Actuals!CJ84),-Helpers!CG5*Assumptions!$B$23,Actuals!CJ84)</f>
        <v>-258.078887748</v>
      </c>
      <c r="CK85" s="28">
        <f>IF(ISBLANK(Actuals!CK84),-Helpers!CH5*Assumptions!$B$23,Actuals!CK84)</f>
        <v>-258.078887748</v>
      </c>
      <c r="CL85" s="28">
        <f>IF(ISBLANK(Actuals!CL84),-Helpers!CI5*Assumptions!$B$23,Actuals!CL84)</f>
        <v>-263.24046550295998</v>
      </c>
      <c r="CM85" s="28">
        <f>IF(ISBLANK(Actuals!CM84),-Helpers!CJ5*Assumptions!$B$23,Actuals!CM84)</f>
        <v>-263.24046550295998</v>
      </c>
      <c r="CN85" s="28">
        <f>IF(ISBLANK(Actuals!CN84),-Helpers!CK5*Assumptions!$B$23,Actuals!CN84)</f>
        <v>-263.24046550295998</v>
      </c>
      <c r="CO85" s="28">
        <f>IF(ISBLANK(Actuals!CO84),-Helpers!CL5*Assumptions!$B$23,Actuals!CO84)</f>
        <v>-263.24046550295998</v>
      </c>
      <c r="CP85" s="28">
        <f>IF(ISBLANK(Actuals!CP84),-Helpers!CM5*Assumptions!$B$23,Actuals!CP84)</f>
        <v>-263.24046550295998</v>
      </c>
      <c r="CQ85" s="28">
        <f>IF(ISBLANK(Actuals!CQ84),-Helpers!CN5*Assumptions!$B$23,Actuals!CQ84)</f>
        <v>-263.24046550295998</v>
      </c>
      <c r="CR85" s="28">
        <f>IF(ISBLANK(Actuals!CR84),-Helpers!CO5*Assumptions!$B$23,Actuals!CR84)</f>
        <v>-263.24046550295998</v>
      </c>
      <c r="CS85" s="28">
        <f>IF(ISBLANK(Actuals!CS84),-Helpers!CP5*Assumptions!$B$23,Actuals!CS84)</f>
        <v>-263.24046550295998</v>
      </c>
      <c r="CT85" s="28">
        <f>IF(ISBLANK(Actuals!CT84),-Helpers!CQ5*Assumptions!$B$23,Actuals!CT84)</f>
        <v>-263.24046550295998</v>
      </c>
      <c r="CU85" s="28">
        <f>IF(ISBLANK(Actuals!CU84),-Helpers!CR5*Assumptions!$B$23,Actuals!CU84)</f>
        <v>0</v>
      </c>
      <c r="CV85" s="28">
        <f>IF(ISBLANK(Actuals!CV84),-Helpers!CS5*Assumptions!$B$23,Actuals!CV84)</f>
        <v>0</v>
      </c>
      <c r="CW85" s="28">
        <f>IF(ISBLANK(Actuals!CW84),-Helpers!CT5*Assumptions!$B$23,Actuals!CW84)</f>
        <v>0</v>
      </c>
      <c r="CX85" s="28">
        <f>IF(ISBLANK(Actuals!CX84),-Helpers!CU5*Assumptions!$B$23,Actuals!CX84)</f>
        <v>0</v>
      </c>
      <c r="CY85" s="28">
        <f>IF(ISBLANK(Actuals!CY84),-Helpers!CV5*Assumptions!$B$23,Actuals!CY84)</f>
        <v>0</v>
      </c>
      <c r="CZ85" s="28">
        <f>IF(ISBLANK(Actuals!CZ84),-Helpers!CW5*Assumptions!$B$23,Actuals!CZ84)</f>
        <v>0</v>
      </c>
      <c r="DA85" s="28">
        <f>IF(ISBLANK(Actuals!DA84),-Helpers!CX5*Assumptions!$B$23,Actuals!DA84)</f>
        <v>0</v>
      </c>
      <c r="DB85" s="28">
        <f>IF(ISBLANK(Actuals!DB84),-Helpers!CY5*Assumptions!$B$23,Actuals!DB84)</f>
        <v>0</v>
      </c>
      <c r="DC85" s="28">
        <f>IF(ISBLANK(Actuals!DC84),-Helpers!CZ5*Assumptions!$B$23,Actuals!DC84)</f>
        <v>0</v>
      </c>
      <c r="DD85" s="28">
        <f>IF(ISBLANK(Actuals!DD84),-Helpers!DA5*Assumptions!$B$23,Actuals!DD84)</f>
        <v>0</v>
      </c>
      <c r="DE85" s="28">
        <f>IF(ISBLANK(Actuals!DE84),-Helpers!DB5*Assumptions!$B$23,Actuals!DE84)</f>
        <v>0</v>
      </c>
      <c r="DF85" s="28">
        <f>IF(ISBLANK(Actuals!DF84),-Helpers!DC5*Assumptions!$B$23,Actuals!DF84)</f>
        <v>0</v>
      </c>
    </row>
    <row r="86" spans="1:110" ht="15" customHeight="1" x14ac:dyDescent="0.25">
      <c r="A86" s="27" t="s">
        <v>68</v>
      </c>
      <c r="B86" s="27"/>
      <c r="C86" s="28">
        <f>IF(ISBLANK(Actuals!C85),0,Actuals!C85)</f>
        <v>-2200.12</v>
      </c>
      <c r="D86" s="28">
        <f>IF(ISBLANK(Actuals!D85),0,Actuals!D85)</f>
        <v>-2200.12</v>
      </c>
      <c r="E86" s="28">
        <f>IF(ISBLANK(Actuals!E85),0,Actuals!E85)</f>
        <v>-2200.12</v>
      </c>
      <c r="F86" s="28">
        <f>IF(ISBLANK(Actuals!F85),-Helpers!C5*Assumptions!$B$21,Actuals!F85)</f>
        <v>-2200.12</v>
      </c>
      <c r="G86" s="28">
        <f>IF(ISBLANK(Actuals!G85),-Helpers!D5*Assumptions!$B$21,Actuals!G85)</f>
        <v>-57.291666666666671</v>
      </c>
      <c r="H86" s="28">
        <f>IF(ISBLANK(Actuals!H85),-Helpers!E5*Assumptions!$B$21,Actuals!H85)</f>
        <v>-57.291666666666671</v>
      </c>
      <c r="I86" s="28">
        <f>IF(ISBLANK(Actuals!I85),-Helpers!F5*Assumptions!$B$21,Actuals!I85)</f>
        <v>-57.291666666666671</v>
      </c>
      <c r="J86" s="28">
        <f>IF(ISBLANK(Actuals!J85),-Helpers!G5*Assumptions!$B$21,Actuals!J85)</f>
        <v>-57.291666666666671</v>
      </c>
      <c r="K86" s="28">
        <f>IF(ISBLANK(Actuals!K85),-Helpers!H5*Assumptions!$B$21,Actuals!K85)</f>
        <v>-57.291666666666671</v>
      </c>
      <c r="L86" s="28">
        <f>IF(ISBLANK(Actuals!L85),-Helpers!I5*Assumptions!$B$21,Actuals!L85)</f>
        <v>-57.291666666666671</v>
      </c>
      <c r="M86" s="28">
        <f>IF(ISBLANK(Actuals!M85),-Helpers!J5*Assumptions!$B$21,Actuals!M85)</f>
        <v>-57.291666666666671</v>
      </c>
      <c r="N86" s="28">
        <f>IF(ISBLANK(Actuals!N85),-Helpers!K5*Assumptions!$B$21,Actuals!N85)</f>
        <v>-57.291666666666671</v>
      </c>
      <c r="O86" s="28">
        <f>IF(ISBLANK(Actuals!O85),-Helpers!L5*Assumptions!$B$21,Actuals!O85)</f>
        <v>-57.291666666666671</v>
      </c>
      <c r="P86" s="28">
        <f>IF(ISBLANK(Actuals!P85),-Helpers!M5*Assumptions!$B$21,Actuals!P85)</f>
        <v>-57.291666666666671</v>
      </c>
      <c r="Q86" s="28">
        <f>IF(ISBLANK(Actuals!Q85),-Helpers!N5*Assumptions!$B$21,Actuals!Q85)</f>
        <v>-57.291666666666671</v>
      </c>
      <c r="R86" s="28">
        <f>IF(ISBLANK(Actuals!R85),-Helpers!O5*Assumptions!$B$21,Actuals!R85)</f>
        <v>-58.4375</v>
      </c>
      <c r="S86" s="28">
        <f>IF(ISBLANK(Actuals!S85),-Helpers!P5*Assumptions!$B$21,Actuals!S85)</f>
        <v>-58.4375</v>
      </c>
      <c r="T86" s="28">
        <f>IF(ISBLANK(Actuals!T85),-Helpers!Q5*Assumptions!$B$21,Actuals!T85)</f>
        <v>-58.4375</v>
      </c>
      <c r="U86" s="28">
        <f>IF(ISBLANK(Actuals!U85),-Helpers!R5*Assumptions!$B$21,Actuals!U85)</f>
        <v>-58.4375</v>
      </c>
      <c r="V86" s="28">
        <f>IF(ISBLANK(Actuals!V85),-Helpers!S5*Assumptions!$B$21,Actuals!V85)</f>
        <v>-58.4375</v>
      </c>
      <c r="W86" s="28">
        <f>IF(ISBLANK(Actuals!W85),-Helpers!T5*Assumptions!$B$21,Actuals!W85)</f>
        <v>-58.4375</v>
      </c>
      <c r="X86" s="28">
        <f>IF(ISBLANK(Actuals!X85),-Helpers!U5*Assumptions!$B$21,Actuals!X85)</f>
        <v>-58.4375</v>
      </c>
      <c r="Y86" s="28">
        <f>IF(ISBLANK(Actuals!Y85),-Helpers!V5*Assumptions!$B$21,Actuals!Y85)</f>
        <v>-58.4375</v>
      </c>
      <c r="Z86" s="28">
        <f>IF(ISBLANK(Actuals!Z85),-Helpers!W5*Assumptions!$B$21,Actuals!Z85)</f>
        <v>-58.4375</v>
      </c>
      <c r="AA86" s="28">
        <f>IF(ISBLANK(Actuals!AA85),-Helpers!X5*Assumptions!$B$21,Actuals!AA85)</f>
        <v>-58.4375</v>
      </c>
      <c r="AB86" s="28">
        <f>IF(ISBLANK(Actuals!AB85),-Helpers!Y5*Assumptions!$B$21,Actuals!AB85)</f>
        <v>-58.4375</v>
      </c>
      <c r="AC86" s="28">
        <f>IF(ISBLANK(Actuals!AC85),-Helpers!Z5*Assumptions!$B$21,Actuals!AC85)</f>
        <v>-58.4375</v>
      </c>
      <c r="AD86" s="28">
        <f>IF(ISBLANK(Actuals!AD85),-Helpers!AA5*Assumptions!$B$21,Actuals!AD85)</f>
        <v>-59.606250000000003</v>
      </c>
      <c r="AE86" s="28">
        <f>IF(ISBLANK(Actuals!AE85),-Helpers!AB5*Assumptions!$B$21,Actuals!AE85)</f>
        <v>-59.606250000000003</v>
      </c>
      <c r="AF86" s="28">
        <f>IF(ISBLANK(Actuals!AF85),-Helpers!AC5*Assumptions!$B$21,Actuals!AF85)</f>
        <v>-59.606250000000003</v>
      </c>
      <c r="AG86" s="28">
        <f>IF(ISBLANK(Actuals!AG85),-Helpers!AD5*Assumptions!$B$21,Actuals!AG85)</f>
        <v>-59.606250000000003</v>
      </c>
      <c r="AH86" s="28">
        <f>IF(ISBLANK(Actuals!AH85),-Helpers!AE5*Assumptions!$B$21,Actuals!AH85)</f>
        <v>-59.606250000000003</v>
      </c>
      <c r="AI86" s="28">
        <f>IF(ISBLANK(Actuals!AI85),-Helpers!AF5*Assumptions!$B$21,Actuals!AI85)</f>
        <v>-59.606250000000003</v>
      </c>
      <c r="AJ86" s="28">
        <f>IF(ISBLANK(Actuals!AJ85),-Helpers!AG5*Assumptions!$B$21,Actuals!AJ85)</f>
        <v>-59.606250000000003</v>
      </c>
      <c r="AK86" s="28">
        <f>IF(ISBLANK(Actuals!AK85),-Helpers!AH5*Assumptions!$B$21,Actuals!AK85)</f>
        <v>-59.606250000000003</v>
      </c>
      <c r="AL86" s="28">
        <f>IF(ISBLANK(Actuals!AL85),-Helpers!AI5*Assumptions!$B$21,Actuals!AL85)</f>
        <v>-59.606250000000003</v>
      </c>
      <c r="AM86" s="28">
        <f>IF(ISBLANK(Actuals!AM85),-Helpers!AJ5*Assumptions!$B$21,Actuals!AM85)</f>
        <v>-59.606250000000003</v>
      </c>
      <c r="AN86" s="28">
        <f>IF(ISBLANK(Actuals!AN85),-Helpers!AK5*Assumptions!$B$21,Actuals!AN85)</f>
        <v>-59.606250000000003</v>
      </c>
      <c r="AO86" s="28">
        <f>IF(ISBLANK(Actuals!AO85),-Helpers!AL5*Assumptions!$B$21,Actuals!AO85)</f>
        <v>-59.606250000000003</v>
      </c>
      <c r="AP86" s="28">
        <f>IF(ISBLANK(Actuals!AP85),-Helpers!AM5*Assumptions!$B$21,Actuals!AP85)</f>
        <v>-60.798375</v>
      </c>
      <c r="AQ86" s="28">
        <f>IF(ISBLANK(Actuals!AQ85),-Helpers!AN5*Assumptions!$B$21,Actuals!AQ85)</f>
        <v>-60.798375</v>
      </c>
      <c r="AR86" s="28">
        <f>IF(ISBLANK(Actuals!AR85),-Helpers!AO5*Assumptions!$B$21,Actuals!AR85)</f>
        <v>-60.798375</v>
      </c>
      <c r="AS86" s="28">
        <f>IF(ISBLANK(Actuals!AS85),-Helpers!AP5*Assumptions!$B$21,Actuals!AS85)</f>
        <v>-60.798375</v>
      </c>
      <c r="AT86" s="28">
        <f>IF(ISBLANK(Actuals!AT85),-Helpers!AQ5*Assumptions!$B$21,Actuals!AT85)</f>
        <v>-60.798375</v>
      </c>
      <c r="AU86" s="28">
        <f>IF(ISBLANK(Actuals!AU85),-Helpers!AR5*Assumptions!$B$21,Actuals!AU85)</f>
        <v>-60.798375</v>
      </c>
      <c r="AV86" s="28">
        <f>IF(ISBLANK(Actuals!AV85),-Helpers!AS5*Assumptions!$B$21,Actuals!AV85)</f>
        <v>-60.798375</v>
      </c>
      <c r="AW86" s="28">
        <f>IF(ISBLANK(Actuals!AW85),-Helpers!AT5*Assumptions!$B$21,Actuals!AW85)</f>
        <v>-60.798375</v>
      </c>
      <c r="AX86" s="28">
        <f>IF(ISBLANK(Actuals!AX85),-Helpers!AU5*Assumptions!$B$21,Actuals!AX85)</f>
        <v>-60.798375</v>
      </c>
      <c r="AY86" s="28">
        <f>IF(ISBLANK(Actuals!AY85),-Helpers!AV5*Assumptions!$B$21,Actuals!AY85)</f>
        <v>-60.798375</v>
      </c>
      <c r="AZ86" s="28">
        <f>IF(ISBLANK(Actuals!AZ85),-Helpers!AW5*Assumptions!$B$21,Actuals!AZ85)</f>
        <v>-60.798375</v>
      </c>
      <c r="BA86" s="28">
        <f>IF(ISBLANK(Actuals!BA85),-Helpers!AX5*Assumptions!$B$21,Actuals!BA85)</f>
        <v>-60.798375</v>
      </c>
      <c r="BB86" s="28">
        <f>IF(ISBLANK(Actuals!BB85),-Helpers!AY5*Assumptions!$B$21,Actuals!BB85)</f>
        <v>-62.014342500000005</v>
      </c>
      <c r="BC86" s="28">
        <f>IF(ISBLANK(Actuals!BC85),-Helpers!AZ5*Assumptions!$B$21,Actuals!BC85)</f>
        <v>-62.014342500000005</v>
      </c>
      <c r="BD86" s="28">
        <f>IF(ISBLANK(Actuals!BD85),-Helpers!BA5*Assumptions!$B$21,Actuals!BD85)</f>
        <v>-62.014342500000005</v>
      </c>
      <c r="BE86" s="28">
        <f>IF(ISBLANK(Actuals!BE85),-Helpers!BB5*Assumptions!$B$21,Actuals!BE85)</f>
        <v>-62.014342500000005</v>
      </c>
      <c r="BF86" s="28">
        <f>IF(ISBLANK(Actuals!BF85),-Helpers!BC5*Assumptions!$B$21,Actuals!BF85)</f>
        <v>-62.014342500000005</v>
      </c>
      <c r="BG86" s="28">
        <f>IF(ISBLANK(Actuals!BG85),-Helpers!BD5*Assumptions!$B$21,Actuals!BG85)</f>
        <v>-62.014342500000005</v>
      </c>
      <c r="BH86" s="28">
        <f>IF(ISBLANK(Actuals!BH85),-Helpers!BE5*Assumptions!$B$21,Actuals!BH85)</f>
        <v>-62.014342500000005</v>
      </c>
      <c r="BI86" s="28">
        <f>IF(ISBLANK(Actuals!BI85),-Helpers!BF5*Assumptions!$B$21,Actuals!BI85)</f>
        <v>-62.014342500000005</v>
      </c>
      <c r="BJ86" s="28">
        <f>IF(ISBLANK(Actuals!BJ85),-Helpers!BG5*Assumptions!$B$21,Actuals!BJ85)</f>
        <v>-62.014342500000005</v>
      </c>
      <c r="BK86" s="28">
        <f>IF(ISBLANK(Actuals!BK85),-Helpers!BH5*Assumptions!$B$21,Actuals!BK85)</f>
        <v>-62.014342500000005</v>
      </c>
      <c r="BL86" s="28">
        <f>IF(ISBLANK(Actuals!BL85),-Helpers!BI5*Assumptions!$B$21,Actuals!BL85)</f>
        <v>-62.014342500000005</v>
      </c>
      <c r="BM86" s="28">
        <f>IF(ISBLANK(Actuals!BM85),-Helpers!BJ5*Assumptions!$B$21,Actuals!BM85)</f>
        <v>-62.014342500000005</v>
      </c>
      <c r="BN86" s="28">
        <f>IF(ISBLANK(Actuals!BN85),-Helpers!BK5*Assumptions!$B$21,Actuals!BN85)</f>
        <v>-63.254629350000009</v>
      </c>
      <c r="BO86" s="28">
        <f>IF(ISBLANK(Actuals!BO85),-Helpers!BL5*Assumptions!$B$21,Actuals!BO85)</f>
        <v>-63.254629350000009</v>
      </c>
      <c r="BP86" s="28">
        <f>IF(ISBLANK(Actuals!BP85),-Helpers!BM5*Assumptions!$B$21,Actuals!BP85)</f>
        <v>-63.254629350000009</v>
      </c>
      <c r="BQ86" s="28">
        <f>IF(ISBLANK(Actuals!BQ85),-Helpers!BN5*Assumptions!$B$21,Actuals!BQ85)</f>
        <v>-63.254629350000009</v>
      </c>
      <c r="BR86" s="28">
        <f>IF(ISBLANK(Actuals!BR85),-Helpers!BO5*Assumptions!$B$21,Actuals!BR85)</f>
        <v>-63.254629350000009</v>
      </c>
      <c r="BS86" s="28">
        <f>IF(ISBLANK(Actuals!BS85),-Helpers!BP5*Assumptions!$B$21,Actuals!BS85)</f>
        <v>-63.254629350000009</v>
      </c>
      <c r="BT86" s="28">
        <f>IF(ISBLANK(Actuals!BT85),-Helpers!BQ5*Assumptions!$B$21,Actuals!BT85)</f>
        <v>-63.254629350000009</v>
      </c>
      <c r="BU86" s="28">
        <f>IF(ISBLANK(Actuals!BU85),-Helpers!BR5*Assumptions!$B$21,Actuals!BU85)</f>
        <v>-63.254629350000009</v>
      </c>
      <c r="BV86" s="28">
        <f>IF(ISBLANK(Actuals!BV85),-Helpers!BS5*Assumptions!$B$21,Actuals!BV85)</f>
        <v>-63.254629350000009</v>
      </c>
      <c r="BW86" s="28">
        <f>IF(ISBLANK(Actuals!BW85),-Helpers!BT5*Assumptions!$B$21,Actuals!BW85)</f>
        <v>-63.254629350000009</v>
      </c>
      <c r="BX86" s="28">
        <f>IF(ISBLANK(Actuals!BX85),-Helpers!BU5*Assumptions!$B$21,Actuals!BX85)</f>
        <v>-63.254629350000009</v>
      </c>
      <c r="BY86" s="28">
        <f>IF(ISBLANK(Actuals!BY85),-Helpers!BV5*Assumptions!$B$21,Actuals!BY85)</f>
        <v>-63.254629350000009</v>
      </c>
      <c r="BZ86" s="28">
        <f>IF(ISBLANK(Actuals!BZ85),-Helpers!BW5*Assumptions!$B$21,Actuals!BZ85)</f>
        <v>-64.519721937</v>
      </c>
      <c r="CA86" s="28">
        <f>IF(ISBLANK(Actuals!CA85),-Helpers!BX5*Assumptions!$B$21,Actuals!CA85)</f>
        <v>-64.519721937</v>
      </c>
      <c r="CB86" s="28">
        <f>IF(ISBLANK(Actuals!CB85),-Helpers!BY5*Assumptions!$B$21,Actuals!CB85)</f>
        <v>-64.519721937</v>
      </c>
      <c r="CC86" s="28">
        <f>IF(ISBLANK(Actuals!CC85),-Helpers!BZ5*Assumptions!$B$21,Actuals!CC85)</f>
        <v>-64.519721937</v>
      </c>
      <c r="CD86" s="28">
        <f>IF(ISBLANK(Actuals!CD85),-Helpers!CA5*Assumptions!$B$21,Actuals!CD85)</f>
        <v>-64.519721937</v>
      </c>
      <c r="CE86" s="28">
        <f>IF(ISBLANK(Actuals!CE85),-Helpers!CB5*Assumptions!$B$21,Actuals!CE85)</f>
        <v>-64.519721937</v>
      </c>
      <c r="CF86" s="28">
        <f>IF(ISBLANK(Actuals!CF85),-Helpers!CC5*Assumptions!$B$21,Actuals!CF85)</f>
        <v>-64.519721937</v>
      </c>
      <c r="CG86" s="28">
        <f>IF(ISBLANK(Actuals!CG85),-Helpers!CD5*Assumptions!$B$21,Actuals!CG85)</f>
        <v>-64.519721937</v>
      </c>
      <c r="CH86" s="28">
        <f>IF(ISBLANK(Actuals!CH85),-Helpers!CE5*Assumptions!$B$21,Actuals!CH85)</f>
        <v>-64.519721937</v>
      </c>
      <c r="CI86" s="28">
        <f>IF(ISBLANK(Actuals!CI85),-Helpers!CF5*Assumptions!$B$21,Actuals!CI85)</f>
        <v>-64.519721937</v>
      </c>
      <c r="CJ86" s="28">
        <f>IF(ISBLANK(Actuals!CJ85),-Helpers!CG5*Assumptions!$B$21,Actuals!CJ85)</f>
        <v>-64.519721937</v>
      </c>
      <c r="CK86" s="28">
        <f>IF(ISBLANK(Actuals!CK85),-Helpers!CH5*Assumptions!$B$21,Actuals!CK85)</f>
        <v>-64.519721937</v>
      </c>
      <c r="CL86" s="28">
        <f>IF(ISBLANK(Actuals!CL85),-Helpers!CI5*Assumptions!$B$21,Actuals!CL85)</f>
        <v>-65.810116375739995</v>
      </c>
      <c r="CM86" s="28">
        <f>IF(ISBLANK(Actuals!CM85),-Helpers!CJ5*Assumptions!$B$21,Actuals!CM85)</f>
        <v>-65.810116375739995</v>
      </c>
      <c r="CN86" s="28">
        <f>IF(ISBLANK(Actuals!CN85),-Helpers!CK5*Assumptions!$B$21,Actuals!CN85)</f>
        <v>-65.810116375739995</v>
      </c>
      <c r="CO86" s="28">
        <f>IF(ISBLANK(Actuals!CO85),-Helpers!CL5*Assumptions!$B$21,Actuals!CO85)</f>
        <v>-65.810116375739995</v>
      </c>
      <c r="CP86" s="28">
        <f>IF(ISBLANK(Actuals!CP85),-Helpers!CM5*Assumptions!$B$21,Actuals!CP85)</f>
        <v>-65.810116375739995</v>
      </c>
      <c r="CQ86" s="28">
        <f>IF(ISBLANK(Actuals!CQ85),-Helpers!CN5*Assumptions!$B$21,Actuals!CQ85)</f>
        <v>-65.810116375739995</v>
      </c>
      <c r="CR86" s="28">
        <f>IF(ISBLANK(Actuals!CR85),-Helpers!CO5*Assumptions!$B$21,Actuals!CR85)</f>
        <v>-65.810116375739995</v>
      </c>
      <c r="CS86" s="28">
        <f>IF(ISBLANK(Actuals!CS85),-Helpers!CP5*Assumptions!$B$21,Actuals!CS85)</f>
        <v>-65.810116375739995</v>
      </c>
      <c r="CT86" s="28">
        <f>IF(ISBLANK(Actuals!CT85),-Helpers!CQ5*Assumptions!$B$21,Actuals!CT85)</f>
        <v>-65.810116375739995</v>
      </c>
      <c r="CU86" s="28">
        <f>IF(ISBLANK(Actuals!CU85),-Helpers!CR5*Assumptions!$B$21,Actuals!CU85)</f>
        <v>0</v>
      </c>
      <c r="CV86" s="28">
        <f>IF(ISBLANK(Actuals!CV85),-Helpers!CS5*Assumptions!$B$21,Actuals!CV85)</f>
        <v>0</v>
      </c>
      <c r="CW86" s="28">
        <f>IF(ISBLANK(Actuals!CW85),-Helpers!CT5*Assumptions!$B$21,Actuals!CW85)</f>
        <v>0</v>
      </c>
      <c r="CX86" s="28">
        <f>IF(ISBLANK(Actuals!CX85),-Helpers!CU5*Assumptions!$B$21,Actuals!CX85)</f>
        <v>0</v>
      </c>
      <c r="CY86" s="28">
        <f>IF(ISBLANK(Actuals!CY85),-Helpers!CV5*Assumptions!$B$21,Actuals!CY85)</f>
        <v>0</v>
      </c>
      <c r="CZ86" s="28">
        <f>IF(ISBLANK(Actuals!CZ85),-Helpers!CW5*Assumptions!$B$21,Actuals!CZ85)</f>
        <v>0</v>
      </c>
      <c r="DA86" s="28">
        <f>IF(ISBLANK(Actuals!DA85),-Helpers!CX5*Assumptions!$B$21,Actuals!DA85)</f>
        <v>0</v>
      </c>
      <c r="DB86" s="28">
        <f>IF(ISBLANK(Actuals!DB85),-Helpers!CY5*Assumptions!$B$21,Actuals!DB85)</f>
        <v>0</v>
      </c>
      <c r="DC86" s="28">
        <f>IF(ISBLANK(Actuals!DC85),-Helpers!CZ5*Assumptions!$B$21,Actuals!DC85)</f>
        <v>0</v>
      </c>
      <c r="DD86" s="28">
        <f>IF(ISBLANK(Actuals!DD85),-Helpers!DA5*Assumptions!$B$21,Actuals!DD85)</f>
        <v>0</v>
      </c>
      <c r="DE86" s="28">
        <f>IF(ISBLANK(Actuals!DE85),-Helpers!DB5*Assumptions!$B$21,Actuals!DE85)</f>
        <v>0</v>
      </c>
      <c r="DF86" s="28">
        <f>IF(ISBLANK(Actuals!DF85),-Helpers!DC5*Assumptions!$B$21,Actuals!DF85)</f>
        <v>0</v>
      </c>
    </row>
    <row r="87" spans="1:110" ht="15" customHeight="1" x14ac:dyDescent="0.25">
      <c r="A87" s="27" t="s">
        <v>71</v>
      </c>
      <c r="B87" s="27"/>
      <c r="C87" s="28">
        <f>IF(ISBLANK(Actuals!C86),0,Actuals!C86)</f>
        <v>-8848.65</v>
      </c>
      <c r="D87" s="28">
        <f>IF(ISBLANK(Actuals!D86),0,Actuals!D86)</f>
        <v>-8817.6299999999992</v>
      </c>
      <c r="E87" s="28">
        <f>IF(ISBLANK(Actuals!E86),0,Actuals!E86)</f>
        <v>-3775.91</v>
      </c>
      <c r="F87" s="28">
        <f>IF(ISBLANK(Actuals!F86),-8500*Escalation!$B$2,Actuals!F86)</f>
        <v>-8731.1200000000008</v>
      </c>
      <c r="G87" s="28">
        <f>IF(ISBLANK(Actuals!G86),-8500*Escalation!$B$3,Actuals!G86)</f>
        <v>-8500</v>
      </c>
      <c r="H87" s="28">
        <f>IF(ISBLANK(Actuals!H86),-8500*Escalation!$B$4,Actuals!H86)</f>
        <v>-8500</v>
      </c>
      <c r="I87" s="28">
        <f>IF(ISBLANK(Actuals!I86),-8500*Escalation!$B$5,Actuals!I86)</f>
        <v>-8500</v>
      </c>
      <c r="J87" s="28">
        <f>IF(ISBLANK(Actuals!J86),-8500*Escalation!$B$6,Actuals!J86)</f>
        <v>-8500</v>
      </c>
      <c r="K87" s="28">
        <f>IF(ISBLANK(Actuals!K86),-8500*Escalation!$B$7,Actuals!K86)</f>
        <v>-8500</v>
      </c>
      <c r="L87" s="28">
        <f>IF(ISBLANK(Actuals!L86),-8500*Escalation!$B$8,Actuals!L86)</f>
        <v>-8500</v>
      </c>
      <c r="M87" s="28">
        <f>IF(ISBLANK(Actuals!M86),-8500*Escalation!$B$9,Actuals!M86)</f>
        <v>-8500</v>
      </c>
      <c r="N87" s="28">
        <f>IF(ISBLANK(Actuals!N86),-8500*Escalation!$B$10,Actuals!N86)</f>
        <v>-8500</v>
      </c>
      <c r="O87" s="28">
        <f>IF(ISBLANK(Actuals!O86),-8500*Escalation!$B$11,Actuals!O86)</f>
        <v>-8500</v>
      </c>
      <c r="P87" s="28">
        <f>IF(ISBLANK(Actuals!P86),-8500*Escalation!$B$12,Actuals!P86)</f>
        <v>-8500</v>
      </c>
      <c r="Q87" s="28">
        <f>IF(ISBLANK(Actuals!Q86),-8500*Escalation!$B$13,Actuals!Q86)</f>
        <v>-8500</v>
      </c>
      <c r="R87" s="28">
        <f>IF(ISBLANK(Actuals!R86),-8500*Escalation!$B$14,Actuals!R86)</f>
        <v>-8670</v>
      </c>
      <c r="S87" s="28">
        <f>IF(ISBLANK(Actuals!S86),-8500*Escalation!$B$15,Actuals!S86)</f>
        <v>-8670</v>
      </c>
      <c r="T87" s="28">
        <f>IF(ISBLANK(Actuals!T86),-8500*Escalation!$B$16,Actuals!T86)</f>
        <v>-8670</v>
      </c>
      <c r="U87" s="28">
        <f>IF(ISBLANK(Actuals!U86),-8500*Escalation!$B$17,Actuals!U86)</f>
        <v>-8670</v>
      </c>
      <c r="V87" s="28">
        <f>IF(ISBLANK(Actuals!V86),-8500*Escalation!$B$18,Actuals!V86)</f>
        <v>-8670</v>
      </c>
      <c r="W87" s="28">
        <f>IF(ISBLANK(Actuals!W86),-8500*Escalation!$B$19,Actuals!W86)</f>
        <v>-8670</v>
      </c>
      <c r="X87" s="28">
        <f>IF(ISBLANK(Actuals!X86),-8500*Escalation!$B$20,Actuals!X86)</f>
        <v>-8670</v>
      </c>
      <c r="Y87" s="28">
        <f>IF(ISBLANK(Actuals!Y86),-8500*Escalation!$B$21,Actuals!Y86)</f>
        <v>-8670</v>
      </c>
      <c r="Z87" s="28">
        <f>IF(ISBLANK(Actuals!Z86),-8500*Escalation!$B$22,Actuals!Z86)</f>
        <v>-8670</v>
      </c>
      <c r="AA87" s="28">
        <f>IF(ISBLANK(Actuals!AA86),-8500*Escalation!$B$23,Actuals!AA86)</f>
        <v>-8670</v>
      </c>
      <c r="AB87" s="28">
        <f>IF(ISBLANK(Actuals!AB86),-8500*Escalation!$B$24,Actuals!AB86)</f>
        <v>-8670</v>
      </c>
      <c r="AC87" s="28">
        <f>IF(ISBLANK(Actuals!AC86),-8500*Escalation!$B$25,Actuals!AC86)</f>
        <v>-8670</v>
      </c>
      <c r="AD87" s="28">
        <f>IF(ISBLANK(Actuals!AD86),-8500*Escalation!$B$26,Actuals!AD86)</f>
        <v>-8843.4</v>
      </c>
      <c r="AE87" s="28">
        <f>IF(ISBLANK(Actuals!AE86),-8500*Escalation!$B$27,Actuals!AE86)</f>
        <v>-8843.4</v>
      </c>
      <c r="AF87" s="28">
        <f>IF(ISBLANK(Actuals!AF86),-8500*Escalation!$B$28,Actuals!AF86)</f>
        <v>-8843.4</v>
      </c>
      <c r="AG87" s="28">
        <f>IF(ISBLANK(Actuals!AG86),-8500*Escalation!$B$29,Actuals!AG86)</f>
        <v>-8843.4</v>
      </c>
      <c r="AH87" s="28">
        <f>IF(ISBLANK(Actuals!AH86),-8500*Escalation!$B$30,Actuals!AH86)</f>
        <v>-8843.4</v>
      </c>
      <c r="AI87" s="28">
        <f>IF(ISBLANK(Actuals!AI86),-8500*Escalation!$B$31,Actuals!AI86)</f>
        <v>-8843.4</v>
      </c>
      <c r="AJ87" s="28">
        <f>IF(ISBLANK(Actuals!AJ86),-8500*Escalation!$B$32,Actuals!AJ86)</f>
        <v>-8843.4</v>
      </c>
      <c r="AK87" s="28">
        <f>IF(ISBLANK(Actuals!AK86),-8500*Escalation!$B$33,Actuals!AK86)</f>
        <v>-8843.4</v>
      </c>
      <c r="AL87" s="28">
        <f>IF(ISBLANK(Actuals!AL86),-8500*Escalation!$B$34,Actuals!AL86)</f>
        <v>-8843.4</v>
      </c>
      <c r="AM87" s="28">
        <f>IF(ISBLANK(Actuals!AM86),-8500*Escalation!$B$35,Actuals!AM86)</f>
        <v>-8843.4</v>
      </c>
      <c r="AN87" s="28">
        <f>IF(ISBLANK(Actuals!AN86),-8500*Escalation!$B$36,Actuals!AN86)</f>
        <v>-8843.4</v>
      </c>
      <c r="AO87" s="28">
        <f>IF(ISBLANK(Actuals!AO86),-8500*Escalation!$B$37,Actuals!AO86)</f>
        <v>-8843.4</v>
      </c>
      <c r="AP87" s="28">
        <f>IF(ISBLANK(Actuals!AP86),-8500*Escalation!$B$38,Actuals!AP86)</f>
        <v>-9020.268</v>
      </c>
      <c r="AQ87" s="28">
        <f>IF(ISBLANK(Actuals!AQ86),-8500*Escalation!$B$39,Actuals!AQ86)</f>
        <v>-9020.268</v>
      </c>
      <c r="AR87" s="28">
        <f>IF(ISBLANK(Actuals!AR86),-8500*Escalation!$B$40,Actuals!AR86)</f>
        <v>-9020.268</v>
      </c>
      <c r="AS87" s="28">
        <f>IF(ISBLANK(Actuals!AS86),-8500*Escalation!$B$41,Actuals!AS86)</f>
        <v>-9020.268</v>
      </c>
      <c r="AT87" s="28">
        <f>IF(ISBLANK(Actuals!AT86),-8500*Escalation!$B$42,Actuals!AT86)</f>
        <v>-9020.268</v>
      </c>
      <c r="AU87" s="28">
        <f>IF(ISBLANK(Actuals!AU86),-8500*Escalation!$B$43,Actuals!AU86)</f>
        <v>-9020.268</v>
      </c>
      <c r="AV87" s="28">
        <f>IF(ISBLANK(Actuals!AV86),-8500*Escalation!$B$44,Actuals!AV86)</f>
        <v>-9020.268</v>
      </c>
      <c r="AW87" s="28">
        <f>IF(ISBLANK(Actuals!AW86),-8500*Escalation!$B$45,Actuals!AW86)</f>
        <v>-9020.268</v>
      </c>
      <c r="AX87" s="28">
        <f>IF(ISBLANK(Actuals!AX86),-8500*Escalation!$B$46,Actuals!AX86)</f>
        <v>-9020.268</v>
      </c>
      <c r="AY87" s="28">
        <f>IF(ISBLANK(Actuals!AY86),-8500*Escalation!$B$47,Actuals!AY86)</f>
        <v>-9020.268</v>
      </c>
      <c r="AZ87" s="28">
        <f>IF(ISBLANK(Actuals!AZ86),-8500*Escalation!$B$48,Actuals!AZ86)</f>
        <v>-9020.268</v>
      </c>
      <c r="BA87" s="28">
        <f>IF(ISBLANK(Actuals!BA86),-8500*Escalation!$B$49,Actuals!BA86)</f>
        <v>-9020.268</v>
      </c>
      <c r="BB87" s="28">
        <f>IF(ISBLANK(Actuals!BB86),-8500*Escalation!$B$50,Actuals!BB86)</f>
        <v>-9200.6733600000007</v>
      </c>
      <c r="BC87" s="28">
        <f>IF(ISBLANK(Actuals!BC86),-8500*Escalation!$B$51,Actuals!BC86)</f>
        <v>-9200.6733600000007</v>
      </c>
      <c r="BD87" s="28">
        <f>IF(ISBLANK(Actuals!BD86),-8500*Escalation!$B$52,Actuals!BD86)</f>
        <v>-9200.6733600000007</v>
      </c>
      <c r="BE87" s="28">
        <f>IF(ISBLANK(Actuals!BE86),-8500*Escalation!$B$53,Actuals!BE86)</f>
        <v>-9200.6733600000007</v>
      </c>
      <c r="BF87" s="28">
        <f>IF(ISBLANK(Actuals!BF86),-8500*Escalation!$B$54,Actuals!BF86)</f>
        <v>-9200.6733600000007</v>
      </c>
      <c r="BG87" s="28">
        <f>IF(ISBLANK(Actuals!BG86),-8500*Escalation!$B$55,Actuals!BG86)</f>
        <v>-9200.6733600000007</v>
      </c>
      <c r="BH87" s="28">
        <f>IF(ISBLANK(Actuals!BH86),-8500*Escalation!$B$56,Actuals!BH86)</f>
        <v>-9200.6733600000007</v>
      </c>
      <c r="BI87" s="28">
        <f>IF(ISBLANK(Actuals!BI86),-8500*Escalation!$B$57,Actuals!BI86)</f>
        <v>-9200.6733600000007</v>
      </c>
      <c r="BJ87" s="28">
        <f>IF(ISBLANK(Actuals!BJ86),-8500*Escalation!$B$58,Actuals!BJ86)</f>
        <v>-9200.6733600000007</v>
      </c>
      <c r="BK87" s="28">
        <f>IF(ISBLANK(Actuals!BK86),-8500*Escalation!$B$59,Actuals!BK86)</f>
        <v>-9200.6733600000007</v>
      </c>
      <c r="BL87" s="28">
        <f>IF(ISBLANK(Actuals!BL86),-8500*Escalation!$B$60,Actuals!BL86)</f>
        <v>-9200.6733600000007</v>
      </c>
      <c r="BM87" s="28">
        <f>IF(ISBLANK(Actuals!BM86),-8500*Escalation!$B$61,Actuals!BM86)</f>
        <v>-9200.6733600000007</v>
      </c>
      <c r="BN87" s="28">
        <f>IF(ISBLANK(Actuals!BN86),-8500*Escalation!$B$62,Actuals!BN86)</f>
        <v>-9384.6868271999992</v>
      </c>
      <c r="BO87" s="28">
        <f>IF(ISBLANK(Actuals!BO86),-8500*Escalation!$B$63,Actuals!BO86)</f>
        <v>-9384.6868271999992</v>
      </c>
      <c r="BP87" s="28">
        <f>IF(ISBLANK(Actuals!BP86),-8500*Escalation!$B$64,Actuals!BP86)</f>
        <v>-9384.6868271999992</v>
      </c>
      <c r="BQ87" s="28">
        <f>IF(ISBLANK(Actuals!BQ86),-8500*Escalation!$B$65,Actuals!BQ86)</f>
        <v>-9384.6868271999992</v>
      </c>
      <c r="BR87" s="28">
        <f>IF(ISBLANK(Actuals!BR86),-8500*Escalation!$B$66,Actuals!BR86)</f>
        <v>-9384.6868271999992</v>
      </c>
      <c r="BS87" s="28">
        <f>IF(ISBLANK(Actuals!BS86),-8500*Escalation!$B$67,Actuals!BS86)</f>
        <v>-9384.6868271999992</v>
      </c>
      <c r="BT87" s="28">
        <f>IF(ISBLANK(Actuals!BT86),-8500*Escalation!$B$68,Actuals!BT86)</f>
        <v>-9384.6868271999992</v>
      </c>
      <c r="BU87" s="28">
        <f>IF(ISBLANK(Actuals!BU86),-8500*Escalation!$B$69,Actuals!BU86)</f>
        <v>-9384.6868271999992</v>
      </c>
      <c r="BV87" s="28">
        <f>IF(ISBLANK(Actuals!BV86),-8500*Escalation!$B$70,Actuals!BV86)</f>
        <v>-9384.6868271999992</v>
      </c>
      <c r="BW87" s="28">
        <f>IF(ISBLANK(Actuals!BW86),-8500*Escalation!$B$71,Actuals!BW86)</f>
        <v>-9384.6868271999992</v>
      </c>
      <c r="BX87" s="28">
        <f>IF(ISBLANK(Actuals!BX86),-8500*Escalation!$B$72,Actuals!BX86)</f>
        <v>-9384.6868271999992</v>
      </c>
      <c r="BY87" s="28">
        <f>IF(ISBLANK(Actuals!BY86),-8500*Escalation!$B$73,Actuals!BY86)</f>
        <v>-9384.6868271999992</v>
      </c>
      <c r="BZ87" s="28">
        <f>IF(ISBLANK(Actuals!BZ86),-8500*Escalation!$B$74,Actuals!BZ86)</f>
        <v>-9572.380563744</v>
      </c>
      <c r="CA87" s="28">
        <f>IF(ISBLANK(Actuals!CA86),-8500*Escalation!$B$75,Actuals!CA86)</f>
        <v>-9572.380563744</v>
      </c>
      <c r="CB87" s="28">
        <f>IF(ISBLANK(Actuals!CB86),-8500*Escalation!$B$76,Actuals!CB86)</f>
        <v>-9572.380563744</v>
      </c>
      <c r="CC87" s="28">
        <f>IF(ISBLANK(Actuals!CC86),-8500*Escalation!$B$77,Actuals!CC86)</f>
        <v>-9572.380563744</v>
      </c>
      <c r="CD87" s="28">
        <f>IF(ISBLANK(Actuals!CD86),-8500*Escalation!$B$78,Actuals!CD86)</f>
        <v>-9572.380563744</v>
      </c>
      <c r="CE87" s="28">
        <f>IF(ISBLANK(Actuals!CE86),-8500*Escalation!$B$79,Actuals!CE86)</f>
        <v>-9572.380563744</v>
      </c>
      <c r="CF87" s="28">
        <f>IF(ISBLANK(Actuals!CF86),-8500*Escalation!$B$80,Actuals!CF86)</f>
        <v>-9572.380563744</v>
      </c>
      <c r="CG87" s="28">
        <f>IF(ISBLANK(Actuals!CG86),-8500*Escalation!$B$81,Actuals!CG86)</f>
        <v>-9572.380563744</v>
      </c>
      <c r="CH87" s="28">
        <f>IF(ISBLANK(Actuals!CH86),-8500*Escalation!$B$82,Actuals!CH86)</f>
        <v>-9572.380563744</v>
      </c>
      <c r="CI87" s="28">
        <f>IF(ISBLANK(Actuals!CI86),-8500*Escalation!$B$83,Actuals!CI86)</f>
        <v>-9572.380563744</v>
      </c>
      <c r="CJ87" s="28">
        <f>IF(ISBLANK(Actuals!CJ86),-8500*Escalation!$B$84,Actuals!CJ86)</f>
        <v>-9572.380563744</v>
      </c>
      <c r="CK87" s="28">
        <f>IF(ISBLANK(Actuals!CK86),-8500*Escalation!$B$85,Actuals!CK86)</f>
        <v>-9572.380563744</v>
      </c>
      <c r="CL87" s="28">
        <f>IF(ISBLANK(Actuals!CL86),-8500*Escalation!$B$86,Actuals!CL86)</f>
        <v>-9763.828175018878</v>
      </c>
      <c r="CM87" s="28">
        <f>IF(ISBLANK(Actuals!CM86),-8500*Escalation!$B$87,Actuals!CM86)</f>
        <v>-9763.828175018878</v>
      </c>
      <c r="CN87" s="28">
        <f>IF(ISBLANK(Actuals!CN86),-8500*Escalation!$B$88,Actuals!CN86)</f>
        <v>-9763.828175018878</v>
      </c>
      <c r="CO87" s="28">
        <f>IF(ISBLANK(Actuals!CO86),-8500*Escalation!$B$89,Actuals!CO86)</f>
        <v>-9763.828175018878</v>
      </c>
      <c r="CP87" s="28">
        <f>IF(ISBLANK(Actuals!CP86),-8500*Escalation!$B$90,Actuals!CP86)</f>
        <v>-9763.828175018878</v>
      </c>
      <c r="CQ87" s="28">
        <f>IF(ISBLANK(Actuals!CQ86),-8500*Escalation!$B$91,Actuals!CQ86)</f>
        <v>-9763.828175018878</v>
      </c>
      <c r="CR87" s="28">
        <f>IF(ISBLANK(Actuals!CR86),-8500*Escalation!$B$92,Actuals!CR86)</f>
        <v>-9763.828175018878</v>
      </c>
      <c r="CS87" s="28">
        <f>IF(ISBLANK(Actuals!CS86),-8500*Escalation!$B$93,Actuals!CS86)</f>
        <v>-9763.828175018878</v>
      </c>
      <c r="CT87" s="28">
        <f>IF(ISBLANK(Actuals!CT86),-8500*Escalation!$B$94,Actuals!CT86)</f>
        <v>-9763.828175018878</v>
      </c>
      <c r="CU87" s="28">
        <f>IF(ISBLANK(Actuals!CU86),-8500*Escalation!$B$95,Actuals!CU86)</f>
        <v>-9763.828175018878</v>
      </c>
      <c r="CV87" s="28">
        <f>IF(ISBLANK(Actuals!CV86),-8500*Escalation!$B$96,Actuals!CV86)</f>
        <v>-9763.828175018878</v>
      </c>
      <c r="CW87" s="28">
        <f>IF(ISBLANK(Actuals!CW86),-8500*Escalation!$B$97,Actuals!CW86)</f>
        <v>-9763.828175018878</v>
      </c>
      <c r="CX87" s="28">
        <f>IF(ISBLANK(Actuals!CX86),-8500*Escalation!$B$98,Actuals!CX86)</f>
        <v>-9959.1047385192578</v>
      </c>
      <c r="CY87" s="28">
        <f>IF(ISBLANK(Actuals!CY86),-8500*Escalation!$B$99,Actuals!CY86)</f>
        <v>-9959.1047385192578</v>
      </c>
      <c r="CZ87" s="28">
        <f>IF(ISBLANK(Actuals!CZ86),-8500*Escalation!$B$100,Actuals!CZ86)</f>
        <v>-9959.1047385192578</v>
      </c>
      <c r="DA87" s="28">
        <f>IF(ISBLANK(Actuals!DA86),-8500*Escalation!$B$101,Actuals!DA86)</f>
        <v>-9959.1047385192578</v>
      </c>
      <c r="DB87" s="28">
        <f>IF(ISBLANK(Actuals!DB86),-8500*Escalation!$B$102,Actuals!DB86)</f>
        <v>-9959.1047385192578</v>
      </c>
      <c r="DC87" s="28">
        <f>IF(ISBLANK(Actuals!DC86),-8500*Escalation!$B$103,Actuals!DC86)</f>
        <v>-9959.1047385192578</v>
      </c>
      <c r="DD87" s="28">
        <f>IF(ISBLANK(Actuals!DD86),-8500*Escalation!$B$104,Actuals!DD86)</f>
        <v>-9959.1047385192578</v>
      </c>
      <c r="DE87" s="28">
        <f>IF(ISBLANK(Actuals!DE86),-8500*Escalation!$B$105,Actuals!DE86)</f>
        <v>-9959.1047385192578</v>
      </c>
      <c r="DF87" s="28">
        <f>IF(ISBLANK(Actuals!DF86),-8500*Escalation!$B$106,Actuals!DF86)</f>
        <v>-9959.1047385192578</v>
      </c>
    </row>
    <row r="88" spans="1:110" ht="15" customHeight="1" x14ac:dyDescent="0.25">
      <c r="A88" s="27" t="s">
        <v>72</v>
      </c>
      <c r="B88" s="27"/>
      <c r="C88" s="28">
        <f>IF(ISBLANK(Actuals!C87),0,Actuals!C87)</f>
        <v>-1722.9</v>
      </c>
      <c r="D88" s="28">
        <f>IF(ISBLANK(Actuals!D87),0,Actuals!D87)</f>
        <v>0</v>
      </c>
      <c r="E88" s="28">
        <f>IF(ISBLANK(Actuals!E87),0,Actuals!E87)</f>
        <v>-28.51</v>
      </c>
      <c r="F88" s="28">
        <f>IF(ISBLANK(Actuals!F87),-583.8*Escalation!$B$2,Actuals!F87)</f>
        <v>0</v>
      </c>
      <c r="G88" s="28">
        <f>IF(ISBLANK(Actuals!G87),-583.8*Escalation!$B$3,Actuals!G87)</f>
        <v>-583.79999999999995</v>
      </c>
      <c r="H88" s="28">
        <f>IF(ISBLANK(Actuals!H87),-583.8*Escalation!$B$4,Actuals!H87)</f>
        <v>-583.79999999999995</v>
      </c>
      <c r="I88" s="28">
        <f>IF(ISBLANK(Actuals!I87),-583.8*Escalation!$B$5,Actuals!I87)</f>
        <v>-583.79999999999995</v>
      </c>
      <c r="J88" s="28">
        <f>IF(ISBLANK(Actuals!J87),-583.8*Escalation!$B$6,Actuals!J87)</f>
        <v>-583.79999999999995</v>
      </c>
      <c r="K88" s="28">
        <f>IF(ISBLANK(Actuals!K87),-583.8*Escalation!$B$7,Actuals!K87)</f>
        <v>-583.79999999999995</v>
      </c>
      <c r="L88" s="28">
        <f>IF(ISBLANK(Actuals!L87),-583.8*Escalation!$B$8,Actuals!L87)</f>
        <v>-583.79999999999995</v>
      </c>
      <c r="M88" s="28">
        <f>IF(ISBLANK(Actuals!M87),-583.8*Escalation!$B$9,Actuals!M87)</f>
        <v>-583.79999999999995</v>
      </c>
      <c r="N88" s="28">
        <f>IF(ISBLANK(Actuals!N87),-583.8*Escalation!$B$10,Actuals!N87)</f>
        <v>-583.79999999999995</v>
      </c>
      <c r="O88" s="28">
        <f>IF(ISBLANK(Actuals!O87),-583.8*Escalation!$B$11,Actuals!O87)</f>
        <v>-583.79999999999995</v>
      </c>
      <c r="P88" s="28">
        <f>IF(ISBLANK(Actuals!P87),-583.8*Escalation!$B$12,Actuals!P87)</f>
        <v>-583.79999999999995</v>
      </c>
      <c r="Q88" s="28">
        <f>IF(ISBLANK(Actuals!Q87),-583.8*Escalation!$B$13,Actuals!Q87)</f>
        <v>-583.79999999999995</v>
      </c>
      <c r="R88" s="28">
        <f>IF(ISBLANK(Actuals!R87),-583.8*Escalation!$B$14,Actuals!R87)</f>
        <v>-595.476</v>
      </c>
      <c r="S88" s="28">
        <f>IF(ISBLANK(Actuals!S87),-583.8*Escalation!$B$15,Actuals!S87)</f>
        <v>-595.476</v>
      </c>
      <c r="T88" s="28">
        <f>IF(ISBLANK(Actuals!T87),-583.8*Escalation!$B$16,Actuals!T87)</f>
        <v>-595.476</v>
      </c>
      <c r="U88" s="28">
        <f>IF(ISBLANK(Actuals!U87),-583.8*Escalation!$B$17,Actuals!U87)</f>
        <v>-595.476</v>
      </c>
      <c r="V88" s="28">
        <f>IF(ISBLANK(Actuals!V87),-583.8*Escalation!$B$18,Actuals!V87)</f>
        <v>-595.476</v>
      </c>
      <c r="W88" s="28">
        <f>IF(ISBLANK(Actuals!W87),-583.8*Escalation!$B$19,Actuals!W87)</f>
        <v>-595.476</v>
      </c>
      <c r="X88" s="28">
        <f>IF(ISBLANK(Actuals!X87),-583.8*Escalation!$B$20,Actuals!X87)</f>
        <v>-595.476</v>
      </c>
      <c r="Y88" s="28">
        <f>IF(ISBLANK(Actuals!Y87),-583.8*Escalation!$B$21,Actuals!Y87)</f>
        <v>-595.476</v>
      </c>
      <c r="Z88" s="28">
        <f>IF(ISBLANK(Actuals!Z87),-583.8*Escalation!$B$22,Actuals!Z87)</f>
        <v>-595.476</v>
      </c>
      <c r="AA88" s="28">
        <f>IF(ISBLANK(Actuals!AA87),-583.8*Escalation!$B$23,Actuals!AA87)</f>
        <v>-595.476</v>
      </c>
      <c r="AB88" s="28">
        <f>IF(ISBLANK(Actuals!AB87),-583.8*Escalation!$B$24,Actuals!AB87)</f>
        <v>-595.476</v>
      </c>
      <c r="AC88" s="28">
        <f>IF(ISBLANK(Actuals!AC87),-583.8*Escalation!$B$25,Actuals!AC87)</f>
        <v>-595.476</v>
      </c>
      <c r="AD88" s="28">
        <f>IF(ISBLANK(Actuals!AD87),-583.8*Escalation!$B$26,Actuals!AD87)</f>
        <v>-607.38551999999993</v>
      </c>
      <c r="AE88" s="28">
        <f>IF(ISBLANK(Actuals!AE87),-583.8*Escalation!$B$27,Actuals!AE87)</f>
        <v>-607.38551999999993</v>
      </c>
      <c r="AF88" s="28">
        <f>IF(ISBLANK(Actuals!AF87),-583.8*Escalation!$B$28,Actuals!AF87)</f>
        <v>-607.38551999999993</v>
      </c>
      <c r="AG88" s="28">
        <f>IF(ISBLANK(Actuals!AG87),-583.8*Escalation!$B$29,Actuals!AG87)</f>
        <v>-607.38551999999993</v>
      </c>
      <c r="AH88" s="28">
        <f>IF(ISBLANK(Actuals!AH87),-583.8*Escalation!$B$30,Actuals!AH87)</f>
        <v>-607.38551999999993</v>
      </c>
      <c r="AI88" s="28">
        <f>IF(ISBLANK(Actuals!AI87),-583.8*Escalation!$B$31,Actuals!AI87)</f>
        <v>-607.38551999999993</v>
      </c>
      <c r="AJ88" s="28">
        <f>IF(ISBLANK(Actuals!AJ87),-583.8*Escalation!$B$32,Actuals!AJ87)</f>
        <v>-607.38551999999993</v>
      </c>
      <c r="AK88" s="28">
        <f>IF(ISBLANK(Actuals!AK87),-583.8*Escalation!$B$33,Actuals!AK87)</f>
        <v>-607.38551999999993</v>
      </c>
      <c r="AL88" s="28">
        <f>IF(ISBLANK(Actuals!AL87),-583.8*Escalation!$B$34,Actuals!AL87)</f>
        <v>-607.38551999999993</v>
      </c>
      <c r="AM88" s="28">
        <f>IF(ISBLANK(Actuals!AM87),-583.8*Escalation!$B$35,Actuals!AM87)</f>
        <v>-607.38551999999993</v>
      </c>
      <c r="AN88" s="28">
        <f>IF(ISBLANK(Actuals!AN87),-583.8*Escalation!$B$36,Actuals!AN87)</f>
        <v>-607.38551999999993</v>
      </c>
      <c r="AO88" s="28">
        <f>IF(ISBLANK(Actuals!AO87),-583.8*Escalation!$B$37,Actuals!AO87)</f>
        <v>-607.38551999999993</v>
      </c>
      <c r="AP88" s="28">
        <f>IF(ISBLANK(Actuals!AP87),-583.8*Escalation!$B$38,Actuals!AP87)</f>
        <v>-619.53323039999987</v>
      </c>
      <c r="AQ88" s="28">
        <f>IF(ISBLANK(Actuals!AQ87),-583.8*Escalation!$B$39,Actuals!AQ87)</f>
        <v>-619.53323039999987</v>
      </c>
      <c r="AR88" s="28">
        <f>IF(ISBLANK(Actuals!AR87),-583.8*Escalation!$B$40,Actuals!AR87)</f>
        <v>-619.53323039999987</v>
      </c>
      <c r="AS88" s="28">
        <f>IF(ISBLANK(Actuals!AS87),-583.8*Escalation!$B$41,Actuals!AS87)</f>
        <v>-619.53323039999987</v>
      </c>
      <c r="AT88" s="28">
        <f>IF(ISBLANK(Actuals!AT87),-583.8*Escalation!$B$42,Actuals!AT87)</f>
        <v>-619.53323039999987</v>
      </c>
      <c r="AU88" s="28">
        <f>IF(ISBLANK(Actuals!AU87),-583.8*Escalation!$B$43,Actuals!AU87)</f>
        <v>-619.53323039999987</v>
      </c>
      <c r="AV88" s="28">
        <f>IF(ISBLANK(Actuals!AV87),-583.8*Escalation!$B$44,Actuals!AV87)</f>
        <v>-619.53323039999987</v>
      </c>
      <c r="AW88" s="28">
        <f>IF(ISBLANK(Actuals!AW87),-583.8*Escalation!$B$45,Actuals!AW87)</f>
        <v>-619.53323039999987</v>
      </c>
      <c r="AX88" s="28">
        <f>IF(ISBLANK(Actuals!AX87),-583.8*Escalation!$B$46,Actuals!AX87)</f>
        <v>-619.53323039999987</v>
      </c>
      <c r="AY88" s="28">
        <f>IF(ISBLANK(Actuals!AY87),-583.8*Escalation!$B$47,Actuals!AY87)</f>
        <v>-619.53323039999987</v>
      </c>
      <c r="AZ88" s="28">
        <f>IF(ISBLANK(Actuals!AZ87),-583.8*Escalation!$B$48,Actuals!AZ87)</f>
        <v>-619.53323039999987</v>
      </c>
      <c r="BA88" s="28">
        <f>IF(ISBLANK(Actuals!BA87),-583.8*Escalation!$B$49,Actuals!BA87)</f>
        <v>-619.53323039999987</v>
      </c>
      <c r="BB88" s="28">
        <f>IF(ISBLANK(Actuals!BB87),-583.8*Escalation!$B$50,Actuals!BB87)</f>
        <v>-631.92389500799993</v>
      </c>
      <c r="BC88" s="28">
        <f>IF(ISBLANK(Actuals!BC87),-583.8*Escalation!$B$51,Actuals!BC87)</f>
        <v>-631.92389500799993</v>
      </c>
      <c r="BD88" s="28">
        <f>IF(ISBLANK(Actuals!BD87),-583.8*Escalation!$B$52,Actuals!BD87)</f>
        <v>-631.92389500799993</v>
      </c>
      <c r="BE88" s="28">
        <f>IF(ISBLANK(Actuals!BE87),-583.8*Escalation!$B$53,Actuals!BE87)</f>
        <v>-631.92389500799993</v>
      </c>
      <c r="BF88" s="28">
        <f>IF(ISBLANK(Actuals!BF87),-583.8*Escalation!$B$54,Actuals!BF87)</f>
        <v>-631.92389500799993</v>
      </c>
      <c r="BG88" s="28">
        <f>IF(ISBLANK(Actuals!BG87),-583.8*Escalation!$B$55,Actuals!BG87)</f>
        <v>-631.92389500799993</v>
      </c>
      <c r="BH88" s="28">
        <f>IF(ISBLANK(Actuals!BH87),-583.8*Escalation!$B$56,Actuals!BH87)</f>
        <v>-631.92389500799993</v>
      </c>
      <c r="BI88" s="28">
        <f>IF(ISBLANK(Actuals!BI87),-583.8*Escalation!$B$57,Actuals!BI87)</f>
        <v>-631.92389500799993</v>
      </c>
      <c r="BJ88" s="28">
        <f>IF(ISBLANK(Actuals!BJ87),-583.8*Escalation!$B$58,Actuals!BJ87)</f>
        <v>-631.92389500799993</v>
      </c>
      <c r="BK88" s="28">
        <f>IF(ISBLANK(Actuals!BK87),-583.8*Escalation!$B$59,Actuals!BK87)</f>
        <v>-631.92389500799993</v>
      </c>
      <c r="BL88" s="28">
        <f>IF(ISBLANK(Actuals!BL87),-583.8*Escalation!$B$60,Actuals!BL87)</f>
        <v>-631.92389500799993</v>
      </c>
      <c r="BM88" s="28">
        <f>IF(ISBLANK(Actuals!BM87),-583.8*Escalation!$B$61,Actuals!BM87)</f>
        <v>-631.92389500799993</v>
      </c>
      <c r="BN88" s="28">
        <f>IF(ISBLANK(Actuals!BN87),-583.8*Escalation!$B$62,Actuals!BN87)</f>
        <v>-644.56237290816</v>
      </c>
      <c r="BO88" s="28">
        <f>IF(ISBLANK(Actuals!BO87),-583.8*Escalation!$B$63,Actuals!BO87)</f>
        <v>-644.56237290816</v>
      </c>
      <c r="BP88" s="28">
        <f>IF(ISBLANK(Actuals!BP87),-583.8*Escalation!$B$64,Actuals!BP87)</f>
        <v>-644.56237290816</v>
      </c>
      <c r="BQ88" s="28">
        <f>IF(ISBLANK(Actuals!BQ87),-583.8*Escalation!$B$65,Actuals!BQ87)</f>
        <v>-644.56237290816</v>
      </c>
      <c r="BR88" s="28">
        <f>IF(ISBLANK(Actuals!BR87),-583.8*Escalation!$B$66,Actuals!BR87)</f>
        <v>-644.56237290816</v>
      </c>
      <c r="BS88" s="28">
        <f>IF(ISBLANK(Actuals!BS87),-583.8*Escalation!$B$67,Actuals!BS87)</f>
        <v>-644.56237290816</v>
      </c>
      <c r="BT88" s="28">
        <f>IF(ISBLANK(Actuals!BT87),-583.8*Escalation!$B$68,Actuals!BT87)</f>
        <v>-644.56237290816</v>
      </c>
      <c r="BU88" s="28">
        <f>IF(ISBLANK(Actuals!BU87),-583.8*Escalation!$B$69,Actuals!BU87)</f>
        <v>-644.56237290816</v>
      </c>
      <c r="BV88" s="28">
        <f>IF(ISBLANK(Actuals!BV87),-583.8*Escalation!$B$70,Actuals!BV87)</f>
        <v>-644.56237290816</v>
      </c>
      <c r="BW88" s="28">
        <f>IF(ISBLANK(Actuals!BW87),-583.8*Escalation!$B$71,Actuals!BW87)</f>
        <v>-644.56237290816</v>
      </c>
      <c r="BX88" s="28">
        <f>IF(ISBLANK(Actuals!BX87),-583.8*Escalation!$B$72,Actuals!BX87)</f>
        <v>-644.56237290816</v>
      </c>
      <c r="BY88" s="28">
        <f>IF(ISBLANK(Actuals!BY87),-583.8*Escalation!$B$73,Actuals!BY87)</f>
        <v>-644.56237290816</v>
      </c>
      <c r="BZ88" s="28">
        <f>IF(ISBLANK(Actuals!BZ87),-583.8*Escalation!$B$74,Actuals!BZ87)</f>
        <v>-657.45362036632321</v>
      </c>
      <c r="CA88" s="28">
        <f>IF(ISBLANK(Actuals!CA87),-583.8*Escalation!$B$75,Actuals!CA87)</f>
        <v>-657.45362036632321</v>
      </c>
      <c r="CB88" s="28">
        <f>IF(ISBLANK(Actuals!CB87),-583.8*Escalation!$B$76,Actuals!CB87)</f>
        <v>-657.45362036632321</v>
      </c>
      <c r="CC88" s="28">
        <f>IF(ISBLANK(Actuals!CC87),-583.8*Escalation!$B$77,Actuals!CC87)</f>
        <v>-657.45362036632321</v>
      </c>
      <c r="CD88" s="28">
        <f>IF(ISBLANK(Actuals!CD87),-583.8*Escalation!$B$78,Actuals!CD87)</f>
        <v>-657.45362036632321</v>
      </c>
      <c r="CE88" s="28">
        <f>IF(ISBLANK(Actuals!CE87),-583.8*Escalation!$B$79,Actuals!CE87)</f>
        <v>-657.45362036632321</v>
      </c>
      <c r="CF88" s="28">
        <f>IF(ISBLANK(Actuals!CF87),-583.8*Escalation!$B$80,Actuals!CF87)</f>
        <v>-657.45362036632321</v>
      </c>
      <c r="CG88" s="28">
        <f>IF(ISBLANK(Actuals!CG87),-583.8*Escalation!$B$81,Actuals!CG87)</f>
        <v>-657.45362036632321</v>
      </c>
      <c r="CH88" s="28">
        <f>IF(ISBLANK(Actuals!CH87),-583.8*Escalation!$B$82,Actuals!CH87)</f>
        <v>-657.45362036632321</v>
      </c>
      <c r="CI88" s="28">
        <f>IF(ISBLANK(Actuals!CI87),-583.8*Escalation!$B$83,Actuals!CI87)</f>
        <v>-657.45362036632321</v>
      </c>
      <c r="CJ88" s="28">
        <f>IF(ISBLANK(Actuals!CJ87),-583.8*Escalation!$B$84,Actuals!CJ87)</f>
        <v>-657.45362036632321</v>
      </c>
      <c r="CK88" s="28">
        <f>IF(ISBLANK(Actuals!CK87),-583.8*Escalation!$B$85,Actuals!CK87)</f>
        <v>-657.45362036632321</v>
      </c>
      <c r="CL88" s="28">
        <f>IF(ISBLANK(Actuals!CL87),-583.8*Escalation!$B$86,Actuals!CL87)</f>
        <v>-670.60269277364955</v>
      </c>
      <c r="CM88" s="28">
        <f>IF(ISBLANK(Actuals!CM87),-583.8*Escalation!$B$87,Actuals!CM87)</f>
        <v>-670.60269277364955</v>
      </c>
      <c r="CN88" s="28">
        <f>IF(ISBLANK(Actuals!CN87),-583.8*Escalation!$B$88,Actuals!CN87)</f>
        <v>-670.60269277364955</v>
      </c>
      <c r="CO88" s="28">
        <f>IF(ISBLANK(Actuals!CO87),-583.8*Escalation!$B$89,Actuals!CO87)</f>
        <v>-670.60269277364955</v>
      </c>
      <c r="CP88" s="28">
        <f>IF(ISBLANK(Actuals!CP87),-583.8*Escalation!$B$90,Actuals!CP87)</f>
        <v>-670.60269277364955</v>
      </c>
      <c r="CQ88" s="28">
        <f>IF(ISBLANK(Actuals!CQ87),-583.8*Escalation!$B$91,Actuals!CQ87)</f>
        <v>-670.60269277364955</v>
      </c>
      <c r="CR88" s="28">
        <f>IF(ISBLANK(Actuals!CR87),-583.8*Escalation!$B$92,Actuals!CR87)</f>
        <v>-670.60269277364955</v>
      </c>
      <c r="CS88" s="28">
        <f>IF(ISBLANK(Actuals!CS87),-583.8*Escalation!$B$93,Actuals!CS87)</f>
        <v>-670.60269277364955</v>
      </c>
      <c r="CT88" s="28">
        <f>IF(ISBLANK(Actuals!CT87),-583.8*Escalation!$B$94,Actuals!CT87)</f>
        <v>-670.60269277364955</v>
      </c>
      <c r="CU88" s="28">
        <f>IF(ISBLANK(Actuals!CU87),-583.8*Escalation!$B$95,Actuals!CU87)</f>
        <v>-670.60269277364955</v>
      </c>
      <c r="CV88" s="28">
        <f>IF(ISBLANK(Actuals!CV87),-583.8*Escalation!$B$96,Actuals!CV87)</f>
        <v>-670.60269277364955</v>
      </c>
      <c r="CW88" s="28">
        <f>IF(ISBLANK(Actuals!CW87),-583.8*Escalation!$B$97,Actuals!CW87)</f>
        <v>-670.60269277364955</v>
      </c>
      <c r="CX88" s="28">
        <f>IF(ISBLANK(Actuals!CX87),-583.8*Escalation!$B$98,Actuals!CX87)</f>
        <v>-684.01474662912256</v>
      </c>
      <c r="CY88" s="28">
        <f>IF(ISBLANK(Actuals!CY87),-583.8*Escalation!$B$99,Actuals!CY87)</f>
        <v>-684.01474662912256</v>
      </c>
      <c r="CZ88" s="28">
        <f>IF(ISBLANK(Actuals!CZ87),-583.8*Escalation!$B$100,Actuals!CZ87)</f>
        <v>-684.01474662912256</v>
      </c>
      <c r="DA88" s="28">
        <f>IF(ISBLANK(Actuals!DA87),-583.8*Escalation!$B$101,Actuals!DA87)</f>
        <v>-684.01474662912256</v>
      </c>
      <c r="DB88" s="28">
        <f>IF(ISBLANK(Actuals!DB87),-583.8*Escalation!$B$102,Actuals!DB87)</f>
        <v>-684.01474662912256</v>
      </c>
      <c r="DC88" s="28">
        <f>IF(ISBLANK(Actuals!DC87),-583.8*Escalation!$B$103,Actuals!DC87)</f>
        <v>-684.01474662912256</v>
      </c>
      <c r="DD88" s="28">
        <f>IF(ISBLANK(Actuals!DD87),-583.8*Escalation!$B$104,Actuals!DD87)</f>
        <v>-684.01474662912256</v>
      </c>
      <c r="DE88" s="28">
        <f>IF(ISBLANK(Actuals!DE87),-583.8*Escalation!$B$105,Actuals!DE87)</f>
        <v>-684.01474662912256</v>
      </c>
      <c r="DF88" s="28">
        <f>IF(ISBLANK(Actuals!DF87),-583.8*Escalation!$B$106,Actuals!DF87)</f>
        <v>-684.01474662912256</v>
      </c>
    </row>
    <row r="89" spans="1:110" ht="15" customHeight="1" x14ac:dyDescent="0.25">
      <c r="A89" s="27" t="s">
        <v>75</v>
      </c>
      <c r="B89" s="27"/>
      <c r="C89" s="28">
        <f>IF(ISBLANK(Actuals!C88),0,Actuals!C88)</f>
        <v>-246.85</v>
      </c>
      <c r="D89" s="28">
        <f>IF(ISBLANK(Actuals!D88),0,Actuals!D88)</f>
        <v>0</v>
      </c>
      <c r="E89" s="28">
        <f>IF(ISBLANK(Actuals!E88),0,Actuals!E88)</f>
        <v>-4246.7299999999996</v>
      </c>
      <c r="F89" s="28">
        <f>IF(ISBLANK(Actuals!F88),-1497.86*Escalation!$B$2,Actuals!F88)</f>
        <v>-3123.87</v>
      </c>
      <c r="G89" s="28">
        <f>IF(ISBLANK(Actuals!G88),-1497.86*Escalation!$B$3,Actuals!G88)</f>
        <v>-1497.86</v>
      </c>
      <c r="H89" s="28">
        <f>IF(ISBLANK(Actuals!H88),-1497.86*Escalation!$B$4,Actuals!H88)</f>
        <v>-1497.86</v>
      </c>
      <c r="I89" s="28">
        <f>IF(ISBLANK(Actuals!I88),-1497.86*Escalation!$B$5,Actuals!I88)</f>
        <v>-1497.86</v>
      </c>
      <c r="J89" s="28">
        <f>IF(ISBLANK(Actuals!J88),-1497.86*Escalation!$B$6,Actuals!J88)</f>
        <v>-1497.86</v>
      </c>
      <c r="K89" s="28">
        <f>IF(ISBLANK(Actuals!K88),-1497.86*Escalation!$B$7,Actuals!K88)</f>
        <v>-1497.86</v>
      </c>
      <c r="L89" s="28">
        <f>IF(ISBLANK(Actuals!L88),-1497.86*Escalation!$B$8,Actuals!L88)</f>
        <v>-1497.86</v>
      </c>
      <c r="M89" s="28">
        <f>IF(ISBLANK(Actuals!M88),-1497.86*Escalation!$B$9,Actuals!M88)</f>
        <v>-1497.86</v>
      </c>
      <c r="N89" s="28">
        <f>IF(ISBLANK(Actuals!N88),-1497.86*Escalation!$B$10,Actuals!N88)</f>
        <v>-1497.86</v>
      </c>
      <c r="O89" s="28">
        <f>IF(ISBLANK(Actuals!O88),-1497.86*Escalation!$B$11,Actuals!O88)</f>
        <v>-1497.86</v>
      </c>
      <c r="P89" s="28">
        <f>IF(ISBLANK(Actuals!P88),-1497.86*Escalation!$B$12,Actuals!P88)</f>
        <v>-1497.86</v>
      </c>
      <c r="Q89" s="28">
        <f>IF(ISBLANK(Actuals!Q88),-1497.86*Escalation!$B$13,Actuals!Q88)</f>
        <v>-1497.86</v>
      </c>
      <c r="R89" s="28">
        <f>IF(ISBLANK(Actuals!R88),-1497.86*Escalation!$B$14,Actuals!R88)</f>
        <v>-1527.8172</v>
      </c>
      <c r="S89" s="28">
        <f>IF(ISBLANK(Actuals!S88),-1497.86*Escalation!$B$15,Actuals!S88)</f>
        <v>-1527.8172</v>
      </c>
      <c r="T89" s="28">
        <f>IF(ISBLANK(Actuals!T88),-1497.86*Escalation!$B$16,Actuals!T88)</f>
        <v>-1527.8172</v>
      </c>
      <c r="U89" s="28">
        <f>IF(ISBLANK(Actuals!U88),-1497.86*Escalation!$B$17,Actuals!U88)</f>
        <v>-1527.8172</v>
      </c>
      <c r="V89" s="28">
        <f>IF(ISBLANK(Actuals!V88),-1497.86*Escalation!$B$18,Actuals!V88)</f>
        <v>-1527.8172</v>
      </c>
      <c r="W89" s="28">
        <f>IF(ISBLANK(Actuals!W88),-1497.86*Escalation!$B$19,Actuals!W88)</f>
        <v>-1527.8172</v>
      </c>
      <c r="X89" s="28">
        <f>IF(ISBLANK(Actuals!X88),-1497.86*Escalation!$B$20,Actuals!X88)</f>
        <v>-1527.8172</v>
      </c>
      <c r="Y89" s="28">
        <f>IF(ISBLANK(Actuals!Y88),-1497.86*Escalation!$B$21,Actuals!Y88)</f>
        <v>-1527.8172</v>
      </c>
      <c r="Z89" s="28">
        <f>IF(ISBLANK(Actuals!Z88),-1497.86*Escalation!$B$22,Actuals!Z88)</f>
        <v>-1527.8172</v>
      </c>
      <c r="AA89" s="28">
        <f>IF(ISBLANK(Actuals!AA88),-1497.86*Escalation!$B$23,Actuals!AA88)</f>
        <v>-1527.8172</v>
      </c>
      <c r="AB89" s="28">
        <f>IF(ISBLANK(Actuals!AB88),-1497.86*Escalation!$B$24,Actuals!AB88)</f>
        <v>-1527.8172</v>
      </c>
      <c r="AC89" s="28">
        <f>IF(ISBLANK(Actuals!AC88),-1497.86*Escalation!$B$25,Actuals!AC88)</f>
        <v>-1527.8172</v>
      </c>
      <c r="AD89" s="28">
        <f>IF(ISBLANK(Actuals!AD88),-1497.86*Escalation!$B$26,Actuals!AD88)</f>
        <v>-1558.3735439999998</v>
      </c>
      <c r="AE89" s="28">
        <f>IF(ISBLANK(Actuals!AE88),-1497.86*Escalation!$B$27,Actuals!AE88)</f>
        <v>-1558.3735439999998</v>
      </c>
      <c r="AF89" s="28">
        <f>IF(ISBLANK(Actuals!AF88),-1497.86*Escalation!$B$28,Actuals!AF88)</f>
        <v>-1558.3735439999998</v>
      </c>
      <c r="AG89" s="28">
        <f>IF(ISBLANK(Actuals!AG88),-1497.86*Escalation!$B$29,Actuals!AG88)</f>
        <v>-1558.3735439999998</v>
      </c>
      <c r="AH89" s="28">
        <f>IF(ISBLANK(Actuals!AH88),-1497.86*Escalation!$B$30,Actuals!AH88)</f>
        <v>-1558.3735439999998</v>
      </c>
      <c r="AI89" s="28">
        <f>IF(ISBLANK(Actuals!AI88),-1497.86*Escalation!$B$31,Actuals!AI88)</f>
        <v>-1558.3735439999998</v>
      </c>
      <c r="AJ89" s="28">
        <f>IF(ISBLANK(Actuals!AJ88),-1497.86*Escalation!$B$32,Actuals!AJ88)</f>
        <v>-1558.3735439999998</v>
      </c>
      <c r="AK89" s="28">
        <f>IF(ISBLANK(Actuals!AK88),-1497.86*Escalation!$B$33,Actuals!AK88)</f>
        <v>-1558.3735439999998</v>
      </c>
      <c r="AL89" s="28">
        <f>IF(ISBLANK(Actuals!AL88),-1497.86*Escalation!$B$34,Actuals!AL88)</f>
        <v>-1558.3735439999998</v>
      </c>
      <c r="AM89" s="28">
        <f>IF(ISBLANK(Actuals!AM88),-1497.86*Escalation!$B$35,Actuals!AM88)</f>
        <v>-1558.3735439999998</v>
      </c>
      <c r="AN89" s="28">
        <f>IF(ISBLANK(Actuals!AN88),-1497.86*Escalation!$B$36,Actuals!AN88)</f>
        <v>-1558.3735439999998</v>
      </c>
      <c r="AO89" s="28">
        <f>IF(ISBLANK(Actuals!AO88),-1497.86*Escalation!$B$37,Actuals!AO88)</f>
        <v>-1558.3735439999998</v>
      </c>
      <c r="AP89" s="28">
        <f>IF(ISBLANK(Actuals!AP88),-1497.86*Escalation!$B$38,Actuals!AP88)</f>
        <v>-1589.5410148799997</v>
      </c>
      <c r="AQ89" s="28">
        <f>IF(ISBLANK(Actuals!AQ88),-1497.86*Escalation!$B$39,Actuals!AQ88)</f>
        <v>-1589.5410148799997</v>
      </c>
      <c r="AR89" s="28">
        <f>IF(ISBLANK(Actuals!AR88),-1497.86*Escalation!$B$40,Actuals!AR88)</f>
        <v>-1589.5410148799997</v>
      </c>
      <c r="AS89" s="28">
        <f>IF(ISBLANK(Actuals!AS88),-1497.86*Escalation!$B$41,Actuals!AS88)</f>
        <v>-1589.5410148799997</v>
      </c>
      <c r="AT89" s="28">
        <f>IF(ISBLANK(Actuals!AT88),-1497.86*Escalation!$B$42,Actuals!AT88)</f>
        <v>-1589.5410148799997</v>
      </c>
      <c r="AU89" s="28">
        <f>IF(ISBLANK(Actuals!AU88),-1497.86*Escalation!$B$43,Actuals!AU88)</f>
        <v>-1589.5410148799997</v>
      </c>
      <c r="AV89" s="28">
        <f>IF(ISBLANK(Actuals!AV88),-1497.86*Escalation!$B$44,Actuals!AV88)</f>
        <v>-1589.5410148799997</v>
      </c>
      <c r="AW89" s="28">
        <f>IF(ISBLANK(Actuals!AW88),-1497.86*Escalation!$B$45,Actuals!AW88)</f>
        <v>-1589.5410148799997</v>
      </c>
      <c r="AX89" s="28">
        <f>IF(ISBLANK(Actuals!AX88),-1497.86*Escalation!$B$46,Actuals!AX88)</f>
        <v>-1589.5410148799997</v>
      </c>
      <c r="AY89" s="28">
        <f>IF(ISBLANK(Actuals!AY88),-1497.86*Escalation!$B$47,Actuals!AY88)</f>
        <v>-1589.5410148799997</v>
      </c>
      <c r="AZ89" s="28">
        <f>IF(ISBLANK(Actuals!AZ88),-1497.86*Escalation!$B$48,Actuals!AZ88)</f>
        <v>-1589.5410148799997</v>
      </c>
      <c r="BA89" s="28">
        <f>IF(ISBLANK(Actuals!BA88),-1497.86*Escalation!$B$49,Actuals!BA88)</f>
        <v>-1589.5410148799997</v>
      </c>
      <c r="BB89" s="28">
        <f>IF(ISBLANK(Actuals!BB88),-1497.86*Escalation!$B$50,Actuals!BB88)</f>
        <v>-1621.3318351775999</v>
      </c>
      <c r="BC89" s="28">
        <f>IF(ISBLANK(Actuals!BC88),-1497.86*Escalation!$B$51,Actuals!BC88)</f>
        <v>-1621.3318351775999</v>
      </c>
      <c r="BD89" s="28">
        <f>IF(ISBLANK(Actuals!BD88),-1497.86*Escalation!$B$52,Actuals!BD88)</f>
        <v>-1621.3318351775999</v>
      </c>
      <c r="BE89" s="28">
        <f>IF(ISBLANK(Actuals!BE88),-1497.86*Escalation!$B$53,Actuals!BE88)</f>
        <v>-1621.3318351775999</v>
      </c>
      <c r="BF89" s="28">
        <f>IF(ISBLANK(Actuals!BF88),-1497.86*Escalation!$B$54,Actuals!BF88)</f>
        <v>-1621.3318351775999</v>
      </c>
      <c r="BG89" s="28">
        <f>IF(ISBLANK(Actuals!BG88),-1497.86*Escalation!$B$55,Actuals!BG88)</f>
        <v>-1621.3318351775999</v>
      </c>
      <c r="BH89" s="28">
        <f>IF(ISBLANK(Actuals!BH88),-1497.86*Escalation!$B$56,Actuals!BH88)</f>
        <v>-1621.3318351775999</v>
      </c>
      <c r="BI89" s="28">
        <f>IF(ISBLANK(Actuals!BI88),-1497.86*Escalation!$B$57,Actuals!BI88)</f>
        <v>-1621.3318351775999</v>
      </c>
      <c r="BJ89" s="28">
        <f>IF(ISBLANK(Actuals!BJ88),-1497.86*Escalation!$B$58,Actuals!BJ88)</f>
        <v>-1621.3318351775999</v>
      </c>
      <c r="BK89" s="28">
        <f>IF(ISBLANK(Actuals!BK88),-1497.86*Escalation!$B$59,Actuals!BK88)</f>
        <v>-1621.3318351775999</v>
      </c>
      <c r="BL89" s="28">
        <f>IF(ISBLANK(Actuals!BL88),-1497.86*Escalation!$B$60,Actuals!BL88)</f>
        <v>-1621.3318351775999</v>
      </c>
      <c r="BM89" s="28">
        <f>IF(ISBLANK(Actuals!BM88),-1497.86*Escalation!$B$61,Actuals!BM88)</f>
        <v>-1621.3318351775999</v>
      </c>
      <c r="BN89" s="28">
        <f>IF(ISBLANK(Actuals!BN88),-1497.86*Escalation!$B$62,Actuals!BN88)</f>
        <v>-1653.758471881152</v>
      </c>
      <c r="BO89" s="28">
        <f>IF(ISBLANK(Actuals!BO88),-1497.86*Escalation!$B$63,Actuals!BO88)</f>
        <v>-1653.758471881152</v>
      </c>
      <c r="BP89" s="28">
        <f>IF(ISBLANK(Actuals!BP88),-1497.86*Escalation!$B$64,Actuals!BP88)</f>
        <v>-1653.758471881152</v>
      </c>
      <c r="BQ89" s="28">
        <f>IF(ISBLANK(Actuals!BQ88),-1497.86*Escalation!$B$65,Actuals!BQ88)</f>
        <v>-1653.758471881152</v>
      </c>
      <c r="BR89" s="28">
        <f>IF(ISBLANK(Actuals!BR88),-1497.86*Escalation!$B$66,Actuals!BR88)</f>
        <v>-1653.758471881152</v>
      </c>
      <c r="BS89" s="28">
        <f>IF(ISBLANK(Actuals!BS88),-1497.86*Escalation!$B$67,Actuals!BS88)</f>
        <v>-1653.758471881152</v>
      </c>
      <c r="BT89" s="28">
        <f>IF(ISBLANK(Actuals!BT88),-1497.86*Escalation!$B$68,Actuals!BT88)</f>
        <v>-1653.758471881152</v>
      </c>
      <c r="BU89" s="28">
        <f>IF(ISBLANK(Actuals!BU88),-1497.86*Escalation!$B$69,Actuals!BU88)</f>
        <v>-1653.758471881152</v>
      </c>
      <c r="BV89" s="28">
        <f>IF(ISBLANK(Actuals!BV88),-1497.86*Escalation!$B$70,Actuals!BV88)</f>
        <v>-1653.758471881152</v>
      </c>
      <c r="BW89" s="28">
        <f>IF(ISBLANK(Actuals!BW88),-1497.86*Escalation!$B$71,Actuals!BW88)</f>
        <v>-1653.758471881152</v>
      </c>
      <c r="BX89" s="28">
        <f>IF(ISBLANK(Actuals!BX88),-1497.86*Escalation!$B$72,Actuals!BX88)</f>
        <v>-1653.758471881152</v>
      </c>
      <c r="BY89" s="28">
        <f>IF(ISBLANK(Actuals!BY88),-1497.86*Escalation!$B$73,Actuals!BY88)</f>
        <v>-1653.758471881152</v>
      </c>
      <c r="BZ89" s="28">
        <f>IF(ISBLANK(Actuals!BZ88),-1497.86*Escalation!$B$74,Actuals!BZ88)</f>
        <v>-1686.8336413187751</v>
      </c>
      <c r="CA89" s="28">
        <f>IF(ISBLANK(Actuals!CA88),-1497.86*Escalation!$B$75,Actuals!CA88)</f>
        <v>-1686.8336413187751</v>
      </c>
      <c r="CB89" s="28">
        <f>IF(ISBLANK(Actuals!CB88),-1497.86*Escalation!$B$76,Actuals!CB88)</f>
        <v>-1686.8336413187751</v>
      </c>
      <c r="CC89" s="28">
        <f>IF(ISBLANK(Actuals!CC88),-1497.86*Escalation!$B$77,Actuals!CC88)</f>
        <v>-1686.8336413187751</v>
      </c>
      <c r="CD89" s="28">
        <f>IF(ISBLANK(Actuals!CD88),-1497.86*Escalation!$B$78,Actuals!CD88)</f>
        <v>-1686.8336413187751</v>
      </c>
      <c r="CE89" s="28">
        <f>IF(ISBLANK(Actuals!CE88),-1497.86*Escalation!$B$79,Actuals!CE88)</f>
        <v>-1686.8336413187751</v>
      </c>
      <c r="CF89" s="28">
        <f>IF(ISBLANK(Actuals!CF88),-1497.86*Escalation!$B$80,Actuals!CF88)</f>
        <v>-1686.8336413187751</v>
      </c>
      <c r="CG89" s="28">
        <f>IF(ISBLANK(Actuals!CG88),-1497.86*Escalation!$B$81,Actuals!CG88)</f>
        <v>-1686.8336413187751</v>
      </c>
      <c r="CH89" s="28">
        <f>IF(ISBLANK(Actuals!CH88),-1497.86*Escalation!$B$82,Actuals!CH88)</f>
        <v>-1686.8336413187751</v>
      </c>
      <c r="CI89" s="28">
        <f>IF(ISBLANK(Actuals!CI88),-1497.86*Escalation!$B$83,Actuals!CI88)</f>
        <v>-1686.8336413187751</v>
      </c>
      <c r="CJ89" s="28">
        <f>IF(ISBLANK(Actuals!CJ88),-1497.86*Escalation!$B$84,Actuals!CJ88)</f>
        <v>-1686.8336413187751</v>
      </c>
      <c r="CK89" s="28">
        <f>IF(ISBLANK(Actuals!CK88),-1497.86*Escalation!$B$85,Actuals!CK88)</f>
        <v>-1686.8336413187751</v>
      </c>
      <c r="CL89" s="28">
        <f>IF(ISBLANK(Actuals!CL88),-1497.86*Escalation!$B$86,Actuals!CL88)</f>
        <v>-1720.5703141451502</v>
      </c>
      <c r="CM89" s="28">
        <f>IF(ISBLANK(Actuals!CM88),-1497.86*Escalation!$B$87,Actuals!CM88)</f>
        <v>-1720.5703141451502</v>
      </c>
      <c r="CN89" s="28">
        <f>IF(ISBLANK(Actuals!CN88),-1497.86*Escalation!$B$88,Actuals!CN88)</f>
        <v>-1720.5703141451502</v>
      </c>
      <c r="CO89" s="28">
        <f>IF(ISBLANK(Actuals!CO88),-1497.86*Escalation!$B$89,Actuals!CO88)</f>
        <v>-1720.5703141451502</v>
      </c>
      <c r="CP89" s="28">
        <f>IF(ISBLANK(Actuals!CP88),-1497.86*Escalation!$B$90,Actuals!CP88)</f>
        <v>-1720.5703141451502</v>
      </c>
      <c r="CQ89" s="28">
        <f>IF(ISBLANK(Actuals!CQ88),-1497.86*Escalation!$B$91,Actuals!CQ88)</f>
        <v>-1720.5703141451502</v>
      </c>
      <c r="CR89" s="28">
        <f>IF(ISBLANK(Actuals!CR88),-1497.86*Escalation!$B$92,Actuals!CR88)</f>
        <v>-1720.5703141451502</v>
      </c>
      <c r="CS89" s="28">
        <f>IF(ISBLANK(Actuals!CS88),-1497.86*Escalation!$B$93,Actuals!CS88)</f>
        <v>-1720.5703141451502</v>
      </c>
      <c r="CT89" s="28">
        <f>IF(ISBLANK(Actuals!CT88),-1497.86*Escalation!$B$94,Actuals!CT88)</f>
        <v>-1720.5703141451502</v>
      </c>
      <c r="CU89" s="28">
        <f>IF(ISBLANK(Actuals!CU88),-1497.86*Escalation!$B$95,Actuals!CU88)</f>
        <v>-1720.5703141451502</v>
      </c>
      <c r="CV89" s="28">
        <f>IF(ISBLANK(Actuals!CV88),-1497.86*Escalation!$B$96,Actuals!CV88)</f>
        <v>-1720.5703141451502</v>
      </c>
      <c r="CW89" s="28">
        <f>IF(ISBLANK(Actuals!CW88),-1497.86*Escalation!$B$97,Actuals!CW88)</f>
        <v>-1720.5703141451502</v>
      </c>
      <c r="CX89" s="28">
        <f>IF(ISBLANK(Actuals!CX88),-1497.86*Escalation!$B$98,Actuals!CX88)</f>
        <v>-1754.9817204280532</v>
      </c>
      <c r="CY89" s="28">
        <f>IF(ISBLANK(Actuals!CY88),-1497.86*Escalation!$B$99,Actuals!CY88)</f>
        <v>-1754.9817204280532</v>
      </c>
      <c r="CZ89" s="28">
        <f>IF(ISBLANK(Actuals!CZ88),-1497.86*Escalation!$B$100,Actuals!CZ88)</f>
        <v>-1754.9817204280532</v>
      </c>
      <c r="DA89" s="28">
        <f>IF(ISBLANK(Actuals!DA88),-1497.86*Escalation!$B$101,Actuals!DA88)</f>
        <v>-1754.9817204280532</v>
      </c>
      <c r="DB89" s="28">
        <f>IF(ISBLANK(Actuals!DB88),-1497.86*Escalation!$B$102,Actuals!DB88)</f>
        <v>-1754.9817204280532</v>
      </c>
      <c r="DC89" s="28">
        <f>IF(ISBLANK(Actuals!DC88),-1497.86*Escalation!$B$103,Actuals!DC88)</f>
        <v>-1754.9817204280532</v>
      </c>
      <c r="DD89" s="28">
        <f>IF(ISBLANK(Actuals!DD88),-1497.86*Escalation!$B$104,Actuals!DD88)</f>
        <v>-1754.9817204280532</v>
      </c>
      <c r="DE89" s="28">
        <f>IF(ISBLANK(Actuals!DE88),-1497.86*Escalation!$B$105,Actuals!DE88)</f>
        <v>-1754.9817204280532</v>
      </c>
      <c r="DF89" s="28">
        <f>IF(ISBLANK(Actuals!DF88),-1497.86*Escalation!$B$106,Actuals!DF88)</f>
        <v>-1754.9817204280532</v>
      </c>
    </row>
    <row r="90" spans="1:110" ht="15" customHeight="1" x14ac:dyDescent="0.25">
      <c r="A90" s="27" t="s">
        <v>115</v>
      </c>
      <c r="B90" s="27"/>
      <c r="C90" s="28">
        <f>IF(ISBLANK(Actuals!C89),0,Actuals!C89)</f>
        <v>0</v>
      </c>
      <c r="D90" s="28">
        <f>IF(ISBLANK(Actuals!D89),0,Actuals!D89)</f>
        <v>0</v>
      </c>
      <c r="E90" s="28">
        <f>IF(ISBLANK(Actuals!E89),0,Actuals!E89)</f>
        <v>-870</v>
      </c>
      <c r="F90" s="28">
        <f>IF(ISBLANK(Actuals!F89),-290*Escalation!$B$2,Actuals!F89)</f>
        <v>0</v>
      </c>
      <c r="G90" s="28">
        <f>IF(ISBLANK(Actuals!G89),-290*Escalation!$B$3,Actuals!G89)</f>
        <v>-290</v>
      </c>
      <c r="H90" s="28">
        <f>IF(ISBLANK(Actuals!H89),-290*Escalation!$B$4,Actuals!H89)</f>
        <v>-290</v>
      </c>
      <c r="I90" s="28">
        <f>IF(ISBLANK(Actuals!I89),-290*Escalation!$B$5,Actuals!I89)</f>
        <v>-290</v>
      </c>
      <c r="J90" s="28">
        <f>IF(ISBLANK(Actuals!J89),-290*Escalation!$B$6,Actuals!J89)</f>
        <v>-290</v>
      </c>
      <c r="K90" s="28">
        <f>IF(ISBLANK(Actuals!K89),-290*Escalation!$B$7,Actuals!K89)</f>
        <v>-290</v>
      </c>
      <c r="L90" s="28">
        <f>IF(ISBLANK(Actuals!L89),-290*Escalation!$B$8,Actuals!L89)</f>
        <v>-290</v>
      </c>
      <c r="M90" s="28">
        <f>IF(ISBLANK(Actuals!M89),-290*Escalation!$B$9,Actuals!M89)</f>
        <v>-290</v>
      </c>
      <c r="N90" s="28">
        <f>IF(ISBLANK(Actuals!N89),-290*Escalation!$B$10,Actuals!N89)</f>
        <v>-290</v>
      </c>
      <c r="O90" s="28">
        <f>IF(ISBLANK(Actuals!O89),-290*Escalation!$B$11,Actuals!O89)</f>
        <v>-290</v>
      </c>
      <c r="P90" s="28">
        <f>IF(ISBLANK(Actuals!P89),-290*Escalation!$B$12,Actuals!P89)</f>
        <v>-290</v>
      </c>
      <c r="Q90" s="28">
        <f>IF(ISBLANK(Actuals!Q89),-290*Escalation!$B$13,Actuals!Q89)</f>
        <v>-290</v>
      </c>
      <c r="R90" s="28">
        <f>IF(ISBLANK(Actuals!R89),-290*Escalation!$B$14,Actuals!R89)</f>
        <v>-295.8</v>
      </c>
      <c r="S90" s="28">
        <f>IF(ISBLANK(Actuals!S89),-290*Escalation!$B$15,Actuals!S89)</f>
        <v>-295.8</v>
      </c>
      <c r="T90" s="28">
        <f>IF(ISBLANK(Actuals!T89),-290*Escalation!$B$16,Actuals!T89)</f>
        <v>-295.8</v>
      </c>
      <c r="U90" s="28">
        <f>IF(ISBLANK(Actuals!U89),-290*Escalation!$B$17,Actuals!U89)</f>
        <v>-295.8</v>
      </c>
      <c r="V90" s="28">
        <f>IF(ISBLANK(Actuals!V89),-290*Escalation!$B$18,Actuals!V89)</f>
        <v>-295.8</v>
      </c>
      <c r="W90" s="28">
        <f>IF(ISBLANK(Actuals!W89),-290*Escalation!$B$19,Actuals!W89)</f>
        <v>-295.8</v>
      </c>
      <c r="X90" s="28">
        <f>IF(ISBLANK(Actuals!X89),-290*Escalation!$B$20,Actuals!X89)</f>
        <v>-295.8</v>
      </c>
      <c r="Y90" s="28">
        <f>IF(ISBLANK(Actuals!Y89),-290*Escalation!$B$21,Actuals!Y89)</f>
        <v>-295.8</v>
      </c>
      <c r="Z90" s="28">
        <f>IF(ISBLANK(Actuals!Z89),-290*Escalation!$B$22,Actuals!Z89)</f>
        <v>-295.8</v>
      </c>
      <c r="AA90" s="28">
        <f>IF(ISBLANK(Actuals!AA89),-290*Escalation!$B$23,Actuals!AA89)</f>
        <v>-295.8</v>
      </c>
      <c r="AB90" s="28">
        <f>IF(ISBLANK(Actuals!AB89),-290*Escalation!$B$24,Actuals!AB89)</f>
        <v>-295.8</v>
      </c>
      <c r="AC90" s="28">
        <f>IF(ISBLANK(Actuals!AC89),-290*Escalation!$B$25,Actuals!AC89)</f>
        <v>-295.8</v>
      </c>
      <c r="AD90" s="28">
        <f>IF(ISBLANK(Actuals!AD89),-290*Escalation!$B$26,Actuals!AD89)</f>
        <v>-301.71600000000001</v>
      </c>
      <c r="AE90" s="28">
        <f>IF(ISBLANK(Actuals!AE89),-290*Escalation!$B$27,Actuals!AE89)</f>
        <v>-301.71600000000001</v>
      </c>
      <c r="AF90" s="28">
        <f>IF(ISBLANK(Actuals!AF89),-290*Escalation!$B$28,Actuals!AF89)</f>
        <v>-301.71600000000001</v>
      </c>
      <c r="AG90" s="28">
        <f>IF(ISBLANK(Actuals!AG89),-290*Escalation!$B$29,Actuals!AG89)</f>
        <v>-301.71600000000001</v>
      </c>
      <c r="AH90" s="28">
        <f>IF(ISBLANK(Actuals!AH89),-290*Escalation!$B$30,Actuals!AH89)</f>
        <v>-301.71600000000001</v>
      </c>
      <c r="AI90" s="28">
        <f>IF(ISBLANK(Actuals!AI89),-290*Escalation!$B$31,Actuals!AI89)</f>
        <v>-301.71600000000001</v>
      </c>
      <c r="AJ90" s="28">
        <f>IF(ISBLANK(Actuals!AJ89),-290*Escalation!$B$32,Actuals!AJ89)</f>
        <v>-301.71600000000001</v>
      </c>
      <c r="AK90" s="28">
        <f>IF(ISBLANK(Actuals!AK89),-290*Escalation!$B$33,Actuals!AK89)</f>
        <v>-301.71600000000001</v>
      </c>
      <c r="AL90" s="28">
        <f>IF(ISBLANK(Actuals!AL89),-290*Escalation!$B$34,Actuals!AL89)</f>
        <v>-301.71600000000001</v>
      </c>
      <c r="AM90" s="28">
        <f>IF(ISBLANK(Actuals!AM89),-290*Escalation!$B$35,Actuals!AM89)</f>
        <v>-301.71600000000001</v>
      </c>
      <c r="AN90" s="28">
        <f>IF(ISBLANK(Actuals!AN89),-290*Escalation!$B$36,Actuals!AN89)</f>
        <v>-301.71600000000001</v>
      </c>
      <c r="AO90" s="28">
        <f>IF(ISBLANK(Actuals!AO89),-290*Escalation!$B$37,Actuals!AO89)</f>
        <v>-301.71600000000001</v>
      </c>
      <c r="AP90" s="28">
        <f>IF(ISBLANK(Actuals!AP89),-290*Escalation!$B$38,Actuals!AP89)</f>
        <v>-307.75031999999999</v>
      </c>
      <c r="AQ90" s="28">
        <f>IF(ISBLANK(Actuals!AQ89),-290*Escalation!$B$39,Actuals!AQ89)</f>
        <v>-307.75031999999999</v>
      </c>
      <c r="AR90" s="28">
        <f>IF(ISBLANK(Actuals!AR89),-290*Escalation!$B$40,Actuals!AR89)</f>
        <v>-307.75031999999999</v>
      </c>
      <c r="AS90" s="28">
        <f>IF(ISBLANK(Actuals!AS89),-290*Escalation!$B$41,Actuals!AS89)</f>
        <v>-307.75031999999999</v>
      </c>
      <c r="AT90" s="28">
        <f>IF(ISBLANK(Actuals!AT89),-290*Escalation!$B$42,Actuals!AT89)</f>
        <v>-307.75031999999999</v>
      </c>
      <c r="AU90" s="28">
        <f>IF(ISBLANK(Actuals!AU89),-290*Escalation!$B$43,Actuals!AU89)</f>
        <v>-307.75031999999999</v>
      </c>
      <c r="AV90" s="28">
        <f>IF(ISBLANK(Actuals!AV89),-290*Escalation!$B$44,Actuals!AV89)</f>
        <v>-307.75031999999999</v>
      </c>
      <c r="AW90" s="28">
        <f>IF(ISBLANK(Actuals!AW89),-290*Escalation!$B$45,Actuals!AW89)</f>
        <v>-307.75031999999999</v>
      </c>
      <c r="AX90" s="28">
        <f>IF(ISBLANK(Actuals!AX89),-290*Escalation!$B$46,Actuals!AX89)</f>
        <v>-307.75031999999999</v>
      </c>
      <c r="AY90" s="28">
        <f>IF(ISBLANK(Actuals!AY89),-290*Escalation!$B$47,Actuals!AY89)</f>
        <v>-307.75031999999999</v>
      </c>
      <c r="AZ90" s="28">
        <f>IF(ISBLANK(Actuals!AZ89),-290*Escalation!$B$48,Actuals!AZ89)</f>
        <v>-307.75031999999999</v>
      </c>
      <c r="BA90" s="28">
        <f>IF(ISBLANK(Actuals!BA89),-290*Escalation!$B$49,Actuals!BA89)</f>
        <v>-307.75031999999999</v>
      </c>
      <c r="BB90" s="28">
        <f>IF(ISBLANK(Actuals!BB89),-290*Escalation!$B$50,Actuals!BB89)</f>
        <v>-313.90532639999998</v>
      </c>
      <c r="BC90" s="28">
        <f>IF(ISBLANK(Actuals!BC89),-290*Escalation!$B$51,Actuals!BC89)</f>
        <v>-313.90532639999998</v>
      </c>
      <c r="BD90" s="28">
        <f>IF(ISBLANK(Actuals!BD89),-290*Escalation!$B$52,Actuals!BD89)</f>
        <v>-313.90532639999998</v>
      </c>
      <c r="BE90" s="28">
        <f>IF(ISBLANK(Actuals!BE89),-290*Escalation!$B$53,Actuals!BE89)</f>
        <v>-313.90532639999998</v>
      </c>
      <c r="BF90" s="28">
        <f>IF(ISBLANK(Actuals!BF89),-290*Escalation!$B$54,Actuals!BF89)</f>
        <v>-313.90532639999998</v>
      </c>
      <c r="BG90" s="28">
        <f>IF(ISBLANK(Actuals!BG89),-290*Escalation!$B$55,Actuals!BG89)</f>
        <v>-313.90532639999998</v>
      </c>
      <c r="BH90" s="28">
        <f>IF(ISBLANK(Actuals!BH89),-290*Escalation!$B$56,Actuals!BH89)</f>
        <v>-313.90532639999998</v>
      </c>
      <c r="BI90" s="28">
        <f>IF(ISBLANK(Actuals!BI89),-290*Escalation!$B$57,Actuals!BI89)</f>
        <v>-313.90532639999998</v>
      </c>
      <c r="BJ90" s="28">
        <f>IF(ISBLANK(Actuals!BJ89),-290*Escalation!$B$58,Actuals!BJ89)</f>
        <v>-313.90532639999998</v>
      </c>
      <c r="BK90" s="28">
        <f>IF(ISBLANK(Actuals!BK89),-290*Escalation!$B$59,Actuals!BK89)</f>
        <v>-313.90532639999998</v>
      </c>
      <c r="BL90" s="28">
        <f>IF(ISBLANK(Actuals!BL89),-290*Escalation!$B$60,Actuals!BL89)</f>
        <v>-313.90532639999998</v>
      </c>
      <c r="BM90" s="28">
        <f>IF(ISBLANK(Actuals!BM89),-290*Escalation!$B$61,Actuals!BM89)</f>
        <v>-313.90532639999998</v>
      </c>
      <c r="BN90" s="28">
        <f>IF(ISBLANK(Actuals!BN89),-290*Escalation!$B$62,Actuals!BN89)</f>
        <v>-320.183432928</v>
      </c>
      <c r="BO90" s="28">
        <f>IF(ISBLANK(Actuals!BO89),-290*Escalation!$B$63,Actuals!BO89)</f>
        <v>-320.183432928</v>
      </c>
      <c r="BP90" s="28">
        <f>IF(ISBLANK(Actuals!BP89),-290*Escalation!$B$64,Actuals!BP89)</f>
        <v>-320.183432928</v>
      </c>
      <c r="BQ90" s="28">
        <f>IF(ISBLANK(Actuals!BQ89),-290*Escalation!$B$65,Actuals!BQ89)</f>
        <v>-320.183432928</v>
      </c>
      <c r="BR90" s="28">
        <f>IF(ISBLANK(Actuals!BR89),-290*Escalation!$B$66,Actuals!BR89)</f>
        <v>-320.183432928</v>
      </c>
      <c r="BS90" s="28">
        <f>IF(ISBLANK(Actuals!BS89),-290*Escalation!$B$67,Actuals!BS89)</f>
        <v>-320.183432928</v>
      </c>
      <c r="BT90" s="28">
        <f>IF(ISBLANK(Actuals!BT89),-290*Escalation!$B$68,Actuals!BT89)</f>
        <v>-320.183432928</v>
      </c>
      <c r="BU90" s="28">
        <f>IF(ISBLANK(Actuals!BU89),-290*Escalation!$B$69,Actuals!BU89)</f>
        <v>-320.183432928</v>
      </c>
      <c r="BV90" s="28">
        <f>IF(ISBLANK(Actuals!BV89),-290*Escalation!$B$70,Actuals!BV89)</f>
        <v>-320.183432928</v>
      </c>
      <c r="BW90" s="28">
        <f>IF(ISBLANK(Actuals!BW89),-290*Escalation!$B$71,Actuals!BW89)</f>
        <v>-320.183432928</v>
      </c>
      <c r="BX90" s="28">
        <f>IF(ISBLANK(Actuals!BX89),-290*Escalation!$B$72,Actuals!BX89)</f>
        <v>-320.183432928</v>
      </c>
      <c r="BY90" s="28">
        <f>IF(ISBLANK(Actuals!BY89),-290*Escalation!$B$73,Actuals!BY89)</f>
        <v>-320.183432928</v>
      </c>
      <c r="BZ90" s="28">
        <f>IF(ISBLANK(Actuals!BZ89),-290*Escalation!$B$74,Actuals!BZ89)</f>
        <v>-326.58710158656004</v>
      </c>
      <c r="CA90" s="28">
        <f>IF(ISBLANK(Actuals!CA89),-290*Escalation!$B$75,Actuals!CA89)</f>
        <v>-326.58710158656004</v>
      </c>
      <c r="CB90" s="28">
        <f>IF(ISBLANK(Actuals!CB89),-290*Escalation!$B$76,Actuals!CB89)</f>
        <v>-326.58710158656004</v>
      </c>
      <c r="CC90" s="28">
        <f>IF(ISBLANK(Actuals!CC89),-290*Escalation!$B$77,Actuals!CC89)</f>
        <v>-326.58710158656004</v>
      </c>
      <c r="CD90" s="28">
        <f>IF(ISBLANK(Actuals!CD89),-290*Escalation!$B$78,Actuals!CD89)</f>
        <v>-326.58710158656004</v>
      </c>
      <c r="CE90" s="28">
        <f>IF(ISBLANK(Actuals!CE89),-290*Escalation!$B$79,Actuals!CE89)</f>
        <v>-326.58710158656004</v>
      </c>
      <c r="CF90" s="28">
        <f>IF(ISBLANK(Actuals!CF89),-290*Escalation!$B$80,Actuals!CF89)</f>
        <v>-326.58710158656004</v>
      </c>
      <c r="CG90" s="28">
        <f>IF(ISBLANK(Actuals!CG89),-290*Escalation!$B$81,Actuals!CG89)</f>
        <v>-326.58710158656004</v>
      </c>
      <c r="CH90" s="28">
        <f>IF(ISBLANK(Actuals!CH89),-290*Escalation!$B$82,Actuals!CH89)</f>
        <v>-326.58710158656004</v>
      </c>
      <c r="CI90" s="28">
        <f>IF(ISBLANK(Actuals!CI89),-290*Escalation!$B$83,Actuals!CI89)</f>
        <v>-326.58710158656004</v>
      </c>
      <c r="CJ90" s="28">
        <f>IF(ISBLANK(Actuals!CJ89),-290*Escalation!$B$84,Actuals!CJ89)</f>
        <v>-326.58710158656004</v>
      </c>
      <c r="CK90" s="28">
        <f>IF(ISBLANK(Actuals!CK89),-290*Escalation!$B$85,Actuals!CK89)</f>
        <v>-326.58710158656004</v>
      </c>
      <c r="CL90" s="28">
        <f>IF(ISBLANK(Actuals!CL89),-290*Escalation!$B$86,Actuals!CL89)</f>
        <v>-333.11884361829112</v>
      </c>
      <c r="CM90" s="28">
        <f>IF(ISBLANK(Actuals!CM89),-290*Escalation!$B$87,Actuals!CM89)</f>
        <v>-333.11884361829112</v>
      </c>
      <c r="CN90" s="28">
        <f>IF(ISBLANK(Actuals!CN89),-290*Escalation!$B$88,Actuals!CN89)</f>
        <v>-333.11884361829112</v>
      </c>
      <c r="CO90" s="28">
        <f>IF(ISBLANK(Actuals!CO89),-290*Escalation!$B$89,Actuals!CO89)</f>
        <v>-333.11884361829112</v>
      </c>
      <c r="CP90" s="28">
        <f>IF(ISBLANK(Actuals!CP89),-290*Escalation!$B$90,Actuals!CP89)</f>
        <v>-333.11884361829112</v>
      </c>
      <c r="CQ90" s="28">
        <f>IF(ISBLANK(Actuals!CQ89),-290*Escalation!$B$91,Actuals!CQ89)</f>
        <v>-333.11884361829112</v>
      </c>
      <c r="CR90" s="28">
        <f>IF(ISBLANK(Actuals!CR89),-290*Escalation!$B$92,Actuals!CR89)</f>
        <v>-333.11884361829112</v>
      </c>
      <c r="CS90" s="28">
        <f>IF(ISBLANK(Actuals!CS89),-290*Escalation!$B$93,Actuals!CS89)</f>
        <v>-333.11884361829112</v>
      </c>
      <c r="CT90" s="28">
        <f>IF(ISBLANK(Actuals!CT89),-290*Escalation!$B$94,Actuals!CT89)</f>
        <v>-333.11884361829112</v>
      </c>
      <c r="CU90" s="28">
        <f>IF(ISBLANK(Actuals!CU89),-290*Escalation!$B$95,Actuals!CU89)</f>
        <v>-333.11884361829112</v>
      </c>
      <c r="CV90" s="28">
        <f>IF(ISBLANK(Actuals!CV89),-290*Escalation!$B$96,Actuals!CV89)</f>
        <v>-333.11884361829112</v>
      </c>
      <c r="CW90" s="28">
        <f>IF(ISBLANK(Actuals!CW89),-290*Escalation!$B$97,Actuals!CW89)</f>
        <v>-333.11884361829112</v>
      </c>
      <c r="CX90" s="28">
        <f>IF(ISBLANK(Actuals!CX89),-290*Escalation!$B$98,Actuals!CX89)</f>
        <v>-339.78122049065701</v>
      </c>
      <c r="CY90" s="28">
        <f>IF(ISBLANK(Actuals!CY89),-290*Escalation!$B$99,Actuals!CY89)</f>
        <v>-339.78122049065701</v>
      </c>
      <c r="CZ90" s="28">
        <f>IF(ISBLANK(Actuals!CZ89),-290*Escalation!$B$100,Actuals!CZ89)</f>
        <v>-339.78122049065701</v>
      </c>
      <c r="DA90" s="28">
        <f>IF(ISBLANK(Actuals!DA89),-290*Escalation!$B$101,Actuals!DA89)</f>
        <v>-339.78122049065701</v>
      </c>
      <c r="DB90" s="28">
        <f>IF(ISBLANK(Actuals!DB89),-290*Escalation!$B$102,Actuals!DB89)</f>
        <v>-339.78122049065701</v>
      </c>
      <c r="DC90" s="28">
        <f>IF(ISBLANK(Actuals!DC89),-290*Escalation!$B$103,Actuals!DC89)</f>
        <v>-339.78122049065701</v>
      </c>
      <c r="DD90" s="28">
        <f>IF(ISBLANK(Actuals!DD89),-290*Escalation!$B$104,Actuals!DD89)</f>
        <v>-339.78122049065701</v>
      </c>
      <c r="DE90" s="28">
        <f>IF(ISBLANK(Actuals!DE89),-290*Escalation!$B$105,Actuals!DE89)</f>
        <v>-339.78122049065701</v>
      </c>
      <c r="DF90" s="28">
        <f>IF(ISBLANK(Actuals!DF89),-290*Escalation!$B$106,Actuals!DF89)</f>
        <v>-339.78122049065701</v>
      </c>
    </row>
    <row r="91" spans="1:110" ht="15" customHeight="1" x14ac:dyDescent="0.25">
      <c r="A91" s="27" t="s">
        <v>116</v>
      </c>
      <c r="B91" s="27"/>
      <c r="C91" s="28">
        <f>IF(ISBLANK(Actuals!C90),0,Actuals!C90)</f>
        <v>-245</v>
      </c>
      <c r="D91" s="28">
        <f>IF(ISBLANK(Actuals!D90),0,Actuals!D90)</f>
        <v>-245</v>
      </c>
      <c r="E91" s="28">
        <f>IF(ISBLANK(Actuals!E90),0,Actuals!E90)</f>
        <v>-245</v>
      </c>
      <c r="F91" s="28">
        <f>IF(ISBLANK(Actuals!F90),-245*Escalation!$B$2,Actuals!F90)</f>
        <v>-245</v>
      </c>
      <c r="G91" s="28">
        <f>IF(ISBLANK(Actuals!G90),-245*Escalation!$B$3,Actuals!G90)</f>
        <v>-245</v>
      </c>
      <c r="H91" s="28">
        <f>IF(ISBLANK(Actuals!H90),-245*Escalation!$B$4,Actuals!H90)</f>
        <v>-245</v>
      </c>
      <c r="I91" s="28">
        <f>IF(ISBLANK(Actuals!I90),-245*Escalation!$B$5,Actuals!I90)</f>
        <v>-245</v>
      </c>
      <c r="J91" s="28">
        <f>IF(ISBLANK(Actuals!J90),-245*Escalation!$B$6,Actuals!J90)</f>
        <v>-245</v>
      </c>
      <c r="K91" s="28">
        <f>IF(ISBLANK(Actuals!K90),-245*Escalation!$B$7,Actuals!K90)</f>
        <v>-245</v>
      </c>
      <c r="L91" s="28">
        <f>IF(ISBLANK(Actuals!L90),-245*Escalation!$B$8,Actuals!L90)</f>
        <v>-245</v>
      </c>
      <c r="M91" s="28">
        <f>IF(ISBLANK(Actuals!M90),-245*Escalation!$B$9,Actuals!M90)</f>
        <v>-245</v>
      </c>
      <c r="N91" s="28">
        <f>IF(ISBLANK(Actuals!N90),-245*Escalation!$B$10,Actuals!N90)</f>
        <v>-245</v>
      </c>
      <c r="O91" s="28">
        <f>IF(ISBLANK(Actuals!O90),-245*Escalation!$B$11,Actuals!O90)</f>
        <v>-245</v>
      </c>
      <c r="P91" s="28">
        <f>IF(ISBLANK(Actuals!P90),-245*Escalation!$B$12,Actuals!P90)</f>
        <v>-245</v>
      </c>
      <c r="Q91" s="28">
        <f>IF(ISBLANK(Actuals!Q90),-245*Escalation!$B$13,Actuals!Q90)</f>
        <v>-245</v>
      </c>
      <c r="R91" s="28">
        <f>IF(ISBLANK(Actuals!R90),-245*Escalation!$B$14,Actuals!R90)</f>
        <v>-249.9</v>
      </c>
      <c r="S91" s="28">
        <f>IF(ISBLANK(Actuals!S90),-245*Escalation!$B$15,Actuals!S90)</f>
        <v>-249.9</v>
      </c>
      <c r="T91" s="28">
        <f>IF(ISBLANK(Actuals!T90),-245*Escalation!$B$16,Actuals!T90)</f>
        <v>-249.9</v>
      </c>
      <c r="U91" s="28">
        <f>IF(ISBLANK(Actuals!U90),-245*Escalation!$B$17,Actuals!U90)</f>
        <v>-249.9</v>
      </c>
      <c r="V91" s="28">
        <f>IF(ISBLANK(Actuals!V90),-245*Escalation!$B$18,Actuals!V90)</f>
        <v>-249.9</v>
      </c>
      <c r="W91" s="28">
        <f>IF(ISBLANK(Actuals!W90),-245*Escalation!$B$19,Actuals!W90)</f>
        <v>-249.9</v>
      </c>
      <c r="X91" s="28">
        <f>IF(ISBLANK(Actuals!X90),-245*Escalation!$B$20,Actuals!X90)</f>
        <v>-249.9</v>
      </c>
      <c r="Y91" s="28">
        <f>IF(ISBLANK(Actuals!Y90),-245*Escalation!$B$21,Actuals!Y90)</f>
        <v>-249.9</v>
      </c>
      <c r="Z91" s="28">
        <f>IF(ISBLANK(Actuals!Z90),-245*Escalation!$B$22,Actuals!Z90)</f>
        <v>-249.9</v>
      </c>
      <c r="AA91" s="28">
        <f>IF(ISBLANK(Actuals!AA90),-245*Escalation!$B$23,Actuals!AA90)</f>
        <v>-249.9</v>
      </c>
      <c r="AB91" s="28">
        <f>IF(ISBLANK(Actuals!AB90),-245*Escalation!$B$24,Actuals!AB90)</f>
        <v>-249.9</v>
      </c>
      <c r="AC91" s="28">
        <f>IF(ISBLANK(Actuals!AC90),-245*Escalation!$B$25,Actuals!AC90)</f>
        <v>-249.9</v>
      </c>
      <c r="AD91" s="28">
        <f>IF(ISBLANK(Actuals!AD90),-245*Escalation!$B$26,Actuals!AD90)</f>
        <v>-254.898</v>
      </c>
      <c r="AE91" s="28">
        <f>IF(ISBLANK(Actuals!AE90),-245*Escalation!$B$27,Actuals!AE90)</f>
        <v>-254.898</v>
      </c>
      <c r="AF91" s="28">
        <f>IF(ISBLANK(Actuals!AF90),-245*Escalation!$B$28,Actuals!AF90)</f>
        <v>-254.898</v>
      </c>
      <c r="AG91" s="28">
        <f>IF(ISBLANK(Actuals!AG90),-245*Escalation!$B$29,Actuals!AG90)</f>
        <v>-254.898</v>
      </c>
      <c r="AH91" s="28">
        <f>IF(ISBLANK(Actuals!AH90),-245*Escalation!$B$30,Actuals!AH90)</f>
        <v>-254.898</v>
      </c>
      <c r="AI91" s="28">
        <f>IF(ISBLANK(Actuals!AI90),-245*Escalation!$B$31,Actuals!AI90)</f>
        <v>-254.898</v>
      </c>
      <c r="AJ91" s="28">
        <f>IF(ISBLANK(Actuals!AJ90),-245*Escalation!$B$32,Actuals!AJ90)</f>
        <v>-254.898</v>
      </c>
      <c r="AK91" s="28">
        <f>IF(ISBLANK(Actuals!AK90),-245*Escalation!$B$33,Actuals!AK90)</f>
        <v>-254.898</v>
      </c>
      <c r="AL91" s="28">
        <f>IF(ISBLANK(Actuals!AL90),-245*Escalation!$B$34,Actuals!AL90)</f>
        <v>-254.898</v>
      </c>
      <c r="AM91" s="28">
        <f>IF(ISBLANK(Actuals!AM90),-245*Escalation!$B$35,Actuals!AM90)</f>
        <v>-254.898</v>
      </c>
      <c r="AN91" s="28">
        <f>IF(ISBLANK(Actuals!AN90),-245*Escalation!$B$36,Actuals!AN90)</f>
        <v>-254.898</v>
      </c>
      <c r="AO91" s="28">
        <f>IF(ISBLANK(Actuals!AO90),-245*Escalation!$B$37,Actuals!AO90)</f>
        <v>-254.898</v>
      </c>
      <c r="AP91" s="28">
        <f>IF(ISBLANK(Actuals!AP90),-245*Escalation!$B$38,Actuals!AP90)</f>
        <v>-259.99595999999997</v>
      </c>
      <c r="AQ91" s="28">
        <f>IF(ISBLANK(Actuals!AQ90),-245*Escalation!$B$39,Actuals!AQ90)</f>
        <v>-259.99595999999997</v>
      </c>
      <c r="AR91" s="28">
        <f>IF(ISBLANK(Actuals!AR90),-245*Escalation!$B$40,Actuals!AR90)</f>
        <v>-259.99595999999997</v>
      </c>
      <c r="AS91" s="28">
        <f>IF(ISBLANK(Actuals!AS90),-245*Escalation!$B$41,Actuals!AS90)</f>
        <v>-259.99595999999997</v>
      </c>
      <c r="AT91" s="28">
        <f>IF(ISBLANK(Actuals!AT90),-245*Escalation!$B$42,Actuals!AT90)</f>
        <v>-259.99595999999997</v>
      </c>
      <c r="AU91" s="28">
        <f>IF(ISBLANK(Actuals!AU90),-245*Escalation!$B$43,Actuals!AU90)</f>
        <v>-259.99595999999997</v>
      </c>
      <c r="AV91" s="28">
        <f>IF(ISBLANK(Actuals!AV90),-245*Escalation!$B$44,Actuals!AV90)</f>
        <v>-259.99595999999997</v>
      </c>
      <c r="AW91" s="28">
        <f>IF(ISBLANK(Actuals!AW90),-245*Escalation!$B$45,Actuals!AW90)</f>
        <v>-259.99595999999997</v>
      </c>
      <c r="AX91" s="28">
        <f>IF(ISBLANK(Actuals!AX90),-245*Escalation!$B$46,Actuals!AX90)</f>
        <v>-259.99595999999997</v>
      </c>
      <c r="AY91" s="28">
        <f>IF(ISBLANK(Actuals!AY90),-245*Escalation!$B$47,Actuals!AY90)</f>
        <v>-259.99595999999997</v>
      </c>
      <c r="AZ91" s="28">
        <f>IF(ISBLANK(Actuals!AZ90),-245*Escalation!$B$48,Actuals!AZ90)</f>
        <v>-259.99595999999997</v>
      </c>
      <c r="BA91" s="28">
        <f>IF(ISBLANK(Actuals!BA90),-245*Escalation!$B$49,Actuals!BA90)</f>
        <v>-259.99595999999997</v>
      </c>
      <c r="BB91" s="28">
        <f>IF(ISBLANK(Actuals!BB90),-245*Escalation!$B$50,Actuals!BB90)</f>
        <v>-265.19587919999998</v>
      </c>
      <c r="BC91" s="28">
        <f>IF(ISBLANK(Actuals!BC90),-245*Escalation!$B$51,Actuals!BC90)</f>
        <v>-265.19587919999998</v>
      </c>
      <c r="BD91" s="28">
        <f>IF(ISBLANK(Actuals!BD90),-245*Escalation!$B$52,Actuals!BD90)</f>
        <v>-265.19587919999998</v>
      </c>
      <c r="BE91" s="28">
        <f>IF(ISBLANK(Actuals!BE90),-245*Escalation!$B$53,Actuals!BE90)</f>
        <v>-265.19587919999998</v>
      </c>
      <c r="BF91" s="28">
        <f>IF(ISBLANK(Actuals!BF90),-245*Escalation!$B$54,Actuals!BF90)</f>
        <v>-265.19587919999998</v>
      </c>
      <c r="BG91" s="28">
        <f>IF(ISBLANK(Actuals!BG90),-245*Escalation!$B$55,Actuals!BG90)</f>
        <v>-265.19587919999998</v>
      </c>
      <c r="BH91" s="28">
        <f>IF(ISBLANK(Actuals!BH90),-245*Escalation!$B$56,Actuals!BH90)</f>
        <v>-265.19587919999998</v>
      </c>
      <c r="BI91" s="28">
        <f>IF(ISBLANK(Actuals!BI90),-245*Escalation!$B$57,Actuals!BI90)</f>
        <v>-265.19587919999998</v>
      </c>
      <c r="BJ91" s="28">
        <f>IF(ISBLANK(Actuals!BJ90),-245*Escalation!$B$58,Actuals!BJ90)</f>
        <v>-265.19587919999998</v>
      </c>
      <c r="BK91" s="28">
        <f>IF(ISBLANK(Actuals!BK90),-245*Escalation!$B$59,Actuals!BK90)</f>
        <v>-265.19587919999998</v>
      </c>
      <c r="BL91" s="28">
        <f>IF(ISBLANK(Actuals!BL90),-245*Escalation!$B$60,Actuals!BL90)</f>
        <v>-265.19587919999998</v>
      </c>
      <c r="BM91" s="28">
        <f>IF(ISBLANK(Actuals!BM90),-245*Escalation!$B$61,Actuals!BM90)</f>
        <v>-265.19587919999998</v>
      </c>
      <c r="BN91" s="28">
        <f>IF(ISBLANK(Actuals!BN90),-245*Escalation!$B$62,Actuals!BN90)</f>
        <v>-270.49979678400001</v>
      </c>
      <c r="BO91" s="28">
        <f>IF(ISBLANK(Actuals!BO90),-245*Escalation!$B$63,Actuals!BO90)</f>
        <v>-270.49979678400001</v>
      </c>
      <c r="BP91" s="28">
        <f>IF(ISBLANK(Actuals!BP90),-245*Escalation!$B$64,Actuals!BP90)</f>
        <v>-270.49979678400001</v>
      </c>
      <c r="BQ91" s="28">
        <f>IF(ISBLANK(Actuals!BQ90),-245*Escalation!$B$65,Actuals!BQ90)</f>
        <v>-270.49979678400001</v>
      </c>
      <c r="BR91" s="28">
        <f>IF(ISBLANK(Actuals!BR90),-245*Escalation!$B$66,Actuals!BR90)</f>
        <v>-270.49979678400001</v>
      </c>
      <c r="BS91" s="28">
        <f>IF(ISBLANK(Actuals!BS90),-245*Escalation!$B$67,Actuals!BS90)</f>
        <v>-270.49979678400001</v>
      </c>
      <c r="BT91" s="28">
        <f>IF(ISBLANK(Actuals!BT90),-245*Escalation!$B$68,Actuals!BT90)</f>
        <v>-270.49979678400001</v>
      </c>
      <c r="BU91" s="28">
        <f>IF(ISBLANK(Actuals!BU90),-245*Escalation!$B$69,Actuals!BU90)</f>
        <v>-270.49979678400001</v>
      </c>
      <c r="BV91" s="28">
        <f>IF(ISBLANK(Actuals!BV90),-245*Escalation!$B$70,Actuals!BV90)</f>
        <v>-270.49979678400001</v>
      </c>
      <c r="BW91" s="28">
        <f>IF(ISBLANK(Actuals!BW90),-245*Escalation!$B$71,Actuals!BW90)</f>
        <v>-270.49979678400001</v>
      </c>
      <c r="BX91" s="28">
        <f>IF(ISBLANK(Actuals!BX90),-245*Escalation!$B$72,Actuals!BX90)</f>
        <v>-270.49979678400001</v>
      </c>
      <c r="BY91" s="28">
        <f>IF(ISBLANK(Actuals!BY90),-245*Escalation!$B$73,Actuals!BY90)</f>
        <v>-270.49979678400001</v>
      </c>
      <c r="BZ91" s="28">
        <f>IF(ISBLANK(Actuals!BZ90),-245*Escalation!$B$74,Actuals!BZ90)</f>
        <v>-275.90979271968001</v>
      </c>
      <c r="CA91" s="28">
        <f>IF(ISBLANK(Actuals!CA90),-245*Escalation!$B$75,Actuals!CA90)</f>
        <v>-275.90979271968001</v>
      </c>
      <c r="CB91" s="28">
        <f>IF(ISBLANK(Actuals!CB90),-245*Escalation!$B$76,Actuals!CB90)</f>
        <v>-275.90979271968001</v>
      </c>
      <c r="CC91" s="28">
        <f>IF(ISBLANK(Actuals!CC90),-245*Escalation!$B$77,Actuals!CC90)</f>
        <v>-275.90979271968001</v>
      </c>
      <c r="CD91" s="28">
        <f>IF(ISBLANK(Actuals!CD90),-245*Escalation!$B$78,Actuals!CD90)</f>
        <v>-275.90979271968001</v>
      </c>
      <c r="CE91" s="28">
        <f>IF(ISBLANK(Actuals!CE90),-245*Escalation!$B$79,Actuals!CE90)</f>
        <v>-275.90979271968001</v>
      </c>
      <c r="CF91" s="28">
        <f>IF(ISBLANK(Actuals!CF90),-245*Escalation!$B$80,Actuals!CF90)</f>
        <v>-275.90979271968001</v>
      </c>
      <c r="CG91" s="28">
        <f>IF(ISBLANK(Actuals!CG90),-245*Escalation!$B$81,Actuals!CG90)</f>
        <v>-275.90979271968001</v>
      </c>
      <c r="CH91" s="28">
        <f>IF(ISBLANK(Actuals!CH90),-245*Escalation!$B$82,Actuals!CH90)</f>
        <v>-275.90979271968001</v>
      </c>
      <c r="CI91" s="28">
        <f>IF(ISBLANK(Actuals!CI90),-245*Escalation!$B$83,Actuals!CI90)</f>
        <v>-275.90979271968001</v>
      </c>
      <c r="CJ91" s="28">
        <f>IF(ISBLANK(Actuals!CJ90),-245*Escalation!$B$84,Actuals!CJ90)</f>
        <v>-275.90979271968001</v>
      </c>
      <c r="CK91" s="28">
        <f>IF(ISBLANK(Actuals!CK90),-245*Escalation!$B$85,Actuals!CK90)</f>
        <v>-275.90979271968001</v>
      </c>
      <c r="CL91" s="28">
        <f>IF(ISBLANK(Actuals!CL90),-245*Escalation!$B$86,Actuals!CL90)</f>
        <v>-281.42798857407354</v>
      </c>
      <c r="CM91" s="28">
        <f>IF(ISBLANK(Actuals!CM90),-245*Escalation!$B$87,Actuals!CM90)</f>
        <v>-281.42798857407354</v>
      </c>
      <c r="CN91" s="28">
        <f>IF(ISBLANK(Actuals!CN90),-245*Escalation!$B$88,Actuals!CN90)</f>
        <v>-281.42798857407354</v>
      </c>
      <c r="CO91" s="28">
        <f>IF(ISBLANK(Actuals!CO90),-245*Escalation!$B$89,Actuals!CO90)</f>
        <v>-281.42798857407354</v>
      </c>
      <c r="CP91" s="28">
        <f>IF(ISBLANK(Actuals!CP90),-245*Escalation!$B$90,Actuals!CP90)</f>
        <v>-281.42798857407354</v>
      </c>
      <c r="CQ91" s="28">
        <f>IF(ISBLANK(Actuals!CQ90),-245*Escalation!$B$91,Actuals!CQ90)</f>
        <v>-281.42798857407354</v>
      </c>
      <c r="CR91" s="28">
        <f>IF(ISBLANK(Actuals!CR90),-245*Escalation!$B$92,Actuals!CR90)</f>
        <v>-281.42798857407354</v>
      </c>
      <c r="CS91" s="28">
        <f>IF(ISBLANK(Actuals!CS90),-245*Escalation!$B$93,Actuals!CS90)</f>
        <v>-281.42798857407354</v>
      </c>
      <c r="CT91" s="28">
        <f>IF(ISBLANK(Actuals!CT90),-245*Escalation!$B$94,Actuals!CT90)</f>
        <v>-281.42798857407354</v>
      </c>
      <c r="CU91" s="28">
        <f>IF(ISBLANK(Actuals!CU90),-245*Escalation!$B$95,Actuals!CU90)</f>
        <v>-281.42798857407354</v>
      </c>
      <c r="CV91" s="28">
        <f>IF(ISBLANK(Actuals!CV90),-245*Escalation!$B$96,Actuals!CV90)</f>
        <v>-281.42798857407354</v>
      </c>
      <c r="CW91" s="28">
        <f>IF(ISBLANK(Actuals!CW90),-245*Escalation!$B$97,Actuals!CW90)</f>
        <v>-281.42798857407354</v>
      </c>
      <c r="CX91" s="28">
        <f>IF(ISBLANK(Actuals!CX90),-245*Escalation!$B$98,Actuals!CX90)</f>
        <v>-287.05654834555503</v>
      </c>
      <c r="CY91" s="28">
        <f>IF(ISBLANK(Actuals!CY90),-245*Escalation!$B$99,Actuals!CY90)</f>
        <v>-287.05654834555503</v>
      </c>
      <c r="CZ91" s="28">
        <f>IF(ISBLANK(Actuals!CZ90),-245*Escalation!$B$100,Actuals!CZ90)</f>
        <v>-287.05654834555503</v>
      </c>
      <c r="DA91" s="28">
        <f>IF(ISBLANK(Actuals!DA90),-245*Escalation!$B$101,Actuals!DA90)</f>
        <v>-287.05654834555503</v>
      </c>
      <c r="DB91" s="28">
        <f>IF(ISBLANK(Actuals!DB90),-245*Escalation!$B$102,Actuals!DB90)</f>
        <v>-287.05654834555503</v>
      </c>
      <c r="DC91" s="28">
        <f>IF(ISBLANK(Actuals!DC90),-245*Escalation!$B$103,Actuals!DC90)</f>
        <v>-287.05654834555503</v>
      </c>
      <c r="DD91" s="28">
        <f>IF(ISBLANK(Actuals!DD90),-245*Escalation!$B$104,Actuals!DD90)</f>
        <v>-287.05654834555503</v>
      </c>
      <c r="DE91" s="28">
        <f>IF(ISBLANK(Actuals!DE90),-245*Escalation!$B$105,Actuals!DE90)</f>
        <v>-287.05654834555503</v>
      </c>
      <c r="DF91" s="28">
        <f>IF(ISBLANK(Actuals!DF90),-245*Escalation!$B$106,Actuals!DF90)</f>
        <v>-287.05654834555503</v>
      </c>
    </row>
    <row r="92" spans="1:110" ht="15" customHeight="1" x14ac:dyDescent="0.25">
      <c r="A92" s="27" t="s">
        <v>117</v>
      </c>
      <c r="B92" s="27"/>
      <c r="C92" s="28">
        <f>IF(ISBLANK(Actuals!C91),0,Actuals!C91)</f>
        <v>-986.57</v>
      </c>
      <c r="D92" s="28">
        <f>IF(ISBLANK(Actuals!D91),0,Actuals!D91)</f>
        <v>-1254.6099999999999</v>
      </c>
      <c r="E92" s="28">
        <f>IF(ISBLANK(Actuals!E91),0,Actuals!E91)</f>
        <v>-1297.31</v>
      </c>
      <c r="F92" s="28">
        <f>IF(ISBLANK(Actuals!F91),-1179.5*Escalation!$B$2,Actuals!F91)</f>
        <v>-48.78</v>
      </c>
      <c r="G92" s="28">
        <f>IF(ISBLANK(Actuals!G91),-1179.5*Escalation!$B$3,Actuals!G91)</f>
        <v>-1179.5</v>
      </c>
      <c r="H92" s="28">
        <f>IF(ISBLANK(Actuals!H91),-1179.5*Escalation!$B$4,Actuals!H91)</f>
        <v>-1179.5</v>
      </c>
      <c r="I92" s="28">
        <f>IF(ISBLANK(Actuals!I91),-1179.5*Escalation!$B$5,Actuals!I91)</f>
        <v>-1179.5</v>
      </c>
      <c r="J92" s="28">
        <f>IF(ISBLANK(Actuals!J91),-1179.5*Escalation!$B$6,Actuals!J91)</f>
        <v>-1179.5</v>
      </c>
      <c r="K92" s="28">
        <f>IF(ISBLANK(Actuals!K91),-1179.5*Escalation!$B$7,Actuals!K91)</f>
        <v>-1179.5</v>
      </c>
      <c r="L92" s="28">
        <f>IF(ISBLANK(Actuals!L91),-1179.5*Escalation!$B$8,Actuals!L91)</f>
        <v>-1179.5</v>
      </c>
      <c r="M92" s="28">
        <f>IF(ISBLANK(Actuals!M91),-1179.5*Escalation!$B$9,Actuals!M91)</f>
        <v>-1179.5</v>
      </c>
      <c r="N92" s="28">
        <f>IF(ISBLANK(Actuals!N91),-1179.5*Escalation!$B$10,Actuals!N91)</f>
        <v>-1179.5</v>
      </c>
      <c r="O92" s="28">
        <f>IF(ISBLANK(Actuals!O91),-1179.5*Escalation!$B$11,Actuals!O91)</f>
        <v>-1179.5</v>
      </c>
      <c r="P92" s="28">
        <f>IF(ISBLANK(Actuals!P91),-1179.5*Escalation!$B$12,Actuals!P91)</f>
        <v>-1179.5</v>
      </c>
      <c r="Q92" s="28">
        <f>IF(ISBLANK(Actuals!Q91),-1179.5*Escalation!$B$13,Actuals!Q91)</f>
        <v>-1179.5</v>
      </c>
      <c r="R92" s="28">
        <f>IF(ISBLANK(Actuals!R91),-1179.5*Escalation!$B$14,Actuals!R91)</f>
        <v>-1203.0899999999999</v>
      </c>
      <c r="S92" s="28">
        <f>IF(ISBLANK(Actuals!S91),-1179.5*Escalation!$B$15,Actuals!S91)</f>
        <v>-1203.0899999999999</v>
      </c>
      <c r="T92" s="28">
        <f>IF(ISBLANK(Actuals!T91),-1179.5*Escalation!$B$16,Actuals!T91)</f>
        <v>-1203.0899999999999</v>
      </c>
      <c r="U92" s="28">
        <f>IF(ISBLANK(Actuals!U91),-1179.5*Escalation!$B$17,Actuals!U91)</f>
        <v>-1203.0899999999999</v>
      </c>
      <c r="V92" s="28">
        <f>IF(ISBLANK(Actuals!V91),-1179.5*Escalation!$B$18,Actuals!V91)</f>
        <v>-1203.0899999999999</v>
      </c>
      <c r="W92" s="28">
        <f>IF(ISBLANK(Actuals!W91),-1179.5*Escalation!$B$19,Actuals!W91)</f>
        <v>-1203.0899999999999</v>
      </c>
      <c r="X92" s="28">
        <f>IF(ISBLANK(Actuals!X91),-1179.5*Escalation!$B$20,Actuals!X91)</f>
        <v>-1203.0899999999999</v>
      </c>
      <c r="Y92" s="28">
        <f>IF(ISBLANK(Actuals!Y91),-1179.5*Escalation!$B$21,Actuals!Y91)</f>
        <v>-1203.0899999999999</v>
      </c>
      <c r="Z92" s="28">
        <f>IF(ISBLANK(Actuals!Z91),-1179.5*Escalation!$B$22,Actuals!Z91)</f>
        <v>-1203.0899999999999</v>
      </c>
      <c r="AA92" s="28">
        <f>IF(ISBLANK(Actuals!AA91),-1179.5*Escalation!$B$23,Actuals!AA91)</f>
        <v>-1203.0899999999999</v>
      </c>
      <c r="AB92" s="28">
        <f>IF(ISBLANK(Actuals!AB91),-1179.5*Escalation!$B$24,Actuals!AB91)</f>
        <v>-1203.0899999999999</v>
      </c>
      <c r="AC92" s="28">
        <f>IF(ISBLANK(Actuals!AC91),-1179.5*Escalation!$B$25,Actuals!AC91)</f>
        <v>-1203.0899999999999</v>
      </c>
      <c r="AD92" s="28">
        <f>IF(ISBLANK(Actuals!AD91),-1179.5*Escalation!$B$26,Actuals!AD91)</f>
        <v>-1227.1518000000001</v>
      </c>
      <c r="AE92" s="28">
        <f>IF(ISBLANK(Actuals!AE91),-1179.5*Escalation!$B$27,Actuals!AE91)</f>
        <v>-1227.1518000000001</v>
      </c>
      <c r="AF92" s="28">
        <f>IF(ISBLANK(Actuals!AF91),-1179.5*Escalation!$B$28,Actuals!AF91)</f>
        <v>-1227.1518000000001</v>
      </c>
      <c r="AG92" s="28">
        <f>IF(ISBLANK(Actuals!AG91),-1179.5*Escalation!$B$29,Actuals!AG91)</f>
        <v>-1227.1518000000001</v>
      </c>
      <c r="AH92" s="28">
        <f>IF(ISBLANK(Actuals!AH91),-1179.5*Escalation!$B$30,Actuals!AH91)</f>
        <v>-1227.1518000000001</v>
      </c>
      <c r="AI92" s="28">
        <f>IF(ISBLANK(Actuals!AI91),-1179.5*Escalation!$B$31,Actuals!AI91)</f>
        <v>-1227.1518000000001</v>
      </c>
      <c r="AJ92" s="28">
        <f>IF(ISBLANK(Actuals!AJ91),-1179.5*Escalation!$B$32,Actuals!AJ91)</f>
        <v>-1227.1518000000001</v>
      </c>
      <c r="AK92" s="28">
        <f>IF(ISBLANK(Actuals!AK91),-1179.5*Escalation!$B$33,Actuals!AK91)</f>
        <v>-1227.1518000000001</v>
      </c>
      <c r="AL92" s="28">
        <f>IF(ISBLANK(Actuals!AL91),-1179.5*Escalation!$B$34,Actuals!AL91)</f>
        <v>-1227.1518000000001</v>
      </c>
      <c r="AM92" s="28">
        <f>IF(ISBLANK(Actuals!AM91),-1179.5*Escalation!$B$35,Actuals!AM91)</f>
        <v>-1227.1518000000001</v>
      </c>
      <c r="AN92" s="28">
        <f>IF(ISBLANK(Actuals!AN91),-1179.5*Escalation!$B$36,Actuals!AN91)</f>
        <v>-1227.1518000000001</v>
      </c>
      <c r="AO92" s="28">
        <f>IF(ISBLANK(Actuals!AO91),-1179.5*Escalation!$B$37,Actuals!AO91)</f>
        <v>-1227.1518000000001</v>
      </c>
      <c r="AP92" s="28">
        <f>IF(ISBLANK(Actuals!AP91),-1179.5*Escalation!$B$38,Actuals!AP91)</f>
        <v>-1251.6948359999999</v>
      </c>
      <c r="AQ92" s="28">
        <f>IF(ISBLANK(Actuals!AQ91),-1179.5*Escalation!$B$39,Actuals!AQ91)</f>
        <v>-1251.6948359999999</v>
      </c>
      <c r="AR92" s="28">
        <f>IF(ISBLANK(Actuals!AR91),-1179.5*Escalation!$B$40,Actuals!AR91)</f>
        <v>-1251.6948359999999</v>
      </c>
      <c r="AS92" s="28">
        <f>IF(ISBLANK(Actuals!AS91),-1179.5*Escalation!$B$41,Actuals!AS91)</f>
        <v>-1251.6948359999999</v>
      </c>
      <c r="AT92" s="28">
        <f>IF(ISBLANK(Actuals!AT91),-1179.5*Escalation!$B$42,Actuals!AT91)</f>
        <v>-1251.6948359999999</v>
      </c>
      <c r="AU92" s="28">
        <f>IF(ISBLANK(Actuals!AU91),-1179.5*Escalation!$B$43,Actuals!AU91)</f>
        <v>-1251.6948359999999</v>
      </c>
      <c r="AV92" s="28">
        <f>IF(ISBLANK(Actuals!AV91),-1179.5*Escalation!$B$44,Actuals!AV91)</f>
        <v>-1251.6948359999999</v>
      </c>
      <c r="AW92" s="28">
        <f>IF(ISBLANK(Actuals!AW91),-1179.5*Escalation!$B$45,Actuals!AW91)</f>
        <v>-1251.6948359999999</v>
      </c>
      <c r="AX92" s="28">
        <f>IF(ISBLANK(Actuals!AX91),-1179.5*Escalation!$B$46,Actuals!AX91)</f>
        <v>-1251.6948359999999</v>
      </c>
      <c r="AY92" s="28">
        <f>IF(ISBLANK(Actuals!AY91),-1179.5*Escalation!$B$47,Actuals!AY91)</f>
        <v>-1251.6948359999999</v>
      </c>
      <c r="AZ92" s="28">
        <f>IF(ISBLANK(Actuals!AZ91),-1179.5*Escalation!$B$48,Actuals!AZ91)</f>
        <v>-1251.6948359999999</v>
      </c>
      <c r="BA92" s="28">
        <f>IF(ISBLANK(Actuals!BA91),-1179.5*Escalation!$B$49,Actuals!BA91)</f>
        <v>-1251.6948359999999</v>
      </c>
      <c r="BB92" s="28">
        <f>IF(ISBLANK(Actuals!BB91),-1179.5*Escalation!$B$50,Actuals!BB91)</f>
        <v>-1276.7287327199999</v>
      </c>
      <c r="BC92" s="28">
        <f>IF(ISBLANK(Actuals!BC91),-1179.5*Escalation!$B$51,Actuals!BC91)</f>
        <v>-1276.7287327199999</v>
      </c>
      <c r="BD92" s="28">
        <f>IF(ISBLANK(Actuals!BD91),-1179.5*Escalation!$B$52,Actuals!BD91)</f>
        <v>-1276.7287327199999</v>
      </c>
      <c r="BE92" s="28">
        <f>IF(ISBLANK(Actuals!BE91),-1179.5*Escalation!$B$53,Actuals!BE91)</f>
        <v>-1276.7287327199999</v>
      </c>
      <c r="BF92" s="28">
        <f>IF(ISBLANK(Actuals!BF91),-1179.5*Escalation!$B$54,Actuals!BF91)</f>
        <v>-1276.7287327199999</v>
      </c>
      <c r="BG92" s="28">
        <f>IF(ISBLANK(Actuals!BG91),-1179.5*Escalation!$B$55,Actuals!BG91)</f>
        <v>-1276.7287327199999</v>
      </c>
      <c r="BH92" s="28">
        <f>IF(ISBLANK(Actuals!BH91),-1179.5*Escalation!$B$56,Actuals!BH91)</f>
        <v>-1276.7287327199999</v>
      </c>
      <c r="BI92" s="28">
        <f>IF(ISBLANK(Actuals!BI91),-1179.5*Escalation!$B$57,Actuals!BI91)</f>
        <v>-1276.7287327199999</v>
      </c>
      <c r="BJ92" s="28">
        <f>IF(ISBLANK(Actuals!BJ91),-1179.5*Escalation!$B$58,Actuals!BJ91)</f>
        <v>-1276.7287327199999</v>
      </c>
      <c r="BK92" s="28">
        <f>IF(ISBLANK(Actuals!BK91),-1179.5*Escalation!$B$59,Actuals!BK91)</f>
        <v>-1276.7287327199999</v>
      </c>
      <c r="BL92" s="28">
        <f>IF(ISBLANK(Actuals!BL91),-1179.5*Escalation!$B$60,Actuals!BL91)</f>
        <v>-1276.7287327199999</v>
      </c>
      <c r="BM92" s="28">
        <f>IF(ISBLANK(Actuals!BM91),-1179.5*Escalation!$B$61,Actuals!BM91)</f>
        <v>-1276.7287327199999</v>
      </c>
      <c r="BN92" s="28">
        <f>IF(ISBLANK(Actuals!BN91),-1179.5*Escalation!$B$62,Actuals!BN91)</f>
        <v>-1302.2633073744</v>
      </c>
      <c r="BO92" s="28">
        <f>IF(ISBLANK(Actuals!BO91),-1179.5*Escalation!$B$63,Actuals!BO91)</f>
        <v>-1302.2633073744</v>
      </c>
      <c r="BP92" s="28">
        <f>IF(ISBLANK(Actuals!BP91),-1179.5*Escalation!$B$64,Actuals!BP91)</f>
        <v>-1302.2633073744</v>
      </c>
      <c r="BQ92" s="28">
        <f>IF(ISBLANK(Actuals!BQ91),-1179.5*Escalation!$B$65,Actuals!BQ91)</f>
        <v>-1302.2633073744</v>
      </c>
      <c r="BR92" s="28">
        <f>IF(ISBLANK(Actuals!BR91),-1179.5*Escalation!$B$66,Actuals!BR91)</f>
        <v>-1302.2633073744</v>
      </c>
      <c r="BS92" s="28">
        <f>IF(ISBLANK(Actuals!BS91),-1179.5*Escalation!$B$67,Actuals!BS91)</f>
        <v>-1302.2633073744</v>
      </c>
      <c r="BT92" s="28">
        <f>IF(ISBLANK(Actuals!BT91),-1179.5*Escalation!$B$68,Actuals!BT91)</f>
        <v>-1302.2633073744</v>
      </c>
      <c r="BU92" s="28">
        <f>IF(ISBLANK(Actuals!BU91),-1179.5*Escalation!$B$69,Actuals!BU91)</f>
        <v>-1302.2633073744</v>
      </c>
      <c r="BV92" s="28">
        <f>IF(ISBLANK(Actuals!BV91),-1179.5*Escalation!$B$70,Actuals!BV91)</f>
        <v>-1302.2633073744</v>
      </c>
      <c r="BW92" s="28">
        <f>IF(ISBLANK(Actuals!BW91),-1179.5*Escalation!$B$71,Actuals!BW91)</f>
        <v>-1302.2633073744</v>
      </c>
      <c r="BX92" s="28">
        <f>IF(ISBLANK(Actuals!BX91),-1179.5*Escalation!$B$72,Actuals!BX91)</f>
        <v>-1302.2633073744</v>
      </c>
      <c r="BY92" s="28">
        <f>IF(ISBLANK(Actuals!BY91),-1179.5*Escalation!$B$73,Actuals!BY91)</f>
        <v>-1302.2633073744</v>
      </c>
      <c r="BZ92" s="28">
        <f>IF(ISBLANK(Actuals!BZ91),-1179.5*Escalation!$B$74,Actuals!BZ91)</f>
        <v>-1328.3085735218881</v>
      </c>
      <c r="CA92" s="28">
        <f>IF(ISBLANK(Actuals!CA91),-1179.5*Escalation!$B$75,Actuals!CA91)</f>
        <v>-1328.3085735218881</v>
      </c>
      <c r="CB92" s="28">
        <f>IF(ISBLANK(Actuals!CB91),-1179.5*Escalation!$B$76,Actuals!CB91)</f>
        <v>-1328.3085735218881</v>
      </c>
      <c r="CC92" s="28">
        <f>IF(ISBLANK(Actuals!CC91),-1179.5*Escalation!$B$77,Actuals!CC91)</f>
        <v>-1328.3085735218881</v>
      </c>
      <c r="CD92" s="28">
        <f>IF(ISBLANK(Actuals!CD91),-1179.5*Escalation!$B$78,Actuals!CD91)</f>
        <v>-1328.3085735218881</v>
      </c>
      <c r="CE92" s="28">
        <f>IF(ISBLANK(Actuals!CE91),-1179.5*Escalation!$B$79,Actuals!CE91)</f>
        <v>-1328.3085735218881</v>
      </c>
      <c r="CF92" s="28">
        <f>IF(ISBLANK(Actuals!CF91),-1179.5*Escalation!$B$80,Actuals!CF91)</f>
        <v>-1328.3085735218881</v>
      </c>
      <c r="CG92" s="28">
        <f>IF(ISBLANK(Actuals!CG91),-1179.5*Escalation!$B$81,Actuals!CG91)</f>
        <v>-1328.3085735218881</v>
      </c>
      <c r="CH92" s="28">
        <f>IF(ISBLANK(Actuals!CH91),-1179.5*Escalation!$B$82,Actuals!CH91)</f>
        <v>-1328.3085735218881</v>
      </c>
      <c r="CI92" s="28">
        <f>IF(ISBLANK(Actuals!CI91),-1179.5*Escalation!$B$83,Actuals!CI91)</f>
        <v>-1328.3085735218881</v>
      </c>
      <c r="CJ92" s="28">
        <f>IF(ISBLANK(Actuals!CJ91),-1179.5*Escalation!$B$84,Actuals!CJ91)</f>
        <v>-1328.3085735218881</v>
      </c>
      <c r="CK92" s="28">
        <f>IF(ISBLANK(Actuals!CK91),-1179.5*Escalation!$B$85,Actuals!CK91)</f>
        <v>-1328.3085735218881</v>
      </c>
      <c r="CL92" s="28">
        <f>IF(ISBLANK(Actuals!CL91),-1179.5*Escalation!$B$86,Actuals!CL91)</f>
        <v>-1354.8747449923255</v>
      </c>
      <c r="CM92" s="28">
        <f>IF(ISBLANK(Actuals!CM91),-1179.5*Escalation!$B$87,Actuals!CM91)</f>
        <v>-1354.8747449923255</v>
      </c>
      <c r="CN92" s="28">
        <f>IF(ISBLANK(Actuals!CN91),-1179.5*Escalation!$B$88,Actuals!CN91)</f>
        <v>-1354.8747449923255</v>
      </c>
      <c r="CO92" s="28">
        <f>IF(ISBLANK(Actuals!CO91),-1179.5*Escalation!$B$89,Actuals!CO91)</f>
        <v>-1354.8747449923255</v>
      </c>
      <c r="CP92" s="28">
        <f>IF(ISBLANK(Actuals!CP91),-1179.5*Escalation!$B$90,Actuals!CP91)</f>
        <v>-1354.8747449923255</v>
      </c>
      <c r="CQ92" s="28">
        <f>IF(ISBLANK(Actuals!CQ91),-1179.5*Escalation!$B$91,Actuals!CQ91)</f>
        <v>-1354.8747449923255</v>
      </c>
      <c r="CR92" s="28">
        <f>IF(ISBLANK(Actuals!CR91),-1179.5*Escalation!$B$92,Actuals!CR91)</f>
        <v>-1354.8747449923255</v>
      </c>
      <c r="CS92" s="28">
        <f>IF(ISBLANK(Actuals!CS91),-1179.5*Escalation!$B$93,Actuals!CS91)</f>
        <v>-1354.8747449923255</v>
      </c>
      <c r="CT92" s="28">
        <f>IF(ISBLANK(Actuals!CT91),-1179.5*Escalation!$B$94,Actuals!CT91)</f>
        <v>-1354.8747449923255</v>
      </c>
      <c r="CU92" s="28">
        <f>IF(ISBLANK(Actuals!CU91),-1179.5*Escalation!$B$95,Actuals!CU91)</f>
        <v>-1354.8747449923255</v>
      </c>
      <c r="CV92" s="28">
        <f>IF(ISBLANK(Actuals!CV91),-1179.5*Escalation!$B$96,Actuals!CV91)</f>
        <v>-1354.8747449923255</v>
      </c>
      <c r="CW92" s="28">
        <f>IF(ISBLANK(Actuals!CW91),-1179.5*Escalation!$B$97,Actuals!CW91)</f>
        <v>-1354.8747449923255</v>
      </c>
      <c r="CX92" s="28">
        <f>IF(ISBLANK(Actuals!CX91),-1179.5*Escalation!$B$98,Actuals!CX91)</f>
        <v>-1381.9722398921722</v>
      </c>
      <c r="CY92" s="28">
        <f>IF(ISBLANK(Actuals!CY91),-1179.5*Escalation!$B$99,Actuals!CY91)</f>
        <v>-1381.9722398921722</v>
      </c>
      <c r="CZ92" s="28">
        <f>IF(ISBLANK(Actuals!CZ91),-1179.5*Escalation!$B$100,Actuals!CZ91)</f>
        <v>-1381.9722398921722</v>
      </c>
      <c r="DA92" s="28">
        <f>IF(ISBLANK(Actuals!DA91),-1179.5*Escalation!$B$101,Actuals!DA91)</f>
        <v>-1381.9722398921722</v>
      </c>
      <c r="DB92" s="28">
        <f>IF(ISBLANK(Actuals!DB91),-1179.5*Escalation!$B$102,Actuals!DB91)</f>
        <v>-1381.9722398921722</v>
      </c>
      <c r="DC92" s="28">
        <f>IF(ISBLANK(Actuals!DC91),-1179.5*Escalation!$B$103,Actuals!DC91)</f>
        <v>-1381.9722398921722</v>
      </c>
      <c r="DD92" s="28">
        <f>IF(ISBLANK(Actuals!DD91),-1179.5*Escalation!$B$104,Actuals!DD91)</f>
        <v>-1381.9722398921722</v>
      </c>
      <c r="DE92" s="28">
        <f>IF(ISBLANK(Actuals!DE91),-1179.5*Escalation!$B$105,Actuals!DE91)</f>
        <v>-1381.9722398921722</v>
      </c>
      <c r="DF92" s="28">
        <f>IF(ISBLANK(Actuals!DF91),-1179.5*Escalation!$B$106,Actuals!DF91)</f>
        <v>-1381.9722398921722</v>
      </c>
    </row>
    <row r="93" spans="1:110" ht="15" customHeight="1" x14ac:dyDescent="0.25">
      <c r="A93" s="27" t="s">
        <v>118</v>
      </c>
      <c r="B93" s="27"/>
      <c r="C93" s="28">
        <f>IF(ISBLANK(Actuals!C92),0,Actuals!C92)</f>
        <v>-588.66</v>
      </c>
      <c r="D93" s="28">
        <f>IF(ISBLANK(Actuals!D92),0,Actuals!D92)</f>
        <v>-22.94</v>
      </c>
      <c r="E93" s="28">
        <f>IF(ISBLANK(Actuals!E92),0,Actuals!E92)</f>
        <v>-487.3</v>
      </c>
      <c r="F93" s="28">
        <f>IF(ISBLANK(Actuals!F92),-366.3*Escalation!$B$2,Actuals!F92)</f>
        <v>-399.98</v>
      </c>
      <c r="G93" s="28">
        <f>IF(ISBLANK(Actuals!G92),-366.3*Escalation!$B$3,Actuals!G92)</f>
        <v>-366.3</v>
      </c>
      <c r="H93" s="28">
        <f>IF(ISBLANK(Actuals!H92),-366.3*Escalation!$B$4,Actuals!H92)</f>
        <v>-366.3</v>
      </c>
      <c r="I93" s="28">
        <f>IF(ISBLANK(Actuals!I92),-366.3*Escalation!$B$5,Actuals!I92)</f>
        <v>-366.3</v>
      </c>
      <c r="J93" s="28">
        <f>IF(ISBLANK(Actuals!J92),-366.3*Escalation!$B$6,Actuals!J92)</f>
        <v>-366.3</v>
      </c>
      <c r="K93" s="28">
        <f>IF(ISBLANK(Actuals!K92),-366.3*Escalation!$B$7,Actuals!K92)</f>
        <v>-366.3</v>
      </c>
      <c r="L93" s="28">
        <f>IF(ISBLANK(Actuals!L92),-366.3*Escalation!$B$8,Actuals!L92)</f>
        <v>-366.3</v>
      </c>
      <c r="M93" s="28">
        <f>IF(ISBLANK(Actuals!M92),-366.3*Escalation!$B$9,Actuals!M92)</f>
        <v>-366.3</v>
      </c>
      <c r="N93" s="28">
        <f>IF(ISBLANK(Actuals!N92),-366.3*Escalation!$B$10,Actuals!N92)</f>
        <v>-366.3</v>
      </c>
      <c r="O93" s="28">
        <f>IF(ISBLANK(Actuals!O92),-366.3*Escalation!$B$11,Actuals!O92)</f>
        <v>-366.3</v>
      </c>
      <c r="P93" s="28">
        <f>IF(ISBLANK(Actuals!P92),-366.3*Escalation!$B$12,Actuals!P92)</f>
        <v>-366.3</v>
      </c>
      <c r="Q93" s="28">
        <f>IF(ISBLANK(Actuals!Q92),-366.3*Escalation!$B$13,Actuals!Q92)</f>
        <v>-366.3</v>
      </c>
      <c r="R93" s="28">
        <f>IF(ISBLANK(Actuals!R92),-366.3*Escalation!$B$14,Actuals!R92)</f>
        <v>-373.62600000000003</v>
      </c>
      <c r="S93" s="28">
        <f>IF(ISBLANK(Actuals!S92),-366.3*Escalation!$B$15,Actuals!S92)</f>
        <v>-373.62600000000003</v>
      </c>
      <c r="T93" s="28">
        <f>IF(ISBLANK(Actuals!T92),-366.3*Escalation!$B$16,Actuals!T92)</f>
        <v>-373.62600000000003</v>
      </c>
      <c r="U93" s="28">
        <f>IF(ISBLANK(Actuals!U92),-366.3*Escalation!$B$17,Actuals!U92)</f>
        <v>-373.62600000000003</v>
      </c>
      <c r="V93" s="28">
        <f>IF(ISBLANK(Actuals!V92),-366.3*Escalation!$B$18,Actuals!V92)</f>
        <v>-373.62600000000003</v>
      </c>
      <c r="W93" s="28">
        <f>IF(ISBLANK(Actuals!W92),-366.3*Escalation!$B$19,Actuals!W92)</f>
        <v>-373.62600000000003</v>
      </c>
      <c r="X93" s="28">
        <f>IF(ISBLANK(Actuals!X92),-366.3*Escalation!$B$20,Actuals!X92)</f>
        <v>-373.62600000000003</v>
      </c>
      <c r="Y93" s="28">
        <f>IF(ISBLANK(Actuals!Y92),-366.3*Escalation!$B$21,Actuals!Y92)</f>
        <v>-373.62600000000003</v>
      </c>
      <c r="Z93" s="28">
        <f>IF(ISBLANK(Actuals!Z92),-366.3*Escalation!$B$22,Actuals!Z92)</f>
        <v>-373.62600000000003</v>
      </c>
      <c r="AA93" s="28">
        <f>IF(ISBLANK(Actuals!AA92),-366.3*Escalation!$B$23,Actuals!AA92)</f>
        <v>-373.62600000000003</v>
      </c>
      <c r="AB93" s="28">
        <f>IF(ISBLANK(Actuals!AB92),-366.3*Escalation!$B$24,Actuals!AB92)</f>
        <v>-373.62600000000003</v>
      </c>
      <c r="AC93" s="28">
        <f>IF(ISBLANK(Actuals!AC92),-366.3*Escalation!$B$25,Actuals!AC92)</f>
        <v>-373.62600000000003</v>
      </c>
      <c r="AD93" s="28">
        <f>IF(ISBLANK(Actuals!AD92),-366.3*Escalation!$B$26,Actuals!AD92)</f>
        <v>-381.09852000000001</v>
      </c>
      <c r="AE93" s="28">
        <f>IF(ISBLANK(Actuals!AE92),-366.3*Escalation!$B$27,Actuals!AE92)</f>
        <v>-381.09852000000001</v>
      </c>
      <c r="AF93" s="28">
        <f>IF(ISBLANK(Actuals!AF92),-366.3*Escalation!$B$28,Actuals!AF92)</f>
        <v>-381.09852000000001</v>
      </c>
      <c r="AG93" s="28">
        <f>IF(ISBLANK(Actuals!AG92),-366.3*Escalation!$B$29,Actuals!AG92)</f>
        <v>-381.09852000000001</v>
      </c>
      <c r="AH93" s="28">
        <f>IF(ISBLANK(Actuals!AH92),-366.3*Escalation!$B$30,Actuals!AH92)</f>
        <v>-381.09852000000001</v>
      </c>
      <c r="AI93" s="28">
        <f>IF(ISBLANK(Actuals!AI92),-366.3*Escalation!$B$31,Actuals!AI92)</f>
        <v>-381.09852000000001</v>
      </c>
      <c r="AJ93" s="28">
        <f>IF(ISBLANK(Actuals!AJ92),-366.3*Escalation!$B$32,Actuals!AJ92)</f>
        <v>-381.09852000000001</v>
      </c>
      <c r="AK93" s="28">
        <f>IF(ISBLANK(Actuals!AK92),-366.3*Escalation!$B$33,Actuals!AK92)</f>
        <v>-381.09852000000001</v>
      </c>
      <c r="AL93" s="28">
        <f>IF(ISBLANK(Actuals!AL92),-366.3*Escalation!$B$34,Actuals!AL92)</f>
        <v>-381.09852000000001</v>
      </c>
      <c r="AM93" s="28">
        <f>IF(ISBLANK(Actuals!AM92),-366.3*Escalation!$B$35,Actuals!AM92)</f>
        <v>-381.09852000000001</v>
      </c>
      <c r="AN93" s="28">
        <f>IF(ISBLANK(Actuals!AN92),-366.3*Escalation!$B$36,Actuals!AN92)</f>
        <v>-381.09852000000001</v>
      </c>
      <c r="AO93" s="28">
        <f>IF(ISBLANK(Actuals!AO92),-366.3*Escalation!$B$37,Actuals!AO92)</f>
        <v>-381.09852000000001</v>
      </c>
      <c r="AP93" s="28">
        <f>IF(ISBLANK(Actuals!AP92),-366.3*Escalation!$B$38,Actuals!AP92)</f>
        <v>-388.72049039999996</v>
      </c>
      <c r="AQ93" s="28">
        <f>IF(ISBLANK(Actuals!AQ92),-366.3*Escalation!$B$39,Actuals!AQ92)</f>
        <v>-388.72049039999996</v>
      </c>
      <c r="AR93" s="28">
        <f>IF(ISBLANK(Actuals!AR92),-366.3*Escalation!$B$40,Actuals!AR92)</f>
        <v>-388.72049039999996</v>
      </c>
      <c r="AS93" s="28">
        <f>IF(ISBLANK(Actuals!AS92),-366.3*Escalation!$B$41,Actuals!AS92)</f>
        <v>-388.72049039999996</v>
      </c>
      <c r="AT93" s="28">
        <f>IF(ISBLANK(Actuals!AT92),-366.3*Escalation!$B$42,Actuals!AT92)</f>
        <v>-388.72049039999996</v>
      </c>
      <c r="AU93" s="28">
        <f>IF(ISBLANK(Actuals!AU92),-366.3*Escalation!$B$43,Actuals!AU92)</f>
        <v>-388.72049039999996</v>
      </c>
      <c r="AV93" s="28">
        <f>IF(ISBLANK(Actuals!AV92),-366.3*Escalation!$B$44,Actuals!AV92)</f>
        <v>-388.72049039999996</v>
      </c>
      <c r="AW93" s="28">
        <f>IF(ISBLANK(Actuals!AW92),-366.3*Escalation!$B$45,Actuals!AW92)</f>
        <v>-388.72049039999996</v>
      </c>
      <c r="AX93" s="28">
        <f>IF(ISBLANK(Actuals!AX92),-366.3*Escalation!$B$46,Actuals!AX92)</f>
        <v>-388.72049039999996</v>
      </c>
      <c r="AY93" s="28">
        <f>IF(ISBLANK(Actuals!AY92),-366.3*Escalation!$B$47,Actuals!AY92)</f>
        <v>-388.72049039999996</v>
      </c>
      <c r="AZ93" s="28">
        <f>IF(ISBLANK(Actuals!AZ92),-366.3*Escalation!$B$48,Actuals!AZ92)</f>
        <v>-388.72049039999996</v>
      </c>
      <c r="BA93" s="28">
        <f>IF(ISBLANK(Actuals!BA92),-366.3*Escalation!$B$49,Actuals!BA92)</f>
        <v>-388.72049039999996</v>
      </c>
      <c r="BB93" s="28">
        <f>IF(ISBLANK(Actuals!BB92),-366.3*Escalation!$B$50,Actuals!BB92)</f>
        <v>-396.49490020799999</v>
      </c>
      <c r="BC93" s="28">
        <f>IF(ISBLANK(Actuals!BC92),-366.3*Escalation!$B$51,Actuals!BC92)</f>
        <v>-396.49490020799999</v>
      </c>
      <c r="BD93" s="28">
        <f>IF(ISBLANK(Actuals!BD92),-366.3*Escalation!$B$52,Actuals!BD92)</f>
        <v>-396.49490020799999</v>
      </c>
      <c r="BE93" s="28">
        <f>IF(ISBLANK(Actuals!BE92),-366.3*Escalation!$B$53,Actuals!BE92)</f>
        <v>-396.49490020799999</v>
      </c>
      <c r="BF93" s="28">
        <f>IF(ISBLANK(Actuals!BF92),-366.3*Escalation!$B$54,Actuals!BF92)</f>
        <v>-396.49490020799999</v>
      </c>
      <c r="BG93" s="28">
        <f>IF(ISBLANK(Actuals!BG92),-366.3*Escalation!$B$55,Actuals!BG92)</f>
        <v>-396.49490020799999</v>
      </c>
      <c r="BH93" s="28">
        <f>IF(ISBLANK(Actuals!BH92),-366.3*Escalation!$B$56,Actuals!BH92)</f>
        <v>-396.49490020799999</v>
      </c>
      <c r="BI93" s="28">
        <f>IF(ISBLANK(Actuals!BI92),-366.3*Escalation!$B$57,Actuals!BI92)</f>
        <v>-396.49490020799999</v>
      </c>
      <c r="BJ93" s="28">
        <f>IF(ISBLANK(Actuals!BJ92),-366.3*Escalation!$B$58,Actuals!BJ92)</f>
        <v>-396.49490020799999</v>
      </c>
      <c r="BK93" s="28">
        <f>IF(ISBLANK(Actuals!BK92),-366.3*Escalation!$B$59,Actuals!BK92)</f>
        <v>-396.49490020799999</v>
      </c>
      <c r="BL93" s="28">
        <f>IF(ISBLANK(Actuals!BL92),-366.3*Escalation!$B$60,Actuals!BL92)</f>
        <v>-396.49490020799999</v>
      </c>
      <c r="BM93" s="28">
        <f>IF(ISBLANK(Actuals!BM92),-366.3*Escalation!$B$61,Actuals!BM92)</f>
        <v>-396.49490020799999</v>
      </c>
      <c r="BN93" s="28">
        <f>IF(ISBLANK(Actuals!BN92),-366.3*Escalation!$B$62,Actuals!BN92)</f>
        <v>-404.42479821216</v>
      </c>
      <c r="BO93" s="28">
        <f>IF(ISBLANK(Actuals!BO92),-366.3*Escalation!$B$63,Actuals!BO92)</f>
        <v>-404.42479821216</v>
      </c>
      <c r="BP93" s="28">
        <f>IF(ISBLANK(Actuals!BP92),-366.3*Escalation!$B$64,Actuals!BP92)</f>
        <v>-404.42479821216</v>
      </c>
      <c r="BQ93" s="28">
        <f>IF(ISBLANK(Actuals!BQ92),-366.3*Escalation!$B$65,Actuals!BQ92)</f>
        <v>-404.42479821216</v>
      </c>
      <c r="BR93" s="28">
        <f>IF(ISBLANK(Actuals!BR92),-366.3*Escalation!$B$66,Actuals!BR92)</f>
        <v>-404.42479821216</v>
      </c>
      <c r="BS93" s="28">
        <f>IF(ISBLANK(Actuals!BS92),-366.3*Escalation!$B$67,Actuals!BS92)</f>
        <v>-404.42479821216</v>
      </c>
      <c r="BT93" s="28">
        <f>IF(ISBLANK(Actuals!BT92),-366.3*Escalation!$B$68,Actuals!BT92)</f>
        <v>-404.42479821216</v>
      </c>
      <c r="BU93" s="28">
        <f>IF(ISBLANK(Actuals!BU92),-366.3*Escalation!$B$69,Actuals!BU92)</f>
        <v>-404.42479821216</v>
      </c>
      <c r="BV93" s="28">
        <f>IF(ISBLANK(Actuals!BV92),-366.3*Escalation!$B$70,Actuals!BV92)</f>
        <v>-404.42479821216</v>
      </c>
      <c r="BW93" s="28">
        <f>IF(ISBLANK(Actuals!BW92),-366.3*Escalation!$B$71,Actuals!BW92)</f>
        <v>-404.42479821216</v>
      </c>
      <c r="BX93" s="28">
        <f>IF(ISBLANK(Actuals!BX92),-366.3*Escalation!$B$72,Actuals!BX92)</f>
        <v>-404.42479821216</v>
      </c>
      <c r="BY93" s="28">
        <f>IF(ISBLANK(Actuals!BY92),-366.3*Escalation!$B$73,Actuals!BY92)</f>
        <v>-404.42479821216</v>
      </c>
      <c r="BZ93" s="28">
        <f>IF(ISBLANK(Actuals!BZ92),-366.3*Escalation!$B$74,Actuals!BZ92)</f>
        <v>-412.51329417640324</v>
      </c>
      <c r="CA93" s="28">
        <f>IF(ISBLANK(Actuals!CA92),-366.3*Escalation!$B$75,Actuals!CA92)</f>
        <v>-412.51329417640324</v>
      </c>
      <c r="CB93" s="28">
        <f>IF(ISBLANK(Actuals!CB92),-366.3*Escalation!$B$76,Actuals!CB92)</f>
        <v>-412.51329417640324</v>
      </c>
      <c r="CC93" s="28">
        <f>IF(ISBLANK(Actuals!CC92),-366.3*Escalation!$B$77,Actuals!CC92)</f>
        <v>-412.51329417640324</v>
      </c>
      <c r="CD93" s="28">
        <f>IF(ISBLANK(Actuals!CD92),-366.3*Escalation!$B$78,Actuals!CD92)</f>
        <v>-412.51329417640324</v>
      </c>
      <c r="CE93" s="28">
        <f>IF(ISBLANK(Actuals!CE92),-366.3*Escalation!$B$79,Actuals!CE92)</f>
        <v>-412.51329417640324</v>
      </c>
      <c r="CF93" s="28">
        <f>IF(ISBLANK(Actuals!CF92),-366.3*Escalation!$B$80,Actuals!CF92)</f>
        <v>-412.51329417640324</v>
      </c>
      <c r="CG93" s="28">
        <f>IF(ISBLANK(Actuals!CG92),-366.3*Escalation!$B$81,Actuals!CG92)</f>
        <v>-412.51329417640324</v>
      </c>
      <c r="CH93" s="28">
        <f>IF(ISBLANK(Actuals!CH92),-366.3*Escalation!$B$82,Actuals!CH92)</f>
        <v>-412.51329417640324</v>
      </c>
      <c r="CI93" s="28">
        <f>IF(ISBLANK(Actuals!CI92),-366.3*Escalation!$B$83,Actuals!CI92)</f>
        <v>-412.51329417640324</v>
      </c>
      <c r="CJ93" s="28">
        <f>IF(ISBLANK(Actuals!CJ92),-366.3*Escalation!$B$84,Actuals!CJ92)</f>
        <v>-412.51329417640324</v>
      </c>
      <c r="CK93" s="28">
        <f>IF(ISBLANK(Actuals!CK92),-366.3*Escalation!$B$85,Actuals!CK92)</f>
        <v>-412.51329417640324</v>
      </c>
      <c r="CL93" s="28">
        <f>IF(ISBLANK(Actuals!CL92),-366.3*Escalation!$B$86,Actuals!CL92)</f>
        <v>-420.76356005993119</v>
      </c>
      <c r="CM93" s="28">
        <f>IF(ISBLANK(Actuals!CM92),-366.3*Escalation!$B$87,Actuals!CM92)</f>
        <v>-420.76356005993119</v>
      </c>
      <c r="CN93" s="28">
        <f>IF(ISBLANK(Actuals!CN92),-366.3*Escalation!$B$88,Actuals!CN92)</f>
        <v>-420.76356005993119</v>
      </c>
      <c r="CO93" s="28">
        <f>IF(ISBLANK(Actuals!CO92),-366.3*Escalation!$B$89,Actuals!CO92)</f>
        <v>-420.76356005993119</v>
      </c>
      <c r="CP93" s="28">
        <f>IF(ISBLANK(Actuals!CP92),-366.3*Escalation!$B$90,Actuals!CP92)</f>
        <v>-420.76356005993119</v>
      </c>
      <c r="CQ93" s="28">
        <f>IF(ISBLANK(Actuals!CQ92),-366.3*Escalation!$B$91,Actuals!CQ92)</f>
        <v>-420.76356005993119</v>
      </c>
      <c r="CR93" s="28">
        <f>IF(ISBLANK(Actuals!CR92),-366.3*Escalation!$B$92,Actuals!CR92)</f>
        <v>-420.76356005993119</v>
      </c>
      <c r="CS93" s="28">
        <f>IF(ISBLANK(Actuals!CS92),-366.3*Escalation!$B$93,Actuals!CS92)</f>
        <v>-420.76356005993119</v>
      </c>
      <c r="CT93" s="28">
        <f>IF(ISBLANK(Actuals!CT92),-366.3*Escalation!$B$94,Actuals!CT92)</f>
        <v>-420.76356005993119</v>
      </c>
      <c r="CU93" s="28">
        <f>IF(ISBLANK(Actuals!CU92),-366.3*Escalation!$B$95,Actuals!CU92)</f>
        <v>-420.76356005993119</v>
      </c>
      <c r="CV93" s="28">
        <f>IF(ISBLANK(Actuals!CV92),-366.3*Escalation!$B$96,Actuals!CV92)</f>
        <v>-420.76356005993119</v>
      </c>
      <c r="CW93" s="28">
        <f>IF(ISBLANK(Actuals!CW92),-366.3*Escalation!$B$97,Actuals!CW92)</f>
        <v>-420.76356005993119</v>
      </c>
      <c r="CX93" s="28">
        <f>IF(ISBLANK(Actuals!CX92),-366.3*Escalation!$B$98,Actuals!CX92)</f>
        <v>-429.17883126112986</v>
      </c>
      <c r="CY93" s="28">
        <f>IF(ISBLANK(Actuals!CY92),-366.3*Escalation!$B$99,Actuals!CY92)</f>
        <v>-429.17883126112986</v>
      </c>
      <c r="CZ93" s="28">
        <f>IF(ISBLANK(Actuals!CZ92),-366.3*Escalation!$B$100,Actuals!CZ92)</f>
        <v>-429.17883126112986</v>
      </c>
      <c r="DA93" s="28">
        <f>IF(ISBLANK(Actuals!DA92),-366.3*Escalation!$B$101,Actuals!DA92)</f>
        <v>-429.17883126112986</v>
      </c>
      <c r="DB93" s="28">
        <f>IF(ISBLANK(Actuals!DB92),-366.3*Escalation!$B$102,Actuals!DB92)</f>
        <v>-429.17883126112986</v>
      </c>
      <c r="DC93" s="28">
        <f>IF(ISBLANK(Actuals!DC92),-366.3*Escalation!$B$103,Actuals!DC92)</f>
        <v>-429.17883126112986</v>
      </c>
      <c r="DD93" s="28">
        <f>IF(ISBLANK(Actuals!DD92),-366.3*Escalation!$B$104,Actuals!DD92)</f>
        <v>-429.17883126112986</v>
      </c>
      <c r="DE93" s="28">
        <f>IF(ISBLANK(Actuals!DE92),-366.3*Escalation!$B$105,Actuals!DE92)</f>
        <v>-429.17883126112986</v>
      </c>
      <c r="DF93" s="28">
        <f>IF(ISBLANK(Actuals!DF92),-366.3*Escalation!$B$106,Actuals!DF92)</f>
        <v>-429.17883126112986</v>
      </c>
    </row>
    <row r="94" spans="1:110" ht="15" customHeight="1" x14ac:dyDescent="0.25">
      <c r="A94" s="27" t="s">
        <v>119</v>
      </c>
      <c r="B94" s="27"/>
      <c r="C94" s="28">
        <f>IF(ISBLANK(Actuals!C93),0,Actuals!C93)</f>
        <v>0</v>
      </c>
      <c r="D94" s="28">
        <f>IF(ISBLANK(Actuals!D93),0,Actuals!D93)</f>
        <v>-92.75</v>
      </c>
      <c r="E94" s="28">
        <f>IF(ISBLANK(Actuals!E93),0,Actuals!E93)</f>
        <v>-57.46</v>
      </c>
      <c r="F94" s="28">
        <f>IF(ISBLANK(Actuals!F93),-50.07*Escalation!$B$2,Actuals!F93)</f>
        <v>0</v>
      </c>
      <c r="G94" s="28">
        <f>IF(ISBLANK(Actuals!G93),-50.07*Escalation!$B$3,Actuals!G93)</f>
        <v>-50.07</v>
      </c>
      <c r="H94" s="28">
        <f>IF(ISBLANK(Actuals!H93),-50.07*Escalation!$B$4,Actuals!H93)</f>
        <v>-50.07</v>
      </c>
      <c r="I94" s="28">
        <f>IF(ISBLANK(Actuals!I93),-50.07*Escalation!$B$5,Actuals!I93)</f>
        <v>-50.07</v>
      </c>
      <c r="J94" s="28">
        <f>IF(ISBLANK(Actuals!J93),-50.07*Escalation!$B$6,Actuals!J93)</f>
        <v>-50.07</v>
      </c>
      <c r="K94" s="28">
        <f>IF(ISBLANK(Actuals!K93),-50.07*Escalation!$B$7,Actuals!K93)</f>
        <v>-50.07</v>
      </c>
      <c r="L94" s="28">
        <f>IF(ISBLANK(Actuals!L93),-50.07*Escalation!$B$8,Actuals!L93)</f>
        <v>-50.07</v>
      </c>
      <c r="M94" s="28">
        <f>IF(ISBLANK(Actuals!M93),-50.07*Escalation!$B$9,Actuals!M93)</f>
        <v>-50.07</v>
      </c>
      <c r="N94" s="28">
        <f>IF(ISBLANK(Actuals!N93),-50.07*Escalation!$B$10,Actuals!N93)</f>
        <v>-50.07</v>
      </c>
      <c r="O94" s="28">
        <f>IF(ISBLANK(Actuals!O93),-50.07*Escalation!$B$11,Actuals!O93)</f>
        <v>-50.07</v>
      </c>
      <c r="P94" s="28">
        <f>IF(ISBLANK(Actuals!P93),-50.07*Escalation!$B$12,Actuals!P93)</f>
        <v>-50.07</v>
      </c>
      <c r="Q94" s="28">
        <f>IF(ISBLANK(Actuals!Q93),-50.07*Escalation!$B$13,Actuals!Q93)</f>
        <v>-50.07</v>
      </c>
      <c r="R94" s="28">
        <f>IF(ISBLANK(Actuals!R93),-50.07*Escalation!$B$14,Actuals!R93)</f>
        <v>-51.071400000000004</v>
      </c>
      <c r="S94" s="28">
        <f>IF(ISBLANK(Actuals!S93),-50.07*Escalation!$B$15,Actuals!S93)</f>
        <v>-51.071400000000004</v>
      </c>
      <c r="T94" s="28">
        <f>IF(ISBLANK(Actuals!T93),-50.07*Escalation!$B$16,Actuals!T93)</f>
        <v>-51.071400000000004</v>
      </c>
      <c r="U94" s="28">
        <f>IF(ISBLANK(Actuals!U93),-50.07*Escalation!$B$17,Actuals!U93)</f>
        <v>-51.071400000000004</v>
      </c>
      <c r="V94" s="28">
        <f>IF(ISBLANK(Actuals!V93),-50.07*Escalation!$B$18,Actuals!V93)</f>
        <v>-51.071400000000004</v>
      </c>
      <c r="W94" s="28">
        <f>IF(ISBLANK(Actuals!W93),-50.07*Escalation!$B$19,Actuals!W93)</f>
        <v>-51.071400000000004</v>
      </c>
      <c r="X94" s="28">
        <f>IF(ISBLANK(Actuals!X93),-50.07*Escalation!$B$20,Actuals!X93)</f>
        <v>-51.071400000000004</v>
      </c>
      <c r="Y94" s="28">
        <f>IF(ISBLANK(Actuals!Y93),-50.07*Escalation!$B$21,Actuals!Y93)</f>
        <v>-51.071400000000004</v>
      </c>
      <c r="Z94" s="28">
        <f>IF(ISBLANK(Actuals!Z93),-50.07*Escalation!$B$22,Actuals!Z93)</f>
        <v>-51.071400000000004</v>
      </c>
      <c r="AA94" s="28">
        <f>IF(ISBLANK(Actuals!AA93),-50.07*Escalation!$B$23,Actuals!AA93)</f>
        <v>-51.071400000000004</v>
      </c>
      <c r="AB94" s="28">
        <f>IF(ISBLANK(Actuals!AB93),-50.07*Escalation!$B$24,Actuals!AB93)</f>
        <v>-51.071400000000004</v>
      </c>
      <c r="AC94" s="28">
        <f>IF(ISBLANK(Actuals!AC93),-50.07*Escalation!$B$25,Actuals!AC93)</f>
        <v>-51.071400000000004</v>
      </c>
      <c r="AD94" s="28">
        <f>IF(ISBLANK(Actuals!AD93),-50.07*Escalation!$B$26,Actuals!AD93)</f>
        <v>-52.092827999999997</v>
      </c>
      <c r="AE94" s="28">
        <f>IF(ISBLANK(Actuals!AE93),-50.07*Escalation!$B$27,Actuals!AE93)</f>
        <v>-52.092827999999997</v>
      </c>
      <c r="AF94" s="28">
        <f>IF(ISBLANK(Actuals!AF93),-50.07*Escalation!$B$28,Actuals!AF93)</f>
        <v>-52.092827999999997</v>
      </c>
      <c r="AG94" s="28">
        <f>IF(ISBLANK(Actuals!AG93),-50.07*Escalation!$B$29,Actuals!AG93)</f>
        <v>-52.092827999999997</v>
      </c>
      <c r="AH94" s="28">
        <f>IF(ISBLANK(Actuals!AH93),-50.07*Escalation!$B$30,Actuals!AH93)</f>
        <v>-52.092827999999997</v>
      </c>
      <c r="AI94" s="28">
        <f>IF(ISBLANK(Actuals!AI93),-50.07*Escalation!$B$31,Actuals!AI93)</f>
        <v>-52.092827999999997</v>
      </c>
      <c r="AJ94" s="28">
        <f>IF(ISBLANK(Actuals!AJ93),-50.07*Escalation!$B$32,Actuals!AJ93)</f>
        <v>-52.092827999999997</v>
      </c>
      <c r="AK94" s="28">
        <f>IF(ISBLANK(Actuals!AK93),-50.07*Escalation!$B$33,Actuals!AK93)</f>
        <v>-52.092827999999997</v>
      </c>
      <c r="AL94" s="28">
        <f>IF(ISBLANK(Actuals!AL93),-50.07*Escalation!$B$34,Actuals!AL93)</f>
        <v>-52.092827999999997</v>
      </c>
      <c r="AM94" s="28">
        <f>IF(ISBLANK(Actuals!AM93),-50.07*Escalation!$B$35,Actuals!AM93)</f>
        <v>-52.092827999999997</v>
      </c>
      <c r="AN94" s="28">
        <f>IF(ISBLANK(Actuals!AN93),-50.07*Escalation!$B$36,Actuals!AN93)</f>
        <v>-52.092827999999997</v>
      </c>
      <c r="AO94" s="28">
        <f>IF(ISBLANK(Actuals!AO93),-50.07*Escalation!$B$37,Actuals!AO93)</f>
        <v>-52.092827999999997</v>
      </c>
      <c r="AP94" s="28">
        <f>IF(ISBLANK(Actuals!AP93),-50.07*Escalation!$B$38,Actuals!AP93)</f>
        <v>-53.134684559999997</v>
      </c>
      <c r="AQ94" s="28">
        <f>IF(ISBLANK(Actuals!AQ93),-50.07*Escalation!$B$39,Actuals!AQ93)</f>
        <v>-53.134684559999997</v>
      </c>
      <c r="AR94" s="28">
        <f>IF(ISBLANK(Actuals!AR93),-50.07*Escalation!$B$40,Actuals!AR93)</f>
        <v>-53.134684559999997</v>
      </c>
      <c r="AS94" s="28">
        <f>IF(ISBLANK(Actuals!AS93),-50.07*Escalation!$B$41,Actuals!AS93)</f>
        <v>-53.134684559999997</v>
      </c>
      <c r="AT94" s="28">
        <f>IF(ISBLANK(Actuals!AT93),-50.07*Escalation!$B$42,Actuals!AT93)</f>
        <v>-53.134684559999997</v>
      </c>
      <c r="AU94" s="28">
        <f>IF(ISBLANK(Actuals!AU93),-50.07*Escalation!$B$43,Actuals!AU93)</f>
        <v>-53.134684559999997</v>
      </c>
      <c r="AV94" s="28">
        <f>IF(ISBLANK(Actuals!AV93),-50.07*Escalation!$B$44,Actuals!AV93)</f>
        <v>-53.134684559999997</v>
      </c>
      <c r="AW94" s="28">
        <f>IF(ISBLANK(Actuals!AW93),-50.07*Escalation!$B$45,Actuals!AW93)</f>
        <v>-53.134684559999997</v>
      </c>
      <c r="AX94" s="28">
        <f>IF(ISBLANK(Actuals!AX93),-50.07*Escalation!$B$46,Actuals!AX93)</f>
        <v>-53.134684559999997</v>
      </c>
      <c r="AY94" s="28">
        <f>IF(ISBLANK(Actuals!AY93),-50.07*Escalation!$B$47,Actuals!AY93)</f>
        <v>-53.134684559999997</v>
      </c>
      <c r="AZ94" s="28">
        <f>IF(ISBLANK(Actuals!AZ93),-50.07*Escalation!$B$48,Actuals!AZ93)</f>
        <v>-53.134684559999997</v>
      </c>
      <c r="BA94" s="28">
        <f>IF(ISBLANK(Actuals!BA93),-50.07*Escalation!$B$49,Actuals!BA93)</f>
        <v>-53.134684559999997</v>
      </c>
      <c r="BB94" s="28">
        <f>IF(ISBLANK(Actuals!BB93),-50.07*Escalation!$B$50,Actuals!BB93)</f>
        <v>-54.1973782512</v>
      </c>
      <c r="BC94" s="28">
        <f>IF(ISBLANK(Actuals!BC93),-50.07*Escalation!$B$51,Actuals!BC93)</f>
        <v>-54.1973782512</v>
      </c>
      <c r="BD94" s="28">
        <f>IF(ISBLANK(Actuals!BD93),-50.07*Escalation!$B$52,Actuals!BD93)</f>
        <v>-54.1973782512</v>
      </c>
      <c r="BE94" s="28">
        <f>IF(ISBLANK(Actuals!BE93),-50.07*Escalation!$B$53,Actuals!BE93)</f>
        <v>-54.1973782512</v>
      </c>
      <c r="BF94" s="28">
        <f>IF(ISBLANK(Actuals!BF93),-50.07*Escalation!$B$54,Actuals!BF93)</f>
        <v>-54.1973782512</v>
      </c>
      <c r="BG94" s="28">
        <f>IF(ISBLANK(Actuals!BG93),-50.07*Escalation!$B$55,Actuals!BG93)</f>
        <v>-54.1973782512</v>
      </c>
      <c r="BH94" s="28">
        <f>IF(ISBLANK(Actuals!BH93),-50.07*Escalation!$B$56,Actuals!BH93)</f>
        <v>-54.1973782512</v>
      </c>
      <c r="BI94" s="28">
        <f>IF(ISBLANK(Actuals!BI93),-50.07*Escalation!$B$57,Actuals!BI93)</f>
        <v>-54.1973782512</v>
      </c>
      <c r="BJ94" s="28">
        <f>IF(ISBLANK(Actuals!BJ93),-50.07*Escalation!$B$58,Actuals!BJ93)</f>
        <v>-54.1973782512</v>
      </c>
      <c r="BK94" s="28">
        <f>IF(ISBLANK(Actuals!BK93),-50.07*Escalation!$B$59,Actuals!BK93)</f>
        <v>-54.1973782512</v>
      </c>
      <c r="BL94" s="28">
        <f>IF(ISBLANK(Actuals!BL93),-50.07*Escalation!$B$60,Actuals!BL93)</f>
        <v>-54.1973782512</v>
      </c>
      <c r="BM94" s="28">
        <f>IF(ISBLANK(Actuals!BM93),-50.07*Escalation!$B$61,Actuals!BM93)</f>
        <v>-54.1973782512</v>
      </c>
      <c r="BN94" s="28">
        <f>IF(ISBLANK(Actuals!BN93),-50.07*Escalation!$B$62,Actuals!BN93)</f>
        <v>-55.281325816224005</v>
      </c>
      <c r="BO94" s="28">
        <f>IF(ISBLANK(Actuals!BO93),-50.07*Escalation!$B$63,Actuals!BO93)</f>
        <v>-55.281325816224005</v>
      </c>
      <c r="BP94" s="28">
        <f>IF(ISBLANK(Actuals!BP93),-50.07*Escalation!$B$64,Actuals!BP93)</f>
        <v>-55.281325816224005</v>
      </c>
      <c r="BQ94" s="28">
        <f>IF(ISBLANK(Actuals!BQ93),-50.07*Escalation!$B$65,Actuals!BQ93)</f>
        <v>-55.281325816224005</v>
      </c>
      <c r="BR94" s="28">
        <f>IF(ISBLANK(Actuals!BR93),-50.07*Escalation!$B$66,Actuals!BR93)</f>
        <v>-55.281325816224005</v>
      </c>
      <c r="BS94" s="28">
        <f>IF(ISBLANK(Actuals!BS93),-50.07*Escalation!$B$67,Actuals!BS93)</f>
        <v>-55.281325816224005</v>
      </c>
      <c r="BT94" s="28">
        <f>IF(ISBLANK(Actuals!BT93),-50.07*Escalation!$B$68,Actuals!BT93)</f>
        <v>-55.281325816224005</v>
      </c>
      <c r="BU94" s="28">
        <f>IF(ISBLANK(Actuals!BU93),-50.07*Escalation!$B$69,Actuals!BU93)</f>
        <v>-55.281325816224005</v>
      </c>
      <c r="BV94" s="28">
        <f>IF(ISBLANK(Actuals!BV93),-50.07*Escalation!$B$70,Actuals!BV93)</f>
        <v>-55.281325816224005</v>
      </c>
      <c r="BW94" s="28">
        <f>IF(ISBLANK(Actuals!BW93),-50.07*Escalation!$B$71,Actuals!BW93)</f>
        <v>-55.281325816224005</v>
      </c>
      <c r="BX94" s="28">
        <f>IF(ISBLANK(Actuals!BX93),-50.07*Escalation!$B$72,Actuals!BX93)</f>
        <v>-55.281325816224005</v>
      </c>
      <c r="BY94" s="28">
        <f>IF(ISBLANK(Actuals!BY93),-50.07*Escalation!$B$73,Actuals!BY93)</f>
        <v>-55.281325816224005</v>
      </c>
      <c r="BZ94" s="28">
        <f>IF(ISBLANK(Actuals!BZ93),-50.07*Escalation!$B$74,Actuals!BZ93)</f>
        <v>-56.386952332548482</v>
      </c>
      <c r="CA94" s="28">
        <f>IF(ISBLANK(Actuals!CA93),-50.07*Escalation!$B$75,Actuals!CA93)</f>
        <v>-56.386952332548482</v>
      </c>
      <c r="CB94" s="28">
        <f>IF(ISBLANK(Actuals!CB93),-50.07*Escalation!$B$76,Actuals!CB93)</f>
        <v>-56.386952332548482</v>
      </c>
      <c r="CC94" s="28">
        <f>IF(ISBLANK(Actuals!CC93),-50.07*Escalation!$B$77,Actuals!CC93)</f>
        <v>-56.386952332548482</v>
      </c>
      <c r="CD94" s="28">
        <f>IF(ISBLANK(Actuals!CD93),-50.07*Escalation!$B$78,Actuals!CD93)</f>
        <v>-56.386952332548482</v>
      </c>
      <c r="CE94" s="28">
        <f>IF(ISBLANK(Actuals!CE93),-50.07*Escalation!$B$79,Actuals!CE93)</f>
        <v>-56.386952332548482</v>
      </c>
      <c r="CF94" s="28">
        <f>IF(ISBLANK(Actuals!CF93),-50.07*Escalation!$B$80,Actuals!CF93)</f>
        <v>-56.386952332548482</v>
      </c>
      <c r="CG94" s="28">
        <f>IF(ISBLANK(Actuals!CG93),-50.07*Escalation!$B$81,Actuals!CG93)</f>
        <v>-56.386952332548482</v>
      </c>
      <c r="CH94" s="28">
        <f>IF(ISBLANK(Actuals!CH93),-50.07*Escalation!$B$82,Actuals!CH93)</f>
        <v>-56.386952332548482</v>
      </c>
      <c r="CI94" s="28">
        <f>IF(ISBLANK(Actuals!CI93),-50.07*Escalation!$B$83,Actuals!CI93)</f>
        <v>-56.386952332548482</v>
      </c>
      <c r="CJ94" s="28">
        <f>IF(ISBLANK(Actuals!CJ93),-50.07*Escalation!$B$84,Actuals!CJ93)</f>
        <v>-56.386952332548482</v>
      </c>
      <c r="CK94" s="28">
        <f>IF(ISBLANK(Actuals!CK93),-50.07*Escalation!$B$85,Actuals!CK93)</f>
        <v>-56.386952332548482</v>
      </c>
      <c r="CL94" s="28">
        <f>IF(ISBLANK(Actuals!CL93),-50.07*Escalation!$B$86,Actuals!CL93)</f>
        <v>-57.514691379199441</v>
      </c>
      <c r="CM94" s="28">
        <f>IF(ISBLANK(Actuals!CM93),-50.07*Escalation!$B$87,Actuals!CM93)</f>
        <v>-57.514691379199441</v>
      </c>
      <c r="CN94" s="28">
        <f>IF(ISBLANK(Actuals!CN93),-50.07*Escalation!$B$88,Actuals!CN93)</f>
        <v>-57.514691379199441</v>
      </c>
      <c r="CO94" s="28">
        <f>IF(ISBLANK(Actuals!CO93),-50.07*Escalation!$B$89,Actuals!CO93)</f>
        <v>-57.514691379199441</v>
      </c>
      <c r="CP94" s="28">
        <f>IF(ISBLANK(Actuals!CP93),-50.07*Escalation!$B$90,Actuals!CP93)</f>
        <v>-57.514691379199441</v>
      </c>
      <c r="CQ94" s="28">
        <f>IF(ISBLANK(Actuals!CQ93),-50.07*Escalation!$B$91,Actuals!CQ93)</f>
        <v>-57.514691379199441</v>
      </c>
      <c r="CR94" s="28">
        <f>IF(ISBLANK(Actuals!CR93),-50.07*Escalation!$B$92,Actuals!CR93)</f>
        <v>-57.514691379199441</v>
      </c>
      <c r="CS94" s="28">
        <f>IF(ISBLANK(Actuals!CS93),-50.07*Escalation!$B$93,Actuals!CS93)</f>
        <v>-57.514691379199441</v>
      </c>
      <c r="CT94" s="28">
        <f>IF(ISBLANK(Actuals!CT93),-50.07*Escalation!$B$94,Actuals!CT93)</f>
        <v>-57.514691379199441</v>
      </c>
      <c r="CU94" s="28">
        <f>IF(ISBLANK(Actuals!CU93),-50.07*Escalation!$B$95,Actuals!CU93)</f>
        <v>-57.514691379199441</v>
      </c>
      <c r="CV94" s="28">
        <f>IF(ISBLANK(Actuals!CV93),-50.07*Escalation!$B$96,Actuals!CV93)</f>
        <v>-57.514691379199441</v>
      </c>
      <c r="CW94" s="28">
        <f>IF(ISBLANK(Actuals!CW93),-50.07*Escalation!$B$97,Actuals!CW93)</f>
        <v>-57.514691379199441</v>
      </c>
      <c r="CX94" s="28">
        <f>IF(ISBLANK(Actuals!CX93),-50.07*Escalation!$B$98,Actuals!CX93)</f>
        <v>-58.664985206783435</v>
      </c>
      <c r="CY94" s="28">
        <f>IF(ISBLANK(Actuals!CY93),-50.07*Escalation!$B$99,Actuals!CY93)</f>
        <v>-58.664985206783435</v>
      </c>
      <c r="CZ94" s="28">
        <f>IF(ISBLANK(Actuals!CZ93),-50.07*Escalation!$B$100,Actuals!CZ93)</f>
        <v>-58.664985206783435</v>
      </c>
      <c r="DA94" s="28">
        <f>IF(ISBLANK(Actuals!DA93),-50.07*Escalation!$B$101,Actuals!DA93)</f>
        <v>-58.664985206783435</v>
      </c>
      <c r="DB94" s="28">
        <f>IF(ISBLANK(Actuals!DB93),-50.07*Escalation!$B$102,Actuals!DB93)</f>
        <v>-58.664985206783435</v>
      </c>
      <c r="DC94" s="28">
        <f>IF(ISBLANK(Actuals!DC93),-50.07*Escalation!$B$103,Actuals!DC93)</f>
        <v>-58.664985206783435</v>
      </c>
      <c r="DD94" s="28">
        <f>IF(ISBLANK(Actuals!DD93),-50.07*Escalation!$B$104,Actuals!DD93)</f>
        <v>-58.664985206783435</v>
      </c>
      <c r="DE94" s="28">
        <f>IF(ISBLANK(Actuals!DE93),-50.07*Escalation!$B$105,Actuals!DE93)</f>
        <v>-58.664985206783435</v>
      </c>
      <c r="DF94" s="28">
        <f>IF(ISBLANK(Actuals!DF93),-50.07*Escalation!$B$106,Actuals!DF93)</f>
        <v>-58.664985206783435</v>
      </c>
    </row>
    <row r="95" spans="1:110" ht="15" customHeight="1" x14ac:dyDescent="0.25">
      <c r="A95" s="27" t="s">
        <v>77</v>
      </c>
      <c r="B95" s="27"/>
      <c r="C95" s="28">
        <f>IF(ISBLANK(Actuals!C94),0,Actuals!C94)</f>
        <v>-640.88</v>
      </c>
      <c r="D95" s="28">
        <f>IF(ISBLANK(Actuals!D94),0,Actuals!D94)</f>
        <v>-872.64</v>
      </c>
      <c r="E95" s="28">
        <f>IF(ISBLANK(Actuals!E94),0,Actuals!E94)</f>
        <v>-1175.78</v>
      </c>
      <c r="F95" s="28">
        <f>IF(ISBLANK(Actuals!F94),-896.43*Escalation!$B$2,Actuals!F94)</f>
        <v>-471.38</v>
      </c>
      <c r="G95" s="28">
        <f>IF(ISBLANK(Actuals!G94),-896.43*Escalation!$B$3,Actuals!G94)</f>
        <v>-896.43</v>
      </c>
      <c r="H95" s="28">
        <f>IF(ISBLANK(Actuals!H94),-896.43*Escalation!$B$4,Actuals!H94)</f>
        <v>-896.43</v>
      </c>
      <c r="I95" s="28">
        <f>IF(ISBLANK(Actuals!I94),-896.43*Escalation!$B$5,Actuals!I94)</f>
        <v>-896.43</v>
      </c>
      <c r="J95" s="28">
        <f>IF(ISBLANK(Actuals!J94),-896.43*Escalation!$B$6,Actuals!J94)</f>
        <v>-896.43</v>
      </c>
      <c r="K95" s="28">
        <f>IF(ISBLANK(Actuals!K94),-896.43*Escalation!$B$7,Actuals!K94)</f>
        <v>-896.43</v>
      </c>
      <c r="L95" s="28">
        <f>IF(ISBLANK(Actuals!L94),-896.43*Escalation!$B$8,Actuals!L94)</f>
        <v>-896.43</v>
      </c>
      <c r="M95" s="28">
        <f>IF(ISBLANK(Actuals!M94),-896.43*Escalation!$B$9,Actuals!M94)</f>
        <v>-896.43</v>
      </c>
      <c r="N95" s="28">
        <f>IF(ISBLANK(Actuals!N94),-896.43*Escalation!$B$10,Actuals!N94)</f>
        <v>-896.43</v>
      </c>
      <c r="O95" s="28">
        <f>IF(ISBLANK(Actuals!O94),-896.43*Escalation!$B$11,Actuals!O94)</f>
        <v>-896.43</v>
      </c>
      <c r="P95" s="28">
        <f>IF(ISBLANK(Actuals!P94),-896.43*Escalation!$B$12,Actuals!P94)</f>
        <v>-896.43</v>
      </c>
      <c r="Q95" s="28">
        <f>IF(ISBLANK(Actuals!Q94),-896.43*Escalation!$B$13,Actuals!Q94)</f>
        <v>-896.43</v>
      </c>
      <c r="R95" s="28">
        <f>IF(ISBLANK(Actuals!R94),-896.43*Escalation!$B$14,Actuals!R94)</f>
        <v>-914.35859999999991</v>
      </c>
      <c r="S95" s="28">
        <f>IF(ISBLANK(Actuals!S94),-896.43*Escalation!$B$15,Actuals!S94)</f>
        <v>-914.35859999999991</v>
      </c>
      <c r="T95" s="28">
        <f>IF(ISBLANK(Actuals!T94),-896.43*Escalation!$B$16,Actuals!T94)</f>
        <v>-914.35859999999991</v>
      </c>
      <c r="U95" s="28">
        <f>IF(ISBLANK(Actuals!U94),-896.43*Escalation!$B$17,Actuals!U94)</f>
        <v>-914.35859999999991</v>
      </c>
      <c r="V95" s="28">
        <f>IF(ISBLANK(Actuals!V94),-896.43*Escalation!$B$18,Actuals!V94)</f>
        <v>-914.35859999999991</v>
      </c>
      <c r="W95" s="28">
        <f>IF(ISBLANK(Actuals!W94),-896.43*Escalation!$B$19,Actuals!W94)</f>
        <v>-914.35859999999991</v>
      </c>
      <c r="X95" s="28">
        <f>IF(ISBLANK(Actuals!X94),-896.43*Escalation!$B$20,Actuals!X94)</f>
        <v>-914.35859999999991</v>
      </c>
      <c r="Y95" s="28">
        <f>IF(ISBLANK(Actuals!Y94),-896.43*Escalation!$B$21,Actuals!Y94)</f>
        <v>-914.35859999999991</v>
      </c>
      <c r="Z95" s="28">
        <f>IF(ISBLANK(Actuals!Z94),-896.43*Escalation!$B$22,Actuals!Z94)</f>
        <v>-914.35859999999991</v>
      </c>
      <c r="AA95" s="28">
        <f>IF(ISBLANK(Actuals!AA94),-896.43*Escalation!$B$23,Actuals!AA94)</f>
        <v>-914.35859999999991</v>
      </c>
      <c r="AB95" s="28">
        <f>IF(ISBLANK(Actuals!AB94),-896.43*Escalation!$B$24,Actuals!AB94)</f>
        <v>-914.35859999999991</v>
      </c>
      <c r="AC95" s="28">
        <f>IF(ISBLANK(Actuals!AC94),-896.43*Escalation!$B$25,Actuals!AC94)</f>
        <v>-914.35859999999991</v>
      </c>
      <c r="AD95" s="28">
        <f>IF(ISBLANK(Actuals!AD94),-896.43*Escalation!$B$26,Actuals!AD94)</f>
        <v>-932.64577199999997</v>
      </c>
      <c r="AE95" s="28">
        <f>IF(ISBLANK(Actuals!AE94),-896.43*Escalation!$B$27,Actuals!AE94)</f>
        <v>-932.64577199999997</v>
      </c>
      <c r="AF95" s="28">
        <f>IF(ISBLANK(Actuals!AF94),-896.43*Escalation!$B$28,Actuals!AF94)</f>
        <v>-932.64577199999997</v>
      </c>
      <c r="AG95" s="28">
        <f>IF(ISBLANK(Actuals!AG94),-896.43*Escalation!$B$29,Actuals!AG94)</f>
        <v>-932.64577199999997</v>
      </c>
      <c r="AH95" s="28">
        <f>IF(ISBLANK(Actuals!AH94),-896.43*Escalation!$B$30,Actuals!AH94)</f>
        <v>-932.64577199999997</v>
      </c>
      <c r="AI95" s="28">
        <f>IF(ISBLANK(Actuals!AI94),-896.43*Escalation!$B$31,Actuals!AI94)</f>
        <v>-932.64577199999997</v>
      </c>
      <c r="AJ95" s="28">
        <f>IF(ISBLANK(Actuals!AJ94),-896.43*Escalation!$B$32,Actuals!AJ94)</f>
        <v>-932.64577199999997</v>
      </c>
      <c r="AK95" s="28">
        <f>IF(ISBLANK(Actuals!AK94),-896.43*Escalation!$B$33,Actuals!AK94)</f>
        <v>-932.64577199999997</v>
      </c>
      <c r="AL95" s="28">
        <f>IF(ISBLANK(Actuals!AL94),-896.43*Escalation!$B$34,Actuals!AL94)</f>
        <v>-932.64577199999997</v>
      </c>
      <c r="AM95" s="28">
        <f>IF(ISBLANK(Actuals!AM94),-896.43*Escalation!$B$35,Actuals!AM94)</f>
        <v>-932.64577199999997</v>
      </c>
      <c r="AN95" s="28">
        <f>IF(ISBLANK(Actuals!AN94),-896.43*Escalation!$B$36,Actuals!AN94)</f>
        <v>-932.64577199999997</v>
      </c>
      <c r="AO95" s="28">
        <f>IF(ISBLANK(Actuals!AO94),-896.43*Escalation!$B$37,Actuals!AO94)</f>
        <v>-932.64577199999997</v>
      </c>
      <c r="AP95" s="28">
        <f>IF(ISBLANK(Actuals!AP94),-896.43*Escalation!$B$38,Actuals!AP94)</f>
        <v>-951.29868743999987</v>
      </c>
      <c r="AQ95" s="28">
        <f>IF(ISBLANK(Actuals!AQ94),-896.43*Escalation!$B$39,Actuals!AQ94)</f>
        <v>-951.29868743999987</v>
      </c>
      <c r="AR95" s="28">
        <f>IF(ISBLANK(Actuals!AR94),-896.43*Escalation!$B$40,Actuals!AR94)</f>
        <v>-951.29868743999987</v>
      </c>
      <c r="AS95" s="28">
        <f>IF(ISBLANK(Actuals!AS94),-896.43*Escalation!$B$41,Actuals!AS94)</f>
        <v>-951.29868743999987</v>
      </c>
      <c r="AT95" s="28">
        <f>IF(ISBLANK(Actuals!AT94),-896.43*Escalation!$B$42,Actuals!AT94)</f>
        <v>-951.29868743999987</v>
      </c>
      <c r="AU95" s="28">
        <f>IF(ISBLANK(Actuals!AU94),-896.43*Escalation!$B$43,Actuals!AU94)</f>
        <v>-951.29868743999987</v>
      </c>
      <c r="AV95" s="28">
        <f>IF(ISBLANK(Actuals!AV94),-896.43*Escalation!$B$44,Actuals!AV94)</f>
        <v>-951.29868743999987</v>
      </c>
      <c r="AW95" s="28">
        <f>IF(ISBLANK(Actuals!AW94),-896.43*Escalation!$B$45,Actuals!AW94)</f>
        <v>-951.29868743999987</v>
      </c>
      <c r="AX95" s="28">
        <f>IF(ISBLANK(Actuals!AX94),-896.43*Escalation!$B$46,Actuals!AX94)</f>
        <v>-951.29868743999987</v>
      </c>
      <c r="AY95" s="28">
        <f>IF(ISBLANK(Actuals!AY94),-896.43*Escalation!$B$47,Actuals!AY94)</f>
        <v>-951.29868743999987</v>
      </c>
      <c r="AZ95" s="28">
        <f>IF(ISBLANK(Actuals!AZ94),-896.43*Escalation!$B$48,Actuals!AZ94)</f>
        <v>-951.29868743999987</v>
      </c>
      <c r="BA95" s="28">
        <f>IF(ISBLANK(Actuals!BA94),-896.43*Escalation!$B$49,Actuals!BA94)</f>
        <v>-951.29868743999987</v>
      </c>
      <c r="BB95" s="28">
        <f>IF(ISBLANK(Actuals!BB94),-896.43*Escalation!$B$50,Actuals!BB94)</f>
        <v>-970.32466118879995</v>
      </c>
      <c r="BC95" s="28">
        <f>IF(ISBLANK(Actuals!BC94),-896.43*Escalation!$B$51,Actuals!BC94)</f>
        <v>-970.32466118879995</v>
      </c>
      <c r="BD95" s="28">
        <f>IF(ISBLANK(Actuals!BD94),-896.43*Escalation!$B$52,Actuals!BD94)</f>
        <v>-970.32466118879995</v>
      </c>
      <c r="BE95" s="28">
        <f>IF(ISBLANK(Actuals!BE94),-896.43*Escalation!$B$53,Actuals!BE94)</f>
        <v>-970.32466118879995</v>
      </c>
      <c r="BF95" s="28">
        <f>IF(ISBLANK(Actuals!BF94),-896.43*Escalation!$B$54,Actuals!BF94)</f>
        <v>-970.32466118879995</v>
      </c>
      <c r="BG95" s="28">
        <f>IF(ISBLANK(Actuals!BG94),-896.43*Escalation!$B$55,Actuals!BG94)</f>
        <v>-970.32466118879995</v>
      </c>
      <c r="BH95" s="28">
        <f>IF(ISBLANK(Actuals!BH94),-896.43*Escalation!$B$56,Actuals!BH94)</f>
        <v>-970.32466118879995</v>
      </c>
      <c r="BI95" s="28">
        <f>IF(ISBLANK(Actuals!BI94),-896.43*Escalation!$B$57,Actuals!BI94)</f>
        <v>-970.32466118879995</v>
      </c>
      <c r="BJ95" s="28">
        <f>IF(ISBLANK(Actuals!BJ94),-896.43*Escalation!$B$58,Actuals!BJ94)</f>
        <v>-970.32466118879995</v>
      </c>
      <c r="BK95" s="28">
        <f>IF(ISBLANK(Actuals!BK94),-896.43*Escalation!$B$59,Actuals!BK94)</f>
        <v>-970.32466118879995</v>
      </c>
      <c r="BL95" s="28">
        <f>IF(ISBLANK(Actuals!BL94),-896.43*Escalation!$B$60,Actuals!BL94)</f>
        <v>-970.32466118879995</v>
      </c>
      <c r="BM95" s="28">
        <f>IF(ISBLANK(Actuals!BM94),-896.43*Escalation!$B$61,Actuals!BM94)</f>
        <v>-970.32466118879995</v>
      </c>
      <c r="BN95" s="28">
        <f>IF(ISBLANK(Actuals!BN94),-896.43*Escalation!$B$62,Actuals!BN94)</f>
        <v>-989.73115441257596</v>
      </c>
      <c r="BO95" s="28">
        <f>IF(ISBLANK(Actuals!BO94),-896.43*Escalation!$B$63,Actuals!BO94)</f>
        <v>-989.73115441257596</v>
      </c>
      <c r="BP95" s="28">
        <f>IF(ISBLANK(Actuals!BP94),-896.43*Escalation!$B$64,Actuals!BP94)</f>
        <v>-989.73115441257596</v>
      </c>
      <c r="BQ95" s="28">
        <f>IF(ISBLANK(Actuals!BQ94),-896.43*Escalation!$B$65,Actuals!BQ94)</f>
        <v>-989.73115441257596</v>
      </c>
      <c r="BR95" s="28">
        <f>IF(ISBLANK(Actuals!BR94),-896.43*Escalation!$B$66,Actuals!BR94)</f>
        <v>-989.73115441257596</v>
      </c>
      <c r="BS95" s="28">
        <f>IF(ISBLANK(Actuals!BS94),-896.43*Escalation!$B$67,Actuals!BS94)</f>
        <v>-989.73115441257596</v>
      </c>
      <c r="BT95" s="28">
        <f>IF(ISBLANK(Actuals!BT94),-896.43*Escalation!$B$68,Actuals!BT94)</f>
        <v>-989.73115441257596</v>
      </c>
      <c r="BU95" s="28">
        <f>IF(ISBLANK(Actuals!BU94),-896.43*Escalation!$B$69,Actuals!BU94)</f>
        <v>-989.73115441257596</v>
      </c>
      <c r="BV95" s="28">
        <f>IF(ISBLANK(Actuals!BV94),-896.43*Escalation!$B$70,Actuals!BV94)</f>
        <v>-989.73115441257596</v>
      </c>
      <c r="BW95" s="28">
        <f>IF(ISBLANK(Actuals!BW94),-896.43*Escalation!$B$71,Actuals!BW94)</f>
        <v>-989.73115441257596</v>
      </c>
      <c r="BX95" s="28">
        <f>IF(ISBLANK(Actuals!BX94),-896.43*Escalation!$B$72,Actuals!BX94)</f>
        <v>-989.73115441257596</v>
      </c>
      <c r="BY95" s="28">
        <f>IF(ISBLANK(Actuals!BY94),-896.43*Escalation!$B$73,Actuals!BY94)</f>
        <v>-989.73115441257596</v>
      </c>
      <c r="BZ95" s="28">
        <f>IF(ISBLANK(Actuals!BZ94),-896.43*Escalation!$B$74,Actuals!BZ94)</f>
        <v>-1009.5257775008275</v>
      </c>
      <c r="CA95" s="28">
        <f>IF(ISBLANK(Actuals!CA94),-896.43*Escalation!$B$75,Actuals!CA94)</f>
        <v>-1009.5257775008275</v>
      </c>
      <c r="CB95" s="28">
        <f>IF(ISBLANK(Actuals!CB94),-896.43*Escalation!$B$76,Actuals!CB94)</f>
        <v>-1009.5257775008275</v>
      </c>
      <c r="CC95" s="28">
        <f>IF(ISBLANK(Actuals!CC94),-896.43*Escalation!$B$77,Actuals!CC94)</f>
        <v>-1009.5257775008275</v>
      </c>
      <c r="CD95" s="28">
        <f>IF(ISBLANK(Actuals!CD94),-896.43*Escalation!$B$78,Actuals!CD94)</f>
        <v>-1009.5257775008275</v>
      </c>
      <c r="CE95" s="28">
        <f>IF(ISBLANK(Actuals!CE94),-896.43*Escalation!$B$79,Actuals!CE94)</f>
        <v>-1009.5257775008275</v>
      </c>
      <c r="CF95" s="28">
        <f>IF(ISBLANK(Actuals!CF94),-896.43*Escalation!$B$80,Actuals!CF94)</f>
        <v>-1009.5257775008275</v>
      </c>
      <c r="CG95" s="28">
        <f>IF(ISBLANK(Actuals!CG94),-896.43*Escalation!$B$81,Actuals!CG94)</f>
        <v>-1009.5257775008275</v>
      </c>
      <c r="CH95" s="28">
        <f>IF(ISBLANK(Actuals!CH94),-896.43*Escalation!$B$82,Actuals!CH94)</f>
        <v>-1009.5257775008275</v>
      </c>
      <c r="CI95" s="28">
        <f>IF(ISBLANK(Actuals!CI94),-896.43*Escalation!$B$83,Actuals!CI94)</f>
        <v>-1009.5257775008275</v>
      </c>
      <c r="CJ95" s="28">
        <f>IF(ISBLANK(Actuals!CJ94),-896.43*Escalation!$B$84,Actuals!CJ94)</f>
        <v>-1009.5257775008275</v>
      </c>
      <c r="CK95" s="28">
        <f>IF(ISBLANK(Actuals!CK94),-896.43*Escalation!$B$85,Actuals!CK94)</f>
        <v>-1009.5257775008275</v>
      </c>
      <c r="CL95" s="28">
        <f>IF(ISBLANK(Actuals!CL94),-896.43*Escalation!$B$86,Actuals!CL94)</f>
        <v>-1029.7162930508439</v>
      </c>
      <c r="CM95" s="28">
        <f>IF(ISBLANK(Actuals!CM94),-896.43*Escalation!$B$87,Actuals!CM94)</f>
        <v>-1029.7162930508439</v>
      </c>
      <c r="CN95" s="28">
        <f>IF(ISBLANK(Actuals!CN94),-896.43*Escalation!$B$88,Actuals!CN94)</f>
        <v>-1029.7162930508439</v>
      </c>
      <c r="CO95" s="28">
        <f>IF(ISBLANK(Actuals!CO94),-896.43*Escalation!$B$89,Actuals!CO94)</f>
        <v>-1029.7162930508439</v>
      </c>
      <c r="CP95" s="28">
        <f>IF(ISBLANK(Actuals!CP94),-896.43*Escalation!$B$90,Actuals!CP94)</f>
        <v>-1029.7162930508439</v>
      </c>
      <c r="CQ95" s="28">
        <f>IF(ISBLANK(Actuals!CQ94),-896.43*Escalation!$B$91,Actuals!CQ94)</f>
        <v>-1029.7162930508439</v>
      </c>
      <c r="CR95" s="28">
        <f>IF(ISBLANK(Actuals!CR94),-896.43*Escalation!$B$92,Actuals!CR94)</f>
        <v>-1029.7162930508439</v>
      </c>
      <c r="CS95" s="28">
        <f>IF(ISBLANK(Actuals!CS94),-896.43*Escalation!$B$93,Actuals!CS94)</f>
        <v>-1029.7162930508439</v>
      </c>
      <c r="CT95" s="28">
        <f>IF(ISBLANK(Actuals!CT94),-896.43*Escalation!$B$94,Actuals!CT94)</f>
        <v>-1029.7162930508439</v>
      </c>
      <c r="CU95" s="28">
        <f>IF(ISBLANK(Actuals!CU94),-896.43*Escalation!$B$95,Actuals!CU94)</f>
        <v>-1029.7162930508439</v>
      </c>
      <c r="CV95" s="28">
        <f>IF(ISBLANK(Actuals!CV94),-896.43*Escalation!$B$96,Actuals!CV94)</f>
        <v>-1029.7162930508439</v>
      </c>
      <c r="CW95" s="28">
        <f>IF(ISBLANK(Actuals!CW94),-896.43*Escalation!$B$97,Actuals!CW94)</f>
        <v>-1029.7162930508439</v>
      </c>
      <c r="CX95" s="28">
        <f>IF(ISBLANK(Actuals!CX94),-896.43*Escalation!$B$98,Actuals!CX94)</f>
        <v>-1050.3106189118607</v>
      </c>
      <c r="CY95" s="28">
        <f>IF(ISBLANK(Actuals!CY94),-896.43*Escalation!$B$99,Actuals!CY94)</f>
        <v>-1050.3106189118607</v>
      </c>
      <c r="CZ95" s="28">
        <f>IF(ISBLANK(Actuals!CZ94),-896.43*Escalation!$B$100,Actuals!CZ94)</f>
        <v>-1050.3106189118607</v>
      </c>
      <c r="DA95" s="28">
        <f>IF(ISBLANK(Actuals!DA94),-896.43*Escalation!$B$101,Actuals!DA94)</f>
        <v>-1050.3106189118607</v>
      </c>
      <c r="DB95" s="28">
        <f>IF(ISBLANK(Actuals!DB94),-896.43*Escalation!$B$102,Actuals!DB94)</f>
        <v>-1050.3106189118607</v>
      </c>
      <c r="DC95" s="28">
        <f>IF(ISBLANK(Actuals!DC94),-896.43*Escalation!$B$103,Actuals!DC94)</f>
        <v>-1050.3106189118607</v>
      </c>
      <c r="DD95" s="28">
        <f>IF(ISBLANK(Actuals!DD94),-896.43*Escalation!$B$104,Actuals!DD94)</f>
        <v>-1050.3106189118607</v>
      </c>
      <c r="DE95" s="28">
        <f>IF(ISBLANK(Actuals!DE94),-896.43*Escalation!$B$105,Actuals!DE94)</f>
        <v>-1050.3106189118607</v>
      </c>
      <c r="DF95" s="28">
        <f>IF(ISBLANK(Actuals!DF94),-896.43*Escalation!$B$106,Actuals!DF94)</f>
        <v>-1050.3106189118607</v>
      </c>
    </row>
    <row r="96" spans="1:110" ht="15" customHeight="1" x14ac:dyDescent="0.25">
      <c r="A96" s="27" t="s">
        <v>78</v>
      </c>
      <c r="B96" s="27"/>
      <c r="C96" s="28">
        <f>IF(ISBLANK(Actuals!C95),0,Actuals!C95)</f>
        <v>0</v>
      </c>
      <c r="D96" s="28">
        <f>IF(ISBLANK(Actuals!D95),0,Actuals!D95)</f>
        <v>0</v>
      </c>
      <c r="E96" s="28">
        <f>IF(ISBLANK(Actuals!E95),0,Actuals!E95)</f>
        <v>-38050.5</v>
      </c>
      <c r="F96" s="28">
        <f>IF(ISBLANK(Actuals!F95),-2000*Escalation!$B$2,Actuals!F95)</f>
        <v>0</v>
      </c>
      <c r="G96" s="28">
        <f>IF(ISBLANK(Actuals!G95),-2000*Escalation!$B$3,Actuals!G95)</f>
        <v>-2000</v>
      </c>
      <c r="H96" s="28">
        <f>IF(ISBLANK(Actuals!H95),-2000*Escalation!$B$4,Actuals!H95)</f>
        <v>-2000</v>
      </c>
      <c r="I96" s="28">
        <f>IF(ISBLANK(Actuals!I95),-2000*Escalation!$B$5,Actuals!I95)</f>
        <v>-2000</v>
      </c>
      <c r="J96" s="28">
        <f>IF(ISBLANK(Actuals!J95),-2000*Escalation!$B$6,Actuals!J95)</f>
        <v>-2000</v>
      </c>
      <c r="K96" s="28">
        <f>IF(ISBLANK(Actuals!K95),-2000*Escalation!$B$7,Actuals!K95)</f>
        <v>-2000</v>
      </c>
      <c r="L96" s="28">
        <f>IF(ISBLANK(Actuals!L95),-2000*Escalation!$B$8,Actuals!L95)</f>
        <v>-2000</v>
      </c>
      <c r="M96" s="28">
        <f>IF(ISBLANK(Actuals!M95),-2000*Escalation!$B$9,Actuals!M95)</f>
        <v>-2000</v>
      </c>
      <c r="N96" s="28">
        <f>IF(ISBLANK(Actuals!N95),-2000*Escalation!$B$10,Actuals!N95)</f>
        <v>-2000</v>
      </c>
      <c r="O96" s="28">
        <f>IF(ISBLANK(Actuals!O95),-2000*Escalation!$B$11,Actuals!O95)</f>
        <v>-2000</v>
      </c>
      <c r="P96" s="28">
        <f>IF(ISBLANK(Actuals!P95),-2000*Escalation!$B$12,Actuals!P95)</f>
        <v>-2000</v>
      </c>
      <c r="Q96" s="28">
        <f>IF(ISBLANK(Actuals!Q95),-2000*Escalation!$B$13,Actuals!Q95)</f>
        <v>-2000</v>
      </c>
      <c r="R96" s="28">
        <f>IF(ISBLANK(Actuals!R95),-2000*Escalation!$B$14,Actuals!R95)</f>
        <v>-2040</v>
      </c>
      <c r="S96" s="28">
        <f>IF(ISBLANK(Actuals!S95),-2000*Escalation!$B$15,Actuals!S95)</f>
        <v>-2040</v>
      </c>
      <c r="T96" s="28">
        <f>IF(ISBLANK(Actuals!T95),-2000*Escalation!$B$16,Actuals!T95)</f>
        <v>-2040</v>
      </c>
      <c r="U96" s="28">
        <f>IF(ISBLANK(Actuals!U95),-2000*Escalation!$B$17,Actuals!U95)</f>
        <v>-2040</v>
      </c>
      <c r="V96" s="28">
        <f>IF(ISBLANK(Actuals!V95),-2000*Escalation!$B$18,Actuals!V95)</f>
        <v>-2040</v>
      </c>
      <c r="W96" s="28">
        <f>IF(ISBLANK(Actuals!W95),-2000*Escalation!$B$19,Actuals!W95)</f>
        <v>-2040</v>
      </c>
      <c r="X96" s="28">
        <f>IF(ISBLANK(Actuals!X95),-2000*Escalation!$B$20,Actuals!X95)</f>
        <v>-2040</v>
      </c>
      <c r="Y96" s="28">
        <f>IF(ISBLANK(Actuals!Y95),-2000*Escalation!$B$21,Actuals!Y95)</f>
        <v>-2040</v>
      </c>
      <c r="Z96" s="28">
        <f>IF(ISBLANK(Actuals!Z95),-2000*Escalation!$B$22,Actuals!Z95)</f>
        <v>-2040</v>
      </c>
      <c r="AA96" s="28">
        <f>IF(ISBLANK(Actuals!AA95),-2000*Escalation!$B$23,Actuals!AA95)</f>
        <v>-2040</v>
      </c>
      <c r="AB96" s="28">
        <f>IF(ISBLANK(Actuals!AB95),-2000*Escalation!$B$24,Actuals!AB95)</f>
        <v>-2040</v>
      </c>
      <c r="AC96" s="28">
        <f>IF(ISBLANK(Actuals!AC95),-2000*Escalation!$B$25,Actuals!AC95)</f>
        <v>-2040</v>
      </c>
      <c r="AD96" s="28">
        <f>IF(ISBLANK(Actuals!AD95),-2000*Escalation!$B$26,Actuals!AD95)</f>
        <v>-2080.8000000000002</v>
      </c>
      <c r="AE96" s="28">
        <f>IF(ISBLANK(Actuals!AE95),-2000*Escalation!$B$27,Actuals!AE95)</f>
        <v>-2080.8000000000002</v>
      </c>
      <c r="AF96" s="28">
        <f>IF(ISBLANK(Actuals!AF95),-2000*Escalation!$B$28,Actuals!AF95)</f>
        <v>-2080.8000000000002</v>
      </c>
      <c r="AG96" s="28">
        <f>IF(ISBLANK(Actuals!AG95),-2000*Escalation!$B$29,Actuals!AG95)</f>
        <v>-2080.8000000000002</v>
      </c>
      <c r="AH96" s="28">
        <f>IF(ISBLANK(Actuals!AH95),-2000*Escalation!$B$30,Actuals!AH95)</f>
        <v>-2080.8000000000002</v>
      </c>
      <c r="AI96" s="28">
        <f>IF(ISBLANK(Actuals!AI95),-2000*Escalation!$B$31,Actuals!AI95)</f>
        <v>-2080.8000000000002</v>
      </c>
      <c r="AJ96" s="28">
        <f>IF(ISBLANK(Actuals!AJ95),-2000*Escalation!$B$32,Actuals!AJ95)</f>
        <v>-2080.8000000000002</v>
      </c>
      <c r="AK96" s="28">
        <f>IF(ISBLANK(Actuals!AK95),-2000*Escalation!$B$33,Actuals!AK95)</f>
        <v>-2080.8000000000002</v>
      </c>
      <c r="AL96" s="28">
        <f>IF(ISBLANK(Actuals!AL95),-2000*Escalation!$B$34,Actuals!AL95)</f>
        <v>-2080.8000000000002</v>
      </c>
      <c r="AM96" s="28">
        <f>IF(ISBLANK(Actuals!AM95),-2000*Escalation!$B$35,Actuals!AM95)</f>
        <v>-2080.8000000000002</v>
      </c>
      <c r="AN96" s="28">
        <f>IF(ISBLANK(Actuals!AN95),-2000*Escalation!$B$36,Actuals!AN95)</f>
        <v>-2080.8000000000002</v>
      </c>
      <c r="AO96" s="28">
        <f>IF(ISBLANK(Actuals!AO95),-2000*Escalation!$B$37,Actuals!AO95)</f>
        <v>-2080.8000000000002</v>
      </c>
      <c r="AP96" s="28">
        <f>IF(ISBLANK(Actuals!AP95),-2000*Escalation!$B$38,Actuals!AP95)</f>
        <v>-2122.4159999999997</v>
      </c>
      <c r="AQ96" s="28">
        <f>IF(ISBLANK(Actuals!AQ95),-2000*Escalation!$B$39,Actuals!AQ95)</f>
        <v>-2122.4159999999997</v>
      </c>
      <c r="AR96" s="28">
        <f>IF(ISBLANK(Actuals!AR95),-2000*Escalation!$B$40,Actuals!AR95)</f>
        <v>-2122.4159999999997</v>
      </c>
      <c r="AS96" s="28">
        <f>IF(ISBLANK(Actuals!AS95),-2000*Escalation!$B$41,Actuals!AS95)</f>
        <v>-2122.4159999999997</v>
      </c>
      <c r="AT96" s="28">
        <f>IF(ISBLANK(Actuals!AT95),-2000*Escalation!$B$42,Actuals!AT95)</f>
        <v>-2122.4159999999997</v>
      </c>
      <c r="AU96" s="28">
        <f>IF(ISBLANK(Actuals!AU95),-2000*Escalation!$B$43,Actuals!AU95)</f>
        <v>-2122.4159999999997</v>
      </c>
      <c r="AV96" s="28">
        <f>IF(ISBLANK(Actuals!AV95),-2000*Escalation!$B$44,Actuals!AV95)</f>
        <v>-2122.4159999999997</v>
      </c>
      <c r="AW96" s="28">
        <f>IF(ISBLANK(Actuals!AW95),-2000*Escalation!$B$45,Actuals!AW95)</f>
        <v>-2122.4159999999997</v>
      </c>
      <c r="AX96" s="28">
        <f>IF(ISBLANK(Actuals!AX95),-2000*Escalation!$B$46,Actuals!AX95)</f>
        <v>-2122.4159999999997</v>
      </c>
      <c r="AY96" s="28">
        <f>IF(ISBLANK(Actuals!AY95),-2000*Escalation!$B$47,Actuals!AY95)</f>
        <v>-2122.4159999999997</v>
      </c>
      <c r="AZ96" s="28">
        <f>IF(ISBLANK(Actuals!AZ95),-2000*Escalation!$B$48,Actuals!AZ95)</f>
        <v>-2122.4159999999997</v>
      </c>
      <c r="BA96" s="28">
        <f>IF(ISBLANK(Actuals!BA95),-2000*Escalation!$B$49,Actuals!BA95)</f>
        <v>-2122.4159999999997</v>
      </c>
      <c r="BB96" s="28">
        <f>IF(ISBLANK(Actuals!BB95),-2000*Escalation!$B$50,Actuals!BB95)</f>
        <v>-2164.8643200000001</v>
      </c>
      <c r="BC96" s="28">
        <f>IF(ISBLANK(Actuals!BC95),-2000*Escalation!$B$51,Actuals!BC95)</f>
        <v>-2164.8643200000001</v>
      </c>
      <c r="BD96" s="28">
        <f>IF(ISBLANK(Actuals!BD95),-2000*Escalation!$B$52,Actuals!BD95)</f>
        <v>-2164.8643200000001</v>
      </c>
      <c r="BE96" s="28">
        <f>IF(ISBLANK(Actuals!BE95),-2000*Escalation!$B$53,Actuals!BE95)</f>
        <v>-2164.8643200000001</v>
      </c>
      <c r="BF96" s="28">
        <f>IF(ISBLANK(Actuals!BF95),-2000*Escalation!$B$54,Actuals!BF95)</f>
        <v>-2164.8643200000001</v>
      </c>
      <c r="BG96" s="28">
        <f>IF(ISBLANK(Actuals!BG95),-2000*Escalation!$B$55,Actuals!BG95)</f>
        <v>-2164.8643200000001</v>
      </c>
      <c r="BH96" s="28">
        <f>IF(ISBLANK(Actuals!BH95),-2000*Escalation!$B$56,Actuals!BH95)</f>
        <v>-2164.8643200000001</v>
      </c>
      <c r="BI96" s="28">
        <f>IF(ISBLANK(Actuals!BI95),-2000*Escalation!$B$57,Actuals!BI95)</f>
        <v>-2164.8643200000001</v>
      </c>
      <c r="BJ96" s="28">
        <f>IF(ISBLANK(Actuals!BJ95),-2000*Escalation!$B$58,Actuals!BJ95)</f>
        <v>-2164.8643200000001</v>
      </c>
      <c r="BK96" s="28">
        <f>IF(ISBLANK(Actuals!BK95),-2000*Escalation!$B$59,Actuals!BK95)</f>
        <v>-2164.8643200000001</v>
      </c>
      <c r="BL96" s="28">
        <f>IF(ISBLANK(Actuals!BL95),-2000*Escalation!$B$60,Actuals!BL95)</f>
        <v>-2164.8643200000001</v>
      </c>
      <c r="BM96" s="28">
        <f>IF(ISBLANK(Actuals!BM95),-2000*Escalation!$B$61,Actuals!BM95)</f>
        <v>-2164.8643200000001</v>
      </c>
      <c r="BN96" s="28">
        <f>IF(ISBLANK(Actuals!BN95),-2000*Escalation!$B$62,Actuals!BN95)</f>
        <v>-2208.1616064</v>
      </c>
      <c r="BO96" s="28">
        <f>IF(ISBLANK(Actuals!BO95),-2000*Escalation!$B$63,Actuals!BO95)</f>
        <v>-2208.1616064</v>
      </c>
      <c r="BP96" s="28">
        <f>IF(ISBLANK(Actuals!BP95),-2000*Escalation!$B$64,Actuals!BP95)</f>
        <v>-2208.1616064</v>
      </c>
      <c r="BQ96" s="28">
        <f>IF(ISBLANK(Actuals!BQ95),-2000*Escalation!$B$65,Actuals!BQ95)</f>
        <v>-2208.1616064</v>
      </c>
      <c r="BR96" s="28">
        <f>IF(ISBLANK(Actuals!BR95),-2000*Escalation!$B$66,Actuals!BR95)</f>
        <v>-2208.1616064</v>
      </c>
      <c r="BS96" s="28">
        <f>IF(ISBLANK(Actuals!BS95),-2000*Escalation!$B$67,Actuals!BS95)</f>
        <v>-2208.1616064</v>
      </c>
      <c r="BT96" s="28">
        <f>IF(ISBLANK(Actuals!BT95),-2000*Escalation!$B$68,Actuals!BT95)</f>
        <v>-2208.1616064</v>
      </c>
      <c r="BU96" s="28">
        <f>IF(ISBLANK(Actuals!BU95),-2000*Escalation!$B$69,Actuals!BU95)</f>
        <v>-2208.1616064</v>
      </c>
      <c r="BV96" s="28">
        <f>IF(ISBLANK(Actuals!BV95),-2000*Escalation!$B$70,Actuals!BV95)</f>
        <v>-2208.1616064</v>
      </c>
      <c r="BW96" s="28">
        <f>IF(ISBLANK(Actuals!BW95),-2000*Escalation!$B$71,Actuals!BW95)</f>
        <v>-2208.1616064</v>
      </c>
      <c r="BX96" s="28">
        <f>IF(ISBLANK(Actuals!BX95),-2000*Escalation!$B$72,Actuals!BX95)</f>
        <v>-2208.1616064</v>
      </c>
      <c r="BY96" s="28">
        <f>IF(ISBLANK(Actuals!BY95),-2000*Escalation!$B$73,Actuals!BY95)</f>
        <v>-2208.1616064</v>
      </c>
      <c r="BZ96" s="28">
        <f>IF(ISBLANK(Actuals!BZ95),-2000*Escalation!$B$74,Actuals!BZ95)</f>
        <v>-2252.3248385280003</v>
      </c>
      <c r="CA96" s="28">
        <f>IF(ISBLANK(Actuals!CA95),-2000*Escalation!$B$75,Actuals!CA95)</f>
        <v>-2252.3248385280003</v>
      </c>
      <c r="CB96" s="28">
        <f>IF(ISBLANK(Actuals!CB95),-2000*Escalation!$B$76,Actuals!CB95)</f>
        <v>-2252.3248385280003</v>
      </c>
      <c r="CC96" s="28">
        <f>IF(ISBLANK(Actuals!CC95),-2000*Escalation!$B$77,Actuals!CC95)</f>
        <v>-2252.3248385280003</v>
      </c>
      <c r="CD96" s="28">
        <f>IF(ISBLANK(Actuals!CD95),-2000*Escalation!$B$78,Actuals!CD95)</f>
        <v>-2252.3248385280003</v>
      </c>
      <c r="CE96" s="28">
        <f>IF(ISBLANK(Actuals!CE95),-2000*Escalation!$B$79,Actuals!CE95)</f>
        <v>-2252.3248385280003</v>
      </c>
      <c r="CF96" s="28">
        <f>IF(ISBLANK(Actuals!CF95),-2000*Escalation!$B$80,Actuals!CF95)</f>
        <v>-2252.3248385280003</v>
      </c>
      <c r="CG96" s="28">
        <f>IF(ISBLANK(Actuals!CG95),-2000*Escalation!$B$81,Actuals!CG95)</f>
        <v>-2252.3248385280003</v>
      </c>
      <c r="CH96" s="28">
        <f>IF(ISBLANK(Actuals!CH95),-2000*Escalation!$B$82,Actuals!CH95)</f>
        <v>-2252.3248385280003</v>
      </c>
      <c r="CI96" s="28">
        <f>IF(ISBLANK(Actuals!CI95),-2000*Escalation!$B$83,Actuals!CI95)</f>
        <v>-2252.3248385280003</v>
      </c>
      <c r="CJ96" s="28">
        <f>IF(ISBLANK(Actuals!CJ95),-2000*Escalation!$B$84,Actuals!CJ95)</f>
        <v>-2252.3248385280003</v>
      </c>
      <c r="CK96" s="28">
        <f>IF(ISBLANK(Actuals!CK95),-2000*Escalation!$B$85,Actuals!CK95)</f>
        <v>-2252.3248385280003</v>
      </c>
      <c r="CL96" s="28">
        <f>IF(ISBLANK(Actuals!CL95),-2000*Escalation!$B$86,Actuals!CL95)</f>
        <v>-2297.3713352985596</v>
      </c>
      <c r="CM96" s="28">
        <f>IF(ISBLANK(Actuals!CM95),-2000*Escalation!$B$87,Actuals!CM95)</f>
        <v>-2297.3713352985596</v>
      </c>
      <c r="CN96" s="28">
        <f>IF(ISBLANK(Actuals!CN95),-2000*Escalation!$B$88,Actuals!CN95)</f>
        <v>-2297.3713352985596</v>
      </c>
      <c r="CO96" s="28">
        <f>IF(ISBLANK(Actuals!CO95),-2000*Escalation!$B$89,Actuals!CO95)</f>
        <v>-2297.3713352985596</v>
      </c>
      <c r="CP96" s="28">
        <f>IF(ISBLANK(Actuals!CP95),-2000*Escalation!$B$90,Actuals!CP95)</f>
        <v>-2297.3713352985596</v>
      </c>
      <c r="CQ96" s="28">
        <f>IF(ISBLANK(Actuals!CQ95),-2000*Escalation!$B$91,Actuals!CQ95)</f>
        <v>-2297.3713352985596</v>
      </c>
      <c r="CR96" s="28">
        <f>IF(ISBLANK(Actuals!CR95),-2000*Escalation!$B$92,Actuals!CR95)</f>
        <v>-2297.3713352985596</v>
      </c>
      <c r="CS96" s="28">
        <f>IF(ISBLANK(Actuals!CS95),-2000*Escalation!$B$93,Actuals!CS95)</f>
        <v>-2297.3713352985596</v>
      </c>
      <c r="CT96" s="28">
        <f>IF(ISBLANK(Actuals!CT95),-2000*Escalation!$B$94,Actuals!CT95)</f>
        <v>-2297.3713352985596</v>
      </c>
      <c r="CU96" s="28">
        <f>IF(ISBLANK(Actuals!CU95),-2000*Escalation!$B$95,Actuals!CU95)</f>
        <v>-2297.3713352985596</v>
      </c>
      <c r="CV96" s="28">
        <f>IF(ISBLANK(Actuals!CV95),-2000*Escalation!$B$96,Actuals!CV95)</f>
        <v>-2297.3713352985596</v>
      </c>
      <c r="CW96" s="28">
        <f>IF(ISBLANK(Actuals!CW95),-2000*Escalation!$B$97,Actuals!CW95)</f>
        <v>-2297.3713352985596</v>
      </c>
      <c r="CX96" s="28">
        <f>IF(ISBLANK(Actuals!CX95),-2000*Escalation!$B$98,Actuals!CX95)</f>
        <v>-2343.318762004531</v>
      </c>
      <c r="CY96" s="28">
        <f>IF(ISBLANK(Actuals!CY95),-2000*Escalation!$B$99,Actuals!CY95)</f>
        <v>-2343.318762004531</v>
      </c>
      <c r="CZ96" s="28">
        <f>IF(ISBLANK(Actuals!CZ95),-2000*Escalation!$B$100,Actuals!CZ95)</f>
        <v>-2343.318762004531</v>
      </c>
      <c r="DA96" s="28">
        <f>IF(ISBLANK(Actuals!DA95),-2000*Escalation!$B$101,Actuals!DA95)</f>
        <v>-2343.318762004531</v>
      </c>
      <c r="DB96" s="28">
        <f>IF(ISBLANK(Actuals!DB95),-2000*Escalation!$B$102,Actuals!DB95)</f>
        <v>-2343.318762004531</v>
      </c>
      <c r="DC96" s="28">
        <f>IF(ISBLANK(Actuals!DC95),-2000*Escalation!$B$103,Actuals!DC95)</f>
        <v>-2343.318762004531</v>
      </c>
      <c r="DD96" s="28">
        <f>IF(ISBLANK(Actuals!DD95),-2000*Escalation!$B$104,Actuals!DD95)</f>
        <v>-2343.318762004531</v>
      </c>
      <c r="DE96" s="28">
        <f>IF(ISBLANK(Actuals!DE95),-2000*Escalation!$B$105,Actuals!DE95)</f>
        <v>-2343.318762004531</v>
      </c>
      <c r="DF96" s="28">
        <f>IF(ISBLANK(Actuals!DF95),-2000*Escalation!$B$106,Actuals!DF95)</f>
        <v>-2343.318762004531</v>
      </c>
    </row>
    <row r="97" spans="1:110" ht="15" customHeight="1" x14ac:dyDescent="0.25">
      <c r="A97" s="27" t="s">
        <v>79</v>
      </c>
      <c r="B97" s="27"/>
      <c r="C97" s="28">
        <f>IF(ISBLANK(Actuals!C96),0,Actuals!C96)</f>
        <v>-4097.78</v>
      </c>
      <c r="D97" s="28">
        <f>IF(ISBLANK(Actuals!D96),0,Actuals!D96)</f>
        <v>-1950.2</v>
      </c>
      <c r="E97" s="28">
        <f>IF(ISBLANK(Actuals!E96),0,Actuals!E96)</f>
        <v>-1978.2</v>
      </c>
      <c r="F97" s="28">
        <f>IF(ISBLANK(Actuals!F96),-2675.39*Escalation!$B$2,Actuals!F96)</f>
        <v>-1970.2</v>
      </c>
      <c r="G97" s="28">
        <f>IF(ISBLANK(Actuals!G96),-2675.39*Escalation!$B$3,Actuals!G96)</f>
        <v>-2675.39</v>
      </c>
      <c r="H97" s="28">
        <f>IF(ISBLANK(Actuals!H96),-2675.39*Escalation!$B$4,Actuals!H96)</f>
        <v>-2675.39</v>
      </c>
      <c r="I97" s="28">
        <f>IF(ISBLANK(Actuals!I96),-2675.39*Escalation!$B$5,Actuals!I96)</f>
        <v>-2675.39</v>
      </c>
      <c r="J97" s="28">
        <f>IF(ISBLANK(Actuals!J96),-2675.39*Escalation!$B$6,Actuals!J96)</f>
        <v>-2675.39</v>
      </c>
      <c r="K97" s="28">
        <f>IF(ISBLANK(Actuals!K96),-2675.39*Escalation!$B$7,Actuals!K96)</f>
        <v>-2675.39</v>
      </c>
      <c r="L97" s="28">
        <f>IF(ISBLANK(Actuals!L96),-2675.39*Escalation!$B$8,Actuals!L96)</f>
        <v>-2675.39</v>
      </c>
      <c r="M97" s="28">
        <f>IF(ISBLANK(Actuals!M96),-2675.39*Escalation!$B$9,Actuals!M96)</f>
        <v>-2675.39</v>
      </c>
      <c r="N97" s="28">
        <f>IF(ISBLANK(Actuals!N96),-2675.39*Escalation!$B$10,Actuals!N96)</f>
        <v>-2675.39</v>
      </c>
      <c r="O97" s="28">
        <f>IF(ISBLANK(Actuals!O96),-2675.39*Escalation!$B$11,Actuals!O96)</f>
        <v>-2675.39</v>
      </c>
      <c r="P97" s="28">
        <f>IF(ISBLANK(Actuals!P96),-2675.39*Escalation!$B$12,Actuals!P96)</f>
        <v>-2675.39</v>
      </c>
      <c r="Q97" s="28">
        <f>IF(ISBLANK(Actuals!Q96),-2675.39*Escalation!$B$13,Actuals!Q96)</f>
        <v>-2675.39</v>
      </c>
      <c r="R97" s="28">
        <f>IF(ISBLANK(Actuals!R96),-2675.39*Escalation!$B$14,Actuals!R96)</f>
        <v>-2728.8977999999997</v>
      </c>
      <c r="S97" s="28">
        <f>IF(ISBLANK(Actuals!S96),-2675.39*Escalation!$B$15,Actuals!S96)</f>
        <v>-2728.8977999999997</v>
      </c>
      <c r="T97" s="28">
        <f>IF(ISBLANK(Actuals!T96),-2675.39*Escalation!$B$16,Actuals!T96)</f>
        <v>-2728.8977999999997</v>
      </c>
      <c r="U97" s="28">
        <f>IF(ISBLANK(Actuals!U96),-2675.39*Escalation!$B$17,Actuals!U96)</f>
        <v>-2728.8977999999997</v>
      </c>
      <c r="V97" s="28">
        <f>IF(ISBLANK(Actuals!V96),-2675.39*Escalation!$B$18,Actuals!V96)</f>
        <v>-2728.8977999999997</v>
      </c>
      <c r="W97" s="28">
        <f>IF(ISBLANK(Actuals!W96),-2675.39*Escalation!$B$19,Actuals!W96)</f>
        <v>-2728.8977999999997</v>
      </c>
      <c r="X97" s="28">
        <f>IF(ISBLANK(Actuals!X96),-2675.39*Escalation!$B$20,Actuals!X96)</f>
        <v>-2728.8977999999997</v>
      </c>
      <c r="Y97" s="28">
        <f>IF(ISBLANK(Actuals!Y96),-2675.39*Escalation!$B$21,Actuals!Y96)</f>
        <v>-2728.8977999999997</v>
      </c>
      <c r="Z97" s="28">
        <f>IF(ISBLANK(Actuals!Z96),-2675.39*Escalation!$B$22,Actuals!Z96)</f>
        <v>-2728.8977999999997</v>
      </c>
      <c r="AA97" s="28">
        <f>IF(ISBLANK(Actuals!AA96),-2675.39*Escalation!$B$23,Actuals!AA96)</f>
        <v>-2728.8977999999997</v>
      </c>
      <c r="AB97" s="28">
        <f>IF(ISBLANK(Actuals!AB96),-2675.39*Escalation!$B$24,Actuals!AB96)</f>
        <v>-2728.8977999999997</v>
      </c>
      <c r="AC97" s="28">
        <f>IF(ISBLANK(Actuals!AC96),-2675.39*Escalation!$B$25,Actuals!AC96)</f>
        <v>-2728.8977999999997</v>
      </c>
      <c r="AD97" s="28">
        <f>IF(ISBLANK(Actuals!AD96),-2675.39*Escalation!$B$26,Actuals!AD96)</f>
        <v>-2783.4757559999998</v>
      </c>
      <c r="AE97" s="28">
        <f>IF(ISBLANK(Actuals!AE96),-2675.39*Escalation!$B$27,Actuals!AE96)</f>
        <v>-2783.4757559999998</v>
      </c>
      <c r="AF97" s="28">
        <f>IF(ISBLANK(Actuals!AF96),-2675.39*Escalation!$B$28,Actuals!AF96)</f>
        <v>-2783.4757559999998</v>
      </c>
      <c r="AG97" s="28">
        <f>IF(ISBLANK(Actuals!AG96),-2675.39*Escalation!$B$29,Actuals!AG96)</f>
        <v>-2783.4757559999998</v>
      </c>
      <c r="AH97" s="28">
        <f>IF(ISBLANK(Actuals!AH96),-2675.39*Escalation!$B$30,Actuals!AH96)</f>
        <v>-2783.4757559999998</v>
      </c>
      <c r="AI97" s="28">
        <f>IF(ISBLANK(Actuals!AI96),-2675.39*Escalation!$B$31,Actuals!AI96)</f>
        <v>-2783.4757559999998</v>
      </c>
      <c r="AJ97" s="28">
        <f>IF(ISBLANK(Actuals!AJ96),-2675.39*Escalation!$B$32,Actuals!AJ96)</f>
        <v>-2783.4757559999998</v>
      </c>
      <c r="AK97" s="28">
        <f>IF(ISBLANK(Actuals!AK96),-2675.39*Escalation!$B$33,Actuals!AK96)</f>
        <v>-2783.4757559999998</v>
      </c>
      <c r="AL97" s="28">
        <f>IF(ISBLANK(Actuals!AL96),-2675.39*Escalation!$B$34,Actuals!AL96)</f>
        <v>-2783.4757559999998</v>
      </c>
      <c r="AM97" s="28">
        <f>IF(ISBLANK(Actuals!AM96),-2675.39*Escalation!$B$35,Actuals!AM96)</f>
        <v>-2783.4757559999998</v>
      </c>
      <c r="AN97" s="28">
        <f>IF(ISBLANK(Actuals!AN96),-2675.39*Escalation!$B$36,Actuals!AN96)</f>
        <v>-2783.4757559999998</v>
      </c>
      <c r="AO97" s="28">
        <f>IF(ISBLANK(Actuals!AO96),-2675.39*Escalation!$B$37,Actuals!AO96)</f>
        <v>-2783.4757559999998</v>
      </c>
      <c r="AP97" s="28">
        <f>IF(ISBLANK(Actuals!AP96),-2675.39*Escalation!$B$38,Actuals!AP96)</f>
        <v>-2839.1452711199995</v>
      </c>
      <c r="AQ97" s="28">
        <f>IF(ISBLANK(Actuals!AQ96),-2675.39*Escalation!$B$39,Actuals!AQ96)</f>
        <v>-2839.1452711199995</v>
      </c>
      <c r="AR97" s="28">
        <f>IF(ISBLANK(Actuals!AR96),-2675.39*Escalation!$B$40,Actuals!AR96)</f>
        <v>-2839.1452711199995</v>
      </c>
      <c r="AS97" s="28">
        <f>IF(ISBLANK(Actuals!AS96),-2675.39*Escalation!$B$41,Actuals!AS96)</f>
        <v>-2839.1452711199995</v>
      </c>
      <c r="AT97" s="28">
        <f>IF(ISBLANK(Actuals!AT96),-2675.39*Escalation!$B$42,Actuals!AT96)</f>
        <v>-2839.1452711199995</v>
      </c>
      <c r="AU97" s="28">
        <f>IF(ISBLANK(Actuals!AU96),-2675.39*Escalation!$B$43,Actuals!AU96)</f>
        <v>-2839.1452711199995</v>
      </c>
      <c r="AV97" s="28">
        <f>IF(ISBLANK(Actuals!AV96),-2675.39*Escalation!$B$44,Actuals!AV96)</f>
        <v>-2839.1452711199995</v>
      </c>
      <c r="AW97" s="28">
        <f>IF(ISBLANK(Actuals!AW96),-2675.39*Escalation!$B$45,Actuals!AW96)</f>
        <v>-2839.1452711199995</v>
      </c>
      <c r="AX97" s="28">
        <f>IF(ISBLANK(Actuals!AX96),-2675.39*Escalation!$B$46,Actuals!AX96)</f>
        <v>-2839.1452711199995</v>
      </c>
      <c r="AY97" s="28">
        <f>IF(ISBLANK(Actuals!AY96),-2675.39*Escalation!$B$47,Actuals!AY96)</f>
        <v>-2839.1452711199995</v>
      </c>
      <c r="AZ97" s="28">
        <f>IF(ISBLANK(Actuals!AZ96),-2675.39*Escalation!$B$48,Actuals!AZ96)</f>
        <v>-2839.1452711199995</v>
      </c>
      <c r="BA97" s="28">
        <f>IF(ISBLANK(Actuals!BA96),-2675.39*Escalation!$B$49,Actuals!BA96)</f>
        <v>-2839.1452711199995</v>
      </c>
      <c r="BB97" s="28">
        <f>IF(ISBLANK(Actuals!BB96),-2675.39*Escalation!$B$50,Actuals!BB96)</f>
        <v>-2895.9281765423998</v>
      </c>
      <c r="BC97" s="28">
        <f>IF(ISBLANK(Actuals!BC96),-2675.39*Escalation!$B$51,Actuals!BC96)</f>
        <v>-2895.9281765423998</v>
      </c>
      <c r="BD97" s="28">
        <f>IF(ISBLANK(Actuals!BD96),-2675.39*Escalation!$B$52,Actuals!BD96)</f>
        <v>-2895.9281765423998</v>
      </c>
      <c r="BE97" s="28">
        <f>IF(ISBLANK(Actuals!BE96),-2675.39*Escalation!$B$53,Actuals!BE96)</f>
        <v>-2895.9281765423998</v>
      </c>
      <c r="BF97" s="28">
        <f>IF(ISBLANK(Actuals!BF96),-2675.39*Escalation!$B$54,Actuals!BF96)</f>
        <v>-2895.9281765423998</v>
      </c>
      <c r="BG97" s="28">
        <f>IF(ISBLANK(Actuals!BG96),-2675.39*Escalation!$B$55,Actuals!BG96)</f>
        <v>-2895.9281765423998</v>
      </c>
      <c r="BH97" s="28">
        <f>IF(ISBLANK(Actuals!BH96),-2675.39*Escalation!$B$56,Actuals!BH96)</f>
        <v>-2895.9281765423998</v>
      </c>
      <c r="BI97" s="28">
        <f>IF(ISBLANK(Actuals!BI96),-2675.39*Escalation!$B$57,Actuals!BI96)</f>
        <v>-2895.9281765423998</v>
      </c>
      <c r="BJ97" s="28">
        <f>IF(ISBLANK(Actuals!BJ96),-2675.39*Escalation!$B$58,Actuals!BJ96)</f>
        <v>-2895.9281765423998</v>
      </c>
      <c r="BK97" s="28">
        <f>IF(ISBLANK(Actuals!BK96),-2675.39*Escalation!$B$59,Actuals!BK96)</f>
        <v>-2895.9281765423998</v>
      </c>
      <c r="BL97" s="28">
        <f>IF(ISBLANK(Actuals!BL96),-2675.39*Escalation!$B$60,Actuals!BL96)</f>
        <v>-2895.9281765423998</v>
      </c>
      <c r="BM97" s="28">
        <f>IF(ISBLANK(Actuals!BM96),-2675.39*Escalation!$B$61,Actuals!BM96)</f>
        <v>-2895.9281765423998</v>
      </c>
      <c r="BN97" s="28">
        <f>IF(ISBLANK(Actuals!BN96),-2675.39*Escalation!$B$62,Actuals!BN96)</f>
        <v>-2953.8467400732479</v>
      </c>
      <c r="BO97" s="28">
        <f>IF(ISBLANK(Actuals!BO96),-2675.39*Escalation!$B$63,Actuals!BO96)</f>
        <v>-2953.8467400732479</v>
      </c>
      <c r="BP97" s="28">
        <f>IF(ISBLANK(Actuals!BP96),-2675.39*Escalation!$B$64,Actuals!BP96)</f>
        <v>-2953.8467400732479</v>
      </c>
      <c r="BQ97" s="28">
        <f>IF(ISBLANK(Actuals!BQ96),-2675.39*Escalation!$B$65,Actuals!BQ96)</f>
        <v>-2953.8467400732479</v>
      </c>
      <c r="BR97" s="28">
        <f>IF(ISBLANK(Actuals!BR96),-2675.39*Escalation!$B$66,Actuals!BR96)</f>
        <v>-2953.8467400732479</v>
      </c>
      <c r="BS97" s="28">
        <f>IF(ISBLANK(Actuals!BS96),-2675.39*Escalation!$B$67,Actuals!BS96)</f>
        <v>-2953.8467400732479</v>
      </c>
      <c r="BT97" s="28">
        <f>IF(ISBLANK(Actuals!BT96),-2675.39*Escalation!$B$68,Actuals!BT96)</f>
        <v>-2953.8467400732479</v>
      </c>
      <c r="BU97" s="28">
        <f>IF(ISBLANK(Actuals!BU96),-2675.39*Escalation!$B$69,Actuals!BU96)</f>
        <v>-2953.8467400732479</v>
      </c>
      <c r="BV97" s="28">
        <f>IF(ISBLANK(Actuals!BV96),-2675.39*Escalation!$B$70,Actuals!BV96)</f>
        <v>-2953.8467400732479</v>
      </c>
      <c r="BW97" s="28">
        <f>IF(ISBLANK(Actuals!BW96),-2675.39*Escalation!$B$71,Actuals!BW96)</f>
        <v>-2953.8467400732479</v>
      </c>
      <c r="BX97" s="28">
        <f>IF(ISBLANK(Actuals!BX96),-2675.39*Escalation!$B$72,Actuals!BX96)</f>
        <v>-2953.8467400732479</v>
      </c>
      <c r="BY97" s="28">
        <f>IF(ISBLANK(Actuals!BY96),-2675.39*Escalation!$B$73,Actuals!BY96)</f>
        <v>-2953.8467400732479</v>
      </c>
      <c r="BZ97" s="28">
        <f>IF(ISBLANK(Actuals!BZ96),-2675.39*Escalation!$B$74,Actuals!BZ96)</f>
        <v>-3012.923674874713</v>
      </c>
      <c r="CA97" s="28">
        <f>IF(ISBLANK(Actuals!CA96),-2675.39*Escalation!$B$75,Actuals!CA96)</f>
        <v>-3012.923674874713</v>
      </c>
      <c r="CB97" s="28">
        <f>IF(ISBLANK(Actuals!CB96),-2675.39*Escalation!$B$76,Actuals!CB96)</f>
        <v>-3012.923674874713</v>
      </c>
      <c r="CC97" s="28">
        <f>IF(ISBLANK(Actuals!CC96),-2675.39*Escalation!$B$77,Actuals!CC96)</f>
        <v>-3012.923674874713</v>
      </c>
      <c r="CD97" s="28">
        <f>IF(ISBLANK(Actuals!CD96),-2675.39*Escalation!$B$78,Actuals!CD96)</f>
        <v>-3012.923674874713</v>
      </c>
      <c r="CE97" s="28">
        <f>IF(ISBLANK(Actuals!CE96),-2675.39*Escalation!$B$79,Actuals!CE96)</f>
        <v>-3012.923674874713</v>
      </c>
      <c r="CF97" s="28">
        <f>IF(ISBLANK(Actuals!CF96),-2675.39*Escalation!$B$80,Actuals!CF96)</f>
        <v>-3012.923674874713</v>
      </c>
      <c r="CG97" s="28">
        <f>IF(ISBLANK(Actuals!CG96),-2675.39*Escalation!$B$81,Actuals!CG96)</f>
        <v>-3012.923674874713</v>
      </c>
      <c r="CH97" s="28">
        <f>IF(ISBLANK(Actuals!CH96),-2675.39*Escalation!$B$82,Actuals!CH96)</f>
        <v>-3012.923674874713</v>
      </c>
      <c r="CI97" s="28">
        <f>IF(ISBLANK(Actuals!CI96),-2675.39*Escalation!$B$83,Actuals!CI96)</f>
        <v>-3012.923674874713</v>
      </c>
      <c r="CJ97" s="28">
        <f>IF(ISBLANK(Actuals!CJ96),-2675.39*Escalation!$B$84,Actuals!CJ96)</f>
        <v>-3012.923674874713</v>
      </c>
      <c r="CK97" s="28">
        <f>IF(ISBLANK(Actuals!CK96),-2675.39*Escalation!$B$85,Actuals!CK96)</f>
        <v>-3012.923674874713</v>
      </c>
      <c r="CL97" s="28">
        <f>IF(ISBLANK(Actuals!CL96),-2675.39*Escalation!$B$86,Actuals!CL96)</f>
        <v>-3073.1821483722065</v>
      </c>
      <c r="CM97" s="28">
        <f>IF(ISBLANK(Actuals!CM96),-2675.39*Escalation!$B$87,Actuals!CM96)</f>
        <v>-3073.1821483722065</v>
      </c>
      <c r="CN97" s="28">
        <f>IF(ISBLANK(Actuals!CN96),-2675.39*Escalation!$B$88,Actuals!CN96)</f>
        <v>-3073.1821483722065</v>
      </c>
      <c r="CO97" s="28">
        <f>IF(ISBLANK(Actuals!CO96),-2675.39*Escalation!$B$89,Actuals!CO96)</f>
        <v>-3073.1821483722065</v>
      </c>
      <c r="CP97" s="28">
        <f>IF(ISBLANK(Actuals!CP96),-2675.39*Escalation!$B$90,Actuals!CP96)</f>
        <v>-3073.1821483722065</v>
      </c>
      <c r="CQ97" s="28">
        <f>IF(ISBLANK(Actuals!CQ96),-2675.39*Escalation!$B$91,Actuals!CQ96)</f>
        <v>-3073.1821483722065</v>
      </c>
      <c r="CR97" s="28">
        <f>IF(ISBLANK(Actuals!CR96),-2675.39*Escalation!$B$92,Actuals!CR96)</f>
        <v>-3073.1821483722065</v>
      </c>
      <c r="CS97" s="28">
        <f>IF(ISBLANK(Actuals!CS96),-2675.39*Escalation!$B$93,Actuals!CS96)</f>
        <v>-3073.1821483722065</v>
      </c>
      <c r="CT97" s="28">
        <f>IF(ISBLANK(Actuals!CT96),-2675.39*Escalation!$B$94,Actuals!CT96)</f>
        <v>-3073.1821483722065</v>
      </c>
      <c r="CU97" s="28">
        <f>IF(ISBLANK(Actuals!CU96),-2675.39*Escalation!$B$95,Actuals!CU96)</f>
        <v>-3073.1821483722065</v>
      </c>
      <c r="CV97" s="28">
        <f>IF(ISBLANK(Actuals!CV96),-2675.39*Escalation!$B$96,Actuals!CV96)</f>
        <v>-3073.1821483722065</v>
      </c>
      <c r="CW97" s="28">
        <f>IF(ISBLANK(Actuals!CW96),-2675.39*Escalation!$B$97,Actuals!CW96)</f>
        <v>-3073.1821483722065</v>
      </c>
      <c r="CX97" s="28">
        <f>IF(ISBLANK(Actuals!CX96),-2675.39*Escalation!$B$98,Actuals!CX96)</f>
        <v>-3134.6457913396512</v>
      </c>
      <c r="CY97" s="28">
        <f>IF(ISBLANK(Actuals!CY96),-2675.39*Escalation!$B$99,Actuals!CY96)</f>
        <v>-3134.6457913396512</v>
      </c>
      <c r="CZ97" s="28">
        <f>IF(ISBLANK(Actuals!CZ96),-2675.39*Escalation!$B$100,Actuals!CZ96)</f>
        <v>-3134.6457913396512</v>
      </c>
      <c r="DA97" s="28">
        <f>IF(ISBLANK(Actuals!DA96),-2675.39*Escalation!$B$101,Actuals!DA96)</f>
        <v>-3134.6457913396512</v>
      </c>
      <c r="DB97" s="28">
        <f>IF(ISBLANK(Actuals!DB96),-2675.39*Escalation!$B$102,Actuals!DB96)</f>
        <v>-3134.6457913396512</v>
      </c>
      <c r="DC97" s="28">
        <f>IF(ISBLANK(Actuals!DC96),-2675.39*Escalation!$B$103,Actuals!DC96)</f>
        <v>-3134.6457913396512</v>
      </c>
      <c r="DD97" s="28">
        <f>IF(ISBLANK(Actuals!DD96),-2675.39*Escalation!$B$104,Actuals!DD96)</f>
        <v>-3134.6457913396512</v>
      </c>
      <c r="DE97" s="28">
        <f>IF(ISBLANK(Actuals!DE96),-2675.39*Escalation!$B$105,Actuals!DE96)</f>
        <v>-3134.6457913396512</v>
      </c>
      <c r="DF97" s="28">
        <f>IF(ISBLANK(Actuals!DF96),-2675.39*Escalation!$B$106,Actuals!DF96)</f>
        <v>-3134.6457913396512</v>
      </c>
    </row>
    <row r="98" spans="1:110" ht="15" customHeight="1" x14ac:dyDescent="0.25">
      <c r="A98" s="27" t="s">
        <v>80</v>
      </c>
      <c r="B98" s="27"/>
      <c r="C98" s="28">
        <f>IF(ISBLANK(Actuals!C97),0,Actuals!C97)</f>
        <v>-28038</v>
      </c>
      <c r="D98" s="28">
        <f>IF(ISBLANK(Actuals!D97),0,Actuals!D97)</f>
        <v>-29387.5</v>
      </c>
      <c r="E98" s="28">
        <f>IF(ISBLANK(Actuals!E97),0,Actuals!E97)</f>
        <v>-28083</v>
      </c>
      <c r="F98" s="28">
        <f>IF(ISBLANK(Actuals!F97),(-(IF(AND(1&gt;=Personnel!$E$38,Personnel!$G$38="Yes"),Personnel!$D$38*(1-Personnel!$I$38),0)+IF(AND(1&gt;=Personnel!$E$39,Personnel!$G$39="Yes"),Personnel!$D$39*(1-Personnel!$I$39),0)))*Escalation!$B$2,Actuals!F97)</f>
        <v>-28083</v>
      </c>
      <c r="G98" s="28">
        <f>IF(ISBLANK(Actuals!G97),(-(IF(AND(2&gt;=Personnel!$E$38,Personnel!$G$38="Yes"),Personnel!$D$38*(1-Personnel!$I$38),0)+IF(AND(2&gt;=Personnel!$E$39,Personnel!$G$39="Yes"),Personnel!$D$39*(1-Personnel!$I$39),0)))*Escalation!$B$3,Actuals!G97)</f>
        <v>-8625</v>
      </c>
      <c r="H98" s="28">
        <f>IF(ISBLANK(Actuals!H97),(-(IF(AND(3&gt;=Personnel!$E$38,Personnel!$G$38="Yes"),Personnel!$D$38*(1-Personnel!$I$38),0)+IF(AND(3&gt;=Personnel!$E$39,Personnel!$G$39="Yes"),Personnel!$D$39*(1-Personnel!$I$39),0)))*Escalation!$B$4,Actuals!H97)</f>
        <v>-8625</v>
      </c>
      <c r="I98" s="28">
        <f>IF(ISBLANK(Actuals!I97),(-(IF(AND(4&gt;=Personnel!$E$38,Personnel!$G$38="Yes"),Personnel!$D$38*(1-Personnel!$I$38),0)+IF(AND(4&gt;=Personnel!$E$39,Personnel!$G$39="Yes"),Personnel!$D$39*(1-Personnel!$I$39),0)))*Escalation!$B$5,Actuals!I97)</f>
        <v>-8625</v>
      </c>
      <c r="J98" s="28">
        <f>IF(ISBLANK(Actuals!J97),(-(IF(AND(5&gt;=Personnel!$E$38,Personnel!$G$38="Yes"),Personnel!$D$38*(1-Personnel!$I$38),0)+IF(AND(5&gt;=Personnel!$E$39,Personnel!$G$39="Yes"),Personnel!$D$39*(1-Personnel!$I$39),0)))*Escalation!$B$6,Actuals!J97)</f>
        <v>-8625</v>
      </c>
      <c r="K98" s="28">
        <f>IF(ISBLANK(Actuals!K97),(-(IF(AND(6&gt;=Personnel!$E$38,Personnel!$G$38="Yes"),Personnel!$D$38*(1-Personnel!$I$38),0)+IF(AND(6&gt;=Personnel!$E$39,Personnel!$G$39="Yes"),Personnel!$D$39*(1-Personnel!$I$39),0)))*Escalation!$B$7,Actuals!K97)</f>
        <v>-8625</v>
      </c>
      <c r="L98" s="28">
        <f>IF(ISBLANK(Actuals!L97),(-(IF(AND(7&gt;=Personnel!$E$38,Personnel!$G$38="Yes"),Personnel!$D$38*(1-Personnel!$I$38),0)+IF(AND(7&gt;=Personnel!$E$39,Personnel!$G$39="Yes"),Personnel!$D$39*(1-Personnel!$I$39),0)))*Escalation!$B$8,Actuals!L97)</f>
        <v>-8625</v>
      </c>
      <c r="M98" s="28">
        <f>IF(ISBLANK(Actuals!M97),(-(IF(AND(8&gt;=Personnel!$E$38,Personnel!$G$38="Yes"),Personnel!$D$38*(1-Personnel!$I$38),0)+IF(AND(8&gt;=Personnel!$E$39,Personnel!$G$39="Yes"),Personnel!$D$39*(1-Personnel!$I$39),0)))*Escalation!$B$9,Actuals!M97)</f>
        <v>-8625</v>
      </c>
      <c r="N98" s="28">
        <f>IF(ISBLANK(Actuals!N97),(-(IF(AND(9&gt;=Personnel!$E$38,Personnel!$G$38="Yes"),Personnel!$D$38*(1-Personnel!$I$38),0)+IF(AND(9&gt;=Personnel!$E$39,Personnel!$G$39="Yes"),Personnel!$D$39*(1-Personnel!$I$39),0)))*Escalation!$B$10,Actuals!N97)</f>
        <v>-8625</v>
      </c>
      <c r="O98" s="28">
        <f>IF(ISBLANK(Actuals!O97),(-(IF(AND(10&gt;=Personnel!$E$38,Personnel!$G$38="Yes"),Personnel!$D$38*(1-Personnel!$I$38),0)+IF(AND(10&gt;=Personnel!$E$39,Personnel!$G$39="Yes"),Personnel!$D$39*(1-Personnel!$I$39),0)))*Escalation!$B$11,Actuals!O97)</f>
        <v>-8625</v>
      </c>
      <c r="P98" s="28">
        <f>IF(ISBLANK(Actuals!P97),(-(IF(AND(11&gt;=Personnel!$E$38,Personnel!$G$38="Yes"),Personnel!$D$38*(1-Personnel!$I$38),0)+IF(AND(11&gt;=Personnel!$E$39,Personnel!$G$39="Yes"),Personnel!$D$39*(1-Personnel!$I$39),0)))*Escalation!$B$12,Actuals!P97)</f>
        <v>-8625</v>
      </c>
      <c r="Q98" s="28">
        <f>IF(ISBLANK(Actuals!Q97),(-(IF(AND(12&gt;=Personnel!$E$38,Personnel!$G$38="Yes"),Personnel!$D$38*(1-Personnel!$I$38),0)+IF(AND(12&gt;=Personnel!$E$39,Personnel!$G$39="Yes"),Personnel!$D$39*(1-Personnel!$I$39),0)))*Escalation!$B$13,Actuals!Q97)</f>
        <v>-8625</v>
      </c>
      <c r="R98" s="28">
        <f>IF(ISBLANK(Actuals!R97),(-(IF(AND(13&gt;=Personnel!$E$38,Personnel!$G$38="Yes"),Personnel!$D$38*(1-Personnel!$I$38),0)+IF(AND(13&gt;=Personnel!$E$39,Personnel!$G$39="Yes"),Personnel!$D$39*(1-Personnel!$I$39),0)))*Escalation!$B$14,Actuals!R97)</f>
        <v>-8797.5</v>
      </c>
      <c r="S98" s="28">
        <f>IF(ISBLANK(Actuals!S97),(-(IF(AND(14&gt;=Personnel!$E$38,Personnel!$G$38="Yes"),Personnel!$D$38*(1-Personnel!$I$38),0)+IF(AND(14&gt;=Personnel!$E$39,Personnel!$G$39="Yes"),Personnel!$D$39*(1-Personnel!$I$39),0)))*Escalation!$B$15,Actuals!S97)</f>
        <v>-8797.5</v>
      </c>
      <c r="T98" s="28">
        <f>IF(ISBLANK(Actuals!T97),(-(IF(AND(15&gt;=Personnel!$E$38,Personnel!$G$38="Yes"),Personnel!$D$38*(1-Personnel!$I$38),0)+IF(AND(15&gt;=Personnel!$E$39,Personnel!$G$39="Yes"),Personnel!$D$39*(1-Personnel!$I$39),0)))*Escalation!$B$16,Actuals!T97)</f>
        <v>-8797.5</v>
      </c>
      <c r="U98" s="28">
        <f>IF(ISBLANK(Actuals!U97),(-(IF(AND(16&gt;=Personnel!$E$38,Personnel!$G$38="Yes"),Personnel!$D$38*(1-Personnel!$I$38),0)+IF(AND(16&gt;=Personnel!$E$39,Personnel!$G$39="Yes"),Personnel!$D$39*(1-Personnel!$I$39),0)))*Escalation!$B$17,Actuals!U97)</f>
        <v>-8797.5</v>
      </c>
      <c r="V98" s="28">
        <f>IF(ISBLANK(Actuals!V97),(-(IF(AND(17&gt;=Personnel!$E$38,Personnel!$G$38="Yes"),Personnel!$D$38*(1-Personnel!$I$38),0)+IF(AND(17&gt;=Personnel!$E$39,Personnel!$G$39="Yes"),Personnel!$D$39*(1-Personnel!$I$39),0)))*Escalation!$B$18,Actuals!V97)</f>
        <v>-8797.5</v>
      </c>
      <c r="W98" s="28">
        <f>IF(ISBLANK(Actuals!W97),(-(IF(AND(18&gt;=Personnel!$E$38,Personnel!$G$38="Yes"),Personnel!$D$38*(1-Personnel!$I$38),0)+IF(AND(18&gt;=Personnel!$E$39,Personnel!$G$39="Yes"),Personnel!$D$39*(1-Personnel!$I$39),0)))*Escalation!$B$19,Actuals!W97)</f>
        <v>-8797.5</v>
      </c>
      <c r="X98" s="28">
        <f>IF(ISBLANK(Actuals!X97),(-(IF(AND(19&gt;=Personnel!$E$38,Personnel!$G$38="Yes"),Personnel!$D$38*(1-Personnel!$I$38),0)+IF(AND(19&gt;=Personnel!$E$39,Personnel!$G$39="Yes"),Personnel!$D$39*(1-Personnel!$I$39),0)))*Escalation!$B$20,Actuals!X97)</f>
        <v>-8797.5</v>
      </c>
      <c r="Y98" s="28">
        <f>IF(ISBLANK(Actuals!Y97),(-(IF(AND(20&gt;=Personnel!$E$38,Personnel!$G$38="Yes"),Personnel!$D$38*(1-Personnel!$I$38),0)+IF(AND(20&gt;=Personnel!$E$39,Personnel!$G$39="Yes"),Personnel!$D$39*(1-Personnel!$I$39),0)))*Escalation!$B$21,Actuals!Y97)</f>
        <v>-8797.5</v>
      </c>
      <c r="Z98" s="28">
        <f>IF(ISBLANK(Actuals!Z97),(-(IF(AND(21&gt;=Personnel!$E$38,Personnel!$G$38="Yes"),Personnel!$D$38*(1-Personnel!$I$38),0)+IF(AND(21&gt;=Personnel!$E$39,Personnel!$G$39="Yes"),Personnel!$D$39*(1-Personnel!$I$39),0)))*Escalation!$B$22,Actuals!Z97)</f>
        <v>-8797.5</v>
      </c>
      <c r="AA98" s="28">
        <f>IF(ISBLANK(Actuals!AA97),(-(IF(AND(22&gt;=Personnel!$E$38,Personnel!$G$38="Yes"),Personnel!$D$38*(1-Personnel!$I$38),0)+IF(AND(22&gt;=Personnel!$E$39,Personnel!$G$39="Yes"),Personnel!$D$39*(1-Personnel!$I$39),0)))*Escalation!$B$23,Actuals!AA97)</f>
        <v>-8797.5</v>
      </c>
      <c r="AB98" s="28">
        <f>IF(ISBLANK(Actuals!AB97),(-(IF(AND(23&gt;=Personnel!$E$38,Personnel!$G$38="Yes"),Personnel!$D$38*(1-Personnel!$I$38),0)+IF(AND(23&gt;=Personnel!$E$39,Personnel!$G$39="Yes"),Personnel!$D$39*(1-Personnel!$I$39),0)))*Escalation!$B$24,Actuals!AB97)</f>
        <v>-8797.5</v>
      </c>
      <c r="AC98" s="28">
        <f>IF(ISBLANK(Actuals!AC97),(-(IF(AND(24&gt;=Personnel!$E$38,Personnel!$G$38="Yes"),Personnel!$D$38*(1-Personnel!$I$38),0)+IF(AND(24&gt;=Personnel!$E$39,Personnel!$G$39="Yes"),Personnel!$D$39*(1-Personnel!$I$39),0)))*Escalation!$B$25,Actuals!AC97)</f>
        <v>-8797.5</v>
      </c>
      <c r="AD98" s="28">
        <f>IF(ISBLANK(Actuals!AD97),(-(IF(AND(25&gt;=Personnel!$E$38,Personnel!$G$38="Yes"),Personnel!$D$38*(1-Personnel!$I$38),0)+IF(AND(25&gt;=Personnel!$E$39,Personnel!$G$39="Yes"),Personnel!$D$39*(1-Personnel!$I$39),0)))*Escalation!$B$26,Actuals!AD97)</f>
        <v>-8973.4500000000007</v>
      </c>
      <c r="AE98" s="28">
        <f>IF(ISBLANK(Actuals!AE97),(-(IF(AND(26&gt;=Personnel!$E$38,Personnel!$G$38="Yes"),Personnel!$D$38*(1-Personnel!$I$38),0)+IF(AND(26&gt;=Personnel!$E$39,Personnel!$G$39="Yes"),Personnel!$D$39*(1-Personnel!$I$39),0)))*Escalation!$B$27,Actuals!AE97)</f>
        <v>-8973.4500000000007</v>
      </c>
      <c r="AF98" s="28">
        <f>IF(ISBLANK(Actuals!AF97),(-(IF(AND(27&gt;=Personnel!$E$38,Personnel!$G$38="Yes"),Personnel!$D$38*(1-Personnel!$I$38),0)+IF(AND(27&gt;=Personnel!$E$39,Personnel!$G$39="Yes"),Personnel!$D$39*(1-Personnel!$I$39),0)))*Escalation!$B$28,Actuals!AF97)</f>
        <v>-8973.4500000000007</v>
      </c>
      <c r="AG98" s="28">
        <f>IF(ISBLANK(Actuals!AG97),(-(IF(AND(28&gt;=Personnel!$E$38,Personnel!$G$38="Yes"),Personnel!$D$38*(1-Personnel!$I$38),0)+IF(AND(28&gt;=Personnel!$E$39,Personnel!$G$39="Yes"),Personnel!$D$39*(1-Personnel!$I$39),0)))*Escalation!$B$29,Actuals!AG97)</f>
        <v>-8973.4500000000007</v>
      </c>
      <c r="AH98" s="28">
        <f>IF(ISBLANK(Actuals!AH97),(-(IF(AND(29&gt;=Personnel!$E$38,Personnel!$G$38="Yes"),Personnel!$D$38*(1-Personnel!$I$38),0)+IF(AND(29&gt;=Personnel!$E$39,Personnel!$G$39="Yes"),Personnel!$D$39*(1-Personnel!$I$39),0)))*Escalation!$B$30,Actuals!AH97)</f>
        <v>-8973.4500000000007</v>
      </c>
      <c r="AI98" s="28">
        <f>IF(ISBLANK(Actuals!AI97),(-(IF(AND(30&gt;=Personnel!$E$38,Personnel!$G$38="Yes"),Personnel!$D$38*(1-Personnel!$I$38),0)+IF(AND(30&gt;=Personnel!$E$39,Personnel!$G$39="Yes"),Personnel!$D$39*(1-Personnel!$I$39),0)))*Escalation!$B$31,Actuals!AI97)</f>
        <v>-8973.4500000000007</v>
      </c>
      <c r="AJ98" s="28">
        <f>IF(ISBLANK(Actuals!AJ97),(-(IF(AND(31&gt;=Personnel!$E$38,Personnel!$G$38="Yes"),Personnel!$D$38*(1-Personnel!$I$38),0)+IF(AND(31&gt;=Personnel!$E$39,Personnel!$G$39="Yes"),Personnel!$D$39*(1-Personnel!$I$39),0)))*Escalation!$B$32,Actuals!AJ97)</f>
        <v>-8973.4500000000007</v>
      </c>
      <c r="AK98" s="28">
        <f>IF(ISBLANK(Actuals!AK97),(-(IF(AND(32&gt;=Personnel!$E$38,Personnel!$G$38="Yes"),Personnel!$D$38*(1-Personnel!$I$38),0)+IF(AND(32&gt;=Personnel!$E$39,Personnel!$G$39="Yes"),Personnel!$D$39*(1-Personnel!$I$39),0)))*Escalation!$B$33,Actuals!AK97)</f>
        <v>-8973.4500000000007</v>
      </c>
      <c r="AL98" s="28">
        <f>IF(ISBLANK(Actuals!AL97),(-(IF(AND(33&gt;=Personnel!$E$38,Personnel!$G$38="Yes"),Personnel!$D$38*(1-Personnel!$I$38),0)+IF(AND(33&gt;=Personnel!$E$39,Personnel!$G$39="Yes"),Personnel!$D$39*(1-Personnel!$I$39),0)))*Escalation!$B$34,Actuals!AL97)</f>
        <v>-8973.4500000000007</v>
      </c>
      <c r="AM98" s="28">
        <f>IF(ISBLANK(Actuals!AM97),(-(IF(AND(34&gt;=Personnel!$E$38,Personnel!$G$38="Yes"),Personnel!$D$38*(1-Personnel!$I$38),0)+IF(AND(34&gt;=Personnel!$E$39,Personnel!$G$39="Yes"),Personnel!$D$39*(1-Personnel!$I$39),0)))*Escalation!$B$35,Actuals!AM97)</f>
        <v>-8973.4500000000007</v>
      </c>
      <c r="AN98" s="28">
        <f>IF(ISBLANK(Actuals!AN97),(-(IF(AND(35&gt;=Personnel!$E$38,Personnel!$G$38="Yes"),Personnel!$D$38*(1-Personnel!$I$38),0)+IF(AND(35&gt;=Personnel!$E$39,Personnel!$G$39="Yes"),Personnel!$D$39*(1-Personnel!$I$39),0)))*Escalation!$B$36,Actuals!AN97)</f>
        <v>-8973.4500000000007</v>
      </c>
      <c r="AO98" s="28">
        <f>IF(ISBLANK(Actuals!AO97),(-(IF(AND(36&gt;=Personnel!$E$38,Personnel!$G$38="Yes"),Personnel!$D$38*(1-Personnel!$I$38),0)+IF(AND(36&gt;=Personnel!$E$39,Personnel!$G$39="Yes"),Personnel!$D$39*(1-Personnel!$I$39),0)))*Escalation!$B$37,Actuals!AO97)</f>
        <v>-8973.4500000000007</v>
      </c>
      <c r="AP98" s="28">
        <f>IF(ISBLANK(Actuals!AP97),(-(IF(AND(37&gt;=Personnel!$E$38,Personnel!$G$38="Yes"),Personnel!$D$38*(1-Personnel!$I$38),0)+IF(AND(37&gt;=Personnel!$E$39,Personnel!$G$39="Yes"),Personnel!$D$39*(1-Personnel!$I$39),0)))*Escalation!$B$38,Actuals!AP97)</f>
        <v>-9152.9189999999999</v>
      </c>
      <c r="AQ98" s="28">
        <f>IF(ISBLANK(Actuals!AQ97),(-(IF(AND(38&gt;=Personnel!$E$38,Personnel!$G$38="Yes"),Personnel!$D$38*(1-Personnel!$I$38),0)+IF(AND(38&gt;=Personnel!$E$39,Personnel!$G$39="Yes"),Personnel!$D$39*(1-Personnel!$I$39),0)))*Escalation!$B$39,Actuals!AQ97)</f>
        <v>-9152.9189999999999</v>
      </c>
      <c r="AR98" s="28">
        <f>IF(ISBLANK(Actuals!AR97),(-(IF(AND(39&gt;=Personnel!$E$38,Personnel!$G$38="Yes"),Personnel!$D$38*(1-Personnel!$I$38),0)+IF(AND(39&gt;=Personnel!$E$39,Personnel!$G$39="Yes"),Personnel!$D$39*(1-Personnel!$I$39),0)))*Escalation!$B$40,Actuals!AR97)</f>
        <v>-9152.9189999999999</v>
      </c>
      <c r="AS98" s="28">
        <f>IF(ISBLANK(Actuals!AS97),(-(IF(AND(40&gt;=Personnel!$E$38,Personnel!$G$38="Yes"),Personnel!$D$38*(1-Personnel!$I$38),0)+IF(AND(40&gt;=Personnel!$E$39,Personnel!$G$39="Yes"),Personnel!$D$39*(1-Personnel!$I$39),0)))*Escalation!$B$41,Actuals!AS97)</f>
        <v>-9152.9189999999999</v>
      </c>
      <c r="AT98" s="28">
        <f>IF(ISBLANK(Actuals!AT97),(-(IF(AND(41&gt;=Personnel!$E$38,Personnel!$G$38="Yes"),Personnel!$D$38*(1-Personnel!$I$38),0)+IF(AND(41&gt;=Personnel!$E$39,Personnel!$G$39="Yes"),Personnel!$D$39*(1-Personnel!$I$39),0)))*Escalation!$B$42,Actuals!AT97)</f>
        <v>-9152.9189999999999</v>
      </c>
      <c r="AU98" s="28">
        <f>IF(ISBLANK(Actuals!AU97),(-(IF(AND(42&gt;=Personnel!$E$38,Personnel!$G$38="Yes"),Personnel!$D$38*(1-Personnel!$I$38),0)+IF(AND(42&gt;=Personnel!$E$39,Personnel!$G$39="Yes"),Personnel!$D$39*(1-Personnel!$I$39),0)))*Escalation!$B$43,Actuals!AU97)</f>
        <v>-9152.9189999999999</v>
      </c>
      <c r="AV98" s="28">
        <f>IF(ISBLANK(Actuals!AV97),(-(IF(AND(43&gt;=Personnel!$E$38,Personnel!$G$38="Yes"),Personnel!$D$38*(1-Personnel!$I$38),0)+IF(AND(43&gt;=Personnel!$E$39,Personnel!$G$39="Yes"),Personnel!$D$39*(1-Personnel!$I$39),0)))*Escalation!$B$44,Actuals!AV97)</f>
        <v>-9152.9189999999999</v>
      </c>
      <c r="AW98" s="28">
        <f>IF(ISBLANK(Actuals!AW97),(-(IF(AND(44&gt;=Personnel!$E$38,Personnel!$G$38="Yes"),Personnel!$D$38*(1-Personnel!$I$38),0)+IF(AND(44&gt;=Personnel!$E$39,Personnel!$G$39="Yes"),Personnel!$D$39*(1-Personnel!$I$39),0)))*Escalation!$B$45,Actuals!AW97)</f>
        <v>-9152.9189999999999</v>
      </c>
      <c r="AX98" s="28">
        <f>IF(ISBLANK(Actuals!AX97),(-(IF(AND(45&gt;=Personnel!$E$38,Personnel!$G$38="Yes"),Personnel!$D$38*(1-Personnel!$I$38),0)+IF(AND(45&gt;=Personnel!$E$39,Personnel!$G$39="Yes"),Personnel!$D$39*(1-Personnel!$I$39),0)))*Escalation!$B$46,Actuals!AX97)</f>
        <v>-9152.9189999999999</v>
      </c>
      <c r="AY98" s="28">
        <f>IF(ISBLANK(Actuals!AY97),(-(IF(AND(46&gt;=Personnel!$E$38,Personnel!$G$38="Yes"),Personnel!$D$38*(1-Personnel!$I$38),0)+IF(AND(46&gt;=Personnel!$E$39,Personnel!$G$39="Yes"),Personnel!$D$39*(1-Personnel!$I$39),0)))*Escalation!$B$47,Actuals!AY97)</f>
        <v>-9152.9189999999999</v>
      </c>
      <c r="AZ98" s="28">
        <f>IF(ISBLANK(Actuals!AZ97),(-(IF(AND(47&gt;=Personnel!$E$38,Personnel!$G$38="Yes"),Personnel!$D$38*(1-Personnel!$I$38),0)+IF(AND(47&gt;=Personnel!$E$39,Personnel!$G$39="Yes"),Personnel!$D$39*(1-Personnel!$I$39),0)))*Escalation!$B$48,Actuals!AZ97)</f>
        <v>-9152.9189999999999</v>
      </c>
      <c r="BA98" s="28">
        <f>IF(ISBLANK(Actuals!BA97),(-(IF(AND(48&gt;=Personnel!$E$38,Personnel!$G$38="Yes"),Personnel!$D$38*(1-Personnel!$I$38),0)+IF(AND(48&gt;=Personnel!$E$39,Personnel!$G$39="Yes"),Personnel!$D$39*(1-Personnel!$I$39),0)))*Escalation!$B$49,Actuals!BA97)</f>
        <v>-9152.9189999999999</v>
      </c>
      <c r="BB98" s="28">
        <f>IF(ISBLANK(Actuals!BB97),(-(IF(AND(49&gt;=Personnel!$E$38,Personnel!$G$38="Yes"),Personnel!$D$38*(1-Personnel!$I$38),0)+IF(AND(49&gt;=Personnel!$E$39,Personnel!$G$39="Yes"),Personnel!$D$39*(1-Personnel!$I$39),0)))*Escalation!$B$50,Actuals!BB97)</f>
        <v>-9335.9773800000003</v>
      </c>
      <c r="BC98" s="28">
        <f>IF(ISBLANK(Actuals!BC97),(-(IF(AND(50&gt;=Personnel!$E$38,Personnel!$G$38="Yes"),Personnel!$D$38*(1-Personnel!$I$38),0)+IF(AND(50&gt;=Personnel!$E$39,Personnel!$G$39="Yes"),Personnel!$D$39*(1-Personnel!$I$39),0)))*Escalation!$B$51,Actuals!BC97)</f>
        <v>-9335.9773800000003</v>
      </c>
      <c r="BD98" s="28">
        <f>IF(ISBLANK(Actuals!BD97),(-(IF(AND(51&gt;=Personnel!$E$38,Personnel!$G$38="Yes"),Personnel!$D$38*(1-Personnel!$I$38),0)+IF(AND(51&gt;=Personnel!$E$39,Personnel!$G$39="Yes"),Personnel!$D$39*(1-Personnel!$I$39),0)))*Escalation!$B$52,Actuals!BD97)</f>
        <v>-9335.9773800000003</v>
      </c>
      <c r="BE98" s="28">
        <f>IF(ISBLANK(Actuals!BE97),(-(IF(AND(52&gt;=Personnel!$E$38,Personnel!$G$38="Yes"),Personnel!$D$38*(1-Personnel!$I$38),0)+IF(AND(52&gt;=Personnel!$E$39,Personnel!$G$39="Yes"),Personnel!$D$39*(1-Personnel!$I$39),0)))*Escalation!$B$53,Actuals!BE97)</f>
        <v>-9335.9773800000003</v>
      </c>
      <c r="BF98" s="28">
        <f>IF(ISBLANK(Actuals!BF97),(-(IF(AND(53&gt;=Personnel!$E$38,Personnel!$G$38="Yes"),Personnel!$D$38*(1-Personnel!$I$38),0)+IF(AND(53&gt;=Personnel!$E$39,Personnel!$G$39="Yes"),Personnel!$D$39*(1-Personnel!$I$39),0)))*Escalation!$B$54,Actuals!BF97)</f>
        <v>-9335.9773800000003</v>
      </c>
      <c r="BG98" s="28">
        <f>IF(ISBLANK(Actuals!BG97),(-(IF(AND(54&gt;=Personnel!$E$38,Personnel!$G$38="Yes"),Personnel!$D$38*(1-Personnel!$I$38),0)+IF(AND(54&gt;=Personnel!$E$39,Personnel!$G$39="Yes"),Personnel!$D$39*(1-Personnel!$I$39),0)))*Escalation!$B$55,Actuals!BG97)</f>
        <v>-9335.9773800000003</v>
      </c>
      <c r="BH98" s="28">
        <f>IF(ISBLANK(Actuals!BH97),(-(IF(AND(55&gt;=Personnel!$E$38,Personnel!$G$38="Yes"),Personnel!$D$38*(1-Personnel!$I$38),0)+IF(AND(55&gt;=Personnel!$E$39,Personnel!$G$39="Yes"),Personnel!$D$39*(1-Personnel!$I$39),0)))*Escalation!$B$56,Actuals!BH97)</f>
        <v>-9335.9773800000003</v>
      </c>
      <c r="BI98" s="28">
        <f>IF(ISBLANK(Actuals!BI97),(-(IF(AND(56&gt;=Personnel!$E$38,Personnel!$G$38="Yes"),Personnel!$D$38*(1-Personnel!$I$38),0)+IF(AND(56&gt;=Personnel!$E$39,Personnel!$G$39="Yes"),Personnel!$D$39*(1-Personnel!$I$39),0)))*Escalation!$B$57,Actuals!BI97)</f>
        <v>-9335.9773800000003</v>
      </c>
      <c r="BJ98" s="28">
        <f>IF(ISBLANK(Actuals!BJ97),(-(IF(AND(57&gt;=Personnel!$E$38,Personnel!$G$38="Yes"),Personnel!$D$38*(1-Personnel!$I$38),0)+IF(AND(57&gt;=Personnel!$E$39,Personnel!$G$39="Yes"),Personnel!$D$39*(1-Personnel!$I$39),0)))*Escalation!$B$58,Actuals!BJ97)</f>
        <v>-9335.9773800000003</v>
      </c>
      <c r="BK98" s="28">
        <f>IF(ISBLANK(Actuals!BK97),(-(IF(AND(58&gt;=Personnel!$E$38,Personnel!$G$38="Yes"),Personnel!$D$38*(1-Personnel!$I$38),0)+IF(AND(58&gt;=Personnel!$E$39,Personnel!$G$39="Yes"),Personnel!$D$39*(1-Personnel!$I$39),0)))*Escalation!$B$59,Actuals!BK97)</f>
        <v>-9335.9773800000003</v>
      </c>
      <c r="BL98" s="28">
        <f>IF(ISBLANK(Actuals!BL97),(-(IF(AND(59&gt;=Personnel!$E$38,Personnel!$G$38="Yes"),Personnel!$D$38*(1-Personnel!$I$38),0)+IF(AND(59&gt;=Personnel!$E$39,Personnel!$G$39="Yes"),Personnel!$D$39*(1-Personnel!$I$39),0)))*Escalation!$B$60,Actuals!BL97)</f>
        <v>-9335.9773800000003</v>
      </c>
      <c r="BM98" s="28">
        <f>IF(ISBLANK(Actuals!BM97),(-(IF(AND(60&gt;=Personnel!$E$38,Personnel!$G$38="Yes"),Personnel!$D$38*(1-Personnel!$I$38),0)+IF(AND(60&gt;=Personnel!$E$39,Personnel!$G$39="Yes"),Personnel!$D$39*(1-Personnel!$I$39),0)))*Escalation!$B$61,Actuals!BM97)</f>
        <v>-9335.9773800000003</v>
      </c>
      <c r="BN98" s="28">
        <f>IF(ISBLANK(Actuals!BN97),(-(IF(AND(61&gt;=Personnel!$E$38,Personnel!$G$38="Yes"),Personnel!$D$38*(1-Personnel!$I$38),0)+IF(AND(61&gt;=Personnel!$E$39,Personnel!$G$39="Yes"),Personnel!$D$39*(1-Personnel!$I$39),0)))*Escalation!$B$62,Actuals!BN97)</f>
        <v>-9522.6969276</v>
      </c>
      <c r="BO98" s="28">
        <f>IF(ISBLANK(Actuals!BO97),(-(IF(AND(62&gt;=Personnel!$E$38,Personnel!$G$38="Yes"),Personnel!$D$38*(1-Personnel!$I$38),0)+IF(AND(62&gt;=Personnel!$E$39,Personnel!$G$39="Yes"),Personnel!$D$39*(1-Personnel!$I$39),0)))*Escalation!$B$63,Actuals!BO97)</f>
        <v>-9522.6969276</v>
      </c>
      <c r="BP98" s="28">
        <f>IF(ISBLANK(Actuals!BP97),(-(IF(AND(63&gt;=Personnel!$E$38,Personnel!$G$38="Yes"),Personnel!$D$38*(1-Personnel!$I$38),0)+IF(AND(63&gt;=Personnel!$E$39,Personnel!$G$39="Yes"),Personnel!$D$39*(1-Personnel!$I$39),0)))*Escalation!$B$64,Actuals!BP97)</f>
        <v>-9522.6969276</v>
      </c>
      <c r="BQ98" s="28">
        <f>IF(ISBLANK(Actuals!BQ97),(-(IF(AND(64&gt;=Personnel!$E$38,Personnel!$G$38="Yes"),Personnel!$D$38*(1-Personnel!$I$38),0)+IF(AND(64&gt;=Personnel!$E$39,Personnel!$G$39="Yes"),Personnel!$D$39*(1-Personnel!$I$39),0)))*Escalation!$B$65,Actuals!BQ97)</f>
        <v>-9522.6969276</v>
      </c>
      <c r="BR98" s="28">
        <f>IF(ISBLANK(Actuals!BR97),(-(IF(AND(65&gt;=Personnel!$E$38,Personnel!$G$38="Yes"),Personnel!$D$38*(1-Personnel!$I$38),0)+IF(AND(65&gt;=Personnel!$E$39,Personnel!$G$39="Yes"),Personnel!$D$39*(1-Personnel!$I$39),0)))*Escalation!$B$66,Actuals!BR97)</f>
        <v>-9522.6969276</v>
      </c>
      <c r="BS98" s="28">
        <f>IF(ISBLANK(Actuals!BS97),(-(IF(AND(66&gt;=Personnel!$E$38,Personnel!$G$38="Yes"),Personnel!$D$38*(1-Personnel!$I$38),0)+IF(AND(66&gt;=Personnel!$E$39,Personnel!$G$39="Yes"),Personnel!$D$39*(1-Personnel!$I$39),0)))*Escalation!$B$67,Actuals!BS97)</f>
        <v>-9522.6969276</v>
      </c>
      <c r="BT98" s="28">
        <f>IF(ISBLANK(Actuals!BT97),(-(IF(AND(67&gt;=Personnel!$E$38,Personnel!$G$38="Yes"),Personnel!$D$38*(1-Personnel!$I$38),0)+IF(AND(67&gt;=Personnel!$E$39,Personnel!$G$39="Yes"),Personnel!$D$39*(1-Personnel!$I$39),0)))*Escalation!$B$68,Actuals!BT97)</f>
        <v>-9522.6969276</v>
      </c>
      <c r="BU98" s="28">
        <f>IF(ISBLANK(Actuals!BU97),(-(IF(AND(68&gt;=Personnel!$E$38,Personnel!$G$38="Yes"),Personnel!$D$38*(1-Personnel!$I$38),0)+IF(AND(68&gt;=Personnel!$E$39,Personnel!$G$39="Yes"),Personnel!$D$39*(1-Personnel!$I$39),0)))*Escalation!$B$69,Actuals!BU97)</f>
        <v>-9522.6969276</v>
      </c>
      <c r="BV98" s="28">
        <f>IF(ISBLANK(Actuals!BV97),(-(IF(AND(69&gt;=Personnel!$E$38,Personnel!$G$38="Yes"),Personnel!$D$38*(1-Personnel!$I$38),0)+IF(AND(69&gt;=Personnel!$E$39,Personnel!$G$39="Yes"),Personnel!$D$39*(1-Personnel!$I$39),0)))*Escalation!$B$70,Actuals!BV97)</f>
        <v>-9522.6969276</v>
      </c>
      <c r="BW98" s="28">
        <f>IF(ISBLANK(Actuals!BW97),(-(IF(AND(70&gt;=Personnel!$E$38,Personnel!$G$38="Yes"),Personnel!$D$38*(1-Personnel!$I$38),0)+IF(AND(70&gt;=Personnel!$E$39,Personnel!$G$39="Yes"),Personnel!$D$39*(1-Personnel!$I$39),0)))*Escalation!$B$71,Actuals!BW97)</f>
        <v>-9522.6969276</v>
      </c>
      <c r="BX98" s="28">
        <f>IF(ISBLANK(Actuals!BX97),(-(IF(AND(71&gt;=Personnel!$E$38,Personnel!$G$38="Yes"),Personnel!$D$38*(1-Personnel!$I$38),0)+IF(AND(71&gt;=Personnel!$E$39,Personnel!$G$39="Yes"),Personnel!$D$39*(1-Personnel!$I$39),0)))*Escalation!$B$72,Actuals!BX97)</f>
        <v>-9522.6969276</v>
      </c>
      <c r="BY98" s="28">
        <f>IF(ISBLANK(Actuals!BY97),(-(IF(AND(72&gt;=Personnel!$E$38,Personnel!$G$38="Yes"),Personnel!$D$38*(1-Personnel!$I$38),0)+IF(AND(72&gt;=Personnel!$E$39,Personnel!$G$39="Yes"),Personnel!$D$39*(1-Personnel!$I$39),0)))*Escalation!$B$73,Actuals!BY97)</f>
        <v>-9522.6969276</v>
      </c>
      <c r="BZ98" s="28">
        <f>IF(ISBLANK(Actuals!BZ97),(-(IF(AND(73&gt;=Personnel!$E$38,Personnel!$G$38="Yes"),Personnel!$D$38*(1-Personnel!$I$38),0)+IF(AND(73&gt;=Personnel!$E$39,Personnel!$G$39="Yes"),Personnel!$D$39*(1-Personnel!$I$39),0)))*Escalation!$B$74,Actuals!BZ97)</f>
        <v>-9713.1508661520002</v>
      </c>
      <c r="CA98" s="28">
        <f>IF(ISBLANK(Actuals!CA97),(-(IF(AND(74&gt;=Personnel!$E$38,Personnel!$G$38="Yes"),Personnel!$D$38*(1-Personnel!$I$38),0)+IF(AND(74&gt;=Personnel!$E$39,Personnel!$G$39="Yes"),Personnel!$D$39*(1-Personnel!$I$39),0)))*Escalation!$B$75,Actuals!CA97)</f>
        <v>-9713.1508661520002</v>
      </c>
      <c r="CB98" s="28">
        <f>IF(ISBLANK(Actuals!CB97),(-(IF(AND(75&gt;=Personnel!$E$38,Personnel!$G$38="Yes"),Personnel!$D$38*(1-Personnel!$I$38),0)+IF(AND(75&gt;=Personnel!$E$39,Personnel!$G$39="Yes"),Personnel!$D$39*(1-Personnel!$I$39),0)))*Escalation!$B$76,Actuals!CB97)</f>
        <v>-9713.1508661520002</v>
      </c>
      <c r="CC98" s="28">
        <f>IF(ISBLANK(Actuals!CC97),(-(IF(AND(76&gt;=Personnel!$E$38,Personnel!$G$38="Yes"),Personnel!$D$38*(1-Personnel!$I$38),0)+IF(AND(76&gt;=Personnel!$E$39,Personnel!$G$39="Yes"),Personnel!$D$39*(1-Personnel!$I$39),0)))*Escalation!$B$77,Actuals!CC97)</f>
        <v>-9713.1508661520002</v>
      </c>
      <c r="CD98" s="28">
        <f>IF(ISBLANK(Actuals!CD97),(-(IF(AND(77&gt;=Personnel!$E$38,Personnel!$G$38="Yes"),Personnel!$D$38*(1-Personnel!$I$38),0)+IF(AND(77&gt;=Personnel!$E$39,Personnel!$G$39="Yes"),Personnel!$D$39*(1-Personnel!$I$39),0)))*Escalation!$B$78,Actuals!CD97)</f>
        <v>-9713.1508661520002</v>
      </c>
      <c r="CE98" s="28">
        <f>IF(ISBLANK(Actuals!CE97),(-(IF(AND(78&gt;=Personnel!$E$38,Personnel!$G$38="Yes"),Personnel!$D$38*(1-Personnel!$I$38),0)+IF(AND(78&gt;=Personnel!$E$39,Personnel!$G$39="Yes"),Personnel!$D$39*(1-Personnel!$I$39),0)))*Escalation!$B$79,Actuals!CE97)</f>
        <v>-9713.1508661520002</v>
      </c>
      <c r="CF98" s="28">
        <f>IF(ISBLANK(Actuals!CF97),(-(IF(AND(79&gt;=Personnel!$E$38,Personnel!$G$38="Yes"),Personnel!$D$38*(1-Personnel!$I$38),0)+IF(AND(79&gt;=Personnel!$E$39,Personnel!$G$39="Yes"),Personnel!$D$39*(1-Personnel!$I$39),0)))*Escalation!$B$80,Actuals!CF97)</f>
        <v>-9713.1508661520002</v>
      </c>
      <c r="CG98" s="28">
        <f>IF(ISBLANK(Actuals!CG97),(-(IF(AND(80&gt;=Personnel!$E$38,Personnel!$G$38="Yes"),Personnel!$D$38*(1-Personnel!$I$38),0)+IF(AND(80&gt;=Personnel!$E$39,Personnel!$G$39="Yes"),Personnel!$D$39*(1-Personnel!$I$39),0)))*Escalation!$B$81,Actuals!CG97)</f>
        <v>-9713.1508661520002</v>
      </c>
      <c r="CH98" s="28">
        <f>IF(ISBLANK(Actuals!CH97),(-(IF(AND(81&gt;=Personnel!$E$38,Personnel!$G$38="Yes"),Personnel!$D$38*(1-Personnel!$I$38),0)+IF(AND(81&gt;=Personnel!$E$39,Personnel!$G$39="Yes"),Personnel!$D$39*(1-Personnel!$I$39),0)))*Escalation!$B$82,Actuals!CH97)</f>
        <v>-9713.1508661520002</v>
      </c>
      <c r="CI98" s="28">
        <f>IF(ISBLANK(Actuals!CI97),(-(IF(AND(82&gt;=Personnel!$E$38,Personnel!$G$38="Yes"),Personnel!$D$38*(1-Personnel!$I$38),0)+IF(AND(82&gt;=Personnel!$E$39,Personnel!$G$39="Yes"),Personnel!$D$39*(1-Personnel!$I$39),0)))*Escalation!$B$83,Actuals!CI97)</f>
        <v>-9713.1508661520002</v>
      </c>
      <c r="CJ98" s="28">
        <f>IF(ISBLANK(Actuals!CJ97),(-(IF(AND(83&gt;=Personnel!$E$38,Personnel!$G$38="Yes"),Personnel!$D$38*(1-Personnel!$I$38),0)+IF(AND(83&gt;=Personnel!$E$39,Personnel!$G$39="Yes"),Personnel!$D$39*(1-Personnel!$I$39),0)))*Escalation!$B$84,Actuals!CJ97)</f>
        <v>-9713.1508661520002</v>
      </c>
      <c r="CK98" s="28">
        <f>IF(ISBLANK(Actuals!CK97),(-(IF(AND(84&gt;=Personnel!$E$38,Personnel!$G$38="Yes"),Personnel!$D$38*(1-Personnel!$I$38),0)+IF(AND(84&gt;=Personnel!$E$39,Personnel!$G$39="Yes"),Personnel!$D$39*(1-Personnel!$I$39),0)))*Escalation!$B$85,Actuals!CK97)</f>
        <v>-9713.1508661520002</v>
      </c>
      <c r="CL98" s="28">
        <f>IF(ISBLANK(Actuals!CL97),(-(IF(AND(85&gt;=Personnel!$E$38,Personnel!$G$38="Yes"),Personnel!$D$38*(1-Personnel!$I$38),0)+IF(AND(85&gt;=Personnel!$E$39,Personnel!$G$39="Yes"),Personnel!$D$39*(1-Personnel!$I$39),0)))*Escalation!$B$86,Actuals!CL97)</f>
        <v>-9907.4138834750393</v>
      </c>
      <c r="CM98" s="28">
        <f>IF(ISBLANK(Actuals!CM97),(-(IF(AND(86&gt;=Personnel!$E$38,Personnel!$G$38="Yes"),Personnel!$D$38*(1-Personnel!$I$38),0)+IF(AND(86&gt;=Personnel!$E$39,Personnel!$G$39="Yes"),Personnel!$D$39*(1-Personnel!$I$39),0)))*Escalation!$B$87,Actuals!CM97)</f>
        <v>-9907.4138834750393</v>
      </c>
      <c r="CN98" s="28">
        <f>IF(ISBLANK(Actuals!CN97),(-(IF(AND(87&gt;=Personnel!$E$38,Personnel!$G$38="Yes"),Personnel!$D$38*(1-Personnel!$I$38),0)+IF(AND(87&gt;=Personnel!$E$39,Personnel!$G$39="Yes"),Personnel!$D$39*(1-Personnel!$I$39),0)))*Escalation!$B$88,Actuals!CN97)</f>
        <v>-9907.4138834750393</v>
      </c>
      <c r="CO98" s="28">
        <f>IF(ISBLANK(Actuals!CO97),(-(IF(AND(88&gt;=Personnel!$E$38,Personnel!$G$38="Yes"),Personnel!$D$38*(1-Personnel!$I$38),0)+IF(AND(88&gt;=Personnel!$E$39,Personnel!$G$39="Yes"),Personnel!$D$39*(1-Personnel!$I$39),0)))*Escalation!$B$89,Actuals!CO97)</f>
        <v>-9907.4138834750393</v>
      </c>
      <c r="CP98" s="28">
        <f>IF(ISBLANK(Actuals!CP97),(-(IF(AND(89&gt;=Personnel!$E$38,Personnel!$G$38="Yes"),Personnel!$D$38*(1-Personnel!$I$38),0)+IF(AND(89&gt;=Personnel!$E$39,Personnel!$G$39="Yes"),Personnel!$D$39*(1-Personnel!$I$39),0)))*Escalation!$B$90,Actuals!CP97)</f>
        <v>-9907.4138834750393</v>
      </c>
      <c r="CQ98" s="28">
        <f>IF(ISBLANK(Actuals!CQ97),(-(IF(AND(90&gt;=Personnel!$E$38,Personnel!$G$38="Yes"),Personnel!$D$38*(1-Personnel!$I$38),0)+IF(AND(90&gt;=Personnel!$E$39,Personnel!$G$39="Yes"),Personnel!$D$39*(1-Personnel!$I$39),0)))*Escalation!$B$91,Actuals!CQ97)</f>
        <v>-9907.4138834750393</v>
      </c>
      <c r="CR98" s="28">
        <f>IF(ISBLANK(Actuals!CR97),(-(IF(AND(91&gt;=Personnel!$E$38,Personnel!$G$38="Yes"),Personnel!$D$38*(1-Personnel!$I$38),0)+IF(AND(91&gt;=Personnel!$E$39,Personnel!$G$39="Yes"),Personnel!$D$39*(1-Personnel!$I$39),0)))*Escalation!$B$92,Actuals!CR97)</f>
        <v>-9907.4138834750393</v>
      </c>
      <c r="CS98" s="28">
        <f>IF(ISBLANK(Actuals!CS97),(-(IF(AND(92&gt;=Personnel!$E$38,Personnel!$G$38="Yes"),Personnel!$D$38*(1-Personnel!$I$38),0)+IF(AND(92&gt;=Personnel!$E$39,Personnel!$G$39="Yes"),Personnel!$D$39*(1-Personnel!$I$39),0)))*Escalation!$B$93,Actuals!CS97)</f>
        <v>-9907.4138834750393</v>
      </c>
      <c r="CT98" s="28">
        <f>IF(ISBLANK(Actuals!CT97),(-(IF(AND(93&gt;=Personnel!$E$38,Personnel!$G$38="Yes"),Personnel!$D$38*(1-Personnel!$I$38),0)+IF(AND(93&gt;=Personnel!$E$39,Personnel!$G$39="Yes"),Personnel!$D$39*(1-Personnel!$I$39),0)))*Escalation!$B$94,Actuals!CT97)</f>
        <v>-9907.4138834750393</v>
      </c>
      <c r="CU98" s="28">
        <f>IF(ISBLANK(Actuals!CU97),(-(IF(AND(94&gt;=Personnel!$E$38,Personnel!$G$38="Yes"),Personnel!$D$38*(1-Personnel!$I$38),0)+IF(AND(94&gt;=Personnel!$E$39,Personnel!$G$39="Yes"),Personnel!$D$39*(1-Personnel!$I$39),0)))*Escalation!$B$95,Actuals!CU97)</f>
        <v>-9907.4138834750393</v>
      </c>
      <c r="CV98" s="28">
        <f>IF(ISBLANK(Actuals!CV97),(-(IF(AND(95&gt;=Personnel!$E$38,Personnel!$G$38="Yes"),Personnel!$D$38*(1-Personnel!$I$38),0)+IF(AND(95&gt;=Personnel!$E$39,Personnel!$G$39="Yes"),Personnel!$D$39*(1-Personnel!$I$39),0)))*Escalation!$B$96,Actuals!CV97)</f>
        <v>-9907.4138834750393</v>
      </c>
      <c r="CW98" s="28">
        <f>IF(ISBLANK(Actuals!CW97),(-(IF(AND(96&gt;=Personnel!$E$38,Personnel!$G$38="Yes"),Personnel!$D$38*(1-Personnel!$I$38),0)+IF(AND(96&gt;=Personnel!$E$39,Personnel!$G$39="Yes"),Personnel!$D$39*(1-Personnel!$I$39),0)))*Escalation!$B$97,Actuals!CW97)</f>
        <v>-9907.4138834750393</v>
      </c>
      <c r="CX98" s="28">
        <f>IF(ISBLANK(Actuals!CX97),(-(IF(AND(97&gt;=Personnel!$E$38,Personnel!$G$38="Yes"),Personnel!$D$38*(1-Personnel!$I$38),0)+IF(AND(97&gt;=Personnel!$E$39,Personnel!$G$39="Yes"),Personnel!$D$39*(1-Personnel!$I$39),0)))*Escalation!$B$98,Actuals!CX97)</f>
        <v>-10105.56216114454</v>
      </c>
      <c r="CY98" s="28">
        <f>IF(ISBLANK(Actuals!CY97),(-(IF(AND(98&gt;=Personnel!$E$38,Personnel!$G$38="Yes"),Personnel!$D$38*(1-Personnel!$I$38),0)+IF(AND(98&gt;=Personnel!$E$39,Personnel!$G$39="Yes"),Personnel!$D$39*(1-Personnel!$I$39),0)))*Escalation!$B$99,Actuals!CY97)</f>
        <v>-10105.56216114454</v>
      </c>
      <c r="CZ98" s="28">
        <f>IF(ISBLANK(Actuals!CZ97),(-(IF(AND(99&gt;=Personnel!$E$38,Personnel!$G$38="Yes"),Personnel!$D$38*(1-Personnel!$I$38),0)+IF(AND(99&gt;=Personnel!$E$39,Personnel!$G$39="Yes"),Personnel!$D$39*(1-Personnel!$I$39),0)))*Escalation!$B$100,Actuals!CZ97)</f>
        <v>-10105.56216114454</v>
      </c>
      <c r="DA98" s="28">
        <f>IF(ISBLANK(Actuals!DA97),(-(IF(AND(100&gt;=Personnel!$E$38,Personnel!$G$38="Yes"),Personnel!$D$38*(1-Personnel!$I$38),0)+IF(AND(100&gt;=Personnel!$E$39,Personnel!$G$39="Yes"),Personnel!$D$39*(1-Personnel!$I$39),0)))*Escalation!$B$101,Actuals!DA97)</f>
        <v>-10105.56216114454</v>
      </c>
      <c r="DB98" s="28">
        <f>IF(ISBLANK(Actuals!DB97),(-(IF(AND(101&gt;=Personnel!$E$38,Personnel!$G$38="Yes"),Personnel!$D$38*(1-Personnel!$I$38),0)+IF(AND(101&gt;=Personnel!$E$39,Personnel!$G$39="Yes"),Personnel!$D$39*(1-Personnel!$I$39),0)))*Escalation!$B$102,Actuals!DB97)</f>
        <v>-10105.56216114454</v>
      </c>
      <c r="DC98" s="28">
        <f>IF(ISBLANK(Actuals!DC97),(-(IF(AND(102&gt;=Personnel!$E$38,Personnel!$G$38="Yes"),Personnel!$D$38*(1-Personnel!$I$38),0)+IF(AND(102&gt;=Personnel!$E$39,Personnel!$G$39="Yes"),Personnel!$D$39*(1-Personnel!$I$39),0)))*Escalation!$B$103,Actuals!DC97)</f>
        <v>-10105.56216114454</v>
      </c>
      <c r="DD98" s="28">
        <f>IF(ISBLANK(Actuals!DD97),(-(IF(AND(103&gt;=Personnel!$E$38,Personnel!$G$38="Yes"),Personnel!$D$38*(1-Personnel!$I$38),0)+IF(AND(103&gt;=Personnel!$E$39,Personnel!$G$39="Yes"),Personnel!$D$39*(1-Personnel!$I$39),0)))*Escalation!$B$104,Actuals!DD97)</f>
        <v>-10105.56216114454</v>
      </c>
      <c r="DE98" s="28">
        <f>IF(ISBLANK(Actuals!DE97),(-(IF(AND(104&gt;=Personnel!$E$38,Personnel!$G$38="Yes"),Personnel!$D$38*(1-Personnel!$I$38),0)+IF(AND(104&gt;=Personnel!$E$39,Personnel!$G$39="Yes"),Personnel!$D$39*(1-Personnel!$I$39),0)))*Escalation!$B$105,Actuals!DE97)</f>
        <v>-10105.56216114454</v>
      </c>
      <c r="DF98" s="28">
        <f>IF(ISBLANK(Actuals!DF97),(-(IF(AND(105&gt;=Personnel!$E$38,Personnel!$G$38="Yes"),Personnel!$D$38*(1-Personnel!$I$38),0)+IF(AND(105&gt;=Personnel!$E$39,Personnel!$G$39="Yes"),Personnel!$D$39*(1-Personnel!$I$39),0)))*Escalation!$B$106,Actuals!DF97)</f>
        <v>-10105.56216114454</v>
      </c>
    </row>
    <row r="99" spans="1:110" ht="15" customHeight="1" x14ac:dyDescent="0.25">
      <c r="A99" s="27" t="s">
        <v>120</v>
      </c>
      <c r="B99" s="27"/>
      <c r="C99" s="28">
        <f>IF(ISBLANK(Actuals!C98),0,Actuals!C98)</f>
        <v>-268</v>
      </c>
      <c r="D99" s="28">
        <f>IF(ISBLANK(Actuals!D98),0,Actuals!D98)</f>
        <v>-2088.75</v>
      </c>
      <c r="E99" s="28">
        <f>IF(ISBLANK(Actuals!E98),0,Actuals!E98)</f>
        <v>-2401.75</v>
      </c>
      <c r="F99" s="28">
        <f>IF(ISBLANK(Actuals!F98),-1586.17*Escalation!$B$2,Actuals!F98)</f>
        <v>-4209.5</v>
      </c>
      <c r="G99" s="28">
        <f>IF(ISBLANK(Actuals!G98),-1586.17*Escalation!$B$3,Actuals!G98)</f>
        <v>-1586.17</v>
      </c>
      <c r="H99" s="28">
        <f>IF(ISBLANK(Actuals!H98),-1586.17*Escalation!$B$4,Actuals!H98)</f>
        <v>-1586.17</v>
      </c>
      <c r="I99" s="28">
        <f>IF(ISBLANK(Actuals!I98),-1586.17*Escalation!$B$5,Actuals!I98)</f>
        <v>-1586.17</v>
      </c>
      <c r="J99" s="28">
        <f>IF(ISBLANK(Actuals!J98),-1586.17*Escalation!$B$6,Actuals!J98)</f>
        <v>-1586.17</v>
      </c>
      <c r="K99" s="28">
        <f>IF(ISBLANK(Actuals!K98),-1586.17*Escalation!$B$7,Actuals!K98)</f>
        <v>-1586.17</v>
      </c>
      <c r="L99" s="28">
        <f>IF(ISBLANK(Actuals!L98),-1586.17*Escalation!$B$8,Actuals!L98)</f>
        <v>-1586.17</v>
      </c>
      <c r="M99" s="28">
        <f>IF(ISBLANK(Actuals!M98),-1586.17*Escalation!$B$9,Actuals!M98)</f>
        <v>-1586.17</v>
      </c>
      <c r="N99" s="28">
        <f>IF(ISBLANK(Actuals!N98),-1586.17*Escalation!$B$10,Actuals!N98)</f>
        <v>-1586.17</v>
      </c>
      <c r="O99" s="28">
        <f>IF(ISBLANK(Actuals!O98),-1586.17*Escalation!$B$11,Actuals!O98)</f>
        <v>-1586.17</v>
      </c>
      <c r="P99" s="28">
        <f>IF(ISBLANK(Actuals!P98),-1586.17*Escalation!$B$12,Actuals!P98)</f>
        <v>-1586.17</v>
      </c>
      <c r="Q99" s="28">
        <f>IF(ISBLANK(Actuals!Q98),-1586.17*Escalation!$B$13,Actuals!Q98)</f>
        <v>-1586.17</v>
      </c>
      <c r="R99" s="28">
        <f>IF(ISBLANK(Actuals!R98),-1586.17*Escalation!$B$14,Actuals!R98)</f>
        <v>-1617.8934000000002</v>
      </c>
      <c r="S99" s="28">
        <f>IF(ISBLANK(Actuals!S98),-1586.17*Escalation!$B$15,Actuals!S98)</f>
        <v>-1617.8934000000002</v>
      </c>
      <c r="T99" s="28">
        <f>IF(ISBLANK(Actuals!T98),-1586.17*Escalation!$B$16,Actuals!T98)</f>
        <v>-1617.8934000000002</v>
      </c>
      <c r="U99" s="28">
        <f>IF(ISBLANK(Actuals!U98),-1586.17*Escalation!$B$17,Actuals!U98)</f>
        <v>-1617.8934000000002</v>
      </c>
      <c r="V99" s="28">
        <f>IF(ISBLANK(Actuals!V98),-1586.17*Escalation!$B$18,Actuals!V98)</f>
        <v>-1617.8934000000002</v>
      </c>
      <c r="W99" s="28">
        <f>IF(ISBLANK(Actuals!W98),-1586.17*Escalation!$B$19,Actuals!W98)</f>
        <v>-1617.8934000000002</v>
      </c>
      <c r="X99" s="28">
        <f>IF(ISBLANK(Actuals!X98),-1586.17*Escalation!$B$20,Actuals!X98)</f>
        <v>-1617.8934000000002</v>
      </c>
      <c r="Y99" s="28">
        <f>IF(ISBLANK(Actuals!Y98),-1586.17*Escalation!$B$21,Actuals!Y98)</f>
        <v>-1617.8934000000002</v>
      </c>
      <c r="Z99" s="28">
        <f>IF(ISBLANK(Actuals!Z98),-1586.17*Escalation!$B$22,Actuals!Z98)</f>
        <v>-1617.8934000000002</v>
      </c>
      <c r="AA99" s="28">
        <f>IF(ISBLANK(Actuals!AA98),-1586.17*Escalation!$B$23,Actuals!AA98)</f>
        <v>-1617.8934000000002</v>
      </c>
      <c r="AB99" s="28">
        <f>IF(ISBLANK(Actuals!AB98),-1586.17*Escalation!$B$24,Actuals!AB98)</f>
        <v>-1617.8934000000002</v>
      </c>
      <c r="AC99" s="28">
        <f>IF(ISBLANK(Actuals!AC98),-1586.17*Escalation!$B$25,Actuals!AC98)</f>
        <v>-1617.8934000000002</v>
      </c>
      <c r="AD99" s="28">
        <f>IF(ISBLANK(Actuals!AD98),-1586.17*Escalation!$B$26,Actuals!AD98)</f>
        <v>-1650.251268</v>
      </c>
      <c r="AE99" s="28">
        <f>IF(ISBLANK(Actuals!AE98),-1586.17*Escalation!$B$27,Actuals!AE98)</f>
        <v>-1650.251268</v>
      </c>
      <c r="AF99" s="28">
        <f>IF(ISBLANK(Actuals!AF98),-1586.17*Escalation!$B$28,Actuals!AF98)</f>
        <v>-1650.251268</v>
      </c>
      <c r="AG99" s="28">
        <f>IF(ISBLANK(Actuals!AG98),-1586.17*Escalation!$B$29,Actuals!AG98)</f>
        <v>-1650.251268</v>
      </c>
      <c r="AH99" s="28">
        <f>IF(ISBLANK(Actuals!AH98),-1586.17*Escalation!$B$30,Actuals!AH98)</f>
        <v>-1650.251268</v>
      </c>
      <c r="AI99" s="28">
        <f>IF(ISBLANK(Actuals!AI98),-1586.17*Escalation!$B$31,Actuals!AI98)</f>
        <v>-1650.251268</v>
      </c>
      <c r="AJ99" s="28">
        <f>IF(ISBLANK(Actuals!AJ98),-1586.17*Escalation!$B$32,Actuals!AJ98)</f>
        <v>-1650.251268</v>
      </c>
      <c r="AK99" s="28">
        <f>IF(ISBLANK(Actuals!AK98),-1586.17*Escalation!$B$33,Actuals!AK98)</f>
        <v>-1650.251268</v>
      </c>
      <c r="AL99" s="28">
        <f>IF(ISBLANK(Actuals!AL98),-1586.17*Escalation!$B$34,Actuals!AL98)</f>
        <v>-1650.251268</v>
      </c>
      <c r="AM99" s="28">
        <f>IF(ISBLANK(Actuals!AM98),-1586.17*Escalation!$B$35,Actuals!AM98)</f>
        <v>-1650.251268</v>
      </c>
      <c r="AN99" s="28">
        <f>IF(ISBLANK(Actuals!AN98),-1586.17*Escalation!$B$36,Actuals!AN98)</f>
        <v>-1650.251268</v>
      </c>
      <c r="AO99" s="28">
        <f>IF(ISBLANK(Actuals!AO98),-1586.17*Escalation!$B$37,Actuals!AO98)</f>
        <v>-1650.251268</v>
      </c>
      <c r="AP99" s="28">
        <f>IF(ISBLANK(Actuals!AP98),-1586.17*Escalation!$B$38,Actuals!AP98)</f>
        <v>-1683.25629336</v>
      </c>
      <c r="AQ99" s="28">
        <f>IF(ISBLANK(Actuals!AQ98),-1586.17*Escalation!$B$39,Actuals!AQ98)</f>
        <v>-1683.25629336</v>
      </c>
      <c r="AR99" s="28">
        <f>IF(ISBLANK(Actuals!AR98),-1586.17*Escalation!$B$40,Actuals!AR98)</f>
        <v>-1683.25629336</v>
      </c>
      <c r="AS99" s="28">
        <f>IF(ISBLANK(Actuals!AS98),-1586.17*Escalation!$B$41,Actuals!AS98)</f>
        <v>-1683.25629336</v>
      </c>
      <c r="AT99" s="28">
        <f>IF(ISBLANK(Actuals!AT98),-1586.17*Escalation!$B$42,Actuals!AT98)</f>
        <v>-1683.25629336</v>
      </c>
      <c r="AU99" s="28">
        <f>IF(ISBLANK(Actuals!AU98),-1586.17*Escalation!$B$43,Actuals!AU98)</f>
        <v>-1683.25629336</v>
      </c>
      <c r="AV99" s="28">
        <f>IF(ISBLANK(Actuals!AV98),-1586.17*Escalation!$B$44,Actuals!AV98)</f>
        <v>-1683.25629336</v>
      </c>
      <c r="AW99" s="28">
        <f>IF(ISBLANK(Actuals!AW98),-1586.17*Escalation!$B$45,Actuals!AW98)</f>
        <v>-1683.25629336</v>
      </c>
      <c r="AX99" s="28">
        <f>IF(ISBLANK(Actuals!AX98),-1586.17*Escalation!$B$46,Actuals!AX98)</f>
        <v>-1683.25629336</v>
      </c>
      <c r="AY99" s="28">
        <f>IF(ISBLANK(Actuals!AY98),-1586.17*Escalation!$B$47,Actuals!AY98)</f>
        <v>-1683.25629336</v>
      </c>
      <c r="AZ99" s="28">
        <f>IF(ISBLANK(Actuals!AZ98),-1586.17*Escalation!$B$48,Actuals!AZ98)</f>
        <v>-1683.25629336</v>
      </c>
      <c r="BA99" s="28">
        <f>IF(ISBLANK(Actuals!BA98),-1586.17*Escalation!$B$49,Actuals!BA98)</f>
        <v>-1683.25629336</v>
      </c>
      <c r="BB99" s="28">
        <f>IF(ISBLANK(Actuals!BB98),-1586.17*Escalation!$B$50,Actuals!BB98)</f>
        <v>-1716.9214192272</v>
      </c>
      <c r="BC99" s="28">
        <f>IF(ISBLANK(Actuals!BC98),-1586.17*Escalation!$B$51,Actuals!BC98)</f>
        <v>-1716.9214192272</v>
      </c>
      <c r="BD99" s="28">
        <f>IF(ISBLANK(Actuals!BD98),-1586.17*Escalation!$B$52,Actuals!BD98)</f>
        <v>-1716.9214192272</v>
      </c>
      <c r="BE99" s="28">
        <f>IF(ISBLANK(Actuals!BE98),-1586.17*Escalation!$B$53,Actuals!BE98)</f>
        <v>-1716.9214192272</v>
      </c>
      <c r="BF99" s="28">
        <f>IF(ISBLANK(Actuals!BF98),-1586.17*Escalation!$B$54,Actuals!BF98)</f>
        <v>-1716.9214192272</v>
      </c>
      <c r="BG99" s="28">
        <f>IF(ISBLANK(Actuals!BG98),-1586.17*Escalation!$B$55,Actuals!BG98)</f>
        <v>-1716.9214192272</v>
      </c>
      <c r="BH99" s="28">
        <f>IF(ISBLANK(Actuals!BH98),-1586.17*Escalation!$B$56,Actuals!BH98)</f>
        <v>-1716.9214192272</v>
      </c>
      <c r="BI99" s="28">
        <f>IF(ISBLANK(Actuals!BI98),-1586.17*Escalation!$B$57,Actuals!BI98)</f>
        <v>-1716.9214192272</v>
      </c>
      <c r="BJ99" s="28">
        <f>IF(ISBLANK(Actuals!BJ98),-1586.17*Escalation!$B$58,Actuals!BJ98)</f>
        <v>-1716.9214192272</v>
      </c>
      <c r="BK99" s="28">
        <f>IF(ISBLANK(Actuals!BK98),-1586.17*Escalation!$B$59,Actuals!BK98)</f>
        <v>-1716.9214192272</v>
      </c>
      <c r="BL99" s="28">
        <f>IF(ISBLANK(Actuals!BL98),-1586.17*Escalation!$B$60,Actuals!BL98)</f>
        <v>-1716.9214192272</v>
      </c>
      <c r="BM99" s="28">
        <f>IF(ISBLANK(Actuals!BM98),-1586.17*Escalation!$B$61,Actuals!BM98)</f>
        <v>-1716.9214192272</v>
      </c>
      <c r="BN99" s="28">
        <f>IF(ISBLANK(Actuals!BN98),-1586.17*Escalation!$B$62,Actuals!BN98)</f>
        <v>-1751.2598476117441</v>
      </c>
      <c r="BO99" s="28">
        <f>IF(ISBLANK(Actuals!BO98),-1586.17*Escalation!$B$63,Actuals!BO98)</f>
        <v>-1751.2598476117441</v>
      </c>
      <c r="BP99" s="28">
        <f>IF(ISBLANK(Actuals!BP98),-1586.17*Escalation!$B$64,Actuals!BP98)</f>
        <v>-1751.2598476117441</v>
      </c>
      <c r="BQ99" s="28">
        <f>IF(ISBLANK(Actuals!BQ98),-1586.17*Escalation!$B$65,Actuals!BQ98)</f>
        <v>-1751.2598476117441</v>
      </c>
      <c r="BR99" s="28">
        <f>IF(ISBLANK(Actuals!BR98),-1586.17*Escalation!$B$66,Actuals!BR98)</f>
        <v>-1751.2598476117441</v>
      </c>
      <c r="BS99" s="28">
        <f>IF(ISBLANK(Actuals!BS98),-1586.17*Escalation!$B$67,Actuals!BS98)</f>
        <v>-1751.2598476117441</v>
      </c>
      <c r="BT99" s="28">
        <f>IF(ISBLANK(Actuals!BT98),-1586.17*Escalation!$B$68,Actuals!BT98)</f>
        <v>-1751.2598476117441</v>
      </c>
      <c r="BU99" s="28">
        <f>IF(ISBLANK(Actuals!BU98),-1586.17*Escalation!$B$69,Actuals!BU98)</f>
        <v>-1751.2598476117441</v>
      </c>
      <c r="BV99" s="28">
        <f>IF(ISBLANK(Actuals!BV98),-1586.17*Escalation!$B$70,Actuals!BV98)</f>
        <v>-1751.2598476117441</v>
      </c>
      <c r="BW99" s="28">
        <f>IF(ISBLANK(Actuals!BW98),-1586.17*Escalation!$B$71,Actuals!BW98)</f>
        <v>-1751.2598476117441</v>
      </c>
      <c r="BX99" s="28">
        <f>IF(ISBLANK(Actuals!BX98),-1586.17*Escalation!$B$72,Actuals!BX98)</f>
        <v>-1751.2598476117441</v>
      </c>
      <c r="BY99" s="28">
        <f>IF(ISBLANK(Actuals!BY98),-1586.17*Escalation!$B$73,Actuals!BY98)</f>
        <v>-1751.2598476117441</v>
      </c>
      <c r="BZ99" s="28">
        <f>IF(ISBLANK(Actuals!BZ98),-1586.17*Escalation!$B$74,Actuals!BZ98)</f>
        <v>-1786.285044563979</v>
      </c>
      <c r="CA99" s="28">
        <f>IF(ISBLANK(Actuals!CA98),-1586.17*Escalation!$B$75,Actuals!CA98)</f>
        <v>-1786.285044563979</v>
      </c>
      <c r="CB99" s="28">
        <f>IF(ISBLANK(Actuals!CB98),-1586.17*Escalation!$B$76,Actuals!CB98)</f>
        <v>-1786.285044563979</v>
      </c>
      <c r="CC99" s="28">
        <f>IF(ISBLANK(Actuals!CC98),-1586.17*Escalation!$B$77,Actuals!CC98)</f>
        <v>-1786.285044563979</v>
      </c>
      <c r="CD99" s="28">
        <f>IF(ISBLANK(Actuals!CD98),-1586.17*Escalation!$B$78,Actuals!CD98)</f>
        <v>-1786.285044563979</v>
      </c>
      <c r="CE99" s="28">
        <f>IF(ISBLANK(Actuals!CE98),-1586.17*Escalation!$B$79,Actuals!CE98)</f>
        <v>-1786.285044563979</v>
      </c>
      <c r="CF99" s="28">
        <f>IF(ISBLANK(Actuals!CF98),-1586.17*Escalation!$B$80,Actuals!CF98)</f>
        <v>-1786.285044563979</v>
      </c>
      <c r="CG99" s="28">
        <f>IF(ISBLANK(Actuals!CG98),-1586.17*Escalation!$B$81,Actuals!CG98)</f>
        <v>-1786.285044563979</v>
      </c>
      <c r="CH99" s="28">
        <f>IF(ISBLANK(Actuals!CH98),-1586.17*Escalation!$B$82,Actuals!CH98)</f>
        <v>-1786.285044563979</v>
      </c>
      <c r="CI99" s="28">
        <f>IF(ISBLANK(Actuals!CI98),-1586.17*Escalation!$B$83,Actuals!CI98)</f>
        <v>-1786.285044563979</v>
      </c>
      <c r="CJ99" s="28">
        <f>IF(ISBLANK(Actuals!CJ98),-1586.17*Escalation!$B$84,Actuals!CJ98)</f>
        <v>-1786.285044563979</v>
      </c>
      <c r="CK99" s="28">
        <f>IF(ISBLANK(Actuals!CK98),-1586.17*Escalation!$B$85,Actuals!CK98)</f>
        <v>-1786.285044563979</v>
      </c>
      <c r="CL99" s="28">
        <f>IF(ISBLANK(Actuals!CL98),-1586.17*Escalation!$B$86,Actuals!CL98)</f>
        <v>-1822.0107454552583</v>
      </c>
      <c r="CM99" s="28">
        <f>IF(ISBLANK(Actuals!CM98),-1586.17*Escalation!$B$87,Actuals!CM98)</f>
        <v>-1822.0107454552583</v>
      </c>
      <c r="CN99" s="28">
        <f>IF(ISBLANK(Actuals!CN98),-1586.17*Escalation!$B$88,Actuals!CN98)</f>
        <v>-1822.0107454552583</v>
      </c>
      <c r="CO99" s="28">
        <f>IF(ISBLANK(Actuals!CO98),-1586.17*Escalation!$B$89,Actuals!CO98)</f>
        <v>-1822.0107454552583</v>
      </c>
      <c r="CP99" s="28">
        <f>IF(ISBLANK(Actuals!CP98),-1586.17*Escalation!$B$90,Actuals!CP98)</f>
        <v>-1822.0107454552583</v>
      </c>
      <c r="CQ99" s="28">
        <f>IF(ISBLANK(Actuals!CQ98),-1586.17*Escalation!$B$91,Actuals!CQ98)</f>
        <v>-1822.0107454552583</v>
      </c>
      <c r="CR99" s="28">
        <f>IF(ISBLANK(Actuals!CR98),-1586.17*Escalation!$B$92,Actuals!CR98)</f>
        <v>-1822.0107454552583</v>
      </c>
      <c r="CS99" s="28">
        <f>IF(ISBLANK(Actuals!CS98),-1586.17*Escalation!$B$93,Actuals!CS98)</f>
        <v>-1822.0107454552583</v>
      </c>
      <c r="CT99" s="28">
        <f>IF(ISBLANK(Actuals!CT98),-1586.17*Escalation!$B$94,Actuals!CT98)</f>
        <v>-1822.0107454552583</v>
      </c>
      <c r="CU99" s="28">
        <f>IF(ISBLANK(Actuals!CU98),-1586.17*Escalation!$B$95,Actuals!CU98)</f>
        <v>-1822.0107454552583</v>
      </c>
      <c r="CV99" s="28">
        <f>IF(ISBLANK(Actuals!CV98),-1586.17*Escalation!$B$96,Actuals!CV98)</f>
        <v>-1822.0107454552583</v>
      </c>
      <c r="CW99" s="28">
        <f>IF(ISBLANK(Actuals!CW98),-1586.17*Escalation!$B$97,Actuals!CW98)</f>
        <v>-1822.0107454552583</v>
      </c>
      <c r="CX99" s="28">
        <f>IF(ISBLANK(Actuals!CX98),-1586.17*Escalation!$B$98,Actuals!CX98)</f>
        <v>-1858.4509603643635</v>
      </c>
      <c r="CY99" s="28">
        <f>IF(ISBLANK(Actuals!CY98),-1586.17*Escalation!$B$99,Actuals!CY98)</f>
        <v>-1858.4509603643635</v>
      </c>
      <c r="CZ99" s="28">
        <f>IF(ISBLANK(Actuals!CZ98),-1586.17*Escalation!$B$100,Actuals!CZ98)</f>
        <v>-1858.4509603643635</v>
      </c>
      <c r="DA99" s="28">
        <f>IF(ISBLANK(Actuals!DA98),-1586.17*Escalation!$B$101,Actuals!DA98)</f>
        <v>-1858.4509603643635</v>
      </c>
      <c r="DB99" s="28">
        <f>IF(ISBLANK(Actuals!DB98),-1586.17*Escalation!$B$102,Actuals!DB98)</f>
        <v>-1858.4509603643635</v>
      </c>
      <c r="DC99" s="28">
        <f>IF(ISBLANK(Actuals!DC98),-1586.17*Escalation!$B$103,Actuals!DC98)</f>
        <v>-1858.4509603643635</v>
      </c>
      <c r="DD99" s="28">
        <f>IF(ISBLANK(Actuals!DD98),-1586.17*Escalation!$B$104,Actuals!DD98)</f>
        <v>-1858.4509603643635</v>
      </c>
      <c r="DE99" s="28">
        <f>IF(ISBLANK(Actuals!DE98),-1586.17*Escalation!$B$105,Actuals!DE98)</f>
        <v>-1858.4509603643635</v>
      </c>
      <c r="DF99" s="28">
        <f>IF(ISBLANK(Actuals!DF98),-1586.17*Escalation!$B$106,Actuals!DF98)</f>
        <v>-1858.4509603643635</v>
      </c>
    </row>
    <row r="100" spans="1:110" ht="15" customHeight="1" x14ac:dyDescent="0.25">
      <c r="A100" s="27" t="s">
        <v>121</v>
      </c>
      <c r="B100" s="27"/>
      <c r="C100" s="28">
        <f>IF(ISBLANK(Actuals!C99),0,Actuals!C99)</f>
        <v>-341.83</v>
      </c>
      <c r="D100" s="28">
        <f>IF(ISBLANK(Actuals!D99),0,Actuals!D99)</f>
        <v>-728</v>
      </c>
      <c r="E100" s="28">
        <f>IF(ISBLANK(Actuals!E99),0,Actuals!E99)</f>
        <v>-15256.75</v>
      </c>
      <c r="F100" s="28">
        <f>IF(ISBLANK(Actuals!F99),-5442.19*Escalation!$B$2,Actuals!F99)</f>
        <v>-1033.4100000000001</v>
      </c>
      <c r="G100" s="28">
        <f>IF(ISBLANK(Actuals!G99),-5442.19*Escalation!$B$3,Actuals!G99)</f>
        <v>-5442.19</v>
      </c>
      <c r="H100" s="28">
        <f>IF(ISBLANK(Actuals!H99),-5442.19*Escalation!$B$4,Actuals!H99)</f>
        <v>-5442.19</v>
      </c>
      <c r="I100" s="28">
        <f>IF(ISBLANK(Actuals!I99),-5442.19*Escalation!$B$5,Actuals!I99)</f>
        <v>-5442.19</v>
      </c>
      <c r="J100" s="28">
        <f>IF(ISBLANK(Actuals!J99),-5442.19*Escalation!$B$6,Actuals!J99)</f>
        <v>-5442.19</v>
      </c>
      <c r="K100" s="28">
        <f>IF(ISBLANK(Actuals!K99),-5442.19*Escalation!$B$7,Actuals!K99)</f>
        <v>-5442.19</v>
      </c>
      <c r="L100" s="28">
        <f>IF(ISBLANK(Actuals!L99),-5442.19*Escalation!$B$8,Actuals!L99)</f>
        <v>-5442.19</v>
      </c>
      <c r="M100" s="28">
        <f>IF(ISBLANK(Actuals!M99),-5442.19*Escalation!$B$9,Actuals!M99)</f>
        <v>-5442.19</v>
      </c>
      <c r="N100" s="28">
        <f>IF(ISBLANK(Actuals!N99),-5442.19*Escalation!$B$10,Actuals!N99)</f>
        <v>-5442.19</v>
      </c>
      <c r="O100" s="28">
        <f>IF(ISBLANK(Actuals!O99),-5442.19*Escalation!$B$11,Actuals!O99)</f>
        <v>-5442.19</v>
      </c>
      <c r="P100" s="28">
        <f>IF(ISBLANK(Actuals!P99),-5442.19*Escalation!$B$12,Actuals!P99)</f>
        <v>-5442.19</v>
      </c>
      <c r="Q100" s="28">
        <f>IF(ISBLANK(Actuals!Q99),-5442.19*Escalation!$B$13,Actuals!Q99)</f>
        <v>-5442.19</v>
      </c>
      <c r="R100" s="28">
        <f>IF(ISBLANK(Actuals!R99),-5442.19*Escalation!$B$14,Actuals!R99)</f>
        <v>-5551.0337999999992</v>
      </c>
      <c r="S100" s="28">
        <f>IF(ISBLANK(Actuals!S99),-5442.19*Escalation!$B$15,Actuals!S99)</f>
        <v>-5551.0337999999992</v>
      </c>
      <c r="T100" s="28">
        <f>IF(ISBLANK(Actuals!T99),-5442.19*Escalation!$B$16,Actuals!T99)</f>
        <v>-5551.0337999999992</v>
      </c>
      <c r="U100" s="28">
        <f>IF(ISBLANK(Actuals!U99),-5442.19*Escalation!$B$17,Actuals!U99)</f>
        <v>-5551.0337999999992</v>
      </c>
      <c r="V100" s="28">
        <f>IF(ISBLANK(Actuals!V99),-5442.19*Escalation!$B$18,Actuals!V99)</f>
        <v>-5551.0337999999992</v>
      </c>
      <c r="W100" s="28">
        <f>IF(ISBLANK(Actuals!W99),-5442.19*Escalation!$B$19,Actuals!W99)</f>
        <v>-5551.0337999999992</v>
      </c>
      <c r="X100" s="28">
        <f>IF(ISBLANK(Actuals!X99),-5442.19*Escalation!$B$20,Actuals!X99)</f>
        <v>-5551.0337999999992</v>
      </c>
      <c r="Y100" s="28">
        <f>IF(ISBLANK(Actuals!Y99),-5442.19*Escalation!$B$21,Actuals!Y99)</f>
        <v>-5551.0337999999992</v>
      </c>
      <c r="Z100" s="28">
        <f>IF(ISBLANK(Actuals!Z99),-5442.19*Escalation!$B$22,Actuals!Z99)</f>
        <v>-5551.0337999999992</v>
      </c>
      <c r="AA100" s="28">
        <f>IF(ISBLANK(Actuals!AA99),-5442.19*Escalation!$B$23,Actuals!AA99)</f>
        <v>-5551.0337999999992</v>
      </c>
      <c r="AB100" s="28">
        <f>IF(ISBLANK(Actuals!AB99),-5442.19*Escalation!$B$24,Actuals!AB99)</f>
        <v>-5551.0337999999992</v>
      </c>
      <c r="AC100" s="28">
        <f>IF(ISBLANK(Actuals!AC99),-5442.19*Escalation!$B$25,Actuals!AC99)</f>
        <v>-5551.0337999999992</v>
      </c>
      <c r="AD100" s="28">
        <f>IF(ISBLANK(Actuals!AD99),-5442.19*Escalation!$B$26,Actuals!AD99)</f>
        <v>-5662.0544759999993</v>
      </c>
      <c r="AE100" s="28">
        <f>IF(ISBLANK(Actuals!AE99),-5442.19*Escalation!$B$27,Actuals!AE99)</f>
        <v>-5662.0544759999993</v>
      </c>
      <c r="AF100" s="28">
        <f>IF(ISBLANK(Actuals!AF99),-5442.19*Escalation!$B$28,Actuals!AF99)</f>
        <v>-5662.0544759999993</v>
      </c>
      <c r="AG100" s="28">
        <f>IF(ISBLANK(Actuals!AG99),-5442.19*Escalation!$B$29,Actuals!AG99)</f>
        <v>-5662.0544759999993</v>
      </c>
      <c r="AH100" s="28">
        <f>IF(ISBLANK(Actuals!AH99),-5442.19*Escalation!$B$30,Actuals!AH99)</f>
        <v>-5662.0544759999993</v>
      </c>
      <c r="AI100" s="28">
        <f>IF(ISBLANK(Actuals!AI99),-5442.19*Escalation!$B$31,Actuals!AI99)</f>
        <v>-5662.0544759999993</v>
      </c>
      <c r="AJ100" s="28">
        <f>IF(ISBLANK(Actuals!AJ99),-5442.19*Escalation!$B$32,Actuals!AJ99)</f>
        <v>-5662.0544759999993</v>
      </c>
      <c r="AK100" s="28">
        <f>IF(ISBLANK(Actuals!AK99),-5442.19*Escalation!$B$33,Actuals!AK99)</f>
        <v>-5662.0544759999993</v>
      </c>
      <c r="AL100" s="28">
        <f>IF(ISBLANK(Actuals!AL99),-5442.19*Escalation!$B$34,Actuals!AL99)</f>
        <v>-5662.0544759999993</v>
      </c>
      <c r="AM100" s="28">
        <f>IF(ISBLANK(Actuals!AM99),-5442.19*Escalation!$B$35,Actuals!AM99)</f>
        <v>-5662.0544759999993</v>
      </c>
      <c r="AN100" s="28">
        <f>IF(ISBLANK(Actuals!AN99),-5442.19*Escalation!$B$36,Actuals!AN99)</f>
        <v>-5662.0544759999993</v>
      </c>
      <c r="AO100" s="28">
        <f>IF(ISBLANK(Actuals!AO99),-5442.19*Escalation!$B$37,Actuals!AO99)</f>
        <v>-5662.0544759999993</v>
      </c>
      <c r="AP100" s="28">
        <f>IF(ISBLANK(Actuals!AP99),-5442.19*Escalation!$B$38,Actuals!AP99)</f>
        <v>-5775.2955655199994</v>
      </c>
      <c r="AQ100" s="28">
        <f>IF(ISBLANK(Actuals!AQ99),-5442.19*Escalation!$B$39,Actuals!AQ99)</f>
        <v>-5775.2955655199994</v>
      </c>
      <c r="AR100" s="28">
        <f>IF(ISBLANK(Actuals!AR99),-5442.19*Escalation!$B$40,Actuals!AR99)</f>
        <v>-5775.2955655199994</v>
      </c>
      <c r="AS100" s="28">
        <f>IF(ISBLANK(Actuals!AS99),-5442.19*Escalation!$B$41,Actuals!AS99)</f>
        <v>-5775.2955655199994</v>
      </c>
      <c r="AT100" s="28">
        <f>IF(ISBLANK(Actuals!AT99),-5442.19*Escalation!$B$42,Actuals!AT99)</f>
        <v>-5775.2955655199994</v>
      </c>
      <c r="AU100" s="28">
        <f>IF(ISBLANK(Actuals!AU99),-5442.19*Escalation!$B$43,Actuals!AU99)</f>
        <v>-5775.2955655199994</v>
      </c>
      <c r="AV100" s="28">
        <f>IF(ISBLANK(Actuals!AV99),-5442.19*Escalation!$B$44,Actuals!AV99)</f>
        <v>-5775.2955655199994</v>
      </c>
      <c r="AW100" s="28">
        <f>IF(ISBLANK(Actuals!AW99),-5442.19*Escalation!$B$45,Actuals!AW99)</f>
        <v>-5775.2955655199994</v>
      </c>
      <c r="AX100" s="28">
        <f>IF(ISBLANK(Actuals!AX99),-5442.19*Escalation!$B$46,Actuals!AX99)</f>
        <v>-5775.2955655199994</v>
      </c>
      <c r="AY100" s="28">
        <f>IF(ISBLANK(Actuals!AY99),-5442.19*Escalation!$B$47,Actuals!AY99)</f>
        <v>-5775.2955655199994</v>
      </c>
      <c r="AZ100" s="28">
        <f>IF(ISBLANK(Actuals!AZ99),-5442.19*Escalation!$B$48,Actuals!AZ99)</f>
        <v>-5775.2955655199994</v>
      </c>
      <c r="BA100" s="28">
        <f>IF(ISBLANK(Actuals!BA99),-5442.19*Escalation!$B$49,Actuals!BA99)</f>
        <v>-5775.2955655199994</v>
      </c>
      <c r="BB100" s="28">
        <f>IF(ISBLANK(Actuals!BB99),-5442.19*Escalation!$B$50,Actuals!BB99)</f>
        <v>-5890.8014768303992</v>
      </c>
      <c r="BC100" s="28">
        <f>IF(ISBLANK(Actuals!BC99),-5442.19*Escalation!$B$51,Actuals!BC99)</f>
        <v>-5890.8014768303992</v>
      </c>
      <c r="BD100" s="28">
        <f>IF(ISBLANK(Actuals!BD99),-5442.19*Escalation!$B$52,Actuals!BD99)</f>
        <v>-5890.8014768303992</v>
      </c>
      <c r="BE100" s="28">
        <f>IF(ISBLANK(Actuals!BE99),-5442.19*Escalation!$B$53,Actuals!BE99)</f>
        <v>-5890.8014768303992</v>
      </c>
      <c r="BF100" s="28">
        <f>IF(ISBLANK(Actuals!BF99),-5442.19*Escalation!$B$54,Actuals!BF99)</f>
        <v>-5890.8014768303992</v>
      </c>
      <c r="BG100" s="28">
        <f>IF(ISBLANK(Actuals!BG99),-5442.19*Escalation!$B$55,Actuals!BG99)</f>
        <v>-5890.8014768303992</v>
      </c>
      <c r="BH100" s="28">
        <f>IF(ISBLANK(Actuals!BH99),-5442.19*Escalation!$B$56,Actuals!BH99)</f>
        <v>-5890.8014768303992</v>
      </c>
      <c r="BI100" s="28">
        <f>IF(ISBLANK(Actuals!BI99),-5442.19*Escalation!$B$57,Actuals!BI99)</f>
        <v>-5890.8014768303992</v>
      </c>
      <c r="BJ100" s="28">
        <f>IF(ISBLANK(Actuals!BJ99),-5442.19*Escalation!$B$58,Actuals!BJ99)</f>
        <v>-5890.8014768303992</v>
      </c>
      <c r="BK100" s="28">
        <f>IF(ISBLANK(Actuals!BK99),-5442.19*Escalation!$B$59,Actuals!BK99)</f>
        <v>-5890.8014768303992</v>
      </c>
      <c r="BL100" s="28">
        <f>IF(ISBLANK(Actuals!BL99),-5442.19*Escalation!$B$60,Actuals!BL99)</f>
        <v>-5890.8014768303992</v>
      </c>
      <c r="BM100" s="28">
        <f>IF(ISBLANK(Actuals!BM99),-5442.19*Escalation!$B$61,Actuals!BM99)</f>
        <v>-5890.8014768303992</v>
      </c>
      <c r="BN100" s="28">
        <f>IF(ISBLANK(Actuals!BN99),-5442.19*Escalation!$B$62,Actuals!BN99)</f>
        <v>-6008.617506367008</v>
      </c>
      <c r="BO100" s="28">
        <f>IF(ISBLANK(Actuals!BO99),-5442.19*Escalation!$B$63,Actuals!BO99)</f>
        <v>-6008.617506367008</v>
      </c>
      <c r="BP100" s="28">
        <f>IF(ISBLANK(Actuals!BP99),-5442.19*Escalation!$B$64,Actuals!BP99)</f>
        <v>-6008.617506367008</v>
      </c>
      <c r="BQ100" s="28">
        <f>IF(ISBLANK(Actuals!BQ99),-5442.19*Escalation!$B$65,Actuals!BQ99)</f>
        <v>-6008.617506367008</v>
      </c>
      <c r="BR100" s="28">
        <f>IF(ISBLANK(Actuals!BR99),-5442.19*Escalation!$B$66,Actuals!BR99)</f>
        <v>-6008.617506367008</v>
      </c>
      <c r="BS100" s="28">
        <f>IF(ISBLANK(Actuals!BS99),-5442.19*Escalation!$B$67,Actuals!BS99)</f>
        <v>-6008.617506367008</v>
      </c>
      <c r="BT100" s="28">
        <f>IF(ISBLANK(Actuals!BT99),-5442.19*Escalation!$B$68,Actuals!BT99)</f>
        <v>-6008.617506367008</v>
      </c>
      <c r="BU100" s="28">
        <f>IF(ISBLANK(Actuals!BU99),-5442.19*Escalation!$B$69,Actuals!BU99)</f>
        <v>-6008.617506367008</v>
      </c>
      <c r="BV100" s="28">
        <f>IF(ISBLANK(Actuals!BV99),-5442.19*Escalation!$B$70,Actuals!BV99)</f>
        <v>-6008.617506367008</v>
      </c>
      <c r="BW100" s="28">
        <f>IF(ISBLANK(Actuals!BW99),-5442.19*Escalation!$B$71,Actuals!BW99)</f>
        <v>-6008.617506367008</v>
      </c>
      <c r="BX100" s="28">
        <f>IF(ISBLANK(Actuals!BX99),-5442.19*Escalation!$B$72,Actuals!BX99)</f>
        <v>-6008.617506367008</v>
      </c>
      <c r="BY100" s="28">
        <f>IF(ISBLANK(Actuals!BY99),-5442.19*Escalation!$B$73,Actuals!BY99)</f>
        <v>-6008.617506367008</v>
      </c>
      <c r="BZ100" s="28">
        <f>IF(ISBLANK(Actuals!BZ99),-5442.19*Escalation!$B$74,Actuals!BZ99)</f>
        <v>-6128.789856494348</v>
      </c>
      <c r="CA100" s="28">
        <f>IF(ISBLANK(Actuals!CA99),-5442.19*Escalation!$B$75,Actuals!CA99)</f>
        <v>-6128.789856494348</v>
      </c>
      <c r="CB100" s="28">
        <f>IF(ISBLANK(Actuals!CB99),-5442.19*Escalation!$B$76,Actuals!CB99)</f>
        <v>-6128.789856494348</v>
      </c>
      <c r="CC100" s="28">
        <f>IF(ISBLANK(Actuals!CC99),-5442.19*Escalation!$B$77,Actuals!CC99)</f>
        <v>-6128.789856494348</v>
      </c>
      <c r="CD100" s="28">
        <f>IF(ISBLANK(Actuals!CD99),-5442.19*Escalation!$B$78,Actuals!CD99)</f>
        <v>-6128.789856494348</v>
      </c>
      <c r="CE100" s="28">
        <f>IF(ISBLANK(Actuals!CE99),-5442.19*Escalation!$B$79,Actuals!CE99)</f>
        <v>-6128.789856494348</v>
      </c>
      <c r="CF100" s="28">
        <f>IF(ISBLANK(Actuals!CF99),-5442.19*Escalation!$B$80,Actuals!CF99)</f>
        <v>-6128.789856494348</v>
      </c>
      <c r="CG100" s="28">
        <f>IF(ISBLANK(Actuals!CG99),-5442.19*Escalation!$B$81,Actuals!CG99)</f>
        <v>-6128.789856494348</v>
      </c>
      <c r="CH100" s="28">
        <f>IF(ISBLANK(Actuals!CH99),-5442.19*Escalation!$B$82,Actuals!CH99)</f>
        <v>-6128.789856494348</v>
      </c>
      <c r="CI100" s="28">
        <f>IF(ISBLANK(Actuals!CI99),-5442.19*Escalation!$B$83,Actuals!CI99)</f>
        <v>-6128.789856494348</v>
      </c>
      <c r="CJ100" s="28">
        <f>IF(ISBLANK(Actuals!CJ99),-5442.19*Escalation!$B$84,Actuals!CJ99)</f>
        <v>-6128.789856494348</v>
      </c>
      <c r="CK100" s="28">
        <f>IF(ISBLANK(Actuals!CK99),-5442.19*Escalation!$B$85,Actuals!CK99)</f>
        <v>-6128.789856494348</v>
      </c>
      <c r="CL100" s="28">
        <f>IF(ISBLANK(Actuals!CL99),-5442.19*Escalation!$B$86,Actuals!CL99)</f>
        <v>-6251.3656536242333</v>
      </c>
      <c r="CM100" s="28">
        <f>IF(ISBLANK(Actuals!CM99),-5442.19*Escalation!$B$87,Actuals!CM99)</f>
        <v>-6251.3656536242333</v>
      </c>
      <c r="CN100" s="28">
        <f>IF(ISBLANK(Actuals!CN99),-5442.19*Escalation!$B$88,Actuals!CN99)</f>
        <v>-6251.3656536242333</v>
      </c>
      <c r="CO100" s="28">
        <f>IF(ISBLANK(Actuals!CO99),-5442.19*Escalation!$B$89,Actuals!CO99)</f>
        <v>-6251.3656536242333</v>
      </c>
      <c r="CP100" s="28">
        <f>IF(ISBLANK(Actuals!CP99),-5442.19*Escalation!$B$90,Actuals!CP99)</f>
        <v>-6251.3656536242333</v>
      </c>
      <c r="CQ100" s="28">
        <f>IF(ISBLANK(Actuals!CQ99),-5442.19*Escalation!$B$91,Actuals!CQ99)</f>
        <v>-6251.3656536242333</v>
      </c>
      <c r="CR100" s="28">
        <f>IF(ISBLANK(Actuals!CR99),-5442.19*Escalation!$B$92,Actuals!CR99)</f>
        <v>-6251.3656536242333</v>
      </c>
      <c r="CS100" s="28">
        <f>IF(ISBLANK(Actuals!CS99),-5442.19*Escalation!$B$93,Actuals!CS99)</f>
        <v>-6251.3656536242333</v>
      </c>
      <c r="CT100" s="28">
        <f>IF(ISBLANK(Actuals!CT99),-5442.19*Escalation!$B$94,Actuals!CT99)</f>
        <v>-6251.3656536242333</v>
      </c>
      <c r="CU100" s="28">
        <f>IF(ISBLANK(Actuals!CU99),-5442.19*Escalation!$B$95,Actuals!CU99)</f>
        <v>-6251.3656536242333</v>
      </c>
      <c r="CV100" s="28">
        <f>IF(ISBLANK(Actuals!CV99),-5442.19*Escalation!$B$96,Actuals!CV99)</f>
        <v>-6251.3656536242333</v>
      </c>
      <c r="CW100" s="28">
        <f>IF(ISBLANK(Actuals!CW99),-5442.19*Escalation!$B$97,Actuals!CW99)</f>
        <v>-6251.3656536242333</v>
      </c>
      <c r="CX100" s="28">
        <f>IF(ISBLANK(Actuals!CX99),-5442.19*Escalation!$B$98,Actuals!CX99)</f>
        <v>-6376.3929666967188</v>
      </c>
      <c r="CY100" s="28">
        <f>IF(ISBLANK(Actuals!CY99),-5442.19*Escalation!$B$99,Actuals!CY99)</f>
        <v>-6376.3929666967188</v>
      </c>
      <c r="CZ100" s="28">
        <f>IF(ISBLANK(Actuals!CZ99),-5442.19*Escalation!$B$100,Actuals!CZ99)</f>
        <v>-6376.3929666967188</v>
      </c>
      <c r="DA100" s="28">
        <f>IF(ISBLANK(Actuals!DA99),-5442.19*Escalation!$B$101,Actuals!DA99)</f>
        <v>-6376.3929666967188</v>
      </c>
      <c r="DB100" s="28">
        <f>IF(ISBLANK(Actuals!DB99),-5442.19*Escalation!$B$102,Actuals!DB99)</f>
        <v>-6376.3929666967188</v>
      </c>
      <c r="DC100" s="28">
        <f>IF(ISBLANK(Actuals!DC99),-5442.19*Escalation!$B$103,Actuals!DC99)</f>
        <v>-6376.3929666967188</v>
      </c>
      <c r="DD100" s="28">
        <f>IF(ISBLANK(Actuals!DD99),-5442.19*Escalation!$B$104,Actuals!DD99)</f>
        <v>-6376.3929666967188</v>
      </c>
      <c r="DE100" s="28">
        <f>IF(ISBLANK(Actuals!DE99),-5442.19*Escalation!$B$105,Actuals!DE99)</f>
        <v>-6376.3929666967188</v>
      </c>
      <c r="DF100" s="28">
        <f>IF(ISBLANK(Actuals!DF99),-5442.19*Escalation!$B$106,Actuals!DF99)</f>
        <v>-6376.3929666967188</v>
      </c>
    </row>
    <row r="101" spans="1:110" ht="15" customHeight="1" x14ac:dyDescent="0.25">
      <c r="A101" s="27" t="s">
        <v>122</v>
      </c>
      <c r="B101" s="27"/>
      <c r="C101" s="28">
        <f>IF(ISBLANK(Actuals!C100),0,Actuals!C100)</f>
        <v>-1905.31</v>
      </c>
      <c r="D101" s="28">
        <f>IF(ISBLANK(Actuals!D100),0,Actuals!D100)</f>
        <v>-1905.31</v>
      </c>
      <c r="E101" s="28">
        <f>IF(ISBLANK(Actuals!E100),0,Actuals!E100)</f>
        <v>-1905.31</v>
      </c>
      <c r="F101" s="28">
        <f>IF(ISBLANK(Actuals!F100),-1905.31*Escalation!$B$2,Actuals!F100)</f>
        <v>-1905.31</v>
      </c>
      <c r="G101" s="28">
        <f>IF(ISBLANK(Actuals!G100),-1905.31*Escalation!$B$3,Actuals!G100)</f>
        <v>-1905.31</v>
      </c>
      <c r="H101" s="28">
        <f>IF(ISBLANK(Actuals!H100),-1905.31*Escalation!$B$4,Actuals!H100)</f>
        <v>-1905.31</v>
      </c>
      <c r="I101" s="28">
        <f>IF(ISBLANK(Actuals!I100),-1905.31*Escalation!$B$5,Actuals!I100)</f>
        <v>-1905.31</v>
      </c>
      <c r="J101" s="28">
        <f>IF(ISBLANK(Actuals!J100),-1905.31*Escalation!$B$6,Actuals!J100)</f>
        <v>-1905.31</v>
      </c>
      <c r="K101" s="28">
        <f>IF(ISBLANK(Actuals!K100),-1905.31*Escalation!$B$7,Actuals!K100)</f>
        <v>-1905.31</v>
      </c>
      <c r="L101" s="28">
        <f>IF(ISBLANK(Actuals!L100),-1905.31*Escalation!$B$8,Actuals!L100)</f>
        <v>-1905.31</v>
      </c>
      <c r="M101" s="28">
        <f>IF(ISBLANK(Actuals!M100),-1905.31*Escalation!$B$9,Actuals!M100)</f>
        <v>-1905.31</v>
      </c>
      <c r="N101" s="28">
        <f>IF(ISBLANK(Actuals!N100),-1905.31*Escalation!$B$10,Actuals!N100)</f>
        <v>-1905.31</v>
      </c>
      <c r="O101" s="28">
        <f>IF(ISBLANK(Actuals!O100),-1905.31*Escalation!$B$11,Actuals!O100)</f>
        <v>-1905.31</v>
      </c>
      <c r="P101" s="28">
        <f>IF(ISBLANK(Actuals!P100),-1905.31*Escalation!$B$12,Actuals!P100)</f>
        <v>-1905.31</v>
      </c>
      <c r="Q101" s="28">
        <f>IF(ISBLANK(Actuals!Q100),-1905.31*Escalation!$B$13,Actuals!Q100)</f>
        <v>-1905.31</v>
      </c>
      <c r="R101" s="28">
        <f>IF(ISBLANK(Actuals!R100),-1905.31*Escalation!$B$14,Actuals!R100)</f>
        <v>-1943.4161999999999</v>
      </c>
      <c r="S101" s="28">
        <f>IF(ISBLANK(Actuals!S100),-1905.31*Escalation!$B$15,Actuals!S100)</f>
        <v>-1943.4161999999999</v>
      </c>
      <c r="T101" s="28">
        <f>IF(ISBLANK(Actuals!T100),-1905.31*Escalation!$B$16,Actuals!T100)</f>
        <v>-1943.4161999999999</v>
      </c>
      <c r="U101" s="28">
        <f>IF(ISBLANK(Actuals!U100),-1905.31*Escalation!$B$17,Actuals!U100)</f>
        <v>-1943.4161999999999</v>
      </c>
      <c r="V101" s="28">
        <f>IF(ISBLANK(Actuals!V100),-1905.31*Escalation!$B$18,Actuals!V100)</f>
        <v>-1943.4161999999999</v>
      </c>
      <c r="W101" s="28">
        <f>IF(ISBLANK(Actuals!W100),-1905.31*Escalation!$B$19,Actuals!W100)</f>
        <v>-1943.4161999999999</v>
      </c>
      <c r="X101" s="28">
        <f>IF(ISBLANK(Actuals!X100),-1905.31*Escalation!$B$20,Actuals!X100)</f>
        <v>-1943.4161999999999</v>
      </c>
      <c r="Y101" s="28">
        <f>IF(ISBLANK(Actuals!Y100),-1905.31*Escalation!$B$21,Actuals!Y100)</f>
        <v>-1943.4161999999999</v>
      </c>
      <c r="Z101" s="28">
        <f>IF(ISBLANK(Actuals!Z100),-1905.31*Escalation!$B$22,Actuals!Z100)</f>
        <v>-1943.4161999999999</v>
      </c>
      <c r="AA101" s="28">
        <f>IF(ISBLANK(Actuals!AA100),-1905.31*Escalation!$B$23,Actuals!AA100)</f>
        <v>-1943.4161999999999</v>
      </c>
      <c r="AB101" s="28">
        <f>IF(ISBLANK(Actuals!AB100),-1905.31*Escalation!$B$24,Actuals!AB100)</f>
        <v>-1943.4161999999999</v>
      </c>
      <c r="AC101" s="28">
        <f>IF(ISBLANK(Actuals!AC100),-1905.31*Escalation!$B$25,Actuals!AC100)</f>
        <v>-1943.4161999999999</v>
      </c>
      <c r="AD101" s="28">
        <f>IF(ISBLANK(Actuals!AD100),-1905.31*Escalation!$B$26,Actuals!AD100)</f>
        <v>-1982.2845239999999</v>
      </c>
      <c r="AE101" s="28">
        <f>IF(ISBLANK(Actuals!AE100),-1905.31*Escalation!$B$27,Actuals!AE100)</f>
        <v>-1982.2845239999999</v>
      </c>
      <c r="AF101" s="28">
        <f>IF(ISBLANK(Actuals!AF100),-1905.31*Escalation!$B$28,Actuals!AF100)</f>
        <v>-1982.2845239999999</v>
      </c>
      <c r="AG101" s="28">
        <f>IF(ISBLANK(Actuals!AG100),-1905.31*Escalation!$B$29,Actuals!AG100)</f>
        <v>-1982.2845239999999</v>
      </c>
      <c r="AH101" s="28">
        <f>IF(ISBLANK(Actuals!AH100),-1905.31*Escalation!$B$30,Actuals!AH100)</f>
        <v>-1982.2845239999999</v>
      </c>
      <c r="AI101" s="28">
        <f>IF(ISBLANK(Actuals!AI100),-1905.31*Escalation!$B$31,Actuals!AI100)</f>
        <v>-1982.2845239999999</v>
      </c>
      <c r="AJ101" s="28">
        <f>IF(ISBLANK(Actuals!AJ100),-1905.31*Escalation!$B$32,Actuals!AJ100)</f>
        <v>-1982.2845239999999</v>
      </c>
      <c r="AK101" s="28">
        <f>IF(ISBLANK(Actuals!AK100),-1905.31*Escalation!$B$33,Actuals!AK100)</f>
        <v>-1982.2845239999999</v>
      </c>
      <c r="AL101" s="28">
        <f>IF(ISBLANK(Actuals!AL100),-1905.31*Escalation!$B$34,Actuals!AL100)</f>
        <v>-1982.2845239999999</v>
      </c>
      <c r="AM101" s="28">
        <f>IF(ISBLANK(Actuals!AM100),-1905.31*Escalation!$B$35,Actuals!AM100)</f>
        <v>-1982.2845239999999</v>
      </c>
      <c r="AN101" s="28">
        <f>IF(ISBLANK(Actuals!AN100),-1905.31*Escalation!$B$36,Actuals!AN100)</f>
        <v>-1982.2845239999999</v>
      </c>
      <c r="AO101" s="28">
        <f>IF(ISBLANK(Actuals!AO100),-1905.31*Escalation!$B$37,Actuals!AO100)</f>
        <v>-1982.2845239999999</v>
      </c>
      <c r="AP101" s="28">
        <f>IF(ISBLANK(Actuals!AP100),-1905.31*Escalation!$B$38,Actuals!AP100)</f>
        <v>-2021.9302144799999</v>
      </c>
      <c r="AQ101" s="28">
        <f>IF(ISBLANK(Actuals!AQ100),-1905.31*Escalation!$B$39,Actuals!AQ100)</f>
        <v>-2021.9302144799999</v>
      </c>
      <c r="AR101" s="28">
        <f>IF(ISBLANK(Actuals!AR100),-1905.31*Escalation!$B$40,Actuals!AR100)</f>
        <v>-2021.9302144799999</v>
      </c>
      <c r="AS101" s="28">
        <f>IF(ISBLANK(Actuals!AS100),-1905.31*Escalation!$B$41,Actuals!AS100)</f>
        <v>-2021.9302144799999</v>
      </c>
      <c r="AT101" s="28">
        <f>IF(ISBLANK(Actuals!AT100),-1905.31*Escalation!$B$42,Actuals!AT100)</f>
        <v>-2021.9302144799999</v>
      </c>
      <c r="AU101" s="28">
        <f>IF(ISBLANK(Actuals!AU100),-1905.31*Escalation!$B$43,Actuals!AU100)</f>
        <v>-2021.9302144799999</v>
      </c>
      <c r="AV101" s="28">
        <f>IF(ISBLANK(Actuals!AV100),-1905.31*Escalation!$B$44,Actuals!AV100)</f>
        <v>-2021.9302144799999</v>
      </c>
      <c r="AW101" s="28">
        <f>IF(ISBLANK(Actuals!AW100),-1905.31*Escalation!$B$45,Actuals!AW100)</f>
        <v>-2021.9302144799999</v>
      </c>
      <c r="AX101" s="28">
        <f>IF(ISBLANK(Actuals!AX100),-1905.31*Escalation!$B$46,Actuals!AX100)</f>
        <v>-2021.9302144799999</v>
      </c>
      <c r="AY101" s="28">
        <f>IF(ISBLANK(Actuals!AY100),-1905.31*Escalation!$B$47,Actuals!AY100)</f>
        <v>-2021.9302144799999</v>
      </c>
      <c r="AZ101" s="28">
        <f>IF(ISBLANK(Actuals!AZ100),-1905.31*Escalation!$B$48,Actuals!AZ100)</f>
        <v>-2021.9302144799999</v>
      </c>
      <c r="BA101" s="28">
        <f>IF(ISBLANK(Actuals!BA100),-1905.31*Escalation!$B$49,Actuals!BA100)</f>
        <v>-2021.9302144799999</v>
      </c>
      <c r="BB101" s="28">
        <f>IF(ISBLANK(Actuals!BB100),-1905.31*Escalation!$B$50,Actuals!BB100)</f>
        <v>-2062.3688187695998</v>
      </c>
      <c r="BC101" s="28">
        <f>IF(ISBLANK(Actuals!BC100),-1905.31*Escalation!$B$51,Actuals!BC100)</f>
        <v>-2062.3688187695998</v>
      </c>
      <c r="BD101" s="28">
        <f>IF(ISBLANK(Actuals!BD100),-1905.31*Escalation!$B$52,Actuals!BD100)</f>
        <v>-2062.3688187695998</v>
      </c>
      <c r="BE101" s="28">
        <f>IF(ISBLANK(Actuals!BE100),-1905.31*Escalation!$B$53,Actuals!BE100)</f>
        <v>-2062.3688187695998</v>
      </c>
      <c r="BF101" s="28">
        <f>IF(ISBLANK(Actuals!BF100),-1905.31*Escalation!$B$54,Actuals!BF100)</f>
        <v>-2062.3688187695998</v>
      </c>
      <c r="BG101" s="28">
        <f>IF(ISBLANK(Actuals!BG100),-1905.31*Escalation!$B$55,Actuals!BG100)</f>
        <v>-2062.3688187695998</v>
      </c>
      <c r="BH101" s="28">
        <f>IF(ISBLANK(Actuals!BH100),-1905.31*Escalation!$B$56,Actuals!BH100)</f>
        <v>-2062.3688187695998</v>
      </c>
      <c r="BI101" s="28">
        <f>IF(ISBLANK(Actuals!BI100),-1905.31*Escalation!$B$57,Actuals!BI100)</f>
        <v>-2062.3688187695998</v>
      </c>
      <c r="BJ101" s="28">
        <f>IF(ISBLANK(Actuals!BJ100),-1905.31*Escalation!$B$58,Actuals!BJ100)</f>
        <v>-2062.3688187695998</v>
      </c>
      <c r="BK101" s="28">
        <f>IF(ISBLANK(Actuals!BK100),-1905.31*Escalation!$B$59,Actuals!BK100)</f>
        <v>-2062.3688187695998</v>
      </c>
      <c r="BL101" s="28">
        <f>IF(ISBLANK(Actuals!BL100),-1905.31*Escalation!$B$60,Actuals!BL100)</f>
        <v>-2062.3688187695998</v>
      </c>
      <c r="BM101" s="28">
        <f>IF(ISBLANK(Actuals!BM100),-1905.31*Escalation!$B$61,Actuals!BM100)</f>
        <v>-2062.3688187695998</v>
      </c>
      <c r="BN101" s="28">
        <f>IF(ISBLANK(Actuals!BN100),-1905.31*Escalation!$B$62,Actuals!BN100)</f>
        <v>-2103.6161951449922</v>
      </c>
      <c r="BO101" s="28">
        <f>IF(ISBLANK(Actuals!BO100),-1905.31*Escalation!$B$63,Actuals!BO100)</f>
        <v>-2103.6161951449922</v>
      </c>
      <c r="BP101" s="28">
        <f>IF(ISBLANK(Actuals!BP100),-1905.31*Escalation!$B$64,Actuals!BP100)</f>
        <v>-2103.6161951449922</v>
      </c>
      <c r="BQ101" s="28">
        <f>IF(ISBLANK(Actuals!BQ100),-1905.31*Escalation!$B$65,Actuals!BQ100)</f>
        <v>-2103.6161951449922</v>
      </c>
      <c r="BR101" s="28">
        <f>IF(ISBLANK(Actuals!BR100),-1905.31*Escalation!$B$66,Actuals!BR100)</f>
        <v>-2103.6161951449922</v>
      </c>
      <c r="BS101" s="28">
        <f>IF(ISBLANK(Actuals!BS100),-1905.31*Escalation!$B$67,Actuals!BS100)</f>
        <v>-2103.6161951449922</v>
      </c>
      <c r="BT101" s="28">
        <f>IF(ISBLANK(Actuals!BT100),-1905.31*Escalation!$B$68,Actuals!BT100)</f>
        <v>-2103.6161951449922</v>
      </c>
      <c r="BU101" s="28">
        <f>IF(ISBLANK(Actuals!BU100),-1905.31*Escalation!$B$69,Actuals!BU100)</f>
        <v>-2103.6161951449922</v>
      </c>
      <c r="BV101" s="28">
        <f>IF(ISBLANK(Actuals!BV100),-1905.31*Escalation!$B$70,Actuals!BV100)</f>
        <v>-2103.6161951449922</v>
      </c>
      <c r="BW101" s="28">
        <f>IF(ISBLANK(Actuals!BW100),-1905.31*Escalation!$B$71,Actuals!BW100)</f>
        <v>-2103.6161951449922</v>
      </c>
      <c r="BX101" s="28">
        <f>IF(ISBLANK(Actuals!BX100),-1905.31*Escalation!$B$72,Actuals!BX100)</f>
        <v>-2103.6161951449922</v>
      </c>
      <c r="BY101" s="28">
        <f>IF(ISBLANK(Actuals!BY100),-1905.31*Escalation!$B$73,Actuals!BY100)</f>
        <v>-2103.6161951449922</v>
      </c>
      <c r="BZ101" s="28">
        <f>IF(ISBLANK(Actuals!BZ100),-1905.31*Escalation!$B$74,Actuals!BZ100)</f>
        <v>-2145.688519047892</v>
      </c>
      <c r="CA101" s="28">
        <f>IF(ISBLANK(Actuals!CA100),-1905.31*Escalation!$B$75,Actuals!CA100)</f>
        <v>-2145.688519047892</v>
      </c>
      <c r="CB101" s="28">
        <f>IF(ISBLANK(Actuals!CB100),-1905.31*Escalation!$B$76,Actuals!CB100)</f>
        <v>-2145.688519047892</v>
      </c>
      <c r="CC101" s="28">
        <f>IF(ISBLANK(Actuals!CC100),-1905.31*Escalation!$B$77,Actuals!CC100)</f>
        <v>-2145.688519047892</v>
      </c>
      <c r="CD101" s="28">
        <f>IF(ISBLANK(Actuals!CD100),-1905.31*Escalation!$B$78,Actuals!CD100)</f>
        <v>-2145.688519047892</v>
      </c>
      <c r="CE101" s="28">
        <f>IF(ISBLANK(Actuals!CE100),-1905.31*Escalation!$B$79,Actuals!CE100)</f>
        <v>-2145.688519047892</v>
      </c>
      <c r="CF101" s="28">
        <f>IF(ISBLANK(Actuals!CF100),-1905.31*Escalation!$B$80,Actuals!CF100)</f>
        <v>-2145.688519047892</v>
      </c>
      <c r="CG101" s="28">
        <f>IF(ISBLANK(Actuals!CG100),-1905.31*Escalation!$B$81,Actuals!CG100)</f>
        <v>-2145.688519047892</v>
      </c>
      <c r="CH101" s="28">
        <f>IF(ISBLANK(Actuals!CH100),-1905.31*Escalation!$B$82,Actuals!CH100)</f>
        <v>-2145.688519047892</v>
      </c>
      <c r="CI101" s="28">
        <f>IF(ISBLANK(Actuals!CI100),-1905.31*Escalation!$B$83,Actuals!CI100)</f>
        <v>-2145.688519047892</v>
      </c>
      <c r="CJ101" s="28">
        <f>IF(ISBLANK(Actuals!CJ100),-1905.31*Escalation!$B$84,Actuals!CJ100)</f>
        <v>-2145.688519047892</v>
      </c>
      <c r="CK101" s="28">
        <f>IF(ISBLANK(Actuals!CK100),-1905.31*Escalation!$B$85,Actuals!CK100)</f>
        <v>-2145.688519047892</v>
      </c>
      <c r="CL101" s="28">
        <f>IF(ISBLANK(Actuals!CL100),-1905.31*Escalation!$B$86,Actuals!CL100)</f>
        <v>-2188.6022894288494</v>
      </c>
      <c r="CM101" s="28">
        <f>IF(ISBLANK(Actuals!CM100),-1905.31*Escalation!$B$87,Actuals!CM100)</f>
        <v>-2188.6022894288494</v>
      </c>
      <c r="CN101" s="28">
        <f>IF(ISBLANK(Actuals!CN100),-1905.31*Escalation!$B$88,Actuals!CN100)</f>
        <v>-2188.6022894288494</v>
      </c>
      <c r="CO101" s="28">
        <f>IF(ISBLANK(Actuals!CO100),-1905.31*Escalation!$B$89,Actuals!CO100)</f>
        <v>-2188.6022894288494</v>
      </c>
      <c r="CP101" s="28">
        <f>IF(ISBLANK(Actuals!CP100),-1905.31*Escalation!$B$90,Actuals!CP100)</f>
        <v>-2188.6022894288494</v>
      </c>
      <c r="CQ101" s="28">
        <f>IF(ISBLANK(Actuals!CQ100),-1905.31*Escalation!$B$91,Actuals!CQ100)</f>
        <v>-2188.6022894288494</v>
      </c>
      <c r="CR101" s="28">
        <f>IF(ISBLANK(Actuals!CR100),-1905.31*Escalation!$B$92,Actuals!CR100)</f>
        <v>-2188.6022894288494</v>
      </c>
      <c r="CS101" s="28">
        <f>IF(ISBLANK(Actuals!CS100),-1905.31*Escalation!$B$93,Actuals!CS100)</f>
        <v>-2188.6022894288494</v>
      </c>
      <c r="CT101" s="28">
        <f>IF(ISBLANK(Actuals!CT100),-1905.31*Escalation!$B$94,Actuals!CT100)</f>
        <v>-2188.6022894288494</v>
      </c>
      <c r="CU101" s="28">
        <f>IF(ISBLANK(Actuals!CU100),-1905.31*Escalation!$B$95,Actuals!CU100)</f>
        <v>-2188.6022894288494</v>
      </c>
      <c r="CV101" s="28">
        <f>IF(ISBLANK(Actuals!CV100),-1905.31*Escalation!$B$96,Actuals!CV100)</f>
        <v>-2188.6022894288494</v>
      </c>
      <c r="CW101" s="28">
        <f>IF(ISBLANK(Actuals!CW100),-1905.31*Escalation!$B$97,Actuals!CW100)</f>
        <v>-2188.6022894288494</v>
      </c>
      <c r="CX101" s="28">
        <f>IF(ISBLANK(Actuals!CX100),-1905.31*Escalation!$B$98,Actuals!CX100)</f>
        <v>-2232.3743352174265</v>
      </c>
      <c r="CY101" s="28">
        <f>IF(ISBLANK(Actuals!CY100),-1905.31*Escalation!$B$99,Actuals!CY100)</f>
        <v>-2232.3743352174265</v>
      </c>
      <c r="CZ101" s="28">
        <f>IF(ISBLANK(Actuals!CZ100),-1905.31*Escalation!$B$100,Actuals!CZ100)</f>
        <v>-2232.3743352174265</v>
      </c>
      <c r="DA101" s="28">
        <f>IF(ISBLANK(Actuals!DA100),-1905.31*Escalation!$B$101,Actuals!DA100)</f>
        <v>-2232.3743352174265</v>
      </c>
      <c r="DB101" s="28">
        <f>IF(ISBLANK(Actuals!DB100),-1905.31*Escalation!$B$102,Actuals!DB100)</f>
        <v>-2232.3743352174265</v>
      </c>
      <c r="DC101" s="28">
        <f>IF(ISBLANK(Actuals!DC100),-1905.31*Escalation!$B$103,Actuals!DC100)</f>
        <v>-2232.3743352174265</v>
      </c>
      <c r="DD101" s="28">
        <f>IF(ISBLANK(Actuals!DD100),-1905.31*Escalation!$B$104,Actuals!DD100)</f>
        <v>-2232.3743352174265</v>
      </c>
      <c r="DE101" s="28">
        <f>IF(ISBLANK(Actuals!DE100),-1905.31*Escalation!$B$105,Actuals!DE100)</f>
        <v>-2232.3743352174265</v>
      </c>
      <c r="DF101" s="28">
        <f>IF(ISBLANK(Actuals!DF100),-1905.31*Escalation!$B$106,Actuals!DF100)</f>
        <v>-2232.3743352174265</v>
      </c>
    </row>
    <row r="102" spans="1:110" ht="15" customHeight="1" x14ac:dyDescent="0.25">
      <c r="A102" s="27" t="s">
        <v>123</v>
      </c>
      <c r="B102" s="27"/>
      <c r="C102" s="28">
        <f>IF(ISBLANK(Actuals!C101),0,Actuals!C101)</f>
        <v>-2100</v>
      </c>
      <c r="D102" s="28">
        <f>IF(ISBLANK(Actuals!D101),0,Actuals!D101)</f>
        <v>-2100</v>
      </c>
      <c r="E102" s="28">
        <f>IF(ISBLANK(Actuals!E101),0,Actuals!E101)</f>
        <v>-2100</v>
      </c>
      <c r="F102" s="28">
        <f>IF(ISBLANK(Actuals!F101),-2100*Escalation!$B$2,Actuals!F101)</f>
        <v>-2100</v>
      </c>
      <c r="G102" s="28">
        <f>IF(ISBLANK(Actuals!G101),-2100*Escalation!$B$3,Actuals!G101)</f>
        <v>-2100</v>
      </c>
      <c r="H102" s="28">
        <f>IF(ISBLANK(Actuals!H101),-2100*Escalation!$B$4,Actuals!H101)</f>
        <v>-2100</v>
      </c>
      <c r="I102" s="28">
        <f>IF(ISBLANK(Actuals!I101),-2100*Escalation!$B$5,Actuals!I101)</f>
        <v>-2100</v>
      </c>
      <c r="J102" s="28">
        <f>IF(ISBLANK(Actuals!J101),-2100*Escalation!$B$6,Actuals!J101)</f>
        <v>-2100</v>
      </c>
      <c r="K102" s="28">
        <f>IF(ISBLANK(Actuals!K101),-2100*Escalation!$B$7,Actuals!K101)</f>
        <v>-2100</v>
      </c>
      <c r="L102" s="28">
        <f>IF(ISBLANK(Actuals!L101),-2100*Escalation!$B$8,Actuals!L101)</f>
        <v>-2100</v>
      </c>
      <c r="M102" s="28">
        <f>IF(ISBLANK(Actuals!M101),-2100*Escalation!$B$9,Actuals!M101)</f>
        <v>-2100</v>
      </c>
      <c r="N102" s="28">
        <f>IF(ISBLANK(Actuals!N101),-2100*Escalation!$B$10,Actuals!N101)</f>
        <v>-2100</v>
      </c>
      <c r="O102" s="28">
        <f>IF(ISBLANK(Actuals!O101),-2100*Escalation!$B$11,Actuals!O101)</f>
        <v>-2100</v>
      </c>
      <c r="P102" s="28">
        <f>IF(ISBLANK(Actuals!P101),-2100*Escalation!$B$12,Actuals!P101)</f>
        <v>-2100</v>
      </c>
      <c r="Q102" s="28">
        <f>IF(ISBLANK(Actuals!Q101),-2100*Escalation!$B$13,Actuals!Q101)</f>
        <v>-2100</v>
      </c>
      <c r="R102" s="28">
        <f>IF(ISBLANK(Actuals!R101),-2100*Escalation!$B$14,Actuals!R101)</f>
        <v>-2142</v>
      </c>
      <c r="S102" s="28">
        <f>IF(ISBLANK(Actuals!S101),-2100*Escalation!$B$15,Actuals!S101)</f>
        <v>-2142</v>
      </c>
      <c r="T102" s="28">
        <f>IF(ISBLANK(Actuals!T101),-2100*Escalation!$B$16,Actuals!T101)</f>
        <v>-2142</v>
      </c>
      <c r="U102" s="28">
        <f>IF(ISBLANK(Actuals!U101),-2100*Escalation!$B$17,Actuals!U101)</f>
        <v>-2142</v>
      </c>
      <c r="V102" s="28">
        <f>IF(ISBLANK(Actuals!V101),-2100*Escalation!$B$18,Actuals!V101)</f>
        <v>-2142</v>
      </c>
      <c r="W102" s="28">
        <f>IF(ISBLANK(Actuals!W101),-2100*Escalation!$B$19,Actuals!W101)</f>
        <v>-2142</v>
      </c>
      <c r="X102" s="28">
        <f>IF(ISBLANK(Actuals!X101),-2100*Escalation!$B$20,Actuals!X101)</f>
        <v>-2142</v>
      </c>
      <c r="Y102" s="28">
        <f>IF(ISBLANK(Actuals!Y101),-2100*Escalation!$B$21,Actuals!Y101)</f>
        <v>-2142</v>
      </c>
      <c r="Z102" s="28">
        <f>IF(ISBLANK(Actuals!Z101),-2100*Escalation!$B$22,Actuals!Z101)</f>
        <v>-2142</v>
      </c>
      <c r="AA102" s="28">
        <f>IF(ISBLANK(Actuals!AA101),-2100*Escalation!$B$23,Actuals!AA101)</f>
        <v>-2142</v>
      </c>
      <c r="AB102" s="28">
        <f>IF(ISBLANK(Actuals!AB101),-2100*Escalation!$B$24,Actuals!AB101)</f>
        <v>-2142</v>
      </c>
      <c r="AC102" s="28">
        <f>IF(ISBLANK(Actuals!AC101),-2100*Escalation!$B$25,Actuals!AC101)</f>
        <v>-2142</v>
      </c>
      <c r="AD102" s="28">
        <f>IF(ISBLANK(Actuals!AD101),-2100*Escalation!$B$26,Actuals!AD101)</f>
        <v>-2184.84</v>
      </c>
      <c r="AE102" s="28">
        <f>IF(ISBLANK(Actuals!AE101),-2100*Escalation!$B$27,Actuals!AE101)</f>
        <v>-2184.84</v>
      </c>
      <c r="AF102" s="28">
        <f>IF(ISBLANK(Actuals!AF101),-2100*Escalation!$B$28,Actuals!AF101)</f>
        <v>-2184.84</v>
      </c>
      <c r="AG102" s="28">
        <f>IF(ISBLANK(Actuals!AG101),-2100*Escalation!$B$29,Actuals!AG101)</f>
        <v>-2184.84</v>
      </c>
      <c r="AH102" s="28">
        <f>IF(ISBLANK(Actuals!AH101),-2100*Escalation!$B$30,Actuals!AH101)</f>
        <v>-2184.84</v>
      </c>
      <c r="AI102" s="28">
        <f>IF(ISBLANK(Actuals!AI101),-2100*Escalation!$B$31,Actuals!AI101)</f>
        <v>-2184.84</v>
      </c>
      <c r="AJ102" s="28">
        <f>IF(ISBLANK(Actuals!AJ101),-2100*Escalation!$B$32,Actuals!AJ101)</f>
        <v>-2184.84</v>
      </c>
      <c r="AK102" s="28">
        <f>IF(ISBLANK(Actuals!AK101),-2100*Escalation!$B$33,Actuals!AK101)</f>
        <v>-2184.84</v>
      </c>
      <c r="AL102" s="28">
        <f>IF(ISBLANK(Actuals!AL101),-2100*Escalation!$B$34,Actuals!AL101)</f>
        <v>-2184.84</v>
      </c>
      <c r="AM102" s="28">
        <f>IF(ISBLANK(Actuals!AM101),-2100*Escalation!$B$35,Actuals!AM101)</f>
        <v>-2184.84</v>
      </c>
      <c r="AN102" s="28">
        <f>IF(ISBLANK(Actuals!AN101),-2100*Escalation!$B$36,Actuals!AN101)</f>
        <v>-2184.84</v>
      </c>
      <c r="AO102" s="28">
        <f>IF(ISBLANK(Actuals!AO101),-2100*Escalation!$B$37,Actuals!AO101)</f>
        <v>-2184.84</v>
      </c>
      <c r="AP102" s="28">
        <f>IF(ISBLANK(Actuals!AP101),-2100*Escalation!$B$38,Actuals!AP101)</f>
        <v>-2228.5367999999999</v>
      </c>
      <c r="AQ102" s="28">
        <f>IF(ISBLANK(Actuals!AQ101),-2100*Escalation!$B$39,Actuals!AQ101)</f>
        <v>-2228.5367999999999</v>
      </c>
      <c r="AR102" s="28">
        <f>IF(ISBLANK(Actuals!AR101),-2100*Escalation!$B$40,Actuals!AR101)</f>
        <v>-2228.5367999999999</v>
      </c>
      <c r="AS102" s="28">
        <f>IF(ISBLANK(Actuals!AS101),-2100*Escalation!$B$41,Actuals!AS101)</f>
        <v>-2228.5367999999999</v>
      </c>
      <c r="AT102" s="28">
        <f>IF(ISBLANK(Actuals!AT101),-2100*Escalation!$B$42,Actuals!AT101)</f>
        <v>-2228.5367999999999</v>
      </c>
      <c r="AU102" s="28">
        <f>IF(ISBLANK(Actuals!AU101),-2100*Escalation!$B$43,Actuals!AU101)</f>
        <v>-2228.5367999999999</v>
      </c>
      <c r="AV102" s="28">
        <f>IF(ISBLANK(Actuals!AV101),-2100*Escalation!$B$44,Actuals!AV101)</f>
        <v>-2228.5367999999999</v>
      </c>
      <c r="AW102" s="28">
        <f>IF(ISBLANK(Actuals!AW101),-2100*Escalation!$B$45,Actuals!AW101)</f>
        <v>-2228.5367999999999</v>
      </c>
      <c r="AX102" s="28">
        <f>IF(ISBLANK(Actuals!AX101),-2100*Escalation!$B$46,Actuals!AX101)</f>
        <v>-2228.5367999999999</v>
      </c>
      <c r="AY102" s="28">
        <f>IF(ISBLANK(Actuals!AY101),-2100*Escalation!$B$47,Actuals!AY101)</f>
        <v>-2228.5367999999999</v>
      </c>
      <c r="AZ102" s="28">
        <f>IF(ISBLANK(Actuals!AZ101),-2100*Escalation!$B$48,Actuals!AZ101)</f>
        <v>-2228.5367999999999</v>
      </c>
      <c r="BA102" s="28">
        <f>IF(ISBLANK(Actuals!BA101),-2100*Escalation!$B$49,Actuals!BA101)</f>
        <v>-2228.5367999999999</v>
      </c>
      <c r="BB102" s="28">
        <f>IF(ISBLANK(Actuals!BB101),-2100*Escalation!$B$50,Actuals!BB101)</f>
        <v>-2273.107536</v>
      </c>
      <c r="BC102" s="28">
        <f>IF(ISBLANK(Actuals!BC101),-2100*Escalation!$B$51,Actuals!BC101)</f>
        <v>-2273.107536</v>
      </c>
      <c r="BD102" s="28">
        <f>IF(ISBLANK(Actuals!BD101),-2100*Escalation!$B$52,Actuals!BD101)</f>
        <v>-2273.107536</v>
      </c>
      <c r="BE102" s="28">
        <f>IF(ISBLANK(Actuals!BE101),-2100*Escalation!$B$53,Actuals!BE101)</f>
        <v>-2273.107536</v>
      </c>
      <c r="BF102" s="28">
        <f>IF(ISBLANK(Actuals!BF101),-2100*Escalation!$B$54,Actuals!BF101)</f>
        <v>-2273.107536</v>
      </c>
      <c r="BG102" s="28">
        <f>IF(ISBLANK(Actuals!BG101),-2100*Escalation!$B$55,Actuals!BG101)</f>
        <v>-2273.107536</v>
      </c>
      <c r="BH102" s="28">
        <f>IF(ISBLANK(Actuals!BH101),-2100*Escalation!$B$56,Actuals!BH101)</f>
        <v>-2273.107536</v>
      </c>
      <c r="BI102" s="28">
        <f>IF(ISBLANK(Actuals!BI101),-2100*Escalation!$B$57,Actuals!BI101)</f>
        <v>-2273.107536</v>
      </c>
      <c r="BJ102" s="28">
        <f>IF(ISBLANK(Actuals!BJ101),-2100*Escalation!$B$58,Actuals!BJ101)</f>
        <v>-2273.107536</v>
      </c>
      <c r="BK102" s="28">
        <f>IF(ISBLANK(Actuals!BK101),-2100*Escalation!$B$59,Actuals!BK101)</f>
        <v>-2273.107536</v>
      </c>
      <c r="BL102" s="28">
        <f>IF(ISBLANK(Actuals!BL101),-2100*Escalation!$B$60,Actuals!BL101)</f>
        <v>-2273.107536</v>
      </c>
      <c r="BM102" s="28">
        <f>IF(ISBLANK(Actuals!BM101),-2100*Escalation!$B$61,Actuals!BM101)</f>
        <v>-2273.107536</v>
      </c>
      <c r="BN102" s="28">
        <f>IF(ISBLANK(Actuals!BN101),-2100*Escalation!$B$62,Actuals!BN101)</f>
        <v>-2318.5696867199999</v>
      </c>
      <c r="BO102" s="28">
        <f>IF(ISBLANK(Actuals!BO101),-2100*Escalation!$B$63,Actuals!BO101)</f>
        <v>-2318.5696867199999</v>
      </c>
      <c r="BP102" s="28">
        <f>IF(ISBLANK(Actuals!BP101),-2100*Escalation!$B$64,Actuals!BP101)</f>
        <v>-2318.5696867199999</v>
      </c>
      <c r="BQ102" s="28">
        <f>IF(ISBLANK(Actuals!BQ101),-2100*Escalation!$B$65,Actuals!BQ101)</f>
        <v>-2318.5696867199999</v>
      </c>
      <c r="BR102" s="28">
        <f>IF(ISBLANK(Actuals!BR101),-2100*Escalation!$B$66,Actuals!BR101)</f>
        <v>-2318.5696867199999</v>
      </c>
      <c r="BS102" s="28">
        <f>IF(ISBLANK(Actuals!BS101),-2100*Escalation!$B$67,Actuals!BS101)</f>
        <v>-2318.5696867199999</v>
      </c>
      <c r="BT102" s="28">
        <f>IF(ISBLANK(Actuals!BT101),-2100*Escalation!$B$68,Actuals!BT101)</f>
        <v>-2318.5696867199999</v>
      </c>
      <c r="BU102" s="28">
        <f>IF(ISBLANK(Actuals!BU101),-2100*Escalation!$B$69,Actuals!BU101)</f>
        <v>-2318.5696867199999</v>
      </c>
      <c r="BV102" s="28">
        <f>IF(ISBLANK(Actuals!BV101),-2100*Escalation!$B$70,Actuals!BV101)</f>
        <v>-2318.5696867199999</v>
      </c>
      <c r="BW102" s="28">
        <f>IF(ISBLANK(Actuals!BW101),-2100*Escalation!$B$71,Actuals!BW101)</f>
        <v>-2318.5696867199999</v>
      </c>
      <c r="BX102" s="28">
        <f>IF(ISBLANK(Actuals!BX101),-2100*Escalation!$B$72,Actuals!BX101)</f>
        <v>-2318.5696867199999</v>
      </c>
      <c r="BY102" s="28">
        <f>IF(ISBLANK(Actuals!BY101),-2100*Escalation!$B$73,Actuals!BY101)</f>
        <v>-2318.5696867199999</v>
      </c>
      <c r="BZ102" s="28">
        <f>IF(ISBLANK(Actuals!BZ101),-2100*Escalation!$B$74,Actuals!BZ101)</f>
        <v>-2364.9410804544</v>
      </c>
      <c r="CA102" s="28">
        <f>IF(ISBLANK(Actuals!CA101),-2100*Escalation!$B$75,Actuals!CA101)</f>
        <v>-2364.9410804544</v>
      </c>
      <c r="CB102" s="28">
        <f>IF(ISBLANK(Actuals!CB101),-2100*Escalation!$B$76,Actuals!CB101)</f>
        <v>-2364.9410804544</v>
      </c>
      <c r="CC102" s="28">
        <f>IF(ISBLANK(Actuals!CC101),-2100*Escalation!$B$77,Actuals!CC101)</f>
        <v>-2364.9410804544</v>
      </c>
      <c r="CD102" s="28">
        <f>IF(ISBLANK(Actuals!CD101),-2100*Escalation!$B$78,Actuals!CD101)</f>
        <v>-2364.9410804544</v>
      </c>
      <c r="CE102" s="28">
        <f>IF(ISBLANK(Actuals!CE101),-2100*Escalation!$B$79,Actuals!CE101)</f>
        <v>-2364.9410804544</v>
      </c>
      <c r="CF102" s="28">
        <f>IF(ISBLANK(Actuals!CF101),-2100*Escalation!$B$80,Actuals!CF101)</f>
        <v>-2364.9410804544</v>
      </c>
      <c r="CG102" s="28">
        <f>IF(ISBLANK(Actuals!CG101),-2100*Escalation!$B$81,Actuals!CG101)</f>
        <v>-2364.9410804544</v>
      </c>
      <c r="CH102" s="28">
        <f>IF(ISBLANK(Actuals!CH101),-2100*Escalation!$B$82,Actuals!CH101)</f>
        <v>-2364.9410804544</v>
      </c>
      <c r="CI102" s="28">
        <f>IF(ISBLANK(Actuals!CI101),-2100*Escalation!$B$83,Actuals!CI101)</f>
        <v>-2364.9410804544</v>
      </c>
      <c r="CJ102" s="28">
        <f>IF(ISBLANK(Actuals!CJ101),-2100*Escalation!$B$84,Actuals!CJ101)</f>
        <v>-2364.9410804544</v>
      </c>
      <c r="CK102" s="28">
        <f>IF(ISBLANK(Actuals!CK101),-2100*Escalation!$B$85,Actuals!CK101)</f>
        <v>-2364.9410804544</v>
      </c>
      <c r="CL102" s="28">
        <f>IF(ISBLANK(Actuals!CL101),-2100*Escalation!$B$86,Actuals!CL101)</f>
        <v>-2412.2399020634875</v>
      </c>
      <c r="CM102" s="28">
        <f>IF(ISBLANK(Actuals!CM101),-2100*Escalation!$B$87,Actuals!CM101)</f>
        <v>-2412.2399020634875</v>
      </c>
      <c r="CN102" s="28">
        <f>IF(ISBLANK(Actuals!CN101),-2100*Escalation!$B$88,Actuals!CN101)</f>
        <v>-2412.2399020634875</v>
      </c>
      <c r="CO102" s="28">
        <f>IF(ISBLANK(Actuals!CO101),-2100*Escalation!$B$89,Actuals!CO101)</f>
        <v>-2412.2399020634875</v>
      </c>
      <c r="CP102" s="28">
        <f>IF(ISBLANK(Actuals!CP101),-2100*Escalation!$B$90,Actuals!CP101)</f>
        <v>-2412.2399020634875</v>
      </c>
      <c r="CQ102" s="28">
        <f>IF(ISBLANK(Actuals!CQ101),-2100*Escalation!$B$91,Actuals!CQ101)</f>
        <v>-2412.2399020634875</v>
      </c>
      <c r="CR102" s="28">
        <f>IF(ISBLANK(Actuals!CR101),-2100*Escalation!$B$92,Actuals!CR101)</f>
        <v>-2412.2399020634875</v>
      </c>
      <c r="CS102" s="28">
        <f>IF(ISBLANK(Actuals!CS101),-2100*Escalation!$B$93,Actuals!CS101)</f>
        <v>-2412.2399020634875</v>
      </c>
      <c r="CT102" s="28">
        <f>IF(ISBLANK(Actuals!CT101),-2100*Escalation!$B$94,Actuals!CT101)</f>
        <v>-2412.2399020634875</v>
      </c>
      <c r="CU102" s="28">
        <f>IF(ISBLANK(Actuals!CU101),-2100*Escalation!$B$95,Actuals!CU101)</f>
        <v>-2412.2399020634875</v>
      </c>
      <c r="CV102" s="28">
        <f>IF(ISBLANK(Actuals!CV101),-2100*Escalation!$B$96,Actuals!CV101)</f>
        <v>-2412.2399020634875</v>
      </c>
      <c r="CW102" s="28">
        <f>IF(ISBLANK(Actuals!CW101),-2100*Escalation!$B$97,Actuals!CW101)</f>
        <v>-2412.2399020634875</v>
      </c>
      <c r="CX102" s="28">
        <f>IF(ISBLANK(Actuals!CX101),-2100*Escalation!$B$98,Actuals!CX101)</f>
        <v>-2460.4847001047574</v>
      </c>
      <c r="CY102" s="28">
        <f>IF(ISBLANK(Actuals!CY101),-2100*Escalation!$B$99,Actuals!CY101)</f>
        <v>-2460.4847001047574</v>
      </c>
      <c r="CZ102" s="28">
        <f>IF(ISBLANK(Actuals!CZ101),-2100*Escalation!$B$100,Actuals!CZ101)</f>
        <v>-2460.4847001047574</v>
      </c>
      <c r="DA102" s="28">
        <f>IF(ISBLANK(Actuals!DA101),-2100*Escalation!$B$101,Actuals!DA101)</f>
        <v>-2460.4847001047574</v>
      </c>
      <c r="DB102" s="28">
        <f>IF(ISBLANK(Actuals!DB101),-2100*Escalation!$B$102,Actuals!DB101)</f>
        <v>-2460.4847001047574</v>
      </c>
      <c r="DC102" s="28">
        <f>IF(ISBLANK(Actuals!DC101),-2100*Escalation!$B$103,Actuals!DC101)</f>
        <v>-2460.4847001047574</v>
      </c>
      <c r="DD102" s="28">
        <f>IF(ISBLANK(Actuals!DD101),-2100*Escalation!$B$104,Actuals!DD101)</f>
        <v>-2460.4847001047574</v>
      </c>
      <c r="DE102" s="28">
        <f>IF(ISBLANK(Actuals!DE101),-2100*Escalation!$B$105,Actuals!DE101)</f>
        <v>-2460.4847001047574</v>
      </c>
      <c r="DF102" s="28">
        <f>IF(ISBLANK(Actuals!DF101),-2100*Escalation!$B$106,Actuals!DF101)</f>
        <v>-2460.4847001047574</v>
      </c>
    </row>
    <row r="103" spans="1:110" ht="15" customHeight="1" x14ac:dyDescent="0.25">
      <c r="A103" s="27" t="s">
        <v>83</v>
      </c>
      <c r="B103" s="27"/>
      <c r="C103" s="28">
        <f>IF(ISBLANK(Actuals!C102),0,Actuals!C102)</f>
        <v>-66666.66</v>
      </c>
      <c r="D103" s="28">
        <f>IF(ISBLANK(Actuals!D102),0,Actuals!D102)</f>
        <v>-66666.66</v>
      </c>
      <c r="E103" s="28">
        <f>IF(ISBLANK(Actuals!E102),0,Actuals!E102)</f>
        <v>-66666.66</v>
      </c>
      <c r="F103" s="28">
        <f>IF(ISBLANK(Actuals!F102),(-(IF(AND(1&gt;=Personnel!$E$36,Personnel!$G$36="Yes"),Personnel!$D$36*(1-Personnel!$I$36),0)+IF(AND(1&gt;=Personnel!$E$37,Personnel!$G$37="Yes"),Personnel!$D$37*(1-Personnel!$I$37),0)))*Escalation!$B$2,Actuals!F102)</f>
        <v>-66666.66</v>
      </c>
      <c r="G103" s="28">
        <f>IF(ISBLANK(Actuals!G102),(-(IF(AND(2&gt;=Personnel!$E$36,Personnel!$G$36="Yes"),Personnel!$D$36*(1-Personnel!$I$36),0)+IF(AND(2&gt;=Personnel!$E$37,Personnel!$G$37="Yes"),Personnel!$D$37*(1-Personnel!$I$37),0)))*Escalation!$B$3,Actuals!G102)</f>
        <v>-25000</v>
      </c>
      <c r="H103" s="28">
        <f>IF(ISBLANK(Actuals!H102),(-(IF(AND(3&gt;=Personnel!$E$36,Personnel!$G$36="Yes"),Personnel!$D$36*(1-Personnel!$I$36),0)+IF(AND(3&gt;=Personnel!$E$37,Personnel!$G$37="Yes"),Personnel!$D$37*(1-Personnel!$I$37),0)))*Escalation!$B$4,Actuals!H102)</f>
        <v>-25000</v>
      </c>
      <c r="I103" s="28">
        <f>IF(ISBLANK(Actuals!I102),(-(IF(AND(4&gt;=Personnel!$E$36,Personnel!$G$36="Yes"),Personnel!$D$36*(1-Personnel!$I$36),0)+IF(AND(4&gt;=Personnel!$E$37,Personnel!$G$37="Yes"),Personnel!$D$37*(1-Personnel!$I$37),0)))*Escalation!$B$5,Actuals!I102)</f>
        <v>-25000</v>
      </c>
      <c r="J103" s="28">
        <f>IF(ISBLANK(Actuals!J102),(-(IF(AND(5&gt;=Personnel!$E$36,Personnel!$G$36="Yes"),Personnel!$D$36*(1-Personnel!$I$36),0)+IF(AND(5&gt;=Personnel!$E$37,Personnel!$G$37="Yes"),Personnel!$D$37*(1-Personnel!$I$37),0)))*Escalation!$B$6,Actuals!J102)</f>
        <v>-25000</v>
      </c>
      <c r="K103" s="28">
        <f>IF(ISBLANK(Actuals!K102),(-(IF(AND(6&gt;=Personnel!$E$36,Personnel!$G$36="Yes"),Personnel!$D$36*(1-Personnel!$I$36),0)+IF(AND(6&gt;=Personnel!$E$37,Personnel!$G$37="Yes"),Personnel!$D$37*(1-Personnel!$I$37),0)))*Escalation!$B$7,Actuals!K102)</f>
        <v>-25000</v>
      </c>
      <c r="L103" s="28">
        <f>IF(ISBLANK(Actuals!L102),(-(IF(AND(7&gt;=Personnel!$E$36,Personnel!$G$36="Yes"),Personnel!$D$36*(1-Personnel!$I$36),0)+IF(AND(7&gt;=Personnel!$E$37,Personnel!$G$37="Yes"),Personnel!$D$37*(1-Personnel!$I$37),0)))*Escalation!$B$8,Actuals!L102)</f>
        <v>-25000</v>
      </c>
      <c r="M103" s="28">
        <f>IF(ISBLANK(Actuals!M102),(-(IF(AND(8&gt;=Personnel!$E$36,Personnel!$G$36="Yes"),Personnel!$D$36*(1-Personnel!$I$36),0)+IF(AND(8&gt;=Personnel!$E$37,Personnel!$G$37="Yes"),Personnel!$D$37*(1-Personnel!$I$37),0)))*Escalation!$B$9,Actuals!M102)</f>
        <v>-25000</v>
      </c>
      <c r="N103" s="28">
        <f>IF(ISBLANK(Actuals!N102),(-(IF(AND(9&gt;=Personnel!$E$36,Personnel!$G$36="Yes"),Personnel!$D$36*(1-Personnel!$I$36),0)+IF(AND(9&gt;=Personnel!$E$37,Personnel!$G$37="Yes"),Personnel!$D$37*(1-Personnel!$I$37),0)))*Escalation!$B$10,Actuals!N102)</f>
        <v>-25000</v>
      </c>
      <c r="O103" s="28">
        <f>IF(ISBLANK(Actuals!O102),(-(IF(AND(10&gt;=Personnel!$E$36,Personnel!$G$36="Yes"),Personnel!$D$36*(1-Personnel!$I$36),0)+IF(AND(10&gt;=Personnel!$E$37,Personnel!$G$37="Yes"),Personnel!$D$37*(1-Personnel!$I$37),0)))*Escalation!$B$11,Actuals!O102)</f>
        <v>-25000</v>
      </c>
      <c r="P103" s="28">
        <f>IF(ISBLANK(Actuals!P102),(-(IF(AND(11&gt;=Personnel!$E$36,Personnel!$G$36="Yes"),Personnel!$D$36*(1-Personnel!$I$36),0)+IF(AND(11&gt;=Personnel!$E$37,Personnel!$G$37="Yes"),Personnel!$D$37*(1-Personnel!$I$37),0)))*Escalation!$B$12,Actuals!P102)</f>
        <v>-25000</v>
      </c>
      <c r="Q103" s="28">
        <f>IF(ISBLANK(Actuals!Q102),(-(IF(AND(12&gt;=Personnel!$E$36,Personnel!$G$36="Yes"),Personnel!$D$36*(1-Personnel!$I$36),0)+IF(AND(12&gt;=Personnel!$E$37,Personnel!$G$37="Yes"),Personnel!$D$37*(1-Personnel!$I$37),0)))*Escalation!$B$13,Actuals!Q102)</f>
        <v>-25000</v>
      </c>
      <c r="R103" s="28">
        <f>IF(ISBLANK(Actuals!R102),(-(IF(AND(13&gt;=Personnel!$E$36,Personnel!$G$36="Yes"),Personnel!$D$36*(1-Personnel!$I$36),0)+IF(AND(13&gt;=Personnel!$E$37,Personnel!$G$37="Yes"),Personnel!$D$37*(1-Personnel!$I$37),0)))*Escalation!$B$14,Actuals!R102)</f>
        <v>-25500</v>
      </c>
      <c r="S103" s="28">
        <f>IF(ISBLANK(Actuals!S102),(-(IF(AND(14&gt;=Personnel!$E$36,Personnel!$G$36="Yes"),Personnel!$D$36*(1-Personnel!$I$36),0)+IF(AND(14&gt;=Personnel!$E$37,Personnel!$G$37="Yes"),Personnel!$D$37*(1-Personnel!$I$37),0)))*Escalation!$B$15,Actuals!S102)</f>
        <v>-25500</v>
      </c>
      <c r="T103" s="28">
        <f>IF(ISBLANK(Actuals!T102),(-(IF(AND(15&gt;=Personnel!$E$36,Personnel!$G$36="Yes"),Personnel!$D$36*(1-Personnel!$I$36),0)+IF(AND(15&gt;=Personnel!$E$37,Personnel!$G$37="Yes"),Personnel!$D$37*(1-Personnel!$I$37),0)))*Escalation!$B$16,Actuals!T102)</f>
        <v>-25500</v>
      </c>
      <c r="U103" s="28">
        <f>IF(ISBLANK(Actuals!U102),(-(IF(AND(16&gt;=Personnel!$E$36,Personnel!$G$36="Yes"),Personnel!$D$36*(1-Personnel!$I$36),0)+IF(AND(16&gt;=Personnel!$E$37,Personnel!$G$37="Yes"),Personnel!$D$37*(1-Personnel!$I$37),0)))*Escalation!$B$17,Actuals!U102)</f>
        <v>-25500</v>
      </c>
      <c r="V103" s="28">
        <f>IF(ISBLANK(Actuals!V102),(-(IF(AND(17&gt;=Personnel!$E$36,Personnel!$G$36="Yes"),Personnel!$D$36*(1-Personnel!$I$36),0)+IF(AND(17&gt;=Personnel!$E$37,Personnel!$G$37="Yes"),Personnel!$D$37*(1-Personnel!$I$37),0)))*Escalation!$B$18,Actuals!V102)</f>
        <v>-25500</v>
      </c>
      <c r="W103" s="28">
        <f>IF(ISBLANK(Actuals!W102),(-(IF(AND(18&gt;=Personnel!$E$36,Personnel!$G$36="Yes"),Personnel!$D$36*(1-Personnel!$I$36),0)+IF(AND(18&gt;=Personnel!$E$37,Personnel!$G$37="Yes"),Personnel!$D$37*(1-Personnel!$I$37),0)))*Escalation!$B$19,Actuals!W102)</f>
        <v>-25500</v>
      </c>
      <c r="X103" s="28">
        <f>IF(ISBLANK(Actuals!X102),(-(IF(AND(19&gt;=Personnel!$E$36,Personnel!$G$36="Yes"),Personnel!$D$36*(1-Personnel!$I$36),0)+IF(AND(19&gt;=Personnel!$E$37,Personnel!$G$37="Yes"),Personnel!$D$37*(1-Personnel!$I$37),0)))*Escalation!$B$20,Actuals!X102)</f>
        <v>-25500</v>
      </c>
      <c r="Y103" s="28">
        <f>IF(ISBLANK(Actuals!Y102),(-(IF(AND(20&gt;=Personnel!$E$36,Personnel!$G$36="Yes"),Personnel!$D$36*(1-Personnel!$I$36),0)+IF(AND(20&gt;=Personnel!$E$37,Personnel!$G$37="Yes"),Personnel!$D$37*(1-Personnel!$I$37),0)))*Escalation!$B$21,Actuals!Y102)</f>
        <v>-25500</v>
      </c>
      <c r="Z103" s="28">
        <f>IF(ISBLANK(Actuals!Z102),(-(IF(AND(21&gt;=Personnel!$E$36,Personnel!$G$36="Yes"),Personnel!$D$36*(1-Personnel!$I$36),0)+IF(AND(21&gt;=Personnel!$E$37,Personnel!$G$37="Yes"),Personnel!$D$37*(1-Personnel!$I$37),0)))*Escalation!$B$22,Actuals!Z102)</f>
        <v>-25500</v>
      </c>
      <c r="AA103" s="28">
        <f>IF(ISBLANK(Actuals!AA102),(-(IF(AND(22&gt;=Personnel!$E$36,Personnel!$G$36="Yes"),Personnel!$D$36*(1-Personnel!$I$36),0)+IF(AND(22&gt;=Personnel!$E$37,Personnel!$G$37="Yes"),Personnel!$D$37*(1-Personnel!$I$37),0)))*Escalation!$B$23,Actuals!AA102)</f>
        <v>-25500</v>
      </c>
      <c r="AB103" s="28">
        <f>IF(ISBLANK(Actuals!AB102),(-(IF(AND(23&gt;=Personnel!$E$36,Personnel!$G$36="Yes"),Personnel!$D$36*(1-Personnel!$I$36),0)+IF(AND(23&gt;=Personnel!$E$37,Personnel!$G$37="Yes"),Personnel!$D$37*(1-Personnel!$I$37),0)))*Escalation!$B$24,Actuals!AB102)</f>
        <v>-25500</v>
      </c>
      <c r="AC103" s="28">
        <f>IF(ISBLANK(Actuals!AC102),(-(IF(AND(24&gt;=Personnel!$E$36,Personnel!$G$36="Yes"),Personnel!$D$36*(1-Personnel!$I$36),0)+IF(AND(24&gt;=Personnel!$E$37,Personnel!$G$37="Yes"),Personnel!$D$37*(1-Personnel!$I$37),0)))*Escalation!$B$25,Actuals!AC102)</f>
        <v>-25500</v>
      </c>
      <c r="AD103" s="28">
        <f>IF(ISBLANK(Actuals!AD102),(-(IF(AND(25&gt;=Personnel!$E$36,Personnel!$G$36="Yes"),Personnel!$D$36*(1-Personnel!$I$36),0)+IF(AND(25&gt;=Personnel!$E$37,Personnel!$G$37="Yes"),Personnel!$D$37*(1-Personnel!$I$37),0)))*Escalation!$B$26,Actuals!AD102)</f>
        <v>-26010</v>
      </c>
      <c r="AE103" s="28">
        <f>IF(ISBLANK(Actuals!AE102),(-(IF(AND(26&gt;=Personnel!$E$36,Personnel!$G$36="Yes"),Personnel!$D$36*(1-Personnel!$I$36),0)+IF(AND(26&gt;=Personnel!$E$37,Personnel!$G$37="Yes"),Personnel!$D$37*(1-Personnel!$I$37),0)))*Escalation!$B$27,Actuals!AE102)</f>
        <v>-26010</v>
      </c>
      <c r="AF103" s="28">
        <f>IF(ISBLANK(Actuals!AF102),(-(IF(AND(27&gt;=Personnel!$E$36,Personnel!$G$36="Yes"),Personnel!$D$36*(1-Personnel!$I$36),0)+IF(AND(27&gt;=Personnel!$E$37,Personnel!$G$37="Yes"),Personnel!$D$37*(1-Personnel!$I$37),0)))*Escalation!$B$28,Actuals!AF102)</f>
        <v>-26010</v>
      </c>
      <c r="AG103" s="28">
        <f>IF(ISBLANK(Actuals!AG102),(-(IF(AND(28&gt;=Personnel!$E$36,Personnel!$G$36="Yes"),Personnel!$D$36*(1-Personnel!$I$36),0)+IF(AND(28&gt;=Personnel!$E$37,Personnel!$G$37="Yes"),Personnel!$D$37*(1-Personnel!$I$37),0)))*Escalation!$B$29,Actuals!AG102)</f>
        <v>-26010</v>
      </c>
      <c r="AH103" s="28">
        <f>IF(ISBLANK(Actuals!AH102),(-(IF(AND(29&gt;=Personnel!$E$36,Personnel!$G$36="Yes"),Personnel!$D$36*(1-Personnel!$I$36),0)+IF(AND(29&gt;=Personnel!$E$37,Personnel!$G$37="Yes"),Personnel!$D$37*(1-Personnel!$I$37),0)))*Escalation!$B$30,Actuals!AH102)</f>
        <v>-26010</v>
      </c>
      <c r="AI103" s="28">
        <f>IF(ISBLANK(Actuals!AI102),(-(IF(AND(30&gt;=Personnel!$E$36,Personnel!$G$36="Yes"),Personnel!$D$36*(1-Personnel!$I$36),0)+IF(AND(30&gt;=Personnel!$E$37,Personnel!$G$37="Yes"),Personnel!$D$37*(1-Personnel!$I$37),0)))*Escalation!$B$31,Actuals!AI102)</f>
        <v>-26010</v>
      </c>
      <c r="AJ103" s="28">
        <f>IF(ISBLANK(Actuals!AJ102),(-(IF(AND(31&gt;=Personnel!$E$36,Personnel!$G$36="Yes"),Personnel!$D$36*(1-Personnel!$I$36),0)+IF(AND(31&gt;=Personnel!$E$37,Personnel!$G$37="Yes"),Personnel!$D$37*(1-Personnel!$I$37),0)))*Escalation!$B$32,Actuals!AJ102)</f>
        <v>-26010</v>
      </c>
      <c r="AK103" s="28">
        <f>IF(ISBLANK(Actuals!AK102),(-(IF(AND(32&gt;=Personnel!$E$36,Personnel!$G$36="Yes"),Personnel!$D$36*(1-Personnel!$I$36),0)+IF(AND(32&gt;=Personnel!$E$37,Personnel!$G$37="Yes"),Personnel!$D$37*(1-Personnel!$I$37),0)))*Escalation!$B$33,Actuals!AK102)</f>
        <v>-26010</v>
      </c>
      <c r="AL103" s="28">
        <f>IF(ISBLANK(Actuals!AL102),(-(IF(AND(33&gt;=Personnel!$E$36,Personnel!$G$36="Yes"),Personnel!$D$36*(1-Personnel!$I$36),0)+IF(AND(33&gt;=Personnel!$E$37,Personnel!$G$37="Yes"),Personnel!$D$37*(1-Personnel!$I$37),0)))*Escalation!$B$34,Actuals!AL102)</f>
        <v>-26010</v>
      </c>
      <c r="AM103" s="28">
        <f>IF(ISBLANK(Actuals!AM102),(-(IF(AND(34&gt;=Personnel!$E$36,Personnel!$G$36="Yes"),Personnel!$D$36*(1-Personnel!$I$36),0)+IF(AND(34&gt;=Personnel!$E$37,Personnel!$G$37="Yes"),Personnel!$D$37*(1-Personnel!$I$37),0)))*Escalation!$B$35,Actuals!AM102)</f>
        <v>-26010</v>
      </c>
      <c r="AN103" s="28">
        <f>IF(ISBLANK(Actuals!AN102),(-(IF(AND(35&gt;=Personnel!$E$36,Personnel!$G$36="Yes"),Personnel!$D$36*(1-Personnel!$I$36),0)+IF(AND(35&gt;=Personnel!$E$37,Personnel!$G$37="Yes"),Personnel!$D$37*(1-Personnel!$I$37),0)))*Escalation!$B$36,Actuals!AN102)</f>
        <v>-26010</v>
      </c>
      <c r="AO103" s="28">
        <f>IF(ISBLANK(Actuals!AO102),(-(IF(AND(36&gt;=Personnel!$E$36,Personnel!$G$36="Yes"),Personnel!$D$36*(1-Personnel!$I$36),0)+IF(AND(36&gt;=Personnel!$E$37,Personnel!$G$37="Yes"),Personnel!$D$37*(1-Personnel!$I$37),0)))*Escalation!$B$37,Actuals!AO102)</f>
        <v>-26010</v>
      </c>
      <c r="AP103" s="28">
        <f>IF(ISBLANK(Actuals!AP102),(-(IF(AND(37&gt;=Personnel!$E$36,Personnel!$G$36="Yes"),Personnel!$D$36*(1-Personnel!$I$36),0)+IF(AND(37&gt;=Personnel!$E$37,Personnel!$G$37="Yes"),Personnel!$D$37*(1-Personnel!$I$37),0)))*Escalation!$B$38,Actuals!AP102)</f>
        <v>-26530.199999999997</v>
      </c>
      <c r="AQ103" s="28">
        <f>IF(ISBLANK(Actuals!AQ102),(-(IF(AND(38&gt;=Personnel!$E$36,Personnel!$G$36="Yes"),Personnel!$D$36*(1-Personnel!$I$36),0)+IF(AND(38&gt;=Personnel!$E$37,Personnel!$G$37="Yes"),Personnel!$D$37*(1-Personnel!$I$37),0)))*Escalation!$B$39,Actuals!AQ102)</f>
        <v>-26530.199999999997</v>
      </c>
      <c r="AR103" s="28">
        <f>IF(ISBLANK(Actuals!AR102),(-(IF(AND(39&gt;=Personnel!$E$36,Personnel!$G$36="Yes"),Personnel!$D$36*(1-Personnel!$I$36),0)+IF(AND(39&gt;=Personnel!$E$37,Personnel!$G$37="Yes"),Personnel!$D$37*(1-Personnel!$I$37),0)))*Escalation!$B$40,Actuals!AR102)</f>
        <v>-26530.199999999997</v>
      </c>
      <c r="AS103" s="28">
        <f>IF(ISBLANK(Actuals!AS102),(-(IF(AND(40&gt;=Personnel!$E$36,Personnel!$G$36="Yes"),Personnel!$D$36*(1-Personnel!$I$36),0)+IF(AND(40&gt;=Personnel!$E$37,Personnel!$G$37="Yes"),Personnel!$D$37*(1-Personnel!$I$37),0)))*Escalation!$B$41,Actuals!AS102)</f>
        <v>-26530.199999999997</v>
      </c>
      <c r="AT103" s="28">
        <f>IF(ISBLANK(Actuals!AT102),(-(IF(AND(41&gt;=Personnel!$E$36,Personnel!$G$36="Yes"),Personnel!$D$36*(1-Personnel!$I$36),0)+IF(AND(41&gt;=Personnel!$E$37,Personnel!$G$37="Yes"),Personnel!$D$37*(1-Personnel!$I$37),0)))*Escalation!$B$42,Actuals!AT102)</f>
        <v>-26530.199999999997</v>
      </c>
      <c r="AU103" s="28">
        <f>IF(ISBLANK(Actuals!AU102),(-(IF(AND(42&gt;=Personnel!$E$36,Personnel!$G$36="Yes"),Personnel!$D$36*(1-Personnel!$I$36),0)+IF(AND(42&gt;=Personnel!$E$37,Personnel!$G$37="Yes"),Personnel!$D$37*(1-Personnel!$I$37),0)))*Escalation!$B$43,Actuals!AU102)</f>
        <v>-26530.199999999997</v>
      </c>
      <c r="AV103" s="28">
        <f>IF(ISBLANK(Actuals!AV102),(-(IF(AND(43&gt;=Personnel!$E$36,Personnel!$G$36="Yes"),Personnel!$D$36*(1-Personnel!$I$36),0)+IF(AND(43&gt;=Personnel!$E$37,Personnel!$G$37="Yes"),Personnel!$D$37*(1-Personnel!$I$37),0)))*Escalation!$B$44,Actuals!AV102)</f>
        <v>-26530.199999999997</v>
      </c>
      <c r="AW103" s="28">
        <f>IF(ISBLANK(Actuals!AW102),(-(IF(AND(44&gt;=Personnel!$E$36,Personnel!$G$36="Yes"),Personnel!$D$36*(1-Personnel!$I$36),0)+IF(AND(44&gt;=Personnel!$E$37,Personnel!$G$37="Yes"),Personnel!$D$37*(1-Personnel!$I$37),0)))*Escalation!$B$45,Actuals!AW102)</f>
        <v>-26530.199999999997</v>
      </c>
      <c r="AX103" s="28">
        <f>IF(ISBLANK(Actuals!AX102),(-(IF(AND(45&gt;=Personnel!$E$36,Personnel!$G$36="Yes"),Personnel!$D$36*(1-Personnel!$I$36),0)+IF(AND(45&gt;=Personnel!$E$37,Personnel!$G$37="Yes"),Personnel!$D$37*(1-Personnel!$I$37),0)))*Escalation!$B$46,Actuals!AX102)</f>
        <v>-26530.199999999997</v>
      </c>
      <c r="AY103" s="28">
        <f>IF(ISBLANK(Actuals!AY102),(-(IF(AND(46&gt;=Personnel!$E$36,Personnel!$G$36="Yes"),Personnel!$D$36*(1-Personnel!$I$36),0)+IF(AND(46&gt;=Personnel!$E$37,Personnel!$G$37="Yes"),Personnel!$D$37*(1-Personnel!$I$37),0)))*Escalation!$B$47,Actuals!AY102)</f>
        <v>-26530.199999999997</v>
      </c>
      <c r="AZ103" s="28">
        <f>IF(ISBLANK(Actuals!AZ102),(-(IF(AND(47&gt;=Personnel!$E$36,Personnel!$G$36="Yes"),Personnel!$D$36*(1-Personnel!$I$36),0)+IF(AND(47&gt;=Personnel!$E$37,Personnel!$G$37="Yes"),Personnel!$D$37*(1-Personnel!$I$37),0)))*Escalation!$B$48,Actuals!AZ102)</f>
        <v>-26530.199999999997</v>
      </c>
      <c r="BA103" s="28">
        <f>IF(ISBLANK(Actuals!BA102),(-(IF(AND(48&gt;=Personnel!$E$36,Personnel!$G$36="Yes"),Personnel!$D$36*(1-Personnel!$I$36),0)+IF(AND(48&gt;=Personnel!$E$37,Personnel!$G$37="Yes"),Personnel!$D$37*(1-Personnel!$I$37),0)))*Escalation!$B$49,Actuals!BA102)</f>
        <v>-26530.199999999997</v>
      </c>
      <c r="BB103" s="28">
        <f>IF(ISBLANK(Actuals!BB102),(-(IF(AND(49&gt;=Personnel!$E$36,Personnel!$G$36="Yes"),Personnel!$D$36*(1-Personnel!$I$36),0)+IF(AND(49&gt;=Personnel!$E$37,Personnel!$G$37="Yes"),Personnel!$D$37*(1-Personnel!$I$37),0)))*Escalation!$B$50,Actuals!BB102)</f>
        <v>-27060.804</v>
      </c>
      <c r="BC103" s="28">
        <f>IF(ISBLANK(Actuals!BC102),(-(IF(AND(50&gt;=Personnel!$E$36,Personnel!$G$36="Yes"),Personnel!$D$36*(1-Personnel!$I$36),0)+IF(AND(50&gt;=Personnel!$E$37,Personnel!$G$37="Yes"),Personnel!$D$37*(1-Personnel!$I$37),0)))*Escalation!$B$51,Actuals!BC102)</f>
        <v>-27060.804</v>
      </c>
      <c r="BD103" s="28">
        <f>IF(ISBLANK(Actuals!BD102),(-(IF(AND(51&gt;=Personnel!$E$36,Personnel!$G$36="Yes"),Personnel!$D$36*(1-Personnel!$I$36),0)+IF(AND(51&gt;=Personnel!$E$37,Personnel!$G$37="Yes"),Personnel!$D$37*(1-Personnel!$I$37),0)))*Escalation!$B$52,Actuals!BD102)</f>
        <v>-27060.804</v>
      </c>
      <c r="BE103" s="28">
        <f>IF(ISBLANK(Actuals!BE102),(-(IF(AND(52&gt;=Personnel!$E$36,Personnel!$G$36="Yes"),Personnel!$D$36*(1-Personnel!$I$36),0)+IF(AND(52&gt;=Personnel!$E$37,Personnel!$G$37="Yes"),Personnel!$D$37*(1-Personnel!$I$37),0)))*Escalation!$B$53,Actuals!BE102)</f>
        <v>-27060.804</v>
      </c>
      <c r="BF103" s="28">
        <f>IF(ISBLANK(Actuals!BF102),(-(IF(AND(53&gt;=Personnel!$E$36,Personnel!$G$36="Yes"),Personnel!$D$36*(1-Personnel!$I$36),0)+IF(AND(53&gt;=Personnel!$E$37,Personnel!$G$37="Yes"),Personnel!$D$37*(1-Personnel!$I$37),0)))*Escalation!$B$54,Actuals!BF102)</f>
        <v>-27060.804</v>
      </c>
      <c r="BG103" s="28">
        <f>IF(ISBLANK(Actuals!BG102),(-(IF(AND(54&gt;=Personnel!$E$36,Personnel!$G$36="Yes"),Personnel!$D$36*(1-Personnel!$I$36),0)+IF(AND(54&gt;=Personnel!$E$37,Personnel!$G$37="Yes"),Personnel!$D$37*(1-Personnel!$I$37),0)))*Escalation!$B$55,Actuals!BG102)</f>
        <v>-27060.804</v>
      </c>
      <c r="BH103" s="28">
        <f>IF(ISBLANK(Actuals!BH102),(-(IF(AND(55&gt;=Personnel!$E$36,Personnel!$G$36="Yes"),Personnel!$D$36*(1-Personnel!$I$36),0)+IF(AND(55&gt;=Personnel!$E$37,Personnel!$G$37="Yes"),Personnel!$D$37*(1-Personnel!$I$37),0)))*Escalation!$B$56,Actuals!BH102)</f>
        <v>-27060.804</v>
      </c>
      <c r="BI103" s="28">
        <f>IF(ISBLANK(Actuals!BI102),(-(IF(AND(56&gt;=Personnel!$E$36,Personnel!$G$36="Yes"),Personnel!$D$36*(1-Personnel!$I$36),0)+IF(AND(56&gt;=Personnel!$E$37,Personnel!$G$37="Yes"),Personnel!$D$37*(1-Personnel!$I$37),0)))*Escalation!$B$57,Actuals!BI102)</f>
        <v>-27060.804</v>
      </c>
      <c r="BJ103" s="28">
        <f>IF(ISBLANK(Actuals!BJ102),(-(IF(AND(57&gt;=Personnel!$E$36,Personnel!$G$36="Yes"),Personnel!$D$36*(1-Personnel!$I$36),0)+IF(AND(57&gt;=Personnel!$E$37,Personnel!$G$37="Yes"),Personnel!$D$37*(1-Personnel!$I$37),0)))*Escalation!$B$58,Actuals!BJ102)</f>
        <v>-27060.804</v>
      </c>
      <c r="BK103" s="28">
        <f>IF(ISBLANK(Actuals!BK102),(-(IF(AND(58&gt;=Personnel!$E$36,Personnel!$G$36="Yes"),Personnel!$D$36*(1-Personnel!$I$36),0)+IF(AND(58&gt;=Personnel!$E$37,Personnel!$G$37="Yes"),Personnel!$D$37*(1-Personnel!$I$37),0)))*Escalation!$B$59,Actuals!BK102)</f>
        <v>-27060.804</v>
      </c>
      <c r="BL103" s="28">
        <f>IF(ISBLANK(Actuals!BL102),(-(IF(AND(59&gt;=Personnel!$E$36,Personnel!$G$36="Yes"),Personnel!$D$36*(1-Personnel!$I$36),0)+IF(AND(59&gt;=Personnel!$E$37,Personnel!$G$37="Yes"),Personnel!$D$37*(1-Personnel!$I$37),0)))*Escalation!$B$60,Actuals!BL102)</f>
        <v>-27060.804</v>
      </c>
      <c r="BM103" s="28">
        <f>IF(ISBLANK(Actuals!BM102),(-(IF(AND(60&gt;=Personnel!$E$36,Personnel!$G$36="Yes"),Personnel!$D$36*(1-Personnel!$I$36),0)+IF(AND(60&gt;=Personnel!$E$37,Personnel!$G$37="Yes"),Personnel!$D$37*(1-Personnel!$I$37),0)))*Escalation!$B$61,Actuals!BM102)</f>
        <v>-27060.804</v>
      </c>
      <c r="BN103" s="28">
        <f>IF(ISBLANK(Actuals!BN102),(-(IF(AND(61&gt;=Personnel!$E$36,Personnel!$G$36="Yes"),Personnel!$D$36*(1-Personnel!$I$36),0)+IF(AND(61&gt;=Personnel!$E$37,Personnel!$G$37="Yes"),Personnel!$D$37*(1-Personnel!$I$37),0)))*Escalation!$B$62,Actuals!BN102)</f>
        <v>-27602.020080000002</v>
      </c>
      <c r="BO103" s="28">
        <f>IF(ISBLANK(Actuals!BO102),(-(IF(AND(62&gt;=Personnel!$E$36,Personnel!$G$36="Yes"),Personnel!$D$36*(1-Personnel!$I$36),0)+IF(AND(62&gt;=Personnel!$E$37,Personnel!$G$37="Yes"),Personnel!$D$37*(1-Personnel!$I$37),0)))*Escalation!$B$63,Actuals!BO102)</f>
        <v>-27602.020080000002</v>
      </c>
      <c r="BP103" s="28">
        <f>IF(ISBLANK(Actuals!BP102),(-(IF(AND(63&gt;=Personnel!$E$36,Personnel!$G$36="Yes"),Personnel!$D$36*(1-Personnel!$I$36),0)+IF(AND(63&gt;=Personnel!$E$37,Personnel!$G$37="Yes"),Personnel!$D$37*(1-Personnel!$I$37),0)))*Escalation!$B$64,Actuals!BP102)</f>
        <v>-27602.020080000002</v>
      </c>
      <c r="BQ103" s="28">
        <f>IF(ISBLANK(Actuals!BQ102),(-(IF(AND(64&gt;=Personnel!$E$36,Personnel!$G$36="Yes"),Personnel!$D$36*(1-Personnel!$I$36),0)+IF(AND(64&gt;=Personnel!$E$37,Personnel!$G$37="Yes"),Personnel!$D$37*(1-Personnel!$I$37),0)))*Escalation!$B$65,Actuals!BQ102)</f>
        <v>-27602.020080000002</v>
      </c>
      <c r="BR103" s="28">
        <f>IF(ISBLANK(Actuals!BR102),(-(IF(AND(65&gt;=Personnel!$E$36,Personnel!$G$36="Yes"),Personnel!$D$36*(1-Personnel!$I$36),0)+IF(AND(65&gt;=Personnel!$E$37,Personnel!$G$37="Yes"),Personnel!$D$37*(1-Personnel!$I$37),0)))*Escalation!$B$66,Actuals!BR102)</f>
        <v>-27602.020080000002</v>
      </c>
      <c r="BS103" s="28">
        <f>IF(ISBLANK(Actuals!BS102),(-(IF(AND(66&gt;=Personnel!$E$36,Personnel!$G$36="Yes"),Personnel!$D$36*(1-Personnel!$I$36),0)+IF(AND(66&gt;=Personnel!$E$37,Personnel!$G$37="Yes"),Personnel!$D$37*(1-Personnel!$I$37),0)))*Escalation!$B$67,Actuals!BS102)</f>
        <v>-27602.020080000002</v>
      </c>
      <c r="BT103" s="28">
        <f>IF(ISBLANK(Actuals!BT102),(-(IF(AND(67&gt;=Personnel!$E$36,Personnel!$G$36="Yes"),Personnel!$D$36*(1-Personnel!$I$36),0)+IF(AND(67&gt;=Personnel!$E$37,Personnel!$G$37="Yes"),Personnel!$D$37*(1-Personnel!$I$37),0)))*Escalation!$B$68,Actuals!BT102)</f>
        <v>-27602.020080000002</v>
      </c>
      <c r="BU103" s="28">
        <f>IF(ISBLANK(Actuals!BU102),(-(IF(AND(68&gt;=Personnel!$E$36,Personnel!$G$36="Yes"),Personnel!$D$36*(1-Personnel!$I$36),0)+IF(AND(68&gt;=Personnel!$E$37,Personnel!$G$37="Yes"),Personnel!$D$37*(1-Personnel!$I$37),0)))*Escalation!$B$69,Actuals!BU102)</f>
        <v>-27602.020080000002</v>
      </c>
      <c r="BV103" s="28">
        <f>IF(ISBLANK(Actuals!BV102),(-(IF(AND(69&gt;=Personnel!$E$36,Personnel!$G$36="Yes"),Personnel!$D$36*(1-Personnel!$I$36),0)+IF(AND(69&gt;=Personnel!$E$37,Personnel!$G$37="Yes"),Personnel!$D$37*(1-Personnel!$I$37),0)))*Escalation!$B$70,Actuals!BV102)</f>
        <v>-27602.020080000002</v>
      </c>
      <c r="BW103" s="28">
        <f>IF(ISBLANK(Actuals!BW102),(-(IF(AND(70&gt;=Personnel!$E$36,Personnel!$G$36="Yes"),Personnel!$D$36*(1-Personnel!$I$36),0)+IF(AND(70&gt;=Personnel!$E$37,Personnel!$G$37="Yes"),Personnel!$D$37*(1-Personnel!$I$37),0)))*Escalation!$B$71,Actuals!BW102)</f>
        <v>-27602.020080000002</v>
      </c>
      <c r="BX103" s="28">
        <f>IF(ISBLANK(Actuals!BX102),(-(IF(AND(71&gt;=Personnel!$E$36,Personnel!$G$36="Yes"),Personnel!$D$36*(1-Personnel!$I$36),0)+IF(AND(71&gt;=Personnel!$E$37,Personnel!$G$37="Yes"),Personnel!$D$37*(1-Personnel!$I$37),0)))*Escalation!$B$72,Actuals!BX102)</f>
        <v>-27602.020080000002</v>
      </c>
      <c r="BY103" s="28">
        <f>IF(ISBLANK(Actuals!BY102),(-(IF(AND(72&gt;=Personnel!$E$36,Personnel!$G$36="Yes"),Personnel!$D$36*(1-Personnel!$I$36),0)+IF(AND(72&gt;=Personnel!$E$37,Personnel!$G$37="Yes"),Personnel!$D$37*(1-Personnel!$I$37),0)))*Escalation!$B$73,Actuals!BY102)</f>
        <v>-27602.020080000002</v>
      </c>
      <c r="BZ103" s="28">
        <f>IF(ISBLANK(Actuals!BZ102),(-(IF(AND(73&gt;=Personnel!$E$36,Personnel!$G$36="Yes"),Personnel!$D$36*(1-Personnel!$I$36),0)+IF(AND(73&gt;=Personnel!$E$37,Personnel!$G$37="Yes"),Personnel!$D$37*(1-Personnel!$I$37),0)))*Escalation!$B$74,Actuals!BZ102)</f>
        <v>-28154.060481600001</v>
      </c>
      <c r="CA103" s="28">
        <f>IF(ISBLANK(Actuals!CA102),(-(IF(AND(74&gt;=Personnel!$E$36,Personnel!$G$36="Yes"),Personnel!$D$36*(1-Personnel!$I$36),0)+IF(AND(74&gt;=Personnel!$E$37,Personnel!$G$37="Yes"),Personnel!$D$37*(1-Personnel!$I$37),0)))*Escalation!$B$75,Actuals!CA102)</f>
        <v>-28154.060481600001</v>
      </c>
      <c r="CB103" s="28">
        <f>IF(ISBLANK(Actuals!CB102),(-(IF(AND(75&gt;=Personnel!$E$36,Personnel!$G$36="Yes"),Personnel!$D$36*(1-Personnel!$I$36),0)+IF(AND(75&gt;=Personnel!$E$37,Personnel!$G$37="Yes"),Personnel!$D$37*(1-Personnel!$I$37),0)))*Escalation!$B$76,Actuals!CB102)</f>
        <v>-28154.060481600001</v>
      </c>
      <c r="CC103" s="28">
        <f>IF(ISBLANK(Actuals!CC102),(-(IF(AND(76&gt;=Personnel!$E$36,Personnel!$G$36="Yes"),Personnel!$D$36*(1-Personnel!$I$36),0)+IF(AND(76&gt;=Personnel!$E$37,Personnel!$G$37="Yes"),Personnel!$D$37*(1-Personnel!$I$37),0)))*Escalation!$B$77,Actuals!CC102)</f>
        <v>-28154.060481600001</v>
      </c>
      <c r="CD103" s="28">
        <f>IF(ISBLANK(Actuals!CD102),(-(IF(AND(77&gt;=Personnel!$E$36,Personnel!$G$36="Yes"),Personnel!$D$36*(1-Personnel!$I$36),0)+IF(AND(77&gt;=Personnel!$E$37,Personnel!$G$37="Yes"),Personnel!$D$37*(1-Personnel!$I$37),0)))*Escalation!$B$78,Actuals!CD102)</f>
        <v>-28154.060481600001</v>
      </c>
      <c r="CE103" s="28">
        <f>IF(ISBLANK(Actuals!CE102),(-(IF(AND(78&gt;=Personnel!$E$36,Personnel!$G$36="Yes"),Personnel!$D$36*(1-Personnel!$I$36),0)+IF(AND(78&gt;=Personnel!$E$37,Personnel!$G$37="Yes"),Personnel!$D$37*(1-Personnel!$I$37),0)))*Escalation!$B$79,Actuals!CE102)</f>
        <v>-28154.060481600001</v>
      </c>
      <c r="CF103" s="28">
        <f>IF(ISBLANK(Actuals!CF102),(-(IF(AND(79&gt;=Personnel!$E$36,Personnel!$G$36="Yes"),Personnel!$D$36*(1-Personnel!$I$36),0)+IF(AND(79&gt;=Personnel!$E$37,Personnel!$G$37="Yes"),Personnel!$D$37*(1-Personnel!$I$37),0)))*Escalation!$B$80,Actuals!CF102)</f>
        <v>-28154.060481600001</v>
      </c>
      <c r="CG103" s="28">
        <f>IF(ISBLANK(Actuals!CG102),(-(IF(AND(80&gt;=Personnel!$E$36,Personnel!$G$36="Yes"),Personnel!$D$36*(1-Personnel!$I$36),0)+IF(AND(80&gt;=Personnel!$E$37,Personnel!$G$37="Yes"),Personnel!$D$37*(1-Personnel!$I$37),0)))*Escalation!$B$81,Actuals!CG102)</f>
        <v>-28154.060481600001</v>
      </c>
      <c r="CH103" s="28">
        <f>IF(ISBLANK(Actuals!CH102),(-(IF(AND(81&gt;=Personnel!$E$36,Personnel!$G$36="Yes"),Personnel!$D$36*(1-Personnel!$I$36),0)+IF(AND(81&gt;=Personnel!$E$37,Personnel!$G$37="Yes"),Personnel!$D$37*(1-Personnel!$I$37),0)))*Escalation!$B$82,Actuals!CH102)</f>
        <v>-28154.060481600001</v>
      </c>
      <c r="CI103" s="28">
        <f>IF(ISBLANK(Actuals!CI102),(-(IF(AND(82&gt;=Personnel!$E$36,Personnel!$G$36="Yes"),Personnel!$D$36*(1-Personnel!$I$36),0)+IF(AND(82&gt;=Personnel!$E$37,Personnel!$G$37="Yes"),Personnel!$D$37*(1-Personnel!$I$37),0)))*Escalation!$B$83,Actuals!CI102)</f>
        <v>-28154.060481600001</v>
      </c>
      <c r="CJ103" s="28">
        <f>IF(ISBLANK(Actuals!CJ102),(-(IF(AND(83&gt;=Personnel!$E$36,Personnel!$G$36="Yes"),Personnel!$D$36*(1-Personnel!$I$36),0)+IF(AND(83&gt;=Personnel!$E$37,Personnel!$G$37="Yes"),Personnel!$D$37*(1-Personnel!$I$37),0)))*Escalation!$B$84,Actuals!CJ102)</f>
        <v>-28154.060481600001</v>
      </c>
      <c r="CK103" s="28">
        <f>IF(ISBLANK(Actuals!CK102),(-(IF(AND(84&gt;=Personnel!$E$36,Personnel!$G$36="Yes"),Personnel!$D$36*(1-Personnel!$I$36),0)+IF(AND(84&gt;=Personnel!$E$37,Personnel!$G$37="Yes"),Personnel!$D$37*(1-Personnel!$I$37),0)))*Escalation!$B$85,Actuals!CK102)</f>
        <v>-28154.060481600001</v>
      </c>
      <c r="CL103" s="28">
        <f>IF(ISBLANK(Actuals!CL102),(-(IF(AND(85&gt;=Personnel!$E$36,Personnel!$G$36="Yes"),Personnel!$D$36*(1-Personnel!$I$36),0)+IF(AND(85&gt;=Personnel!$E$37,Personnel!$G$37="Yes"),Personnel!$D$37*(1-Personnel!$I$37),0)))*Escalation!$B$86,Actuals!CL102)</f>
        <v>-28717.141691231995</v>
      </c>
      <c r="CM103" s="28">
        <f>IF(ISBLANK(Actuals!CM102),(-(IF(AND(86&gt;=Personnel!$E$36,Personnel!$G$36="Yes"),Personnel!$D$36*(1-Personnel!$I$36),0)+IF(AND(86&gt;=Personnel!$E$37,Personnel!$G$37="Yes"),Personnel!$D$37*(1-Personnel!$I$37),0)))*Escalation!$B$87,Actuals!CM102)</f>
        <v>-28717.141691231995</v>
      </c>
      <c r="CN103" s="28">
        <f>IF(ISBLANK(Actuals!CN102),(-(IF(AND(87&gt;=Personnel!$E$36,Personnel!$G$36="Yes"),Personnel!$D$36*(1-Personnel!$I$36),0)+IF(AND(87&gt;=Personnel!$E$37,Personnel!$G$37="Yes"),Personnel!$D$37*(1-Personnel!$I$37),0)))*Escalation!$B$88,Actuals!CN102)</f>
        <v>-28717.141691231995</v>
      </c>
      <c r="CO103" s="28">
        <f>IF(ISBLANK(Actuals!CO102),(-(IF(AND(88&gt;=Personnel!$E$36,Personnel!$G$36="Yes"),Personnel!$D$36*(1-Personnel!$I$36),0)+IF(AND(88&gt;=Personnel!$E$37,Personnel!$G$37="Yes"),Personnel!$D$37*(1-Personnel!$I$37),0)))*Escalation!$B$89,Actuals!CO102)</f>
        <v>-28717.141691231995</v>
      </c>
      <c r="CP103" s="28">
        <f>IF(ISBLANK(Actuals!CP102),(-(IF(AND(89&gt;=Personnel!$E$36,Personnel!$G$36="Yes"),Personnel!$D$36*(1-Personnel!$I$36),0)+IF(AND(89&gt;=Personnel!$E$37,Personnel!$G$37="Yes"),Personnel!$D$37*(1-Personnel!$I$37),0)))*Escalation!$B$90,Actuals!CP102)</f>
        <v>-28717.141691231995</v>
      </c>
      <c r="CQ103" s="28">
        <f>IF(ISBLANK(Actuals!CQ102),(-(IF(AND(90&gt;=Personnel!$E$36,Personnel!$G$36="Yes"),Personnel!$D$36*(1-Personnel!$I$36),0)+IF(AND(90&gt;=Personnel!$E$37,Personnel!$G$37="Yes"),Personnel!$D$37*(1-Personnel!$I$37),0)))*Escalation!$B$91,Actuals!CQ102)</f>
        <v>-28717.141691231995</v>
      </c>
      <c r="CR103" s="28">
        <f>IF(ISBLANK(Actuals!CR102),(-(IF(AND(91&gt;=Personnel!$E$36,Personnel!$G$36="Yes"),Personnel!$D$36*(1-Personnel!$I$36),0)+IF(AND(91&gt;=Personnel!$E$37,Personnel!$G$37="Yes"),Personnel!$D$37*(1-Personnel!$I$37),0)))*Escalation!$B$92,Actuals!CR102)</f>
        <v>-28717.141691231995</v>
      </c>
      <c r="CS103" s="28">
        <f>IF(ISBLANK(Actuals!CS102),(-(IF(AND(92&gt;=Personnel!$E$36,Personnel!$G$36="Yes"),Personnel!$D$36*(1-Personnel!$I$36),0)+IF(AND(92&gt;=Personnel!$E$37,Personnel!$G$37="Yes"),Personnel!$D$37*(1-Personnel!$I$37),0)))*Escalation!$B$93,Actuals!CS102)</f>
        <v>-28717.141691231995</v>
      </c>
      <c r="CT103" s="28">
        <f>IF(ISBLANK(Actuals!CT102),(-(IF(AND(93&gt;=Personnel!$E$36,Personnel!$G$36="Yes"),Personnel!$D$36*(1-Personnel!$I$36),0)+IF(AND(93&gt;=Personnel!$E$37,Personnel!$G$37="Yes"),Personnel!$D$37*(1-Personnel!$I$37),0)))*Escalation!$B$94,Actuals!CT102)</f>
        <v>-28717.141691231995</v>
      </c>
      <c r="CU103" s="28">
        <f>IF(ISBLANK(Actuals!CU102),(-(IF(AND(94&gt;=Personnel!$E$36,Personnel!$G$36="Yes"),Personnel!$D$36*(1-Personnel!$I$36),0)+IF(AND(94&gt;=Personnel!$E$37,Personnel!$G$37="Yes"),Personnel!$D$37*(1-Personnel!$I$37),0)))*Escalation!$B$95,Actuals!CU102)</f>
        <v>-28717.141691231995</v>
      </c>
      <c r="CV103" s="28">
        <f>IF(ISBLANK(Actuals!CV102),(-(IF(AND(95&gt;=Personnel!$E$36,Personnel!$G$36="Yes"),Personnel!$D$36*(1-Personnel!$I$36),0)+IF(AND(95&gt;=Personnel!$E$37,Personnel!$G$37="Yes"),Personnel!$D$37*(1-Personnel!$I$37),0)))*Escalation!$B$96,Actuals!CV102)</f>
        <v>-28717.141691231995</v>
      </c>
      <c r="CW103" s="28">
        <f>IF(ISBLANK(Actuals!CW102),(-(IF(AND(96&gt;=Personnel!$E$36,Personnel!$G$36="Yes"),Personnel!$D$36*(1-Personnel!$I$36),0)+IF(AND(96&gt;=Personnel!$E$37,Personnel!$G$37="Yes"),Personnel!$D$37*(1-Personnel!$I$37),0)))*Escalation!$B$97,Actuals!CW102)</f>
        <v>-28717.141691231995</v>
      </c>
      <c r="CX103" s="28">
        <f>IF(ISBLANK(Actuals!CX102),(-(IF(AND(97&gt;=Personnel!$E$36,Personnel!$G$36="Yes"),Personnel!$D$36*(1-Personnel!$I$36),0)+IF(AND(97&gt;=Personnel!$E$37,Personnel!$G$37="Yes"),Personnel!$D$37*(1-Personnel!$I$37),0)))*Escalation!$B$98,Actuals!CX102)</f>
        <v>-29291.48452505664</v>
      </c>
      <c r="CY103" s="28">
        <f>IF(ISBLANK(Actuals!CY102),(-(IF(AND(98&gt;=Personnel!$E$36,Personnel!$G$36="Yes"),Personnel!$D$36*(1-Personnel!$I$36),0)+IF(AND(98&gt;=Personnel!$E$37,Personnel!$G$37="Yes"),Personnel!$D$37*(1-Personnel!$I$37),0)))*Escalation!$B$99,Actuals!CY102)</f>
        <v>-29291.48452505664</v>
      </c>
      <c r="CZ103" s="28">
        <f>IF(ISBLANK(Actuals!CZ102),(-(IF(AND(99&gt;=Personnel!$E$36,Personnel!$G$36="Yes"),Personnel!$D$36*(1-Personnel!$I$36),0)+IF(AND(99&gt;=Personnel!$E$37,Personnel!$G$37="Yes"),Personnel!$D$37*(1-Personnel!$I$37),0)))*Escalation!$B$100,Actuals!CZ102)</f>
        <v>-29291.48452505664</v>
      </c>
      <c r="DA103" s="28">
        <f>IF(ISBLANK(Actuals!DA102),(-(IF(AND(100&gt;=Personnel!$E$36,Personnel!$G$36="Yes"),Personnel!$D$36*(1-Personnel!$I$36),0)+IF(AND(100&gt;=Personnel!$E$37,Personnel!$G$37="Yes"),Personnel!$D$37*(1-Personnel!$I$37),0)))*Escalation!$B$101,Actuals!DA102)</f>
        <v>-29291.48452505664</v>
      </c>
      <c r="DB103" s="28">
        <f>IF(ISBLANK(Actuals!DB102),(-(IF(AND(101&gt;=Personnel!$E$36,Personnel!$G$36="Yes"),Personnel!$D$36*(1-Personnel!$I$36),0)+IF(AND(101&gt;=Personnel!$E$37,Personnel!$G$37="Yes"),Personnel!$D$37*(1-Personnel!$I$37),0)))*Escalation!$B$102,Actuals!DB102)</f>
        <v>-29291.48452505664</v>
      </c>
      <c r="DC103" s="28">
        <f>IF(ISBLANK(Actuals!DC102),(-(IF(AND(102&gt;=Personnel!$E$36,Personnel!$G$36="Yes"),Personnel!$D$36*(1-Personnel!$I$36),0)+IF(AND(102&gt;=Personnel!$E$37,Personnel!$G$37="Yes"),Personnel!$D$37*(1-Personnel!$I$37),0)))*Escalation!$B$103,Actuals!DC102)</f>
        <v>-29291.48452505664</v>
      </c>
      <c r="DD103" s="28">
        <f>IF(ISBLANK(Actuals!DD102),(-(IF(AND(103&gt;=Personnel!$E$36,Personnel!$G$36="Yes"),Personnel!$D$36*(1-Personnel!$I$36),0)+IF(AND(103&gt;=Personnel!$E$37,Personnel!$G$37="Yes"),Personnel!$D$37*(1-Personnel!$I$37),0)))*Escalation!$B$104,Actuals!DD102)</f>
        <v>-29291.48452505664</v>
      </c>
      <c r="DE103" s="28">
        <f>IF(ISBLANK(Actuals!DE102),(-(IF(AND(104&gt;=Personnel!$E$36,Personnel!$G$36="Yes"),Personnel!$D$36*(1-Personnel!$I$36),0)+IF(AND(104&gt;=Personnel!$E$37,Personnel!$G$37="Yes"),Personnel!$D$37*(1-Personnel!$I$37),0)))*Escalation!$B$105,Actuals!DE102)</f>
        <v>-29291.48452505664</v>
      </c>
      <c r="DF103" s="28">
        <f>IF(ISBLANK(Actuals!DF102),(-(IF(AND(105&gt;=Personnel!$E$36,Personnel!$G$36="Yes"),Personnel!$D$36*(1-Personnel!$I$36),0)+IF(AND(105&gt;=Personnel!$E$37,Personnel!$G$37="Yes"),Personnel!$D$37*(1-Personnel!$I$37),0)))*Escalation!$B$106,Actuals!DF102)</f>
        <v>-29291.48452505664</v>
      </c>
    </row>
    <row r="104" spans="1:110" ht="15" customHeight="1" x14ac:dyDescent="0.25">
      <c r="A104" s="13" t="s">
        <v>91</v>
      </c>
      <c r="B104" s="302"/>
      <c r="C104" s="3">
        <f>IF(ISBLANK(Actuals!C103),0,Actuals!C103)</f>
        <v>-4731.96</v>
      </c>
      <c r="D104" s="3">
        <f>IF(ISBLANK(Actuals!D103),0,Actuals!D103)</f>
        <v>-5</v>
      </c>
      <c r="E104" s="3">
        <f>IF(ISBLANK(Actuals!E103),0,Actuals!E103)</f>
        <v>-5</v>
      </c>
      <c r="F104" s="3">
        <f>IF(ISBLANK(Actuals!F103),-1580.65*Escalation!$B$2,Actuals!F103)</f>
        <v>-5</v>
      </c>
      <c r="G104" s="3">
        <f>IF(ISBLANK(Actuals!G103),-1580.65*Escalation!$B$3,Actuals!G103)</f>
        <v>-1580.65</v>
      </c>
      <c r="H104" s="3">
        <f>IF(ISBLANK(Actuals!H103),-1580.65*Escalation!$B$4,Actuals!H103)</f>
        <v>-1580.65</v>
      </c>
      <c r="I104" s="3">
        <f>IF(ISBLANK(Actuals!I103),-1580.65*Escalation!$B$5,Actuals!I103)</f>
        <v>-1580.65</v>
      </c>
      <c r="J104" s="3">
        <f>IF(ISBLANK(Actuals!J103),-1580.65*Escalation!$B$6,Actuals!J103)</f>
        <v>-1580.65</v>
      </c>
      <c r="K104" s="3">
        <f>IF(ISBLANK(Actuals!K103),-1580.65*Escalation!$B$7,Actuals!K103)</f>
        <v>-1580.65</v>
      </c>
      <c r="L104" s="3">
        <f>IF(ISBLANK(Actuals!L103),-1580.65*Escalation!$B$8,Actuals!L103)</f>
        <v>-1580.65</v>
      </c>
      <c r="M104" s="3">
        <f>IF(ISBLANK(Actuals!M103),-1580.65*Escalation!$B$9,Actuals!M103)</f>
        <v>-1580.65</v>
      </c>
      <c r="N104" s="3">
        <f>IF(ISBLANK(Actuals!N103),-1580.65*Escalation!$B$10,Actuals!N103)</f>
        <v>-1580.65</v>
      </c>
      <c r="O104" s="3">
        <f>IF(ISBLANK(Actuals!O103),-1580.65*Escalation!$B$11,Actuals!O103)</f>
        <v>-1580.65</v>
      </c>
      <c r="P104" s="3">
        <f>IF(ISBLANK(Actuals!P103),-1580.65*Escalation!$B$12,Actuals!P103)</f>
        <v>-1580.65</v>
      </c>
      <c r="Q104" s="3">
        <f>IF(ISBLANK(Actuals!Q103),-1580.65*Escalation!$B$13,Actuals!Q103)</f>
        <v>-1580.65</v>
      </c>
      <c r="R104" s="3">
        <f>IF(ISBLANK(Actuals!R103),-1580.65*Escalation!$B$14,Actuals!R103)</f>
        <v>-1612.2630000000001</v>
      </c>
      <c r="S104" s="3">
        <f>IF(ISBLANK(Actuals!S103),-1580.65*Escalation!$B$15,Actuals!S103)</f>
        <v>-1612.2630000000001</v>
      </c>
      <c r="T104" s="3">
        <f>IF(ISBLANK(Actuals!T103),-1580.65*Escalation!$B$16,Actuals!T103)</f>
        <v>-1612.2630000000001</v>
      </c>
      <c r="U104" s="3">
        <f>IF(ISBLANK(Actuals!U103),-1580.65*Escalation!$B$17,Actuals!U103)</f>
        <v>-1612.2630000000001</v>
      </c>
      <c r="V104" s="3">
        <f>IF(ISBLANK(Actuals!V103),-1580.65*Escalation!$B$18,Actuals!V103)</f>
        <v>-1612.2630000000001</v>
      </c>
      <c r="W104" s="3">
        <f>IF(ISBLANK(Actuals!W103),-1580.65*Escalation!$B$19,Actuals!W103)</f>
        <v>-1612.2630000000001</v>
      </c>
      <c r="X104" s="3">
        <f>IF(ISBLANK(Actuals!X103),-1580.65*Escalation!$B$20,Actuals!X103)</f>
        <v>-1612.2630000000001</v>
      </c>
      <c r="Y104" s="3">
        <f>IF(ISBLANK(Actuals!Y103),-1580.65*Escalation!$B$21,Actuals!Y103)</f>
        <v>-1612.2630000000001</v>
      </c>
      <c r="Z104" s="3">
        <f>IF(ISBLANK(Actuals!Z103),-1580.65*Escalation!$B$22,Actuals!Z103)</f>
        <v>-1612.2630000000001</v>
      </c>
      <c r="AA104" s="3">
        <f>IF(ISBLANK(Actuals!AA103),-1580.65*Escalation!$B$23,Actuals!AA103)</f>
        <v>-1612.2630000000001</v>
      </c>
      <c r="AB104" s="3">
        <f>IF(ISBLANK(Actuals!AB103),-1580.65*Escalation!$B$24,Actuals!AB103)</f>
        <v>-1612.2630000000001</v>
      </c>
      <c r="AC104" s="3">
        <f>IF(ISBLANK(Actuals!AC103),-1580.65*Escalation!$B$25,Actuals!AC103)</f>
        <v>-1612.2630000000001</v>
      </c>
      <c r="AD104" s="3">
        <f>IF(ISBLANK(Actuals!AD103),-1580.65*Escalation!$B$26,Actuals!AD103)</f>
        <v>-1644.5082600000001</v>
      </c>
      <c r="AE104" s="3">
        <f>IF(ISBLANK(Actuals!AE103),-1580.65*Escalation!$B$27,Actuals!AE103)</f>
        <v>-1644.5082600000001</v>
      </c>
      <c r="AF104" s="3">
        <f>IF(ISBLANK(Actuals!AF103),-1580.65*Escalation!$B$28,Actuals!AF103)</f>
        <v>-1644.5082600000001</v>
      </c>
      <c r="AG104" s="3">
        <f>IF(ISBLANK(Actuals!AG103),-1580.65*Escalation!$B$29,Actuals!AG103)</f>
        <v>-1644.5082600000001</v>
      </c>
      <c r="AH104" s="3">
        <f>IF(ISBLANK(Actuals!AH103),-1580.65*Escalation!$B$30,Actuals!AH103)</f>
        <v>-1644.5082600000001</v>
      </c>
      <c r="AI104" s="3">
        <f>IF(ISBLANK(Actuals!AI103),-1580.65*Escalation!$B$31,Actuals!AI103)</f>
        <v>-1644.5082600000001</v>
      </c>
      <c r="AJ104" s="3">
        <f>IF(ISBLANK(Actuals!AJ103),-1580.65*Escalation!$B$32,Actuals!AJ103)</f>
        <v>-1644.5082600000001</v>
      </c>
      <c r="AK104" s="3">
        <f>IF(ISBLANK(Actuals!AK103),-1580.65*Escalation!$B$33,Actuals!AK103)</f>
        <v>-1644.5082600000001</v>
      </c>
      <c r="AL104" s="3">
        <f>IF(ISBLANK(Actuals!AL103),-1580.65*Escalation!$B$34,Actuals!AL103)</f>
        <v>-1644.5082600000001</v>
      </c>
      <c r="AM104" s="3">
        <f>IF(ISBLANK(Actuals!AM103),-1580.65*Escalation!$B$35,Actuals!AM103)</f>
        <v>-1644.5082600000001</v>
      </c>
      <c r="AN104" s="3">
        <f>IF(ISBLANK(Actuals!AN103),-1580.65*Escalation!$B$36,Actuals!AN103)</f>
        <v>-1644.5082600000001</v>
      </c>
      <c r="AO104" s="3">
        <f>IF(ISBLANK(Actuals!AO103),-1580.65*Escalation!$B$37,Actuals!AO103)</f>
        <v>-1644.5082600000001</v>
      </c>
      <c r="AP104" s="3">
        <f>IF(ISBLANK(Actuals!AP103),-1580.65*Escalation!$B$38,Actuals!AP103)</f>
        <v>-1677.3984252</v>
      </c>
      <c r="AQ104" s="3">
        <f>IF(ISBLANK(Actuals!AQ103),-1580.65*Escalation!$B$39,Actuals!AQ103)</f>
        <v>-1677.3984252</v>
      </c>
      <c r="AR104" s="3">
        <f>IF(ISBLANK(Actuals!AR103),-1580.65*Escalation!$B$40,Actuals!AR103)</f>
        <v>-1677.3984252</v>
      </c>
      <c r="AS104" s="3">
        <f>IF(ISBLANK(Actuals!AS103),-1580.65*Escalation!$B$41,Actuals!AS103)</f>
        <v>-1677.3984252</v>
      </c>
      <c r="AT104" s="3">
        <f>IF(ISBLANK(Actuals!AT103),-1580.65*Escalation!$B$42,Actuals!AT103)</f>
        <v>-1677.3984252</v>
      </c>
      <c r="AU104" s="3">
        <f>IF(ISBLANK(Actuals!AU103),-1580.65*Escalation!$B$43,Actuals!AU103)</f>
        <v>-1677.3984252</v>
      </c>
      <c r="AV104" s="3">
        <f>IF(ISBLANK(Actuals!AV103),-1580.65*Escalation!$B$44,Actuals!AV103)</f>
        <v>-1677.3984252</v>
      </c>
      <c r="AW104" s="3">
        <f>IF(ISBLANK(Actuals!AW103),-1580.65*Escalation!$B$45,Actuals!AW103)</f>
        <v>-1677.3984252</v>
      </c>
      <c r="AX104" s="3">
        <f>IF(ISBLANK(Actuals!AX103),-1580.65*Escalation!$B$46,Actuals!AX103)</f>
        <v>-1677.3984252</v>
      </c>
      <c r="AY104" s="3">
        <f>IF(ISBLANK(Actuals!AY103),-1580.65*Escalation!$B$47,Actuals!AY103)</f>
        <v>-1677.3984252</v>
      </c>
      <c r="AZ104" s="3">
        <f>IF(ISBLANK(Actuals!AZ103),-1580.65*Escalation!$B$48,Actuals!AZ103)</f>
        <v>-1677.3984252</v>
      </c>
      <c r="BA104" s="3">
        <f>IF(ISBLANK(Actuals!BA103),-1580.65*Escalation!$B$49,Actuals!BA103)</f>
        <v>-1677.3984252</v>
      </c>
      <c r="BB104" s="3">
        <f>IF(ISBLANK(Actuals!BB103),-1580.65*Escalation!$B$50,Actuals!BB103)</f>
        <v>-1710.946393704</v>
      </c>
      <c r="BC104" s="3">
        <f>IF(ISBLANK(Actuals!BC103),-1580.65*Escalation!$B$51,Actuals!BC103)</f>
        <v>-1710.946393704</v>
      </c>
      <c r="BD104" s="3">
        <f>IF(ISBLANK(Actuals!BD103),-1580.65*Escalation!$B$52,Actuals!BD103)</f>
        <v>-1710.946393704</v>
      </c>
      <c r="BE104" s="3">
        <f>IF(ISBLANK(Actuals!BE103),-1580.65*Escalation!$B$53,Actuals!BE103)</f>
        <v>-1710.946393704</v>
      </c>
      <c r="BF104" s="3">
        <f>IF(ISBLANK(Actuals!BF103),-1580.65*Escalation!$B$54,Actuals!BF103)</f>
        <v>-1710.946393704</v>
      </c>
      <c r="BG104" s="3">
        <f>IF(ISBLANK(Actuals!BG103),-1580.65*Escalation!$B$55,Actuals!BG103)</f>
        <v>-1710.946393704</v>
      </c>
      <c r="BH104" s="3">
        <f>IF(ISBLANK(Actuals!BH103),-1580.65*Escalation!$B$56,Actuals!BH103)</f>
        <v>-1710.946393704</v>
      </c>
      <c r="BI104" s="3">
        <f>IF(ISBLANK(Actuals!BI103),-1580.65*Escalation!$B$57,Actuals!BI103)</f>
        <v>-1710.946393704</v>
      </c>
      <c r="BJ104" s="3">
        <f>IF(ISBLANK(Actuals!BJ103),-1580.65*Escalation!$B$58,Actuals!BJ103)</f>
        <v>-1710.946393704</v>
      </c>
      <c r="BK104" s="3">
        <f>IF(ISBLANK(Actuals!BK103),-1580.65*Escalation!$B$59,Actuals!BK103)</f>
        <v>-1710.946393704</v>
      </c>
      <c r="BL104" s="3">
        <f>IF(ISBLANK(Actuals!BL103),-1580.65*Escalation!$B$60,Actuals!BL103)</f>
        <v>-1710.946393704</v>
      </c>
      <c r="BM104" s="3">
        <f>IF(ISBLANK(Actuals!BM103),-1580.65*Escalation!$B$61,Actuals!BM103)</f>
        <v>-1710.946393704</v>
      </c>
      <c r="BN104" s="3">
        <f>IF(ISBLANK(Actuals!BN103),-1580.65*Escalation!$B$62,Actuals!BN103)</f>
        <v>-1745.1653215780802</v>
      </c>
      <c r="BO104" s="3">
        <f>IF(ISBLANK(Actuals!BO103),-1580.65*Escalation!$B$63,Actuals!BO103)</f>
        <v>-1745.1653215780802</v>
      </c>
      <c r="BP104" s="3">
        <f>IF(ISBLANK(Actuals!BP103),-1580.65*Escalation!$B$64,Actuals!BP103)</f>
        <v>-1745.1653215780802</v>
      </c>
      <c r="BQ104" s="3">
        <f>IF(ISBLANK(Actuals!BQ103),-1580.65*Escalation!$B$65,Actuals!BQ103)</f>
        <v>-1745.1653215780802</v>
      </c>
      <c r="BR104" s="3">
        <f>IF(ISBLANK(Actuals!BR103),-1580.65*Escalation!$B$66,Actuals!BR103)</f>
        <v>-1745.1653215780802</v>
      </c>
      <c r="BS104" s="3">
        <f>IF(ISBLANK(Actuals!BS103),-1580.65*Escalation!$B$67,Actuals!BS103)</f>
        <v>-1745.1653215780802</v>
      </c>
      <c r="BT104" s="3">
        <f>IF(ISBLANK(Actuals!BT103),-1580.65*Escalation!$B$68,Actuals!BT103)</f>
        <v>-1745.1653215780802</v>
      </c>
      <c r="BU104" s="3">
        <f>IF(ISBLANK(Actuals!BU103),-1580.65*Escalation!$B$69,Actuals!BU103)</f>
        <v>-1745.1653215780802</v>
      </c>
      <c r="BV104" s="3">
        <f>IF(ISBLANK(Actuals!BV103),-1580.65*Escalation!$B$70,Actuals!BV103)</f>
        <v>-1745.1653215780802</v>
      </c>
      <c r="BW104" s="3">
        <f>IF(ISBLANK(Actuals!BW103),-1580.65*Escalation!$B$71,Actuals!BW103)</f>
        <v>-1745.1653215780802</v>
      </c>
      <c r="BX104" s="3">
        <f>IF(ISBLANK(Actuals!BX103),-1580.65*Escalation!$B$72,Actuals!BX103)</f>
        <v>-1745.1653215780802</v>
      </c>
      <c r="BY104" s="3">
        <f>IF(ISBLANK(Actuals!BY103),-1580.65*Escalation!$B$73,Actuals!BY103)</f>
        <v>-1745.1653215780802</v>
      </c>
      <c r="BZ104" s="3">
        <f>IF(ISBLANK(Actuals!BZ103),-1580.65*Escalation!$B$74,Actuals!BZ103)</f>
        <v>-1780.0686280096418</v>
      </c>
      <c r="CA104" s="3">
        <f>IF(ISBLANK(Actuals!CA103),-1580.65*Escalation!$B$75,Actuals!CA103)</f>
        <v>-1780.0686280096418</v>
      </c>
      <c r="CB104" s="3">
        <f>IF(ISBLANK(Actuals!CB103),-1580.65*Escalation!$B$76,Actuals!CB103)</f>
        <v>-1780.0686280096418</v>
      </c>
      <c r="CC104" s="3">
        <f>IF(ISBLANK(Actuals!CC103),-1580.65*Escalation!$B$77,Actuals!CC103)</f>
        <v>-1780.0686280096418</v>
      </c>
      <c r="CD104" s="3">
        <f>IF(ISBLANK(Actuals!CD103),-1580.65*Escalation!$B$78,Actuals!CD103)</f>
        <v>-1780.0686280096418</v>
      </c>
      <c r="CE104" s="3">
        <f>IF(ISBLANK(Actuals!CE103),-1580.65*Escalation!$B$79,Actuals!CE103)</f>
        <v>-1780.0686280096418</v>
      </c>
      <c r="CF104" s="3">
        <f>IF(ISBLANK(Actuals!CF103),-1580.65*Escalation!$B$80,Actuals!CF103)</f>
        <v>-1780.0686280096418</v>
      </c>
      <c r="CG104" s="3">
        <f>IF(ISBLANK(Actuals!CG103),-1580.65*Escalation!$B$81,Actuals!CG103)</f>
        <v>-1780.0686280096418</v>
      </c>
      <c r="CH104" s="3">
        <f>IF(ISBLANK(Actuals!CH103),-1580.65*Escalation!$B$82,Actuals!CH103)</f>
        <v>-1780.0686280096418</v>
      </c>
      <c r="CI104" s="3">
        <f>IF(ISBLANK(Actuals!CI103),-1580.65*Escalation!$B$83,Actuals!CI103)</f>
        <v>-1780.0686280096418</v>
      </c>
      <c r="CJ104" s="3">
        <f>IF(ISBLANK(Actuals!CJ103),-1580.65*Escalation!$B$84,Actuals!CJ103)</f>
        <v>-1780.0686280096418</v>
      </c>
      <c r="CK104" s="3">
        <f>IF(ISBLANK(Actuals!CK103),-1580.65*Escalation!$B$85,Actuals!CK103)</f>
        <v>-1780.0686280096418</v>
      </c>
      <c r="CL104" s="3">
        <f>IF(ISBLANK(Actuals!CL103),-1580.65*Escalation!$B$86,Actuals!CL103)</f>
        <v>-1815.6700005698342</v>
      </c>
      <c r="CM104" s="3">
        <f>IF(ISBLANK(Actuals!CM103),-1580.65*Escalation!$B$87,Actuals!CM103)</f>
        <v>-1815.6700005698342</v>
      </c>
      <c r="CN104" s="3">
        <f>IF(ISBLANK(Actuals!CN103),-1580.65*Escalation!$B$88,Actuals!CN103)</f>
        <v>-1815.6700005698342</v>
      </c>
      <c r="CO104" s="3">
        <f>IF(ISBLANK(Actuals!CO103),-1580.65*Escalation!$B$89,Actuals!CO103)</f>
        <v>-1815.6700005698342</v>
      </c>
      <c r="CP104" s="3">
        <f>IF(ISBLANK(Actuals!CP103),-1580.65*Escalation!$B$90,Actuals!CP103)</f>
        <v>-1815.6700005698342</v>
      </c>
      <c r="CQ104" s="3">
        <f>IF(ISBLANK(Actuals!CQ103),-1580.65*Escalation!$B$91,Actuals!CQ103)</f>
        <v>-1815.6700005698342</v>
      </c>
      <c r="CR104" s="3">
        <f>IF(ISBLANK(Actuals!CR103),-1580.65*Escalation!$B$92,Actuals!CR103)</f>
        <v>-1815.6700005698342</v>
      </c>
      <c r="CS104" s="3">
        <f>IF(ISBLANK(Actuals!CS103),-1580.65*Escalation!$B$93,Actuals!CS103)</f>
        <v>-1815.6700005698342</v>
      </c>
      <c r="CT104" s="3">
        <f>IF(ISBLANK(Actuals!CT103),-1580.65*Escalation!$B$94,Actuals!CT103)</f>
        <v>-1815.6700005698342</v>
      </c>
      <c r="CU104" s="3">
        <f>IF(ISBLANK(Actuals!CU103),-1580.65*Escalation!$B$95,Actuals!CU103)</f>
        <v>-1815.6700005698342</v>
      </c>
      <c r="CV104" s="3">
        <f>IF(ISBLANK(Actuals!CV103),-1580.65*Escalation!$B$96,Actuals!CV103)</f>
        <v>-1815.6700005698342</v>
      </c>
      <c r="CW104" s="3">
        <f>IF(ISBLANK(Actuals!CW103),-1580.65*Escalation!$B$97,Actuals!CW103)</f>
        <v>-1815.6700005698342</v>
      </c>
      <c r="CX104" s="3">
        <f>IF(ISBLANK(Actuals!CX103),-1580.65*Escalation!$B$98,Actuals!CX103)</f>
        <v>-1851.9834005812311</v>
      </c>
      <c r="CY104" s="3">
        <f>IF(ISBLANK(Actuals!CY103),-1580.65*Escalation!$B$99,Actuals!CY103)</f>
        <v>-1851.9834005812311</v>
      </c>
      <c r="CZ104" s="3">
        <f>IF(ISBLANK(Actuals!CZ103),-1580.65*Escalation!$B$100,Actuals!CZ103)</f>
        <v>-1851.9834005812311</v>
      </c>
      <c r="DA104" s="3">
        <f>IF(ISBLANK(Actuals!DA103),-1580.65*Escalation!$B$101,Actuals!DA103)</f>
        <v>-1851.9834005812311</v>
      </c>
      <c r="DB104" s="3">
        <f>IF(ISBLANK(Actuals!DB103),-1580.65*Escalation!$B$102,Actuals!DB103)</f>
        <v>-1851.9834005812311</v>
      </c>
      <c r="DC104" s="3">
        <f>IF(ISBLANK(Actuals!DC103),-1580.65*Escalation!$B$103,Actuals!DC103)</f>
        <v>-1851.9834005812311</v>
      </c>
      <c r="DD104" s="3">
        <f>IF(ISBLANK(Actuals!DD103),-1580.65*Escalation!$B$104,Actuals!DD103)</f>
        <v>-1851.9834005812311</v>
      </c>
      <c r="DE104" s="3">
        <f>IF(ISBLANK(Actuals!DE103),-1580.65*Escalation!$B$105,Actuals!DE103)</f>
        <v>-1851.9834005812311</v>
      </c>
      <c r="DF104" s="3">
        <f>IF(ISBLANK(Actuals!DF103),-1580.65*Escalation!$B$106,Actuals!DF103)</f>
        <v>-1851.9834005812311</v>
      </c>
    </row>
    <row r="105" spans="1:110" ht="15" customHeight="1" x14ac:dyDescent="0.25">
      <c r="A105" s="13" t="s">
        <v>92</v>
      </c>
      <c r="B105" s="302"/>
      <c r="C105" s="3">
        <f>IF(ISBLANK(Actuals!C104),0,Actuals!C104)</f>
        <v>-658.14</v>
      </c>
      <c r="D105" s="3">
        <f>IF(ISBLANK(Actuals!D104),0,Actuals!D104)</f>
        <v>-310</v>
      </c>
      <c r="E105" s="3">
        <f>IF(ISBLANK(Actuals!E104),0,Actuals!E104)</f>
        <v>-371.74</v>
      </c>
      <c r="F105" s="3">
        <f>IF(ISBLANK(Actuals!F104),-446.63*Escalation!$B$2,Actuals!F104)</f>
        <v>-857.33</v>
      </c>
      <c r="G105" s="3">
        <f>IF(ISBLANK(Actuals!G104),-446.63*Escalation!$B$3,Actuals!G104)</f>
        <v>-446.63</v>
      </c>
      <c r="H105" s="3">
        <f>IF(ISBLANK(Actuals!H104),-446.63*Escalation!$B$4,Actuals!H104)</f>
        <v>-446.63</v>
      </c>
      <c r="I105" s="3">
        <f>IF(ISBLANK(Actuals!I104),-446.63*Escalation!$B$5,Actuals!I104)</f>
        <v>-446.63</v>
      </c>
      <c r="J105" s="3">
        <f>IF(ISBLANK(Actuals!J104),-446.63*Escalation!$B$6,Actuals!J104)</f>
        <v>-446.63</v>
      </c>
      <c r="K105" s="3">
        <f>IF(ISBLANK(Actuals!K104),-446.63*Escalation!$B$7,Actuals!K104)</f>
        <v>-446.63</v>
      </c>
      <c r="L105" s="3">
        <f>IF(ISBLANK(Actuals!L104),-446.63*Escalation!$B$8,Actuals!L104)</f>
        <v>-446.63</v>
      </c>
      <c r="M105" s="3">
        <f>IF(ISBLANK(Actuals!M104),-446.63*Escalation!$B$9,Actuals!M104)</f>
        <v>-446.63</v>
      </c>
      <c r="N105" s="3">
        <f>IF(ISBLANK(Actuals!N104),-446.63*Escalation!$B$10,Actuals!N104)</f>
        <v>-446.63</v>
      </c>
      <c r="O105" s="3">
        <f>IF(ISBLANK(Actuals!O104),-446.63*Escalation!$B$11,Actuals!O104)</f>
        <v>-446.63</v>
      </c>
      <c r="P105" s="3">
        <f>IF(ISBLANK(Actuals!P104),-446.63*Escalation!$B$12,Actuals!P104)</f>
        <v>-446.63</v>
      </c>
      <c r="Q105" s="3">
        <f>IF(ISBLANK(Actuals!Q104),-446.63*Escalation!$B$13,Actuals!Q104)</f>
        <v>-446.63</v>
      </c>
      <c r="R105" s="3">
        <f>IF(ISBLANK(Actuals!R104),-446.63*Escalation!$B$14,Actuals!R104)</f>
        <v>-455.56259999999997</v>
      </c>
      <c r="S105" s="3">
        <f>IF(ISBLANK(Actuals!S104),-446.63*Escalation!$B$15,Actuals!S104)</f>
        <v>-455.56259999999997</v>
      </c>
      <c r="T105" s="3">
        <f>IF(ISBLANK(Actuals!T104),-446.63*Escalation!$B$16,Actuals!T104)</f>
        <v>-455.56259999999997</v>
      </c>
      <c r="U105" s="3">
        <f>IF(ISBLANK(Actuals!U104),-446.63*Escalation!$B$17,Actuals!U104)</f>
        <v>-455.56259999999997</v>
      </c>
      <c r="V105" s="3">
        <f>IF(ISBLANK(Actuals!V104),-446.63*Escalation!$B$18,Actuals!V104)</f>
        <v>-455.56259999999997</v>
      </c>
      <c r="W105" s="3">
        <f>IF(ISBLANK(Actuals!W104),-446.63*Escalation!$B$19,Actuals!W104)</f>
        <v>-455.56259999999997</v>
      </c>
      <c r="X105" s="3">
        <f>IF(ISBLANK(Actuals!X104),-446.63*Escalation!$B$20,Actuals!X104)</f>
        <v>-455.56259999999997</v>
      </c>
      <c r="Y105" s="3">
        <f>IF(ISBLANK(Actuals!Y104),-446.63*Escalation!$B$21,Actuals!Y104)</f>
        <v>-455.56259999999997</v>
      </c>
      <c r="Z105" s="3">
        <f>IF(ISBLANK(Actuals!Z104),-446.63*Escalation!$B$22,Actuals!Z104)</f>
        <v>-455.56259999999997</v>
      </c>
      <c r="AA105" s="3">
        <f>IF(ISBLANK(Actuals!AA104),-446.63*Escalation!$B$23,Actuals!AA104)</f>
        <v>-455.56259999999997</v>
      </c>
      <c r="AB105" s="3">
        <f>IF(ISBLANK(Actuals!AB104),-446.63*Escalation!$B$24,Actuals!AB104)</f>
        <v>-455.56259999999997</v>
      </c>
      <c r="AC105" s="3">
        <f>IF(ISBLANK(Actuals!AC104),-446.63*Escalation!$B$25,Actuals!AC104)</f>
        <v>-455.56259999999997</v>
      </c>
      <c r="AD105" s="3">
        <f>IF(ISBLANK(Actuals!AD104),-446.63*Escalation!$B$26,Actuals!AD104)</f>
        <v>-464.67385200000001</v>
      </c>
      <c r="AE105" s="3">
        <f>IF(ISBLANK(Actuals!AE104),-446.63*Escalation!$B$27,Actuals!AE104)</f>
        <v>-464.67385200000001</v>
      </c>
      <c r="AF105" s="3">
        <f>IF(ISBLANK(Actuals!AF104),-446.63*Escalation!$B$28,Actuals!AF104)</f>
        <v>-464.67385200000001</v>
      </c>
      <c r="AG105" s="3">
        <f>IF(ISBLANK(Actuals!AG104),-446.63*Escalation!$B$29,Actuals!AG104)</f>
        <v>-464.67385200000001</v>
      </c>
      <c r="AH105" s="3">
        <f>IF(ISBLANK(Actuals!AH104),-446.63*Escalation!$B$30,Actuals!AH104)</f>
        <v>-464.67385200000001</v>
      </c>
      <c r="AI105" s="3">
        <f>IF(ISBLANK(Actuals!AI104),-446.63*Escalation!$B$31,Actuals!AI104)</f>
        <v>-464.67385200000001</v>
      </c>
      <c r="AJ105" s="3">
        <f>IF(ISBLANK(Actuals!AJ104),-446.63*Escalation!$B$32,Actuals!AJ104)</f>
        <v>-464.67385200000001</v>
      </c>
      <c r="AK105" s="3">
        <f>IF(ISBLANK(Actuals!AK104),-446.63*Escalation!$B$33,Actuals!AK104)</f>
        <v>-464.67385200000001</v>
      </c>
      <c r="AL105" s="3">
        <f>IF(ISBLANK(Actuals!AL104),-446.63*Escalation!$B$34,Actuals!AL104)</f>
        <v>-464.67385200000001</v>
      </c>
      <c r="AM105" s="3">
        <f>IF(ISBLANK(Actuals!AM104),-446.63*Escalation!$B$35,Actuals!AM104)</f>
        <v>-464.67385200000001</v>
      </c>
      <c r="AN105" s="3">
        <f>IF(ISBLANK(Actuals!AN104),-446.63*Escalation!$B$36,Actuals!AN104)</f>
        <v>-464.67385200000001</v>
      </c>
      <c r="AO105" s="3">
        <f>IF(ISBLANK(Actuals!AO104),-446.63*Escalation!$B$37,Actuals!AO104)</f>
        <v>-464.67385200000001</v>
      </c>
      <c r="AP105" s="3">
        <f>IF(ISBLANK(Actuals!AP104),-446.63*Escalation!$B$38,Actuals!AP104)</f>
        <v>-473.96732903999998</v>
      </c>
      <c r="AQ105" s="3">
        <f>IF(ISBLANK(Actuals!AQ104),-446.63*Escalation!$B$39,Actuals!AQ104)</f>
        <v>-473.96732903999998</v>
      </c>
      <c r="AR105" s="3">
        <f>IF(ISBLANK(Actuals!AR104),-446.63*Escalation!$B$40,Actuals!AR104)</f>
        <v>-473.96732903999998</v>
      </c>
      <c r="AS105" s="3">
        <f>IF(ISBLANK(Actuals!AS104),-446.63*Escalation!$B$41,Actuals!AS104)</f>
        <v>-473.96732903999998</v>
      </c>
      <c r="AT105" s="3">
        <f>IF(ISBLANK(Actuals!AT104),-446.63*Escalation!$B$42,Actuals!AT104)</f>
        <v>-473.96732903999998</v>
      </c>
      <c r="AU105" s="3">
        <f>IF(ISBLANK(Actuals!AU104),-446.63*Escalation!$B$43,Actuals!AU104)</f>
        <v>-473.96732903999998</v>
      </c>
      <c r="AV105" s="3">
        <f>IF(ISBLANK(Actuals!AV104),-446.63*Escalation!$B$44,Actuals!AV104)</f>
        <v>-473.96732903999998</v>
      </c>
      <c r="AW105" s="3">
        <f>IF(ISBLANK(Actuals!AW104),-446.63*Escalation!$B$45,Actuals!AW104)</f>
        <v>-473.96732903999998</v>
      </c>
      <c r="AX105" s="3">
        <f>IF(ISBLANK(Actuals!AX104),-446.63*Escalation!$B$46,Actuals!AX104)</f>
        <v>-473.96732903999998</v>
      </c>
      <c r="AY105" s="3">
        <f>IF(ISBLANK(Actuals!AY104),-446.63*Escalation!$B$47,Actuals!AY104)</f>
        <v>-473.96732903999998</v>
      </c>
      <c r="AZ105" s="3">
        <f>IF(ISBLANK(Actuals!AZ104),-446.63*Escalation!$B$48,Actuals!AZ104)</f>
        <v>-473.96732903999998</v>
      </c>
      <c r="BA105" s="3">
        <f>IF(ISBLANK(Actuals!BA104),-446.63*Escalation!$B$49,Actuals!BA104)</f>
        <v>-473.96732903999998</v>
      </c>
      <c r="BB105" s="3">
        <f>IF(ISBLANK(Actuals!BB104),-446.63*Escalation!$B$50,Actuals!BB104)</f>
        <v>-483.44667562079997</v>
      </c>
      <c r="BC105" s="3">
        <f>IF(ISBLANK(Actuals!BC104),-446.63*Escalation!$B$51,Actuals!BC104)</f>
        <v>-483.44667562079997</v>
      </c>
      <c r="BD105" s="3">
        <f>IF(ISBLANK(Actuals!BD104),-446.63*Escalation!$B$52,Actuals!BD104)</f>
        <v>-483.44667562079997</v>
      </c>
      <c r="BE105" s="3">
        <f>IF(ISBLANK(Actuals!BE104),-446.63*Escalation!$B$53,Actuals!BE104)</f>
        <v>-483.44667562079997</v>
      </c>
      <c r="BF105" s="3">
        <f>IF(ISBLANK(Actuals!BF104),-446.63*Escalation!$B$54,Actuals!BF104)</f>
        <v>-483.44667562079997</v>
      </c>
      <c r="BG105" s="3">
        <f>IF(ISBLANK(Actuals!BG104),-446.63*Escalation!$B$55,Actuals!BG104)</f>
        <v>-483.44667562079997</v>
      </c>
      <c r="BH105" s="3">
        <f>IF(ISBLANK(Actuals!BH104),-446.63*Escalation!$B$56,Actuals!BH104)</f>
        <v>-483.44667562079997</v>
      </c>
      <c r="BI105" s="3">
        <f>IF(ISBLANK(Actuals!BI104),-446.63*Escalation!$B$57,Actuals!BI104)</f>
        <v>-483.44667562079997</v>
      </c>
      <c r="BJ105" s="3">
        <f>IF(ISBLANK(Actuals!BJ104),-446.63*Escalation!$B$58,Actuals!BJ104)</f>
        <v>-483.44667562079997</v>
      </c>
      <c r="BK105" s="3">
        <f>IF(ISBLANK(Actuals!BK104),-446.63*Escalation!$B$59,Actuals!BK104)</f>
        <v>-483.44667562079997</v>
      </c>
      <c r="BL105" s="3">
        <f>IF(ISBLANK(Actuals!BL104),-446.63*Escalation!$B$60,Actuals!BL104)</f>
        <v>-483.44667562079997</v>
      </c>
      <c r="BM105" s="3">
        <f>IF(ISBLANK(Actuals!BM104),-446.63*Escalation!$B$61,Actuals!BM104)</f>
        <v>-483.44667562079997</v>
      </c>
      <c r="BN105" s="3">
        <f>IF(ISBLANK(Actuals!BN104),-446.63*Escalation!$B$62,Actuals!BN104)</f>
        <v>-493.11560913321603</v>
      </c>
      <c r="BO105" s="3">
        <f>IF(ISBLANK(Actuals!BO104),-446.63*Escalation!$B$63,Actuals!BO104)</f>
        <v>-493.11560913321603</v>
      </c>
      <c r="BP105" s="3">
        <f>IF(ISBLANK(Actuals!BP104),-446.63*Escalation!$B$64,Actuals!BP104)</f>
        <v>-493.11560913321603</v>
      </c>
      <c r="BQ105" s="3">
        <f>IF(ISBLANK(Actuals!BQ104),-446.63*Escalation!$B$65,Actuals!BQ104)</f>
        <v>-493.11560913321603</v>
      </c>
      <c r="BR105" s="3">
        <f>IF(ISBLANK(Actuals!BR104),-446.63*Escalation!$B$66,Actuals!BR104)</f>
        <v>-493.11560913321603</v>
      </c>
      <c r="BS105" s="3">
        <f>IF(ISBLANK(Actuals!BS104),-446.63*Escalation!$B$67,Actuals!BS104)</f>
        <v>-493.11560913321603</v>
      </c>
      <c r="BT105" s="3">
        <f>IF(ISBLANK(Actuals!BT104),-446.63*Escalation!$B$68,Actuals!BT104)</f>
        <v>-493.11560913321603</v>
      </c>
      <c r="BU105" s="3">
        <f>IF(ISBLANK(Actuals!BU104),-446.63*Escalation!$B$69,Actuals!BU104)</f>
        <v>-493.11560913321603</v>
      </c>
      <c r="BV105" s="3">
        <f>IF(ISBLANK(Actuals!BV104),-446.63*Escalation!$B$70,Actuals!BV104)</f>
        <v>-493.11560913321603</v>
      </c>
      <c r="BW105" s="3">
        <f>IF(ISBLANK(Actuals!BW104),-446.63*Escalation!$B$71,Actuals!BW104)</f>
        <v>-493.11560913321603</v>
      </c>
      <c r="BX105" s="3">
        <f>IF(ISBLANK(Actuals!BX104),-446.63*Escalation!$B$72,Actuals!BX104)</f>
        <v>-493.11560913321603</v>
      </c>
      <c r="BY105" s="3">
        <f>IF(ISBLANK(Actuals!BY104),-446.63*Escalation!$B$73,Actuals!BY104)</f>
        <v>-493.11560913321603</v>
      </c>
      <c r="BZ105" s="3">
        <f>IF(ISBLANK(Actuals!BZ104),-446.63*Escalation!$B$74,Actuals!BZ104)</f>
        <v>-502.97792131588034</v>
      </c>
      <c r="CA105" s="3">
        <f>IF(ISBLANK(Actuals!CA104),-446.63*Escalation!$B$75,Actuals!CA104)</f>
        <v>-502.97792131588034</v>
      </c>
      <c r="CB105" s="3">
        <f>IF(ISBLANK(Actuals!CB104),-446.63*Escalation!$B$76,Actuals!CB104)</f>
        <v>-502.97792131588034</v>
      </c>
      <c r="CC105" s="3">
        <f>IF(ISBLANK(Actuals!CC104),-446.63*Escalation!$B$77,Actuals!CC104)</f>
        <v>-502.97792131588034</v>
      </c>
      <c r="CD105" s="3">
        <f>IF(ISBLANK(Actuals!CD104),-446.63*Escalation!$B$78,Actuals!CD104)</f>
        <v>-502.97792131588034</v>
      </c>
      <c r="CE105" s="3">
        <f>IF(ISBLANK(Actuals!CE104),-446.63*Escalation!$B$79,Actuals!CE104)</f>
        <v>-502.97792131588034</v>
      </c>
      <c r="CF105" s="3">
        <f>IF(ISBLANK(Actuals!CF104),-446.63*Escalation!$B$80,Actuals!CF104)</f>
        <v>-502.97792131588034</v>
      </c>
      <c r="CG105" s="3">
        <f>IF(ISBLANK(Actuals!CG104),-446.63*Escalation!$B$81,Actuals!CG104)</f>
        <v>-502.97792131588034</v>
      </c>
      <c r="CH105" s="3">
        <f>IF(ISBLANK(Actuals!CH104),-446.63*Escalation!$B$82,Actuals!CH104)</f>
        <v>-502.97792131588034</v>
      </c>
      <c r="CI105" s="3">
        <f>IF(ISBLANK(Actuals!CI104),-446.63*Escalation!$B$83,Actuals!CI104)</f>
        <v>-502.97792131588034</v>
      </c>
      <c r="CJ105" s="3">
        <f>IF(ISBLANK(Actuals!CJ104),-446.63*Escalation!$B$84,Actuals!CJ104)</f>
        <v>-502.97792131588034</v>
      </c>
      <c r="CK105" s="3">
        <f>IF(ISBLANK(Actuals!CK104),-446.63*Escalation!$B$85,Actuals!CK104)</f>
        <v>-502.97792131588034</v>
      </c>
      <c r="CL105" s="3">
        <f>IF(ISBLANK(Actuals!CL104),-446.63*Escalation!$B$86,Actuals!CL104)</f>
        <v>-513.03747974219789</v>
      </c>
      <c r="CM105" s="3">
        <f>IF(ISBLANK(Actuals!CM104),-446.63*Escalation!$B$87,Actuals!CM104)</f>
        <v>-513.03747974219789</v>
      </c>
      <c r="CN105" s="3">
        <f>IF(ISBLANK(Actuals!CN104),-446.63*Escalation!$B$88,Actuals!CN104)</f>
        <v>-513.03747974219789</v>
      </c>
      <c r="CO105" s="3">
        <f>IF(ISBLANK(Actuals!CO104),-446.63*Escalation!$B$89,Actuals!CO104)</f>
        <v>-513.03747974219789</v>
      </c>
      <c r="CP105" s="3">
        <f>IF(ISBLANK(Actuals!CP104),-446.63*Escalation!$B$90,Actuals!CP104)</f>
        <v>-513.03747974219789</v>
      </c>
      <c r="CQ105" s="3">
        <f>IF(ISBLANK(Actuals!CQ104),-446.63*Escalation!$B$91,Actuals!CQ104)</f>
        <v>-513.03747974219789</v>
      </c>
      <c r="CR105" s="3">
        <f>IF(ISBLANK(Actuals!CR104),-446.63*Escalation!$B$92,Actuals!CR104)</f>
        <v>-513.03747974219789</v>
      </c>
      <c r="CS105" s="3">
        <f>IF(ISBLANK(Actuals!CS104),-446.63*Escalation!$B$93,Actuals!CS104)</f>
        <v>-513.03747974219789</v>
      </c>
      <c r="CT105" s="3">
        <f>IF(ISBLANK(Actuals!CT104),-446.63*Escalation!$B$94,Actuals!CT104)</f>
        <v>-513.03747974219789</v>
      </c>
      <c r="CU105" s="3">
        <f>IF(ISBLANK(Actuals!CU104),-446.63*Escalation!$B$95,Actuals!CU104)</f>
        <v>-513.03747974219789</v>
      </c>
      <c r="CV105" s="3">
        <f>IF(ISBLANK(Actuals!CV104),-446.63*Escalation!$B$96,Actuals!CV104)</f>
        <v>-513.03747974219789</v>
      </c>
      <c r="CW105" s="3">
        <f>IF(ISBLANK(Actuals!CW104),-446.63*Escalation!$B$97,Actuals!CW104)</f>
        <v>-513.03747974219789</v>
      </c>
      <c r="CX105" s="3">
        <f>IF(ISBLANK(Actuals!CX104),-446.63*Escalation!$B$98,Actuals!CX104)</f>
        <v>-523.29822933704179</v>
      </c>
      <c r="CY105" s="3">
        <f>IF(ISBLANK(Actuals!CY104),-446.63*Escalation!$B$99,Actuals!CY104)</f>
        <v>-523.29822933704179</v>
      </c>
      <c r="CZ105" s="3">
        <f>IF(ISBLANK(Actuals!CZ104),-446.63*Escalation!$B$100,Actuals!CZ104)</f>
        <v>-523.29822933704179</v>
      </c>
      <c r="DA105" s="3">
        <f>IF(ISBLANK(Actuals!DA104),-446.63*Escalation!$B$101,Actuals!DA104)</f>
        <v>-523.29822933704179</v>
      </c>
      <c r="DB105" s="3">
        <f>IF(ISBLANK(Actuals!DB104),-446.63*Escalation!$B$102,Actuals!DB104)</f>
        <v>-523.29822933704179</v>
      </c>
      <c r="DC105" s="3">
        <f>IF(ISBLANK(Actuals!DC104),-446.63*Escalation!$B$103,Actuals!DC104)</f>
        <v>-523.29822933704179</v>
      </c>
      <c r="DD105" s="3">
        <f>IF(ISBLANK(Actuals!DD104),-446.63*Escalation!$B$104,Actuals!DD104)</f>
        <v>-523.29822933704179</v>
      </c>
      <c r="DE105" s="3">
        <f>IF(ISBLANK(Actuals!DE104),-446.63*Escalation!$B$105,Actuals!DE104)</f>
        <v>-523.29822933704179</v>
      </c>
      <c r="DF105" s="3">
        <f>IF(ISBLANK(Actuals!DF104),-446.63*Escalation!$B$106,Actuals!DF104)</f>
        <v>-523.29822933704179</v>
      </c>
    </row>
    <row r="106" spans="1:110" ht="15" customHeight="1" x14ac:dyDescent="0.25">
      <c r="A106" s="13" t="s">
        <v>124</v>
      </c>
      <c r="B106" s="302"/>
      <c r="C106" s="3">
        <f>IF(ISBLANK(Actuals!C105),0,Actuals!C105)</f>
        <v>0</v>
      </c>
      <c r="D106" s="3">
        <f>IF(ISBLANK(Actuals!D105),0,Actuals!D105)</f>
        <v>0</v>
      </c>
      <c r="E106" s="3">
        <f>IF(ISBLANK(Actuals!E105),0,Actuals!E105)</f>
        <v>0</v>
      </c>
      <c r="F106" s="3">
        <f>IF(ISBLANK(Actuals!F105),-(IF(AND(Projects!$G$2="Yes",Projects!$J$2="Yes",Projects!$K$2="No",1=Projects!$C$2),Projects!$B$2*Assumptions!$B$47,0)+IF(AND(Projects!$G$3="Yes",Projects!$J$3="Yes",Projects!$K$3="No",1=Projects!$C$3),Projects!$B$3*Assumptions!$B$47,0)+IF(AND(Projects!$G$4="Yes",Projects!$J$4="Yes",Projects!$K$4="No",1=Projects!$C$4),Projects!$B$4*Assumptions!$B$47,0)+IF(AND(Projects!$G$5="Yes",Projects!$J$5="Yes",Projects!$K$5="No",1=Projects!$C$5),Projects!$B$5*Assumptions!$B$47,0)+IF(AND(Projects!$G$6="Yes",Projects!$J$6="Yes",Projects!$K$6="No",1=Projects!$C$6),Projects!$B$6*Assumptions!$B$47,0)+IF(AND(Projects!$G$7="Yes",Projects!$J$7="Yes",Projects!$K$7="No",1=Projects!$C$7),Projects!$B$7*Assumptions!$B$47,0)+IF(AND(Projects!$G$8="Yes",Projects!$J$8="Yes",Projects!$K$8="No",1=Projects!$C$8),Projects!$B$8*Assumptions!$B$47,0)+IF(AND(Projects!$G$9="Yes",Projects!$J$9="Yes",Projects!$K$9="No",1=Projects!$C$9),Projects!$B$9*Assumptions!$B$47,0)+IF(AND(Projects!$G$10="Yes",Projects!$J$10="Yes",Projects!$K$10="No",1=Projects!$C$10),Projects!$B$10*Assumptions!$B$47,0)+IF(AND(Projects!$G$11="Yes",Projects!$J$11="Yes",Projects!$K$11="No",1=Projects!$C$11),Projects!$B$11*Assumptions!$B$47,0)+IF(AND(Projects!$G$12="Yes",Projects!$J$12="Yes",Projects!$K$12="No",1=Projects!$C$12),Projects!$B$12*Assumptions!$B$47,0)+IF(AND(Projects!$G$13="Yes",Projects!$J$13="Yes",Projects!$K$13="No",1=Projects!$C$13),Projects!$B$13*Assumptions!$B$47,0)+IF(AND(Projects!$G$14="Yes",Projects!$J$14="Yes",Projects!$K$14="No",1=Projects!$C$14),Projects!$B$14*Assumptions!$B$47,0)),Actuals!F105)</f>
        <v>0</v>
      </c>
      <c r="G106" s="3">
        <f>IF(ISBLANK(Actuals!G105),-(IF(AND(Projects!$G$2="Yes",Projects!$J$2="Yes",Projects!$K$2="No",2=Projects!$C$2),Projects!$B$2*Assumptions!$B$47,0)+IF(AND(Projects!$G$3="Yes",Projects!$J$3="Yes",Projects!$K$3="No",2=Projects!$C$3),Projects!$B$3*Assumptions!$B$47,0)+IF(AND(Projects!$G$4="Yes",Projects!$J$4="Yes",Projects!$K$4="No",2=Projects!$C$4),Projects!$B$4*Assumptions!$B$47,0)+IF(AND(Projects!$G$5="Yes",Projects!$J$5="Yes",Projects!$K$5="No",2=Projects!$C$5),Projects!$B$5*Assumptions!$B$47,0)+IF(AND(Projects!$G$6="Yes",Projects!$J$6="Yes",Projects!$K$6="No",2=Projects!$C$6),Projects!$B$6*Assumptions!$B$47,0)+IF(AND(Projects!$G$7="Yes",Projects!$J$7="Yes",Projects!$K$7="No",2=Projects!$C$7),Projects!$B$7*Assumptions!$B$47,0)+IF(AND(Projects!$G$8="Yes",Projects!$J$8="Yes",Projects!$K$8="No",2=Projects!$C$8),Projects!$B$8*Assumptions!$B$47,0)+IF(AND(Projects!$G$9="Yes",Projects!$J$9="Yes",Projects!$K$9="No",2=Projects!$C$9),Projects!$B$9*Assumptions!$B$47,0)+IF(AND(Projects!$G$10="Yes",Projects!$J$10="Yes",Projects!$K$10="No",2=Projects!$C$10),Projects!$B$10*Assumptions!$B$47,0)+IF(AND(Projects!$G$11="Yes",Projects!$J$11="Yes",Projects!$K$11="No",2=Projects!$C$11),Projects!$B$11*Assumptions!$B$47,0)+IF(AND(Projects!$G$12="Yes",Projects!$J$12="Yes",Projects!$K$12="No",2=Projects!$C$12),Projects!$B$12*Assumptions!$B$47,0)+IF(AND(Projects!$G$13="Yes",Projects!$J$13="Yes",Projects!$K$13="No",2=Projects!$C$13),Projects!$B$13*Assumptions!$B$47,0)+IF(AND(Projects!$G$14="Yes",Projects!$J$14="Yes",Projects!$K$14="No",2=Projects!$C$14),Projects!$B$14*Assumptions!$B$47,0)),Actuals!G105)</f>
        <v>0</v>
      </c>
      <c r="H106" s="3">
        <f>IF(ISBLANK(Actuals!H105),-(IF(AND(Projects!$G$2="Yes",Projects!$J$2="Yes",Projects!$K$2="No",3=Projects!$C$2),Projects!$B$2*Assumptions!$B$47,0)+IF(AND(Projects!$G$3="Yes",Projects!$J$3="Yes",Projects!$K$3="No",3=Projects!$C$3),Projects!$B$3*Assumptions!$B$47,0)+IF(AND(Projects!$G$4="Yes",Projects!$J$4="Yes",Projects!$K$4="No",3=Projects!$C$4),Projects!$B$4*Assumptions!$B$47,0)+IF(AND(Projects!$G$5="Yes",Projects!$J$5="Yes",Projects!$K$5="No",3=Projects!$C$5),Projects!$B$5*Assumptions!$B$47,0)+IF(AND(Projects!$G$6="Yes",Projects!$J$6="Yes",Projects!$K$6="No",3=Projects!$C$6),Projects!$B$6*Assumptions!$B$47,0)+IF(AND(Projects!$G$7="Yes",Projects!$J$7="Yes",Projects!$K$7="No",3=Projects!$C$7),Projects!$B$7*Assumptions!$B$47,0)+IF(AND(Projects!$G$8="Yes",Projects!$J$8="Yes",Projects!$K$8="No",3=Projects!$C$8),Projects!$B$8*Assumptions!$B$47,0)+IF(AND(Projects!$G$9="Yes",Projects!$J$9="Yes",Projects!$K$9="No",3=Projects!$C$9),Projects!$B$9*Assumptions!$B$47,0)+IF(AND(Projects!$G$10="Yes",Projects!$J$10="Yes",Projects!$K$10="No",3=Projects!$C$10),Projects!$B$10*Assumptions!$B$47,0)+IF(AND(Projects!$G$11="Yes",Projects!$J$11="Yes",Projects!$K$11="No",3=Projects!$C$11),Projects!$B$11*Assumptions!$B$47,0)+IF(AND(Projects!$G$12="Yes",Projects!$J$12="Yes",Projects!$K$12="No",3=Projects!$C$12),Projects!$B$12*Assumptions!$B$47,0)+IF(AND(Projects!$G$13="Yes",Projects!$J$13="Yes",Projects!$K$13="No",3=Projects!$C$13),Projects!$B$13*Assumptions!$B$47,0)+IF(AND(Projects!$G$14="Yes",Projects!$J$14="Yes",Projects!$K$14="No",3=Projects!$C$14),Projects!$B$14*Assumptions!$B$47,0)),Actuals!H105)</f>
        <v>0</v>
      </c>
      <c r="I106" s="3">
        <f>IF(ISBLANK(Actuals!I105),-(IF(AND(Projects!$G$2="Yes",Projects!$J$2="Yes",Projects!$K$2="No",4=Projects!$C$2),Projects!$B$2*Assumptions!$B$47,0)+IF(AND(Projects!$G$3="Yes",Projects!$J$3="Yes",Projects!$K$3="No",4=Projects!$C$3),Projects!$B$3*Assumptions!$B$47,0)+IF(AND(Projects!$G$4="Yes",Projects!$J$4="Yes",Projects!$K$4="No",4=Projects!$C$4),Projects!$B$4*Assumptions!$B$47,0)+IF(AND(Projects!$G$5="Yes",Projects!$J$5="Yes",Projects!$K$5="No",4=Projects!$C$5),Projects!$B$5*Assumptions!$B$47,0)+IF(AND(Projects!$G$6="Yes",Projects!$J$6="Yes",Projects!$K$6="No",4=Projects!$C$6),Projects!$B$6*Assumptions!$B$47,0)+IF(AND(Projects!$G$7="Yes",Projects!$J$7="Yes",Projects!$K$7="No",4=Projects!$C$7),Projects!$B$7*Assumptions!$B$47,0)+IF(AND(Projects!$G$8="Yes",Projects!$J$8="Yes",Projects!$K$8="No",4=Projects!$C$8),Projects!$B$8*Assumptions!$B$47,0)+IF(AND(Projects!$G$9="Yes",Projects!$J$9="Yes",Projects!$K$9="No",4=Projects!$C$9),Projects!$B$9*Assumptions!$B$47,0)+IF(AND(Projects!$G$10="Yes",Projects!$J$10="Yes",Projects!$K$10="No",4=Projects!$C$10),Projects!$B$10*Assumptions!$B$47,0)+IF(AND(Projects!$G$11="Yes",Projects!$J$11="Yes",Projects!$K$11="No",4=Projects!$C$11),Projects!$B$11*Assumptions!$B$47,0)+IF(AND(Projects!$G$12="Yes",Projects!$J$12="Yes",Projects!$K$12="No",4=Projects!$C$12),Projects!$B$12*Assumptions!$B$47,0)+IF(AND(Projects!$G$13="Yes",Projects!$J$13="Yes",Projects!$K$13="No",4=Projects!$C$13),Projects!$B$13*Assumptions!$B$47,0)+IF(AND(Projects!$G$14="Yes",Projects!$J$14="Yes",Projects!$K$14="No",4=Projects!$C$14),Projects!$B$14*Assumptions!$B$47,0)),Actuals!I105)</f>
        <v>0</v>
      </c>
      <c r="J106" s="3">
        <f>IF(ISBLANK(Actuals!J105),-(IF(AND(Projects!$G$2="Yes",Projects!$J$2="Yes",Projects!$K$2="No",5=Projects!$C$2),Projects!$B$2*Assumptions!$B$47,0)+IF(AND(Projects!$G$3="Yes",Projects!$J$3="Yes",Projects!$K$3="No",5=Projects!$C$3),Projects!$B$3*Assumptions!$B$47,0)+IF(AND(Projects!$G$4="Yes",Projects!$J$4="Yes",Projects!$K$4="No",5=Projects!$C$4),Projects!$B$4*Assumptions!$B$47,0)+IF(AND(Projects!$G$5="Yes",Projects!$J$5="Yes",Projects!$K$5="No",5=Projects!$C$5),Projects!$B$5*Assumptions!$B$47,0)+IF(AND(Projects!$G$6="Yes",Projects!$J$6="Yes",Projects!$K$6="No",5=Projects!$C$6),Projects!$B$6*Assumptions!$B$47,0)+IF(AND(Projects!$G$7="Yes",Projects!$J$7="Yes",Projects!$K$7="No",5=Projects!$C$7),Projects!$B$7*Assumptions!$B$47,0)+IF(AND(Projects!$G$8="Yes",Projects!$J$8="Yes",Projects!$K$8="No",5=Projects!$C$8),Projects!$B$8*Assumptions!$B$47,0)+IF(AND(Projects!$G$9="Yes",Projects!$J$9="Yes",Projects!$K$9="No",5=Projects!$C$9),Projects!$B$9*Assumptions!$B$47,0)+IF(AND(Projects!$G$10="Yes",Projects!$J$10="Yes",Projects!$K$10="No",5=Projects!$C$10),Projects!$B$10*Assumptions!$B$47,0)+IF(AND(Projects!$G$11="Yes",Projects!$J$11="Yes",Projects!$K$11="No",5=Projects!$C$11),Projects!$B$11*Assumptions!$B$47,0)+IF(AND(Projects!$G$12="Yes",Projects!$J$12="Yes",Projects!$K$12="No",5=Projects!$C$12),Projects!$B$12*Assumptions!$B$47,0)+IF(AND(Projects!$G$13="Yes",Projects!$J$13="Yes",Projects!$K$13="No",5=Projects!$C$13),Projects!$B$13*Assumptions!$B$47,0)+IF(AND(Projects!$G$14="Yes",Projects!$J$14="Yes",Projects!$K$14="No",5=Projects!$C$14),Projects!$B$14*Assumptions!$B$47,0)),Actuals!J105)</f>
        <v>0</v>
      </c>
      <c r="K106" s="3">
        <f>IF(ISBLANK(Actuals!K105),-(IF(AND(Projects!$G$2="Yes",Projects!$J$2="Yes",Projects!$K$2="No",6=Projects!$C$2),Projects!$B$2*Assumptions!$B$47,0)+IF(AND(Projects!$G$3="Yes",Projects!$J$3="Yes",Projects!$K$3="No",6=Projects!$C$3),Projects!$B$3*Assumptions!$B$47,0)+IF(AND(Projects!$G$4="Yes",Projects!$J$4="Yes",Projects!$K$4="No",6=Projects!$C$4),Projects!$B$4*Assumptions!$B$47,0)+IF(AND(Projects!$G$5="Yes",Projects!$J$5="Yes",Projects!$K$5="No",6=Projects!$C$5),Projects!$B$5*Assumptions!$B$47,0)+IF(AND(Projects!$G$6="Yes",Projects!$J$6="Yes",Projects!$K$6="No",6=Projects!$C$6),Projects!$B$6*Assumptions!$B$47,0)+IF(AND(Projects!$G$7="Yes",Projects!$J$7="Yes",Projects!$K$7="No",6=Projects!$C$7),Projects!$B$7*Assumptions!$B$47,0)+IF(AND(Projects!$G$8="Yes",Projects!$J$8="Yes",Projects!$K$8="No",6=Projects!$C$8),Projects!$B$8*Assumptions!$B$47,0)+IF(AND(Projects!$G$9="Yes",Projects!$J$9="Yes",Projects!$K$9="No",6=Projects!$C$9),Projects!$B$9*Assumptions!$B$47,0)+IF(AND(Projects!$G$10="Yes",Projects!$J$10="Yes",Projects!$K$10="No",6=Projects!$C$10),Projects!$B$10*Assumptions!$B$47,0)+IF(AND(Projects!$G$11="Yes",Projects!$J$11="Yes",Projects!$K$11="No",6=Projects!$C$11),Projects!$B$11*Assumptions!$B$47,0)+IF(AND(Projects!$G$12="Yes",Projects!$J$12="Yes",Projects!$K$12="No",6=Projects!$C$12),Projects!$B$12*Assumptions!$B$47,0)+IF(AND(Projects!$G$13="Yes",Projects!$J$13="Yes",Projects!$K$13="No",6=Projects!$C$13),Projects!$B$13*Assumptions!$B$47,0)+IF(AND(Projects!$G$14="Yes",Projects!$J$14="Yes",Projects!$K$14="No",6=Projects!$C$14),Projects!$B$14*Assumptions!$B$47,0)),Actuals!K105)</f>
        <v>0</v>
      </c>
      <c r="L106" s="3">
        <f>IF(ISBLANK(Actuals!L105),-(IF(AND(Projects!$G$2="Yes",Projects!$J$2="Yes",Projects!$K$2="No",7=Projects!$C$2),Projects!$B$2*Assumptions!$B$47,0)+IF(AND(Projects!$G$3="Yes",Projects!$J$3="Yes",Projects!$K$3="No",7=Projects!$C$3),Projects!$B$3*Assumptions!$B$47,0)+IF(AND(Projects!$G$4="Yes",Projects!$J$4="Yes",Projects!$K$4="No",7=Projects!$C$4),Projects!$B$4*Assumptions!$B$47,0)+IF(AND(Projects!$G$5="Yes",Projects!$J$5="Yes",Projects!$K$5="No",7=Projects!$C$5),Projects!$B$5*Assumptions!$B$47,0)+IF(AND(Projects!$G$6="Yes",Projects!$J$6="Yes",Projects!$K$6="No",7=Projects!$C$6),Projects!$B$6*Assumptions!$B$47,0)+IF(AND(Projects!$G$7="Yes",Projects!$J$7="Yes",Projects!$K$7="No",7=Projects!$C$7),Projects!$B$7*Assumptions!$B$47,0)+IF(AND(Projects!$G$8="Yes",Projects!$J$8="Yes",Projects!$K$8="No",7=Projects!$C$8),Projects!$B$8*Assumptions!$B$47,0)+IF(AND(Projects!$G$9="Yes",Projects!$J$9="Yes",Projects!$K$9="No",7=Projects!$C$9),Projects!$B$9*Assumptions!$B$47,0)+IF(AND(Projects!$G$10="Yes",Projects!$J$10="Yes",Projects!$K$10="No",7=Projects!$C$10),Projects!$B$10*Assumptions!$B$47,0)+IF(AND(Projects!$G$11="Yes",Projects!$J$11="Yes",Projects!$K$11="No",7=Projects!$C$11),Projects!$B$11*Assumptions!$B$47,0)+IF(AND(Projects!$G$12="Yes",Projects!$J$12="Yes",Projects!$K$12="No",7=Projects!$C$12),Projects!$B$12*Assumptions!$B$47,0)+IF(AND(Projects!$G$13="Yes",Projects!$J$13="Yes",Projects!$K$13="No",7=Projects!$C$13),Projects!$B$13*Assumptions!$B$47,0)+IF(AND(Projects!$G$14="Yes",Projects!$J$14="Yes",Projects!$K$14="No",7=Projects!$C$14),Projects!$B$14*Assumptions!$B$47,0)),Actuals!L105)</f>
        <v>0</v>
      </c>
      <c r="M106" s="3">
        <f>IF(ISBLANK(Actuals!M105),-(IF(AND(Projects!$G$2="Yes",Projects!$J$2="Yes",Projects!$K$2="No",8=Projects!$C$2),Projects!$B$2*Assumptions!$B$47,0)+IF(AND(Projects!$G$3="Yes",Projects!$J$3="Yes",Projects!$K$3="No",8=Projects!$C$3),Projects!$B$3*Assumptions!$B$47,0)+IF(AND(Projects!$G$4="Yes",Projects!$J$4="Yes",Projects!$K$4="No",8=Projects!$C$4),Projects!$B$4*Assumptions!$B$47,0)+IF(AND(Projects!$G$5="Yes",Projects!$J$5="Yes",Projects!$K$5="No",8=Projects!$C$5),Projects!$B$5*Assumptions!$B$47,0)+IF(AND(Projects!$G$6="Yes",Projects!$J$6="Yes",Projects!$K$6="No",8=Projects!$C$6),Projects!$B$6*Assumptions!$B$47,0)+IF(AND(Projects!$G$7="Yes",Projects!$J$7="Yes",Projects!$K$7="No",8=Projects!$C$7),Projects!$B$7*Assumptions!$B$47,0)+IF(AND(Projects!$G$8="Yes",Projects!$J$8="Yes",Projects!$K$8="No",8=Projects!$C$8),Projects!$B$8*Assumptions!$B$47,0)+IF(AND(Projects!$G$9="Yes",Projects!$J$9="Yes",Projects!$K$9="No",8=Projects!$C$9),Projects!$B$9*Assumptions!$B$47,0)+IF(AND(Projects!$G$10="Yes",Projects!$J$10="Yes",Projects!$K$10="No",8=Projects!$C$10),Projects!$B$10*Assumptions!$B$47,0)+IF(AND(Projects!$G$11="Yes",Projects!$J$11="Yes",Projects!$K$11="No",8=Projects!$C$11),Projects!$B$11*Assumptions!$B$47,0)+IF(AND(Projects!$G$12="Yes",Projects!$J$12="Yes",Projects!$K$12="No",8=Projects!$C$12),Projects!$B$12*Assumptions!$B$47,0)+IF(AND(Projects!$G$13="Yes",Projects!$J$13="Yes",Projects!$K$13="No",8=Projects!$C$13),Projects!$B$13*Assumptions!$B$47,0)+IF(AND(Projects!$G$14="Yes",Projects!$J$14="Yes",Projects!$K$14="No",8=Projects!$C$14),Projects!$B$14*Assumptions!$B$47,0)),Actuals!M105)</f>
        <v>0</v>
      </c>
      <c r="N106" s="3">
        <f>IF(ISBLANK(Actuals!N105),-(IF(AND(Projects!$G$2="Yes",Projects!$J$2="Yes",Projects!$K$2="No",9=Projects!$C$2),Projects!$B$2*Assumptions!$B$47,0)+IF(AND(Projects!$G$3="Yes",Projects!$J$3="Yes",Projects!$K$3="No",9=Projects!$C$3),Projects!$B$3*Assumptions!$B$47,0)+IF(AND(Projects!$G$4="Yes",Projects!$J$4="Yes",Projects!$K$4="No",9=Projects!$C$4),Projects!$B$4*Assumptions!$B$47,0)+IF(AND(Projects!$G$5="Yes",Projects!$J$5="Yes",Projects!$K$5="No",9=Projects!$C$5),Projects!$B$5*Assumptions!$B$47,0)+IF(AND(Projects!$G$6="Yes",Projects!$J$6="Yes",Projects!$K$6="No",9=Projects!$C$6),Projects!$B$6*Assumptions!$B$47,0)+IF(AND(Projects!$G$7="Yes",Projects!$J$7="Yes",Projects!$K$7="No",9=Projects!$C$7),Projects!$B$7*Assumptions!$B$47,0)+IF(AND(Projects!$G$8="Yes",Projects!$J$8="Yes",Projects!$K$8="No",9=Projects!$C$8),Projects!$B$8*Assumptions!$B$47,0)+IF(AND(Projects!$G$9="Yes",Projects!$J$9="Yes",Projects!$K$9="No",9=Projects!$C$9),Projects!$B$9*Assumptions!$B$47,0)+IF(AND(Projects!$G$10="Yes",Projects!$J$10="Yes",Projects!$K$10="No",9=Projects!$C$10),Projects!$B$10*Assumptions!$B$47,0)+IF(AND(Projects!$G$11="Yes",Projects!$J$11="Yes",Projects!$K$11="No",9=Projects!$C$11),Projects!$B$11*Assumptions!$B$47,0)+IF(AND(Projects!$G$12="Yes",Projects!$J$12="Yes",Projects!$K$12="No",9=Projects!$C$12),Projects!$B$12*Assumptions!$B$47,0)+IF(AND(Projects!$G$13="Yes",Projects!$J$13="Yes",Projects!$K$13="No",9=Projects!$C$13),Projects!$B$13*Assumptions!$B$47,0)+IF(AND(Projects!$G$14="Yes",Projects!$J$14="Yes",Projects!$K$14="No",9=Projects!$C$14),Projects!$B$14*Assumptions!$B$47,0)),Actuals!N105)</f>
        <v>0</v>
      </c>
      <c r="O106" s="3">
        <f>IF(ISBLANK(Actuals!O105),-(IF(AND(Projects!$G$2="Yes",Projects!$J$2="Yes",Projects!$K$2="No",10=Projects!$C$2),Projects!$B$2*Assumptions!$B$47,0)+IF(AND(Projects!$G$3="Yes",Projects!$J$3="Yes",Projects!$K$3="No",10=Projects!$C$3),Projects!$B$3*Assumptions!$B$47,0)+IF(AND(Projects!$G$4="Yes",Projects!$J$4="Yes",Projects!$K$4="No",10=Projects!$C$4),Projects!$B$4*Assumptions!$B$47,0)+IF(AND(Projects!$G$5="Yes",Projects!$J$5="Yes",Projects!$K$5="No",10=Projects!$C$5),Projects!$B$5*Assumptions!$B$47,0)+IF(AND(Projects!$G$6="Yes",Projects!$J$6="Yes",Projects!$K$6="No",10=Projects!$C$6),Projects!$B$6*Assumptions!$B$47,0)+IF(AND(Projects!$G$7="Yes",Projects!$J$7="Yes",Projects!$K$7="No",10=Projects!$C$7),Projects!$B$7*Assumptions!$B$47,0)+IF(AND(Projects!$G$8="Yes",Projects!$J$8="Yes",Projects!$K$8="No",10=Projects!$C$8),Projects!$B$8*Assumptions!$B$47,0)+IF(AND(Projects!$G$9="Yes",Projects!$J$9="Yes",Projects!$K$9="No",10=Projects!$C$9),Projects!$B$9*Assumptions!$B$47,0)+IF(AND(Projects!$G$10="Yes",Projects!$J$10="Yes",Projects!$K$10="No",10=Projects!$C$10),Projects!$B$10*Assumptions!$B$47,0)+IF(AND(Projects!$G$11="Yes",Projects!$J$11="Yes",Projects!$K$11="No",10=Projects!$C$11),Projects!$B$11*Assumptions!$B$47,0)+IF(AND(Projects!$G$12="Yes",Projects!$J$12="Yes",Projects!$K$12="No",10=Projects!$C$12),Projects!$B$12*Assumptions!$B$47,0)+IF(AND(Projects!$G$13="Yes",Projects!$J$13="Yes",Projects!$K$13="No",10=Projects!$C$13),Projects!$B$13*Assumptions!$B$47,0)+IF(AND(Projects!$G$14="Yes",Projects!$J$14="Yes",Projects!$K$14="No",10=Projects!$C$14),Projects!$B$14*Assumptions!$B$47,0)),Actuals!O105)</f>
        <v>0</v>
      </c>
      <c r="P106" s="3">
        <f>IF(ISBLANK(Actuals!P105),-(IF(AND(Projects!$G$2="Yes",Projects!$J$2="Yes",Projects!$K$2="No",11=Projects!$C$2),Projects!$B$2*Assumptions!$B$47,0)+IF(AND(Projects!$G$3="Yes",Projects!$J$3="Yes",Projects!$K$3="No",11=Projects!$C$3),Projects!$B$3*Assumptions!$B$47,0)+IF(AND(Projects!$G$4="Yes",Projects!$J$4="Yes",Projects!$K$4="No",11=Projects!$C$4),Projects!$B$4*Assumptions!$B$47,0)+IF(AND(Projects!$G$5="Yes",Projects!$J$5="Yes",Projects!$K$5="No",11=Projects!$C$5),Projects!$B$5*Assumptions!$B$47,0)+IF(AND(Projects!$G$6="Yes",Projects!$J$6="Yes",Projects!$K$6="No",11=Projects!$C$6),Projects!$B$6*Assumptions!$B$47,0)+IF(AND(Projects!$G$7="Yes",Projects!$J$7="Yes",Projects!$K$7="No",11=Projects!$C$7),Projects!$B$7*Assumptions!$B$47,0)+IF(AND(Projects!$G$8="Yes",Projects!$J$8="Yes",Projects!$K$8="No",11=Projects!$C$8),Projects!$B$8*Assumptions!$B$47,0)+IF(AND(Projects!$G$9="Yes",Projects!$J$9="Yes",Projects!$K$9="No",11=Projects!$C$9),Projects!$B$9*Assumptions!$B$47,0)+IF(AND(Projects!$G$10="Yes",Projects!$J$10="Yes",Projects!$K$10="No",11=Projects!$C$10),Projects!$B$10*Assumptions!$B$47,0)+IF(AND(Projects!$G$11="Yes",Projects!$J$11="Yes",Projects!$K$11="No",11=Projects!$C$11),Projects!$B$11*Assumptions!$B$47,0)+IF(AND(Projects!$G$12="Yes",Projects!$J$12="Yes",Projects!$K$12="No",11=Projects!$C$12),Projects!$B$12*Assumptions!$B$47,0)+IF(AND(Projects!$G$13="Yes",Projects!$J$13="Yes",Projects!$K$13="No",11=Projects!$C$13),Projects!$B$13*Assumptions!$B$47,0)+IF(AND(Projects!$G$14="Yes",Projects!$J$14="Yes",Projects!$K$14="No",11=Projects!$C$14),Projects!$B$14*Assumptions!$B$47,0)),Actuals!P105)</f>
        <v>0</v>
      </c>
      <c r="Q106" s="3">
        <f>IF(ISBLANK(Actuals!Q105),-(IF(AND(Projects!$G$2="Yes",Projects!$J$2="Yes",Projects!$K$2="No",12=Projects!$C$2),Projects!$B$2*Assumptions!$B$47,0)+IF(AND(Projects!$G$3="Yes",Projects!$J$3="Yes",Projects!$K$3="No",12=Projects!$C$3),Projects!$B$3*Assumptions!$B$47,0)+IF(AND(Projects!$G$4="Yes",Projects!$J$4="Yes",Projects!$K$4="No",12=Projects!$C$4),Projects!$B$4*Assumptions!$B$47,0)+IF(AND(Projects!$G$5="Yes",Projects!$J$5="Yes",Projects!$K$5="No",12=Projects!$C$5),Projects!$B$5*Assumptions!$B$47,0)+IF(AND(Projects!$G$6="Yes",Projects!$J$6="Yes",Projects!$K$6="No",12=Projects!$C$6),Projects!$B$6*Assumptions!$B$47,0)+IF(AND(Projects!$G$7="Yes",Projects!$J$7="Yes",Projects!$K$7="No",12=Projects!$C$7),Projects!$B$7*Assumptions!$B$47,0)+IF(AND(Projects!$G$8="Yes",Projects!$J$8="Yes",Projects!$K$8="No",12=Projects!$C$8),Projects!$B$8*Assumptions!$B$47,0)+IF(AND(Projects!$G$9="Yes",Projects!$J$9="Yes",Projects!$K$9="No",12=Projects!$C$9),Projects!$B$9*Assumptions!$B$47,0)+IF(AND(Projects!$G$10="Yes",Projects!$J$10="Yes",Projects!$K$10="No",12=Projects!$C$10),Projects!$B$10*Assumptions!$B$47,0)+IF(AND(Projects!$G$11="Yes",Projects!$J$11="Yes",Projects!$K$11="No",12=Projects!$C$11),Projects!$B$11*Assumptions!$B$47,0)+IF(AND(Projects!$G$12="Yes",Projects!$J$12="Yes",Projects!$K$12="No",12=Projects!$C$12),Projects!$B$12*Assumptions!$B$47,0)+IF(AND(Projects!$G$13="Yes",Projects!$J$13="Yes",Projects!$K$13="No",12=Projects!$C$13),Projects!$B$13*Assumptions!$B$47,0)+IF(AND(Projects!$G$14="Yes",Projects!$J$14="Yes",Projects!$K$14="No",12=Projects!$C$14),Projects!$B$14*Assumptions!$B$47,0)),Actuals!Q105)</f>
        <v>0</v>
      </c>
      <c r="R106" s="3">
        <f>IF(ISBLANK(Actuals!R105),-(IF(AND(Projects!$G$2="Yes",Projects!$J$2="Yes",Projects!$K$2="No",13=Projects!$C$2),Projects!$B$2*Assumptions!$B$47,0)+IF(AND(Projects!$G$3="Yes",Projects!$J$3="Yes",Projects!$K$3="No",13=Projects!$C$3),Projects!$B$3*Assumptions!$B$47,0)+IF(AND(Projects!$G$4="Yes",Projects!$J$4="Yes",Projects!$K$4="No",13=Projects!$C$4),Projects!$B$4*Assumptions!$B$47,0)+IF(AND(Projects!$G$5="Yes",Projects!$J$5="Yes",Projects!$K$5="No",13=Projects!$C$5),Projects!$B$5*Assumptions!$B$47,0)+IF(AND(Projects!$G$6="Yes",Projects!$J$6="Yes",Projects!$K$6="No",13=Projects!$C$6),Projects!$B$6*Assumptions!$B$47,0)+IF(AND(Projects!$G$7="Yes",Projects!$J$7="Yes",Projects!$K$7="No",13=Projects!$C$7),Projects!$B$7*Assumptions!$B$47,0)+IF(AND(Projects!$G$8="Yes",Projects!$J$8="Yes",Projects!$K$8="No",13=Projects!$C$8),Projects!$B$8*Assumptions!$B$47,0)+IF(AND(Projects!$G$9="Yes",Projects!$J$9="Yes",Projects!$K$9="No",13=Projects!$C$9),Projects!$B$9*Assumptions!$B$47,0)+IF(AND(Projects!$G$10="Yes",Projects!$J$10="Yes",Projects!$K$10="No",13=Projects!$C$10),Projects!$B$10*Assumptions!$B$47,0)+IF(AND(Projects!$G$11="Yes",Projects!$J$11="Yes",Projects!$K$11="No",13=Projects!$C$11),Projects!$B$11*Assumptions!$B$47,0)+IF(AND(Projects!$G$12="Yes",Projects!$J$12="Yes",Projects!$K$12="No",13=Projects!$C$12),Projects!$B$12*Assumptions!$B$47,0)+IF(AND(Projects!$G$13="Yes",Projects!$J$13="Yes",Projects!$K$13="No",13=Projects!$C$13),Projects!$B$13*Assumptions!$B$47,0)+IF(AND(Projects!$G$14="Yes",Projects!$J$14="Yes",Projects!$K$14="No",13=Projects!$C$14),Projects!$B$14*Assumptions!$B$47,0)),Actuals!R105)</f>
        <v>0</v>
      </c>
      <c r="S106" s="3">
        <f>IF(ISBLANK(Actuals!S105),-(IF(AND(Projects!$G$2="Yes",Projects!$J$2="Yes",Projects!$K$2="No",14=Projects!$C$2),Projects!$B$2*Assumptions!$B$47,0)+IF(AND(Projects!$G$3="Yes",Projects!$J$3="Yes",Projects!$K$3="No",14=Projects!$C$3),Projects!$B$3*Assumptions!$B$47,0)+IF(AND(Projects!$G$4="Yes",Projects!$J$4="Yes",Projects!$K$4="No",14=Projects!$C$4),Projects!$B$4*Assumptions!$B$47,0)+IF(AND(Projects!$G$5="Yes",Projects!$J$5="Yes",Projects!$K$5="No",14=Projects!$C$5),Projects!$B$5*Assumptions!$B$47,0)+IF(AND(Projects!$G$6="Yes",Projects!$J$6="Yes",Projects!$K$6="No",14=Projects!$C$6),Projects!$B$6*Assumptions!$B$47,0)+IF(AND(Projects!$G$7="Yes",Projects!$J$7="Yes",Projects!$K$7="No",14=Projects!$C$7),Projects!$B$7*Assumptions!$B$47,0)+IF(AND(Projects!$G$8="Yes",Projects!$J$8="Yes",Projects!$K$8="No",14=Projects!$C$8),Projects!$B$8*Assumptions!$B$47,0)+IF(AND(Projects!$G$9="Yes",Projects!$J$9="Yes",Projects!$K$9="No",14=Projects!$C$9),Projects!$B$9*Assumptions!$B$47,0)+IF(AND(Projects!$G$10="Yes",Projects!$J$10="Yes",Projects!$K$10="No",14=Projects!$C$10),Projects!$B$10*Assumptions!$B$47,0)+IF(AND(Projects!$G$11="Yes",Projects!$J$11="Yes",Projects!$K$11="No",14=Projects!$C$11),Projects!$B$11*Assumptions!$B$47,0)+IF(AND(Projects!$G$12="Yes",Projects!$J$12="Yes",Projects!$K$12="No",14=Projects!$C$12),Projects!$B$12*Assumptions!$B$47,0)+IF(AND(Projects!$G$13="Yes",Projects!$J$13="Yes",Projects!$K$13="No",14=Projects!$C$13),Projects!$B$13*Assumptions!$B$47,0)+IF(AND(Projects!$G$14="Yes",Projects!$J$14="Yes",Projects!$K$14="No",14=Projects!$C$14),Projects!$B$14*Assumptions!$B$47,0)),Actuals!S105)</f>
        <v>0</v>
      </c>
      <c r="T106" s="3">
        <f>IF(ISBLANK(Actuals!T105),-(IF(AND(Projects!$G$2="Yes",Projects!$J$2="Yes",Projects!$K$2="No",15=Projects!$C$2),Projects!$B$2*Assumptions!$B$47,0)+IF(AND(Projects!$G$3="Yes",Projects!$J$3="Yes",Projects!$K$3="No",15=Projects!$C$3),Projects!$B$3*Assumptions!$B$47,0)+IF(AND(Projects!$G$4="Yes",Projects!$J$4="Yes",Projects!$K$4="No",15=Projects!$C$4),Projects!$B$4*Assumptions!$B$47,0)+IF(AND(Projects!$G$5="Yes",Projects!$J$5="Yes",Projects!$K$5="No",15=Projects!$C$5),Projects!$B$5*Assumptions!$B$47,0)+IF(AND(Projects!$G$6="Yes",Projects!$J$6="Yes",Projects!$K$6="No",15=Projects!$C$6),Projects!$B$6*Assumptions!$B$47,0)+IF(AND(Projects!$G$7="Yes",Projects!$J$7="Yes",Projects!$K$7="No",15=Projects!$C$7),Projects!$B$7*Assumptions!$B$47,0)+IF(AND(Projects!$G$8="Yes",Projects!$J$8="Yes",Projects!$K$8="No",15=Projects!$C$8),Projects!$B$8*Assumptions!$B$47,0)+IF(AND(Projects!$G$9="Yes",Projects!$J$9="Yes",Projects!$K$9="No",15=Projects!$C$9),Projects!$B$9*Assumptions!$B$47,0)+IF(AND(Projects!$G$10="Yes",Projects!$J$10="Yes",Projects!$K$10="No",15=Projects!$C$10),Projects!$B$10*Assumptions!$B$47,0)+IF(AND(Projects!$G$11="Yes",Projects!$J$11="Yes",Projects!$K$11="No",15=Projects!$C$11),Projects!$B$11*Assumptions!$B$47,0)+IF(AND(Projects!$G$12="Yes",Projects!$J$12="Yes",Projects!$K$12="No",15=Projects!$C$12),Projects!$B$12*Assumptions!$B$47,0)+IF(AND(Projects!$G$13="Yes",Projects!$J$13="Yes",Projects!$K$13="No",15=Projects!$C$13),Projects!$B$13*Assumptions!$B$47,0)+IF(AND(Projects!$G$14="Yes",Projects!$J$14="Yes",Projects!$K$14="No",15=Projects!$C$14),Projects!$B$14*Assumptions!$B$47,0)),Actuals!T105)</f>
        <v>0</v>
      </c>
      <c r="U106" s="3">
        <f>IF(ISBLANK(Actuals!U105),-(IF(AND(Projects!$G$2="Yes",Projects!$J$2="Yes",Projects!$K$2="No",16=Projects!$C$2),Projects!$B$2*Assumptions!$B$47,0)+IF(AND(Projects!$G$3="Yes",Projects!$J$3="Yes",Projects!$K$3="No",16=Projects!$C$3),Projects!$B$3*Assumptions!$B$47,0)+IF(AND(Projects!$G$4="Yes",Projects!$J$4="Yes",Projects!$K$4="No",16=Projects!$C$4),Projects!$B$4*Assumptions!$B$47,0)+IF(AND(Projects!$G$5="Yes",Projects!$J$5="Yes",Projects!$K$5="No",16=Projects!$C$5),Projects!$B$5*Assumptions!$B$47,0)+IF(AND(Projects!$G$6="Yes",Projects!$J$6="Yes",Projects!$K$6="No",16=Projects!$C$6),Projects!$B$6*Assumptions!$B$47,0)+IF(AND(Projects!$G$7="Yes",Projects!$J$7="Yes",Projects!$K$7="No",16=Projects!$C$7),Projects!$B$7*Assumptions!$B$47,0)+IF(AND(Projects!$G$8="Yes",Projects!$J$8="Yes",Projects!$K$8="No",16=Projects!$C$8),Projects!$B$8*Assumptions!$B$47,0)+IF(AND(Projects!$G$9="Yes",Projects!$J$9="Yes",Projects!$K$9="No",16=Projects!$C$9),Projects!$B$9*Assumptions!$B$47,0)+IF(AND(Projects!$G$10="Yes",Projects!$J$10="Yes",Projects!$K$10="No",16=Projects!$C$10),Projects!$B$10*Assumptions!$B$47,0)+IF(AND(Projects!$G$11="Yes",Projects!$J$11="Yes",Projects!$K$11="No",16=Projects!$C$11),Projects!$B$11*Assumptions!$B$47,0)+IF(AND(Projects!$G$12="Yes",Projects!$J$12="Yes",Projects!$K$12="No",16=Projects!$C$12),Projects!$B$12*Assumptions!$B$47,0)+IF(AND(Projects!$G$13="Yes",Projects!$J$13="Yes",Projects!$K$13="No",16=Projects!$C$13),Projects!$B$13*Assumptions!$B$47,0)+IF(AND(Projects!$G$14="Yes",Projects!$J$14="Yes",Projects!$K$14="No",16=Projects!$C$14),Projects!$B$14*Assumptions!$B$47,0)),Actuals!U105)</f>
        <v>0</v>
      </c>
      <c r="V106" s="3">
        <f>IF(ISBLANK(Actuals!V105),-(IF(AND(Projects!$G$2="Yes",Projects!$J$2="Yes",Projects!$K$2="No",17=Projects!$C$2),Projects!$B$2*Assumptions!$B$47,0)+IF(AND(Projects!$G$3="Yes",Projects!$J$3="Yes",Projects!$K$3="No",17=Projects!$C$3),Projects!$B$3*Assumptions!$B$47,0)+IF(AND(Projects!$G$4="Yes",Projects!$J$4="Yes",Projects!$K$4="No",17=Projects!$C$4),Projects!$B$4*Assumptions!$B$47,0)+IF(AND(Projects!$G$5="Yes",Projects!$J$5="Yes",Projects!$K$5="No",17=Projects!$C$5),Projects!$B$5*Assumptions!$B$47,0)+IF(AND(Projects!$G$6="Yes",Projects!$J$6="Yes",Projects!$K$6="No",17=Projects!$C$6),Projects!$B$6*Assumptions!$B$47,0)+IF(AND(Projects!$G$7="Yes",Projects!$J$7="Yes",Projects!$K$7="No",17=Projects!$C$7),Projects!$B$7*Assumptions!$B$47,0)+IF(AND(Projects!$G$8="Yes",Projects!$J$8="Yes",Projects!$K$8="No",17=Projects!$C$8),Projects!$B$8*Assumptions!$B$47,0)+IF(AND(Projects!$G$9="Yes",Projects!$J$9="Yes",Projects!$K$9="No",17=Projects!$C$9),Projects!$B$9*Assumptions!$B$47,0)+IF(AND(Projects!$G$10="Yes",Projects!$J$10="Yes",Projects!$K$10="No",17=Projects!$C$10),Projects!$B$10*Assumptions!$B$47,0)+IF(AND(Projects!$G$11="Yes",Projects!$J$11="Yes",Projects!$K$11="No",17=Projects!$C$11),Projects!$B$11*Assumptions!$B$47,0)+IF(AND(Projects!$G$12="Yes",Projects!$J$12="Yes",Projects!$K$12="No",17=Projects!$C$12),Projects!$B$12*Assumptions!$B$47,0)+IF(AND(Projects!$G$13="Yes",Projects!$J$13="Yes",Projects!$K$13="No",17=Projects!$C$13),Projects!$B$13*Assumptions!$B$47,0)+IF(AND(Projects!$G$14="Yes",Projects!$J$14="Yes",Projects!$K$14="No",17=Projects!$C$14),Projects!$B$14*Assumptions!$B$47,0)),Actuals!V105)</f>
        <v>0</v>
      </c>
      <c r="W106" s="3">
        <f>IF(ISBLANK(Actuals!W105),-(IF(AND(Projects!$G$2="Yes",Projects!$J$2="Yes",Projects!$K$2="No",18=Projects!$C$2),Projects!$B$2*Assumptions!$B$47,0)+IF(AND(Projects!$G$3="Yes",Projects!$J$3="Yes",Projects!$K$3="No",18=Projects!$C$3),Projects!$B$3*Assumptions!$B$47,0)+IF(AND(Projects!$G$4="Yes",Projects!$J$4="Yes",Projects!$K$4="No",18=Projects!$C$4),Projects!$B$4*Assumptions!$B$47,0)+IF(AND(Projects!$G$5="Yes",Projects!$J$5="Yes",Projects!$K$5="No",18=Projects!$C$5),Projects!$B$5*Assumptions!$B$47,0)+IF(AND(Projects!$G$6="Yes",Projects!$J$6="Yes",Projects!$K$6="No",18=Projects!$C$6),Projects!$B$6*Assumptions!$B$47,0)+IF(AND(Projects!$G$7="Yes",Projects!$J$7="Yes",Projects!$K$7="No",18=Projects!$C$7),Projects!$B$7*Assumptions!$B$47,0)+IF(AND(Projects!$G$8="Yes",Projects!$J$8="Yes",Projects!$K$8="No",18=Projects!$C$8),Projects!$B$8*Assumptions!$B$47,0)+IF(AND(Projects!$G$9="Yes",Projects!$J$9="Yes",Projects!$K$9="No",18=Projects!$C$9),Projects!$B$9*Assumptions!$B$47,0)+IF(AND(Projects!$G$10="Yes",Projects!$J$10="Yes",Projects!$K$10="No",18=Projects!$C$10),Projects!$B$10*Assumptions!$B$47,0)+IF(AND(Projects!$G$11="Yes",Projects!$J$11="Yes",Projects!$K$11="No",18=Projects!$C$11),Projects!$B$11*Assumptions!$B$47,0)+IF(AND(Projects!$G$12="Yes",Projects!$J$12="Yes",Projects!$K$12="No",18=Projects!$C$12),Projects!$B$12*Assumptions!$B$47,0)+IF(AND(Projects!$G$13="Yes",Projects!$J$13="Yes",Projects!$K$13="No",18=Projects!$C$13),Projects!$B$13*Assumptions!$B$47,0)+IF(AND(Projects!$G$14="Yes",Projects!$J$14="Yes",Projects!$K$14="No",18=Projects!$C$14),Projects!$B$14*Assumptions!$B$47,0)),Actuals!W105)</f>
        <v>0</v>
      </c>
      <c r="X106" s="3">
        <f>IF(ISBLANK(Actuals!X105),-(IF(AND(Projects!$G$2="Yes",Projects!$J$2="Yes",Projects!$K$2="No",19=Projects!$C$2),Projects!$B$2*Assumptions!$B$47,0)+IF(AND(Projects!$G$3="Yes",Projects!$J$3="Yes",Projects!$K$3="No",19=Projects!$C$3),Projects!$B$3*Assumptions!$B$47,0)+IF(AND(Projects!$G$4="Yes",Projects!$J$4="Yes",Projects!$K$4="No",19=Projects!$C$4),Projects!$B$4*Assumptions!$B$47,0)+IF(AND(Projects!$G$5="Yes",Projects!$J$5="Yes",Projects!$K$5="No",19=Projects!$C$5),Projects!$B$5*Assumptions!$B$47,0)+IF(AND(Projects!$G$6="Yes",Projects!$J$6="Yes",Projects!$K$6="No",19=Projects!$C$6),Projects!$B$6*Assumptions!$B$47,0)+IF(AND(Projects!$G$7="Yes",Projects!$J$7="Yes",Projects!$K$7="No",19=Projects!$C$7),Projects!$B$7*Assumptions!$B$47,0)+IF(AND(Projects!$G$8="Yes",Projects!$J$8="Yes",Projects!$K$8="No",19=Projects!$C$8),Projects!$B$8*Assumptions!$B$47,0)+IF(AND(Projects!$G$9="Yes",Projects!$J$9="Yes",Projects!$K$9="No",19=Projects!$C$9),Projects!$B$9*Assumptions!$B$47,0)+IF(AND(Projects!$G$10="Yes",Projects!$J$10="Yes",Projects!$K$10="No",19=Projects!$C$10),Projects!$B$10*Assumptions!$B$47,0)+IF(AND(Projects!$G$11="Yes",Projects!$J$11="Yes",Projects!$K$11="No",19=Projects!$C$11),Projects!$B$11*Assumptions!$B$47,0)+IF(AND(Projects!$G$12="Yes",Projects!$J$12="Yes",Projects!$K$12="No",19=Projects!$C$12),Projects!$B$12*Assumptions!$B$47,0)+IF(AND(Projects!$G$13="Yes",Projects!$J$13="Yes",Projects!$K$13="No",19=Projects!$C$13),Projects!$B$13*Assumptions!$B$47,0)+IF(AND(Projects!$G$14="Yes",Projects!$J$14="Yes",Projects!$K$14="No",19=Projects!$C$14),Projects!$B$14*Assumptions!$B$47,0)),Actuals!X105)</f>
        <v>0</v>
      </c>
      <c r="Y106" s="3">
        <f>IF(ISBLANK(Actuals!Y105),-(IF(AND(Projects!$G$2="Yes",Projects!$J$2="Yes",Projects!$K$2="No",20=Projects!$C$2),Projects!$B$2*Assumptions!$B$47,0)+IF(AND(Projects!$G$3="Yes",Projects!$J$3="Yes",Projects!$K$3="No",20=Projects!$C$3),Projects!$B$3*Assumptions!$B$47,0)+IF(AND(Projects!$G$4="Yes",Projects!$J$4="Yes",Projects!$K$4="No",20=Projects!$C$4),Projects!$B$4*Assumptions!$B$47,0)+IF(AND(Projects!$G$5="Yes",Projects!$J$5="Yes",Projects!$K$5="No",20=Projects!$C$5),Projects!$B$5*Assumptions!$B$47,0)+IF(AND(Projects!$G$6="Yes",Projects!$J$6="Yes",Projects!$K$6="No",20=Projects!$C$6),Projects!$B$6*Assumptions!$B$47,0)+IF(AND(Projects!$G$7="Yes",Projects!$J$7="Yes",Projects!$K$7="No",20=Projects!$C$7),Projects!$B$7*Assumptions!$B$47,0)+IF(AND(Projects!$G$8="Yes",Projects!$J$8="Yes",Projects!$K$8="No",20=Projects!$C$8),Projects!$B$8*Assumptions!$B$47,0)+IF(AND(Projects!$G$9="Yes",Projects!$J$9="Yes",Projects!$K$9="No",20=Projects!$C$9),Projects!$B$9*Assumptions!$B$47,0)+IF(AND(Projects!$G$10="Yes",Projects!$J$10="Yes",Projects!$K$10="No",20=Projects!$C$10),Projects!$B$10*Assumptions!$B$47,0)+IF(AND(Projects!$G$11="Yes",Projects!$J$11="Yes",Projects!$K$11="No",20=Projects!$C$11),Projects!$B$11*Assumptions!$B$47,0)+IF(AND(Projects!$G$12="Yes",Projects!$J$12="Yes",Projects!$K$12="No",20=Projects!$C$12),Projects!$B$12*Assumptions!$B$47,0)+IF(AND(Projects!$G$13="Yes",Projects!$J$13="Yes",Projects!$K$13="No",20=Projects!$C$13),Projects!$B$13*Assumptions!$B$47,0)+IF(AND(Projects!$G$14="Yes",Projects!$J$14="Yes",Projects!$K$14="No",20=Projects!$C$14),Projects!$B$14*Assumptions!$B$47,0)),Actuals!Y105)</f>
        <v>0</v>
      </c>
      <c r="Z106" s="3">
        <f>IF(ISBLANK(Actuals!Z105),-(IF(AND(Projects!$G$2="Yes",Projects!$J$2="Yes",Projects!$K$2="No",21=Projects!$C$2),Projects!$B$2*Assumptions!$B$47,0)+IF(AND(Projects!$G$3="Yes",Projects!$J$3="Yes",Projects!$K$3="No",21=Projects!$C$3),Projects!$B$3*Assumptions!$B$47,0)+IF(AND(Projects!$G$4="Yes",Projects!$J$4="Yes",Projects!$K$4="No",21=Projects!$C$4),Projects!$B$4*Assumptions!$B$47,0)+IF(AND(Projects!$G$5="Yes",Projects!$J$5="Yes",Projects!$K$5="No",21=Projects!$C$5),Projects!$B$5*Assumptions!$B$47,0)+IF(AND(Projects!$G$6="Yes",Projects!$J$6="Yes",Projects!$K$6="No",21=Projects!$C$6),Projects!$B$6*Assumptions!$B$47,0)+IF(AND(Projects!$G$7="Yes",Projects!$J$7="Yes",Projects!$K$7="No",21=Projects!$C$7),Projects!$B$7*Assumptions!$B$47,0)+IF(AND(Projects!$G$8="Yes",Projects!$J$8="Yes",Projects!$K$8="No",21=Projects!$C$8),Projects!$B$8*Assumptions!$B$47,0)+IF(AND(Projects!$G$9="Yes",Projects!$J$9="Yes",Projects!$K$9="No",21=Projects!$C$9),Projects!$B$9*Assumptions!$B$47,0)+IF(AND(Projects!$G$10="Yes",Projects!$J$10="Yes",Projects!$K$10="No",21=Projects!$C$10),Projects!$B$10*Assumptions!$B$47,0)+IF(AND(Projects!$G$11="Yes",Projects!$J$11="Yes",Projects!$K$11="No",21=Projects!$C$11),Projects!$B$11*Assumptions!$B$47,0)+IF(AND(Projects!$G$12="Yes",Projects!$J$12="Yes",Projects!$K$12="No",21=Projects!$C$12),Projects!$B$12*Assumptions!$B$47,0)+IF(AND(Projects!$G$13="Yes",Projects!$J$13="Yes",Projects!$K$13="No",21=Projects!$C$13),Projects!$B$13*Assumptions!$B$47,0)+IF(AND(Projects!$G$14="Yes",Projects!$J$14="Yes",Projects!$K$14="No",21=Projects!$C$14),Projects!$B$14*Assumptions!$B$47,0)),Actuals!Z105)</f>
        <v>0</v>
      </c>
      <c r="AA106" s="3">
        <f>IF(ISBLANK(Actuals!AA105),-(IF(AND(Projects!$G$2="Yes",Projects!$J$2="Yes",Projects!$K$2="No",22=Projects!$C$2),Projects!$B$2*Assumptions!$B$47,0)+IF(AND(Projects!$G$3="Yes",Projects!$J$3="Yes",Projects!$K$3="No",22=Projects!$C$3),Projects!$B$3*Assumptions!$B$47,0)+IF(AND(Projects!$G$4="Yes",Projects!$J$4="Yes",Projects!$K$4="No",22=Projects!$C$4),Projects!$B$4*Assumptions!$B$47,0)+IF(AND(Projects!$G$5="Yes",Projects!$J$5="Yes",Projects!$K$5="No",22=Projects!$C$5),Projects!$B$5*Assumptions!$B$47,0)+IF(AND(Projects!$G$6="Yes",Projects!$J$6="Yes",Projects!$K$6="No",22=Projects!$C$6),Projects!$B$6*Assumptions!$B$47,0)+IF(AND(Projects!$G$7="Yes",Projects!$J$7="Yes",Projects!$K$7="No",22=Projects!$C$7),Projects!$B$7*Assumptions!$B$47,0)+IF(AND(Projects!$G$8="Yes",Projects!$J$8="Yes",Projects!$K$8="No",22=Projects!$C$8),Projects!$B$8*Assumptions!$B$47,0)+IF(AND(Projects!$G$9="Yes",Projects!$J$9="Yes",Projects!$K$9="No",22=Projects!$C$9),Projects!$B$9*Assumptions!$B$47,0)+IF(AND(Projects!$G$10="Yes",Projects!$J$10="Yes",Projects!$K$10="No",22=Projects!$C$10),Projects!$B$10*Assumptions!$B$47,0)+IF(AND(Projects!$G$11="Yes",Projects!$J$11="Yes",Projects!$K$11="No",22=Projects!$C$11),Projects!$B$11*Assumptions!$B$47,0)+IF(AND(Projects!$G$12="Yes",Projects!$J$12="Yes",Projects!$K$12="No",22=Projects!$C$12),Projects!$B$12*Assumptions!$B$47,0)+IF(AND(Projects!$G$13="Yes",Projects!$J$13="Yes",Projects!$K$13="No",22=Projects!$C$13),Projects!$B$13*Assumptions!$B$47,0)+IF(AND(Projects!$G$14="Yes",Projects!$J$14="Yes",Projects!$K$14="No",22=Projects!$C$14),Projects!$B$14*Assumptions!$B$47,0)),Actuals!AA105)</f>
        <v>0</v>
      </c>
      <c r="AB106" s="3">
        <f>IF(ISBLANK(Actuals!AB105),-(IF(AND(Projects!$G$2="Yes",Projects!$J$2="Yes",Projects!$K$2="No",23=Projects!$C$2),Projects!$B$2*Assumptions!$B$47,0)+IF(AND(Projects!$G$3="Yes",Projects!$J$3="Yes",Projects!$K$3="No",23=Projects!$C$3),Projects!$B$3*Assumptions!$B$47,0)+IF(AND(Projects!$G$4="Yes",Projects!$J$4="Yes",Projects!$K$4="No",23=Projects!$C$4),Projects!$B$4*Assumptions!$B$47,0)+IF(AND(Projects!$G$5="Yes",Projects!$J$5="Yes",Projects!$K$5="No",23=Projects!$C$5),Projects!$B$5*Assumptions!$B$47,0)+IF(AND(Projects!$G$6="Yes",Projects!$J$6="Yes",Projects!$K$6="No",23=Projects!$C$6),Projects!$B$6*Assumptions!$B$47,0)+IF(AND(Projects!$G$7="Yes",Projects!$J$7="Yes",Projects!$K$7="No",23=Projects!$C$7),Projects!$B$7*Assumptions!$B$47,0)+IF(AND(Projects!$G$8="Yes",Projects!$J$8="Yes",Projects!$K$8="No",23=Projects!$C$8),Projects!$B$8*Assumptions!$B$47,0)+IF(AND(Projects!$G$9="Yes",Projects!$J$9="Yes",Projects!$K$9="No",23=Projects!$C$9),Projects!$B$9*Assumptions!$B$47,0)+IF(AND(Projects!$G$10="Yes",Projects!$J$10="Yes",Projects!$K$10="No",23=Projects!$C$10),Projects!$B$10*Assumptions!$B$47,0)+IF(AND(Projects!$G$11="Yes",Projects!$J$11="Yes",Projects!$K$11="No",23=Projects!$C$11),Projects!$B$11*Assumptions!$B$47,0)+IF(AND(Projects!$G$12="Yes",Projects!$J$12="Yes",Projects!$K$12="No",23=Projects!$C$12),Projects!$B$12*Assumptions!$B$47,0)+IF(AND(Projects!$G$13="Yes",Projects!$J$13="Yes",Projects!$K$13="No",23=Projects!$C$13),Projects!$B$13*Assumptions!$B$47,0)+IF(AND(Projects!$G$14="Yes",Projects!$J$14="Yes",Projects!$K$14="No",23=Projects!$C$14),Projects!$B$14*Assumptions!$B$47,0)),Actuals!AB105)</f>
        <v>0</v>
      </c>
      <c r="AC106" s="3">
        <f>IF(ISBLANK(Actuals!AC105),-(IF(AND(Projects!$G$2="Yes",Projects!$J$2="Yes",Projects!$K$2="No",24=Projects!$C$2),Projects!$B$2*Assumptions!$B$47,0)+IF(AND(Projects!$G$3="Yes",Projects!$J$3="Yes",Projects!$K$3="No",24=Projects!$C$3),Projects!$B$3*Assumptions!$B$47,0)+IF(AND(Projects!$G$4="Yes",Projects!$J$4="Yes",Projects!$K$4="No",24=Projects!$C$4),Projects!$B$4*Assumptions!$B$47,0)+IF(AND(Projects!$G$5="Yes",Projects!$J$5="Yes",Projects!$K$5="No",24=Projects!$C$5),Projects!$B$5*Assumptions!$B$47,0)+IF(AND(Projects!$G$6="Yes",Projects!$J$6="Yes",Projects!$K$6="No",24=Projects!$C$6),Projects!$B$6*Assumptions!$B$47,0)+IF(AND(Projects!$G$7="Yes",Projects!$J$7="Yes",Projects!$K$7="No",24=Projects!$C$7),Projects!$B$7*Assumptions!$B$47,0)+IF(AND(Projects!$G$8="Yes",Projects!$J$8="Yes",Projects!$K$8="No",24=Projects!$C$8),Projects!$B$8*Assumptions!$B$47,0)+IF(AND(Projects!$G$9="Yes",Projects!$J$9="Yes",Projects!$K$9="No",24=Projects!$C$9),Projects!$B$9*Assumptions!$B$47,0)+IF(AND(Projects!$G$10="Yes",Projects!$J$10="Yes",Projects!$K$10="No",24=Projects!$C$10),Projects!$B$10*Assumptions!$B$47,0)+IF(AND(Projects!$G$11="Yes",Projects!$J$11="Yes",Projects!$K$11="No",24=Projects!$C$11),Projects!$B$11*Assumptions!$B$47,0)+IF(AND(Projects!$G$12="Yes",Projects!$J$12="Yes",Projects!$K$12="No",24=Projects!$C$12),Projects!$B$12*Assumptions!$B$47,0)+IF(AND(Projects!$G$13="Yes",Projects!$J$13="Yes",Projects!$K$13="No",24=Projects!$C$13),Projects!$B$13*Assumptions!$B$47,0)+IF(AND(Projects!$G$14="Yes",Projects!$J$14="Yes",Projects!$K$14="No",24=Projects!$C$14),Projects!$B$14*Assumptions!$B$47,0)),Actuals!AC105)</f>
        <v>0</v>
      </c>
      <c r="AD106" s="3">
        <f>IF(ISBLANK(Actuals!AD105),-(IF(AND(Projects!$G$2="Yes",Projects!$J$2="Yes",Projects!$K$2="No",25=Projects!$C$2),Projects!$B$2*Assumptions!$B$47,0)+IF(AND(Projects!$G$3="Yes",Projects!$J$3="Yes",Projects!$K$3="No",25=Projects!$C$3),Projects!$B$3*Assumptions!$B$47,0)+IF(AND(Projects!$G$4="Yes",Projects!$J$4="Yes",Projects!$K$4="No",25=Projects!$C$4),Projects!$B$4*Assumptions!$B$47,0)+IF(AND(Projects!$G$5="Yes",Projects!$J$5="Yes",Projects!$K$5="No",25=Projects!$C$5),Projects!$B$5*Assumptions!$B$47,0)+IF(AND(Projects!$G$6="Yes",Projects!$J$6="Yes",Projects!$K$6="No",25=Projects!$C$6),Projects!$B$6*Assumptions!$B$47,0)+IF(AND(Projects!$G$7="Yes",Projects!$J$7="Yes",Projects!$K$7="No",25=Projects!$C$7),Projects!$B$7*Assumptions!$B$47,0)+IF(AND(Projects!$G$8="Yes",Projects!$J$8="Yes",Projects!$K$8="No",25=Projects!$C$8),Projects!$B$8*Assumptions!$B$47,0)+IF(AND(Projects!$G$9="Yes",Projects!$J$9="Yes",Projects!$K$9="No",25=Projects!$C$9),Projects!$B$9*Assumptions!$B$47,0)+IF(AND(Projects!$G$10="Yes",Projects!$J$10="Yes",Projects!$K$10="No",25=Projects!$C$10),Projects!$B$10*Assumptions!$B$47,0)+IF(AND(Projects!$G$11="Yes",Projects!$J$11="Yes",Projects!$K$11="No",25=Projects!$C$11),Projects!$B$11*Assumptions!$B$47,0)+IF(AND(Projects!$G$12="Yes",Projects!$J$12="Yes",Projects!$K$12="No",25=Projects!$C$12),Projects!$B$12*Assumptions!$B$47,0)+IF(AND(Projects!$G$13="Yes",Projects!$J$13="Yes",Projects!$K$13="No",25=Projects!$C$13),Projects!$B$13*Assumptions!$B$47,0)+IF(AND(Projects!$G$14="Yes",Projects!$J$14="Yes",Projects!$K$14="No",25=Projects!$C$14),Projects!$B$14*Assumptions!$B$47,0)),Actuals!AD105)</f>
        <v>0</v>
      </c>
      <c r="AE106" s="3">
        <f>IF(ISBLANK(Actuals!AE105),-(IF(AND(Projects!$G$2="Yes",Projects!$J$2="Yes",Projects!$K$2="No",26=Projects!$C$2),Projects!$B$2*Assumptions!$B$47,0)+IF(AND(Projects!$G$3="Yes",Projects!$J$3="Yes",Projects!$K$3="No",26=Projects!$C$3),Projects!$B$3*Assumptions!$B$47,0)+IF(AND(Projects!$G$4="Yes",Projects!$J$4="Yes",Projects!$K$4="No",26=Projects!$C$4),Projects!$B$4*Assumptions!$B$47,0)+IF(AND(Projects!$G$5="Yes",Projects!$J$5="Yes",Projects!$K$5="No",26=Projects!$C$5),Projects!$B$5*Assumptions!$B$47,0)+IF(AND(Projects!$G$6="Yes",Projects!$J$6="Yes",Projects!$K$6="No",26=Projects!$C$6),Projects!$B$6*Assumptions!$B$47,0)+IF(AND(Projects!$G$7="Yes",Projects!$J$7="Yes",Projects!$K$7="No",26=Projects!$C$7),Projects!$B$7*Assumptions!$B$47,0)+IF(AND(Projects!$G$8="Yes",Projects!$J$8="Yes",Projects!$K$8="No",26=Projects!$C$8),Projects!$B$8*Assumptions!$B$47,0)+IF(AND(Projects!$G$9="Yes",Projects!$J$9="Yes",Projects!$K$9="No",26=Projects!$C$9),Projects!$B$9*Assumptions!$B$47,0)+IF(AND(Projects!$G$10="Yes",Projects!$J$10="Yes",Projects!$K$10="No",26=Projects!$C$10),Projects!$B$10*Assumptions!$B$47,0)+IF(AND(Projects!$G$11="Yes",Projects!$J$11="Yes",Projects!$K$11="No",26=Projects!$C$11),Projects!$B$11*Assumptions!$B$47,0)+IF(AND(Projects!$G$12="Yes",Projects!$J$12="Yes",Projects!$K$12="No",26=Projects!$C$12),Projects!$B$12*Assumptions!$B$47,0)+IF(AND(Projects!$G$13="Yes",Projects!$J$13="Yes",Projects!$K$13="No",26=Projects!$C$13),Projects!$B$13*Assumptions!$B$47,0)+IF(AND(Projects!$G$14="Yes",Projects!$J$14="Yes",Projects!$K$14="No",26=Projects!$C$14),Projects!$B$14*Assumptions!$B$47,0)),Actuals!AE105)</f>
        <v>0</v>
      </c>
      <c r="AF106" s="3">
        <f>IF(ISBLANK(Actuals!AF105),-(IF(AND(Projects!$G$2="Yes",Projects!$J$2="Yes",Projects!$K$2="No",27=Projects!$C$2),Projects!$B$2*Assumptions!$B$47,0)+IF(AND(Projects!$G$3="Yes",Projects!$J$3="Yes",Projects!$K$3="No",27=Projects!$C$3),Projects!$B$3*Assumptions!$B$47,0)+IF(AND(Projects!$G$4="Yes",Projects!$J$4="Yes",Projects!$K$4="No",27=Projects!$C$4),Projects!$B$4*Assumptions!$B$47,0)+IF(AND(Projects!$G$5="Yes",Projects!$J$5="Yes",Projects!$K$5="No",27=Projects!$C$5),Projects!$B$5*Assumptions!$B$47,0)+IF(AND(Projects!$G$6="Yes",Projects!$J$6="Yes",Projects!$K$6="No",27=Projects!$C$6),Projects!$B$6*Assumptions!$B$47,0)+IF(AND(Projects!$G$7="Yes",Projects!$J$7="Yes",Projects!$K$7="No",27=Projects!$C$7),Projects!$B$7*Assumptions!$B$47,0)+IF(AND(Projects!$G$8="Yes",Projects!$J$8="Yes",Projects!$K$8="No",27=Projects!$C$8),Projects!$B$8*Assumptions!$B$47,0)+IF(AND(Projects!$G$9="Yes",Projects!$J$9="Yes",Projects!$K$9="No",27=Projects!$C$9),Projects!$B$9*Assumptions!$B$47,0)+IF(AND(Projects!$G$10="Yes",Projects!$J$10="Yes",Projects!$K$10="No",27=Projects!$C$10),Projects!$B$10*Assumptions!$B$47,0)+IF(AND(Projects!$G$11="Yes",Projects!$J$11="Yes",Projects!$K$11="No",27=Projects!$C$11),Projects!$B$11*Assumptions!$B$47,0)+IF(AND(Projects!$G$12="Yes",Projects!$J$12="Yes",Projects!$K$12="No",27=Projects!$C$12),Projects!$B$12*Assumptions!$B$47,0)+IF(AND(Projects!$G$13="Yes",Projects!$J$13="Yes",Projects!$K$13="No",27=Projects!$C$13),Projects!$B$13*Assumptions!$B$47,0)+IF(AND(Projects!$G$14="Yes",Projects!$J$14="Yes",Projects!$K$14="No",27=Projects!$C$14),Projects!$B$14*Assumptions!$B$47,0)),Actuals!AF105)</f>
        <v>0</v>
      </c>
      <c r="AG106" s="3">
        <f>IF(ISBLANK(Actuals!AG105),-(IF(AND(Projects!$G$2="Yes",Projects!$J$2="Yes",Projects!$K$2="No",28=Projects!$C$2),Projects!$B$2*Assumptions!$B$47,0)+IF(AND(Projects!$G$3="Yes",Projects!$J$3="Yes",Projects!$K$3="No",28=Projects!$C$3),Projects!$B$3*Assumptions!$B$47,0)+IF(AND(Projects!$G$4="Yes",Projects!$J$4="Yes",Projects!$K$4="No",28=Projects!$C$4),Projects!$B$4*Assumptions!$B$47,0)+IF(AND(Projects!$G$5="Yes",Projects!$J$5="Yes",Projects!$K$5="No",28=Projects!$C$5),Projects!$B$5*Assumptions!$B$47,0)+IF(AND(Projects!$G$6="Yes",Projects!$J$6="Yes",Projects!$K$6="No",28=Projects!$C$6),Projects!$B$6*Assumptions!$B$47,0)+IF(AND(Projects!$G$7="Yes",Projects!$J$7="Yes",Projects!$K$7="No",28=Projects!$C$7),Projects!$B$7*Assumptions!$B$47,0)+IF(AND(Projects!$G$8="Yes",Projects!$J$8="Yes",Projects!$K$8="No",28=Projects!$C$8),Projects!$B$8*Assumptions!$B$47,0)+IF(AND(Projects!$G$9="Yes",Projects!$J$9="Yes",Projects!$K$9="No",28=Projects!$C$9),Projects!$B$9*Assumptions!$B$47,0)+IF(AND(Projects!$G$10="Yes",Projects!$J$10="Yes",Projects!$K$10="No",28=Projects!$C$10),Projects!$B$10*Assumptions!$B$47,0)+IF(AND(Projects!$G$11="Yes",Projects!$J$11="Yes",Projects!$K$11="No",28=Projects!$C$11),Projects!$B$11*Assumptions!$B$47,0)+IF(AND(Projects!$G$12="Yes",Projects!$J$12="Yes",Projects!$K$12="No",28=Projects!$C$12),Projects!$B$12*Assumptions!$B$47,0)+IF(AND(Projects!$G$13="Yes",Projects!$J$13="Yes",Projects!$K$13="No",28=Projects!$C$13),Projects!$B$13*Assumptions!$B$47,0)+IF(AND(Projects!$G$14="Yes",Projects!$J$14="Yes",Projects!$K$14="No",28=Projects!$C$14),Projects!$B$14*Assumptions!$B$47,0)),Actuals!AG105)</f>
        <v>0</v>
      </c>
      <c r="AH106" s="3">
        <f>IF(ISBLANK(Actuals!AH105),-(IF(AND(Projects!$G$2="Yes",Projects!$J$2="Yes",Projects!$K$2="No",29=Projects!$C$2),Projects!$B$2*Assumptions!$B$47,0)+IF(AND(Projects!$G$3="Yes",Projects!$J$3="Yes",Projects!$K$3="No",29=Projects!$C$3),Projects!$B$3*Assumptions!$B$47,0)+IF(AND(Projects!$G$4="Yes",Projects!$J$4="Yes",Projects!$K$4="No",29=Projects!$C$4),Projects!$B$4*Assumptions!$B$47,0)+IF(AND(Projects!$G$5="Yes",Projects!$J$5="Yes",Projects!$K$5="No",29=Projects!$C$5),Projects!$B$5*Assumptions!$B$47,0)+IF(AND(Projects!$G$6="Yes",Projects!$J$6="Yes",Projects!$K$6="No",29=Projects!$C$6),Projects!$B$6*Assumptions!$B$47,0)+IF(AND(Projects!$G$7="Yes",Projects!$J$7="Yes",Projects!$K$7="No",29=Projects!$C$7),Projects!$B$7*Assumptions!$B$47,0)+IF(AND(Projects!$G$8="Yes",Projects!$J$8="Yes",Projects!$K$8="No",29=Projects!$C$8),Projects!$B$8*Assumptions!$B$47,0)+IF(AND(Projects!$G$9="Yes",Projects!$J$9="Yes",Projects!$K$9="No",29=Projects!$C$9),Projects!$B$9*Assumptions!$B$47,0)+IF(AND(Projects!$G$10="Yes",Projects!$J$10="Yes",Projects!$K$10="No",29=Projects!$C$10),Projects!$B$10*Assumptions!$B$47,0)+IF(AND(Projects!$G$11="Yes",Projects!$J$11="Yes",Projects!$K$11="No",29=Projects!$C$11),Projects!$B$11*Assumptions!$B$47,0)+IF(AND(Projects!$G$12="Yes",Projects!$J$12="Yes",Projects!$K$12="No",29=Projects!$C$12),Projects!$B$12*Assumptions!$B$47,0)+IF(AND(Projects!$G$13="Yes",Projects!$J$13="Yes",Projects!$K$13="No",29=Projects!$C$13),Projects!$B$13*Assumptions!$B$47,0)+IF(AND(Projects!$G$14="Yes",Projects!$J$14="Yes",Projects!$K$14="No",29=Projects!$C$14),Projects!$B$14*Assumptions!$B$47,0)),Actuals!AH105)</f>
        <v>0</v>
      </c>
      <c r="AI106" s="3">
        <f>IF(ISBLANK(Actuals!AI105),-(IF(AND(Projects!$G$2="Yes",Projects!$J$2="Yes",Projects!$K$2="No",30=Projects!$C$2),Projects!$B$2*Assumptions!$B$47,0)+IF(AND(Projects!$G$3="Yes",Projects!$J$3="Yes",Projects!$K$3="No",30=Projects!$C$3),Projects!$B$3*Assumptions!$B$47,0)+IF(AND(Projects!$G$4="Yes",Projects!$J$4="Yes",Projects!$K$4="No",30=Projects!$C$4),Projects!$B$4*Assumptions!$B$47,0)+IF(AND(Projects!$G$5="Yes",Projects!$J$5="Yes",Projects!$K$5="No",30=Projects!$C$5),Projects!$B$5*Assumptions!$B$47,0)+IF(AND(Projects!$G$6="Yes",Projects!$J$6="Yes",Projects!$K$6="No",30=Projects!$C$6),Projects!$B$6*Assumptions!$B$47,0)+IF(AND(Projects!$G$7="Yes",Projects!$J$7="Yes",Projects!$K$7="No",30=Projects!$C$7),Projects!$B$7*Assumptions!$B$47,0)+IF(AND(Projects!$G$8="Yes",Projects!$J$8="Yes",Projects!$K$8="No",30=Projects!$C$8),Projects!$B$8*Assumptions!$B$47,0)+IF(AND(Projects!$G$9="Yes",Projects!$J$9="Yes",Projects!$K$9="No",30=Projects!$C$9),Projects!$B$9*Assumptions!$B$47,0)+IF(AND(Projects!$G$10="Yes",Projects!$J$10="Yes",Projects!$K$10="No",30=Projects!$C$10),Projects!$B$10*Assumptions!$B$47,0)+IF(AND(Projects!$G$11="Yes",Projects!$J$11="Yes",Projects!$K$11="No",30=Projects!$C$11),Projects!$B$11*Assumptions!$B$47,0)+IF(AND(Projects!$G$12="Yes",Projects!$J$12="Yes",Projects!$K$12="No",30=Projects!$C$12),Projects!$B$12*Assumptions!$B$47,0)+IF(AND(Projects!$G$13="Yes",Projects!$J$13="Yes",Projects!$K$13="No",30=Projects!$C$13),Projects!$B$13*Assumptions!$B$47,0)+IF(AND(Projects!$G$14="Yes",Projects!$J$14="Yes",Projects!$K$14="No",30=Projects!$C$14),Projects!$B$14*Assumptions!$B$47,0)),Actuals!AI105)</f>
        <v>0</v>
      </c>
      <c r="AJ106" s="3">
        <f>IF(ISBLANK(Actuals!AJ105),-(IF(AND(Projects!$G$2="Yes",Projects!$J$2="Yes",Projects!$K$2="No",31=Projects!$C$2),Projects!$B$2*Assumptions!$B$47,0)+IF(AND(Projects!$G$3="Yes",Projects!$J$3="Yes",Projects!$K$3="No",31=Projects!$C$3),Projects!$B$3*Assumptions!$B$47,0)+IF(AND(Projects!$G$4="Yes",Projects!$J$4="Yes",Projects!$K$4="No",31=Projects!$C$4),Projects!$B$4*Assumptions!$B$47,0)+IF(AND(Projects!$G$5="Yes",Projects!$J$5="Yes",Projects!$K$5="No",31=Projects!$C$5),Projects!$B$5*Assumptions!$B$47,0)+IF(AND(Projects!$G$6="Yes",Projects!$J$6="Yes",Projects!$K$6="No",31=Projects!$C$6),Projects!$B$6*Assumptions!$B$47,0)+IF(AND(Projects!$G$7="Yes",Projects!$J$7="Yes",Projects!$K$7="No",31=Projects!$C$7),Projects!$B$7*Assumptions!$B$47,0)+IF(AND(Projects!$G$8="Yes",Projects!$J$8="Yes",Projects!$K$8="No",31=Projects!$C$8),Projects!$B$8*Assumptions!$B$47,0)+IF(AND(Projects!$G$9="Yes",Projects!$J$9="Yes",Projects!$K$9="No",31=Projects!$C$9),Projects!$B$9*Assumptions!$B$47,0)+IF(AND(Projects!$G$10="Yes",Projects!$J$10="Yes",Projects!$K$10="No",31=Projects!$C$10),Projects!$B$10*Assumptions!$B$47,0)+IF(AND(Projects!$G$11="Yes",Projects!$J$11="Yes",Projects!$K$11="No",31=Projects!$C$11),Projects!$B$11*Assumptions!$B$47,0)+IF(AND(Projects!$G$12="Yes",Projects!$J$12="Yes",Projects!$K$12="No",31=Projects!$C$12),Projects!$B$12*Assumptions!$B$47,0)+IF(AND(Projects!$G$13="Yes",Projects!$J$13="Yes",Projects!$K$13="No",31=Projects!$C$13),Projects!$B$13*Assumptions!$B$47,0)+IF(AND(Projects!$G$14="Yes",Projects!$J$14="Yes",Projects!$K$14="No",31=Projects!$C$14),Projects!$B$14*Assumptions!$B$47,0)),Actuals!AJ105)</f>
        <v>0</v>
      </c>
      <c r="AK106" s="3">
        <f>IF(ISBLANK(Actuals!AK105),-(IF(AND(Projects!$G$2="Yes",Projects!$J$2="Yes",Projects!$K$2="No",32=Projects!$C$2),Projects!$B$2*Assumptions!$B$47,0)+IF(AND(Projects!$G$3="Yes",Projects!$J$3="Yes",Projects!$K$3="No",32=Projects!$C$3),Projects!$B$3*Assumptions!$B$47,0)+IF(AND(Projects!$G$4="Yes",Projects!$J$4="Yes",Projects!$K$4="No",32=Projects!$C$4),Projects!$B$4*Assumptions!$B$47,0)+IF(AND(Projects!$G$5="Yes",Projects!$J$5="Yes",Projects!$K$5="No",32=Projects!$C$5),Projects!$B$5*Assumptions!$B$47,0)+IF(AND(Projects!$G$6="Yes",Projects!$J$6="Yes",Projects!$K$6="No",32=Projects!$C$6),Projects!$B$6*Assumptions!$B$47,0)+IF(AND(Projects!$G$7="Yes",Projects!$J$7="Yes",Projects!$K$7="No",32=Projects!$C$7),Projects!$B$7*Assumptions!$B$47,0)+IF(AND(Projects!$G$8="Yes",Projects!$J$8="Yes",Projects!$K$8="No",32=Projects!$C$8),Projects!$B$8*Assumptions!$B$47,0)+IF(AND(Projects!$G$9="Yes",Projects!$J$9="Yes",Projects!$K$9="No",32=Projects!$C$9),Projects!$B$9*Assumptions!$B$47,0)+IF(AND(Projects!$G$10="Yes",Projects!$J$10="Yes",Projects!$K$10="No",32=Projects!$C$10),Projects!$B$10*Assumptions!$B$47,0)+IF(AND(Projects!$G$11="Yes",Projects!$J$11="Yes",Projects!$K$11="No",32=Projects!$C$11),Projects!$B$11*Assumptions!$B$47,0)+IF(AND(Projects!$G$12="Yes",Projects!$J$12="Yes",Projects!$K$12="No",32=Projects!$C$12),Projects!$B$12*Assumptions!$B$47,0)+IF(AND(Projects!$G$13="Yes",Projects!$J$13="Yes",Projects!$K$13="No",32=Projects!$C$13),Projects!$B$13*Assumptions!$B$47,0)+IF(AND(Projects!$G$14="Yes",Projects!$J$14="Yes",Projects!$K$14="No",32=Projects!$C$14),Projects!$B$14*Assumptions!$B$47,0)),Actuals!AK105)</f>
        <v>0</v>
      </c>
      <c r="AL106" s="3">
        <f>IF(ISBLANK(Actuals!AL105),-(IF(AND(Projects!$G$2="Yes",Projects!$J$2="Yes",Projects!$K$2="No",33=Projects!$C$2),Projects!$B$2*Assumptions!$B$47,0)+IF(AND(Projects!$G$3="Yes",Projects!$J$3="Yes",Projects!$K$3="No",33=Projects!$C$3),Projects!$B$3*Assumptions!$B$47,0)+IF(AND(Projects!$G$4="Yes",Projects!$J$4="Yes",Projects!$K$4="No",33=Projects!$C$4),Projects!$B$4*Assumptions!$B$47,0)+IF(AND(Projects!$G$5="Yes",Projects!$J$5="Yes",Projects!$K$5="No",33=Projects!$C$5),Projects!$B$5*Assumptions!$B$47,0)+IF(AND(Projects!$G$6="Yes",Projects!$J$6="Yes",Projects!$K$6="No",33=Projects!$C$6),Projects!$B$6*Assumptions!$B$47,0)+IF(AND(Projects!$G$7="Yes",Projects!$J$7="Yes",Projects!$K$7="No",33=Projects!$C$7),Projects!$B$7*Assumptions!$B$47,0)+IF(AND(Projects!$G$8="Yes",Projects!$J$8="Yes",Projects!$K$8="No",33=Projects!$C$8),Projects!$B$8*Assumptions!$B$47,0)+IF(AND(Projects!$G$9="Yes",Projects!$J$9="Yes",Projects!$K$9="No",33=Projects!$C$9),Projects!$B$9*Assumptions!$B$47,0)+IF(AND(Projects!$G$10="Yes",Projects!$J$10="Yes",Projects!$K$10="No",33=Projects!$C$10),Projects!$B$10*Assumptions!$B$47,0)+IF(AND(Projects!$G$11="Yes",Projects!$J$11="Yes",Projects!$K$11="No",33=Projects!$C$11),Projects!$B$11*Assumptions!$B$47,0)+IF(AND(Projects!$G$12="Yes",Projects!$J$12="Yes",Projects!$K$12="No",33=Projects!$C$12),Projects!$B$12*Assumptions!$B$47,0)+IF(AND(Projects!$G$13="Yes",Projects!$J$13="Yes",Projects!$K$13="No",33=Projects!$C$13),Projects!$B$13*Assumptions!$B$47,0)+IF(AND(Projects!$G$14="Yes",Projects!$J$14="Yes",Projects!$K$14="No",33=Projects!$C$14),Projects!$B$14*Assumptions!$B$47,0)),Actuals!AL105)</f>
        <v>0</v>
      </c>
      <c r="AM106" s="3">
        <f>IF(ISBLANK(Actuals!AM105),-(IF(AND(Projects!$G$2="Yes",Projects!$J$2="Yes",Projects!$K$2="No",34=Projects!$C$2),Projects!$B$2*Assumptions!$B$47,0)+IF(AND(Projects!$G$3="Yes",Projects!$J$3="Yes",Projects!$K$3="No",34=Projects!$C$3),Projects!$B$3*Assumptions!$B$47,0)+IF(AND(Projects!$G$4="Yes",Projects!$J$4="Yes",Projects!$K$4="No",34=Projects!$C$4),Projects!$B$4*Assumptions!$B$47,0)+IF(AND(Projects!$G$5="Yes",Projects!$J$5="Yes",Projects!$K$5="No",34=Projects!$C$5),Projects!$B$5*Assumptions!$B$47,0)+IF(AND(Projects!$G$6="Yes",Projects!$J$6="Yes",Projects!$K$6="No",34=Projects!$C$6),Projects!$B$6*Assumptions!$B$47,0)+IF(AND(Projects!$G$7="Yes",Projects!$J$7="Yes",Projects!$K$7="No",34=Projects!$C$7),Projects!$B$7*Assumptions!$B$47,0)+IF(AND(Projects!$G$8="Yes",Projects!$J$8="Yes",Projects!$K$8="No",34=Projects!$C$8),Projects!$B$8*Assumptions!$B$47,0)+IF(AND(Projects!$G$9="Yes",Projects!$J$9="Yes",Projects!$K$9="No",34=Projects!$C$9),Projects!$B$9*Assumptions!$B$47,0)+IF(AND(Projects!$G$10="Yes",Projects!$J$10="Yes",Projects!$K$10="No",34=Projects!$C$10),Projects!$B$10*Assumptions!$B$47,0)+IF(AND(Projects!$G$11="Yes",Projects!$J$11="Yes",Projects!$K$11="No",34=Projects!$C$11),Projects!$B$11*Assumptions!$B$47,0)+IF(AND(Projects!$G$12="Yes",Projects!$J$12="Yes",Projects!$K$12="No",34=Projects!$C$12),Projects!$B$12*Assumptions!$B$47,0)+IF(AND(Projects!$G$13="Yes",Projects!$J$13="Yes",Projects!$K$13="No",34=Projects!$C$13),Projects!$B$13*Assumptions!$B$47,0)+IF(AND(Projects!$G$14="Yes",Projects!$J$14="Yes",Projects!$K$14="No",34=Projects!$C$14),Projects!$B$14*Assumptions!$B$47,0)),Actuals!AM105)</f>
        <v>0</v>
      </c>
      <c r="AN106" s="3">
        <f>IF(ISBLANK(Actuals!AN105),-(IF(AND(Projects!$G$2="Yes",Projects!$J$2="Yes",Projects!$K$2="No",35=Projects!$C$2),Projects!$B$2*Assumptions!$B$47,0)+IF(AND(Projects!$G$3="Yes",Projects!$J$3="Yes",Projects!$K$3="No",35=Projects!$C$3),Projects!$B$3*Assumptions!$B$47,0)+IF(AND(Projects!$G$4="Yes",Projects!$J$4="Yes",Projects!$K$4="No",35=Projects!$C$4),Projects!$B$4*Assumptions!$B$47,0)+IF(AND(Projects!$G$5="Yes",Projects!$J$5="Yes",Projects!$K$5="No",35=Projects!$C$5),Projects!$B$5*Assumptions!$B$47,0)+IF(AND(Projects!$G$6="Yes",Projects!$J$6="Yes",Projects!$K$6="No",35=Projects!$C$6),Projects!$B$6*Assumptions!$B$47,0)+IF(AND(Projects!$G$7="Yes",Projects!$J$7="Yes",Projects!$K$7="No",35=Projects!$C$7),Projects!$B$7*Assumptions!$B$47,0)+IF(AND(Projects!$G$8="Yes",Projects!$J$8="Yes",Projects!$K$8="No",35=Projects!$C$8),Projects!$B$8*Assumptions!$B$47,0)+IF(AND(Projects!$G$9="Yes",Projects!$J$9="Yes",Projects!$K$9="No",35=Projects!$C$9),Projects!$B$9*Assumptions!$B$47,0)+IF(AND(Projects!$G$10="Yes",Projects!$J$10="Yes",Projects!$K$10="No",35=Projects!$C$10),Projects!$B$10*Assumptions!$B$47,0)+IF(AND(Projects!$G$11="Yes",Projects!$J$11="Yes",Projects!$K$11="No",35=Projects!$C$11),Projects!$B$11*Assumptions!$B$47,0)+IF(AND(Projects!$G$12="Yes",Projects!$J$12="Yes",Projects!$K$12="No",35=Projects!$C$12),Projects!$B$12*Assumptions!$B$47,0)+IF(AND(Projects!$G$13="Yes",Projects!$J$13="Yes",Projects!$K$13="No",35=Projects!$C$13),Projects!$B$13*Assumptions!$B$47,0)+IF(AND(Projects!$G$14="Yes",Projects!$J$14="Yes",Projects!$K$14="No",35=Projects!$C$14),Projects!$B$14*Assumptions!$B$47,0)),Actuals!AN105)</f>
        <v>0</v>
      </c>
      <c r="AO106" s="3">
        <f>IF(ISBLANK(Actuals!AO105),-(IF(AND(Projects!$G$2="Yes",Projects!$J$2="Yes",Projects!$K$2="No",36=Projects!$C$2),Projects!$B$2*Assumptions!$B$47,0)+IF(AND(Projects!$G$3="Yes",Projects!$J$3="Yes",Projects!$K$3="No",36=Projects!$C$3),Projects!$B$3*Assumptions!$B$47,0)+IF(AND(Projects!$G$4="Yes",Projects!$J$4="Yes",Projects!$K$4="No",36=Projects!$C$4),Projects!$B$4*Assumptions!$B$47,0)+IF(AND(Projects!$G$5="Yes",Projects!$J$5="Yes",Projects!$K$5="No",36=Projects!$C$5),Projects!$B$5*Assumptions!$B$47,0)+IF(AND(Projects!$G$6="Yes",Projects!$J$6="Yes",Projects!$K$6="No",36=Projects!$C$6),Projects!$B$6*Assumptions!$B$47,0)+IF(AND(Projects!$G$7="Yes",Projects!$J$7="Yes",Projects!$K$7="No",36=Projects!$C$7),Projects!$B$7*Assumptions!$B$47,0)+IF(AND(Projects!$G$8="Yes",Projects!$J$8="Yes",Projects!$K$8="No",36=Projects!$C$8),Projects!$B$8*Assumptions!$B$47,0)+IF(AND(Projects!$G$9="Yes",Projects!$J$9="Yes",Projects!$K$9="No",36=Projects!$C$9),Projects!$B$9*Assumptions!$B$47,0)+IF(AND(Projects!$G$10="Yes",Projects!$J$10="Yes",Projects!$K$10="No",36=Projects!$C$10),Projects!$B$10*Assumptions!$B$47,0)+IF(AND(Projects!$G$11="Yes",Projects!$J$11="Yes",Projects!$K$11="No",36=Projects!$C$11),Projects!$B$11*Assumptions!$B$47,0)+IF(AND(Projects!$G$12="Yes",Projects!$J$12="Yes",Projects!$K$12="No",36=Projects!$C$12),Projects!$B$12*Assumptions!$B$47,0)+IF(AND(Projects!$G$13="Yes",Projects!$J$13="Yes",Projects!$K$13="No",36=Projects!$C$13),Projects!$B$13*Assumptions!$B$47,0)+IF(AND(Projects!$G$14="Yes",Projects!$J$14="Yes",Projects!$K$14="No",36=Projects!$C$14),Projects!$B$14*Assumptions!$B$47,0)),Actuals!AO105)</f>
        <v>0</v>
      </c>
      <c r="AP106" s="3">
        <f>IF(ISBLANK(Actuals!AP105),-(IF(AND(Projects!$G$2="Yes",Projects!$J$2="Yes",Projects!$K$2="No",37=Projects!$C$2),Projects!$B$2*Assumptions!$B$47,0)+IF(AND(Projects!$G$3="Yes",Projects!$J$3="Yes",Projects!$K$3="No",37=Projects!$C$3),Projects!$B$3*Assumptions!$B$47,0)+IF(AND(Projects!$G$4="Yes",Projects!$J$4="Yes",Projects!$K$4="No",37=Projects!$C$4),Projects!$B$4*Assumptions!$B$47,0)+IF(AND(Projects!$G$5="Yes",Projects!$J$5="Yes",Projects!$K$5="No",37=Projects!$C$5),Projects!$B$5*Assumptions!$B$47,0)+IF(AND(Projects!$G$6="Yes",Projects!$J$6="Yes",Projects!$K$6="No",37=Projects!$C$6),Projects!$B$6*Assumptions!$B$47,0)+IF(AND(Projects!$G$7="Yes",Projects!$J$7="Yes",Projects!$K$7="No",37=Projects!$C$7),Projects!$B$7*Assumptions!$B$47,0)+IF(AND(Projects!$G$8="Yes",Projects!$J$8="Yes",Projects!$K$8="No",37=Projects!$C$8),Projects!$B$8*Assumptions!$B$47,0)+IF(AND(Projects!$G$9="Yes",Projects!$J$9="Yes",Projects!$K$9="No",37=Projects!$C$9),Projects!$B$9*Assumptions!$B$47,0)+IF(AND(Projects!$G$10="Yes",Projects!$J$10="Yes",Projects!$K$10="No",37=Projects!$C$10),Projects!$B$10*Assumptions!$B$47,0)+IF(AND(Projects!$G$11="Yes",Projects!$J$11="Yes",Projects!$K$11="No",37=Projects!$C$11),Projects!$B$11*Assumptions!$B$47,0)+IF(AND(Projects!$G$12="Yes",Projects!$J$12="Yes",Projects!$K$12="No",37=Projects!$C$12),Projects!$B$12*Assumptions!$B$47,0)+IF(AND(Projects!$G$13="Yes",Projects!$J$13="Yes",Projects!$K$13="No",37=Projects!$C$13),Projects!$B$13*Assumptions!$B$47,0)+IF(AND(Projects!$G$14="Yes",Projects!$J$14="Yes",Projects!$K$14="No",37=Projects!$C$14),Projects!$B$14*Assumptions!$B$47,0)),Actuals!AP105)</f>
        <v>0</v>
      </c>
      <c r="AQ106" s="3">
        <f>IF(ISBLANK(Actuals!AQ105),-(IF(AND(Projects!$G$2="Yes",Projects!$J$2="Yes",Projects!$K$2="No",38=Projects!$C$2),Projects!$B$2*Assumptions!$B$47,0)+IF(AND(Projects!$G$3="Yes",Projects!$J$3="Yes",Projects!$K$3="No",38=Projects!$C$3),Projects!$B$3*Assumptions!$B$47,0)+IF(AND(Projects!$G$4="Yes",Projects!$J$4="Yes",Projects!$K$4="No",38=Projects!$C$4),Projects!$B$4*Assumptions!$B$47,0)+IF(AND(Projects!$G$5="Yes",Projects!$J$5="Yes",Projects!$K$5="No",38=Projects!$C$5),Projects!$B$5*Assumptions!$B$47,0)+IF(AND(Projects!$G$6="Yes",Projects!$J$6="Yes",Projects!$K$6="No",38=Projects!$C$6),Projects!$B$6*Assumptions!$B$47,0)+IF(AND(Projects!$G$7="Yes",Projects!$J$7="Yes",Projects!$K$7="No",38=Projects!$C$7),Projects!$B$7*Assumptions!$B$47,0)+IF(AND(Projects!$G$8="Yes",Projects!$J$8="Yes",Projects!$K$8="No",38=Projects!$C$8),Projects!$B$8*Assumptions!$B$47,0)+IF(AND(Projects!$G$9="Yes",Projects!$J$9="Yes",Projects!$K$9="No",38=Projects!$C$9),Projects!$B$9*Assumptions!$B$47,0)+IF(AND(Projects!$G$10="Yes",Projects!$J$10="Yes",Projects!$K$10="No",38=Projects!$C$10),Projects!$B$10*Assumptions!$B$47,0)+IF(AND(Projects!$G$11="Yes",Projects!$J$11="Yes",Projects!$K$11="No",38=Projects!$C$11),Projects!$B$11*Assumptions!$B$47,0)+IF(AND(Projects!$G$12="Yes",Projects!$J$12="Yes",Projects!$K$12="No",38=Projects!$C$12),Projects!$B$12*Assumptions!$B$47,0)+IF(AND(Projects!$G$13="Yes",Projects!$J$13="Yes",Projects!$K$13="No",38=Projects!$C$13),Projects!$B$13*Assumptions!$B$47,0)+IF(AND(Projects!$G$14="Yes",Projects!$J$14="Yes",Projects!$K$14="No",38=Projects!$C$14),Projects!$B$14*Assumptions!$B$47,0)),Actuals!AQ105)</f>
        <v>0</v>
      </c>
      <c r="AR106" s="3">
        <f>IF(ISBLANK(Actuals!AR105),-(IF(AND(Projects!$G$2="Yes",Projects!$J$2="Yes",Projects!$K$2="No",39=Projects!$C$2),Projects!$B$2*Assumptions!$B$47,0)+IF(AND(Projects!$G$3="Yes",Projects!$J$3="Yes",Projects!$K$3="No",39=Projects!$C$3),Projects!$B$3*Assumptions!$B$47,0)+IF(AND(Projects!$G$4="Yes",Projects!$J$4="Yes",Projects!$K$4="No",39=Projects!$C$4),Projects!$B$4*Assumptions!$B$47,0)+IF(AND(Projects!$G$5="Yes",Projects!$J$5="Yes",Projects!$K$5="No",39=Projects!$C$5),Projects!$B$5*Assumptions!$B$47,0)+IF(AND(Projects!$G$6="Yes",Projects!$J$6="Yes",Projects!$K$6="No",39=Projects!$C$6),Projects!$B$6*Assumptions!$B$47,0)+IF(AND(Projects!$G$7="Yes",Projects!$J$7="Yes",Projects!$K$7="No",39=Projects!$C$7),Projects!$B$7*Assumptions!$B$47,0)+IF(AND(Projects!$G$8="Yes",Projects!$J$8="Yes",Projects!$K$8="No",39=Projects!$C$8),Projects!$B$8*Assumptions!$B$47,0)+IF(AND(Projects!$G$9="Yes",Projects!$J$9="Yes",Projects!$K$9="No",39=Projects!$C$9),Projects!$B$9*Assumptions!$B$47,0)+IF(AND(Projects!$G$10="Yes",Projects!$J$10="Yes",Projects!$K$10="No",39=Projects!$C$10),Projects!$B$10*Assumptions!$B$47,0)+IF(AND(Projects!$G$11="Yes",Projects!$J$11="Yes",Projects!$K$11="No",39=Projects!$C$11),Projects!$B$11*Assumptions!$B$47,0)+IF(AND(Projects!$G$12="Yes",Projects!$J$12="Yes",Projects!$K$12="No",39=Projects!$C$12),Projects!$B$12*Assumptions!$B$47,0)+IF(AND(Projects!$G$13="Yes",Projects!$J$13="Yes",Projects!$K$13="No",39=Projects!$C$13),Projects!$B$13*Assumptions!$B$47,0)+IF(AND(Projects!$G$14="Yes",Projects!$J$14="Yes",Projects!$K$14="No",39=Projects!$C$14),Projects!$B$14*Assumptions!$B$47,0)),Actuals!AR105)</f>
        <v>0</v>
      </c>
      <c r="AS106" s="3">
        <f>IF(ISBLANK(Actuals!AS105),-(IF(AND(Projects!$G$2="Yes",Projects!$J$2="Yes",Projects!$K$2="No",40=Projects!$C$2),Projects!$B$2*Assumptions!$B$47,0)+IF(AND(Projects!$G$3="Yes",Projects!$J$3="Yes",Projects!$K$3="No",40=Projects!$C$3),Projects!$B$3*Assumptions!$B$47,0)+IF(AND(Projects!$G$4="Yes",Projects!$J$4="Yes",Projects!$K$4="No",40=Projects!$C$4),Projects!$B$4*Assumptions!$B$47,0)+IF(AND(Projects!$G$5="Yes",Projects!$J$5="Yes",Projects!$K$5="No",40=Projects!$C$5),Projects!$B$5*Assumptions!$B$47,0)+IF(AND(Projects!$G$6="Yes",Projects!$J$6="Yes",Projects!$K$6="No",40=Projects!$C$6),Projects!$B$6*Assumptions!$B$47,0)+IF(AND(Projects!$G$7="Yes",Projects!$J$7="Yes",Projects!$K$7="No",40=Projects!$C$7),Projects!$B$7*Assumptions!$B$47,0)+IF(AND(Projects!$G$8="Yes",Projects!$J$8="Yes",Projects!$K$8="No",40=Projects!$C$8),Projects!$B$8*Assumptions!$B$47,0)+IF(AND(Projects!$G$9="Yes",Projects!$J$9="Yes",Projects!$K$9="No",40=Projects!$C$9),Projects!$B$9*Assumptions!$B$47,0)+IF(AND(Projects!$G$10="Yes",Projects!$J$10="Yes",Projects!$K$10="No",40=Projects!$C$10),Projects!$B$10*Assumptions!$B$47,0)+IF(AND(Projects!$G$11="Yes",Projects!$J$11="Yes",Projects!$K$11="No",40=Projects!$C$11),Projects!$B$11*Assumptions!$B$47,0)+IF(AND(Projects!$G$12="Yes",Projects!$J$12="Yes",Projects!$K$12="No",40=Projects!$C$12),Projects!$B$12*Assumptions!$B$47,0)+IF(AND(Projects!$G$13="Yes",Projects!$J$13="Yes",Projects!$K$13="No",40=Projects!$C$13),Projects!$B$13*Assumptions!$B$47,0)+IF(AND(Projects!$G$14="Yes",Projects!$J$14="Yes",Projects!$K$14="No",40=Projects!$C$14),Projects!$B$14*Assumptions!$B$47,0)),Actuals!AS105)</f>
        <v>0</v>
      </c>
      <c r="AT106" s="3">
        <f>IF(ISBLANK(Actuals!AT105),-(IF(AND(Projects!$G$2="Yes",Projects!$J$2="Yes",Projects!$K$2="No",41=Projects!$C$2),Projects!$B$2*Assumptions!$B$47,0)+IF(AND(Projects!$G$3="Yes",Projects!$J$3="Yes",Projects!$K$3="No",41=Projects!$C$3),Projects!$B$3*Assumptions!$B$47,0)+IF(AND(Projects!$G$4="Yes",Projects!$J$4="Yes",Projects!$K$4="No",41=Projects!$C$4),Projects!$B$4*Assumptions!$B$47,0)+IF(AND(Projects!$G$5="Yes",Projects!$J$5="Yes",Projects!$K$5="No",41=Projects!$C$5),Projects!$B$5*Assumptions!$B$47,0)+IF(AND(Projects!$G$6="Yes",Projects!$J$6="Yes",Projects!$K$6="No",41=Projects!$C$6),Projects!$B$6*Assumptions!$B$47,0)+IF(AND(Projects!$G$7="Yes",Projects!$J$7="Yes",Projects!$K$7="No",41=Projects!$C$7),Projects!$B$7*Assumptions!$B$47,0)+IF(AND(Projects!$G$8="Yes",Projects!$J$8="Yes",Projects!$K$8="No",41=Projects!$C$8),Projects!$B$8*Assumptions!$B$47,0)+IF(AND(Projects!$G$9="Yes",Projects!$J$9="Yes",Projects!$K$9="No",41=Projects!$C$9),Projects!$B$9*Assumptions!$B$47,0)+IF(AND(Projects!$G$10="Yes",Projects!$J$10="Yes",Projects!$K$10="No",41=Projects!$C$10),Projects!$B$10*Assumptions!$B$47,0)+IF(AND(Projects!$G$11="Yes",Projects!$J$11="Yes",Projects!$K$11="No",41=Projects!$C$11),Projects!$B$11*Assumptions!$B$47,0)+IF(AND(Projects!$G$12="Yes",Projects!$J$12="Yes",Projects!$K$12="No",41=Projects!$C$12),Projects!$B$12*Assumptions!$B$47,0)+IF(AND(Projects!$G$13="Yes",Projects!$J$13="Yes",Projects!$K$13="No",41=Projects!$C$13),Projects!$B$13*Assumptions!$B$47,0)+IF(AND(Projects!$G$14="Yes",Projects!$J$14="Yes",Projects!$K$14="No",41=Projects!$C$14),Projects!$B$14*Assumptions!$B$47,0)),Actuals!AT105)</f>
        <v>0</v>
      </c>
      <c r="AU106" s="3">
        <f>IF(ISBLANK(Actuals!AU105),-(IF(AND(Projects!$G$2="Yes",Projects!$J$2="Yes",Projects!$K$2="No",42=Projects!$C$2),Projects!$B$2*Assumptions!$B$47,0)+IF(AND(Projects!$G$3="Yes",Projects!$J$3="Yes",Projects!$K$3="No",42=Projects!$C$3),Projects!$B$3*Assumptions!$B$47,0)+IF(AND(Projects!$G$4="Yes",Projects!$J$4="Yes",Projects!$K$4="No",42=Projects!$C$4),Projects!$B$4*Assumptions!$B$47,0)+IF(AND(Projects!$G$5="Yes",Projects!$J$5="Yes",Projects!$K$5="No",42=Projects!$C$5),Projects!$B$5*Assumptions!$B$47,0)+IF(AND(Projects!$G$6="Yes",Projects!$J$6="Yes",Projects!$K$6="No",42=Projects!$C$6),Projects!$B$6*Assumptions!$B$47,0)+IF(AND(Projects!$G$7="Yes",Projects!$J$7="Yes",Projects!$K$7="No",42=Projects!$C$7),Projects!$B$7*Assumptions!$B$47,0)+IF(AND(Projects!$G$8="Yes",Projects!$J$8="Yes",Projects!$K$8="No",42=Projects!$C$8),Projects!$B$8*Assumptions!$B$47,0)+IF(AND(Projects!$G$9="Yes",Projects!$J$9="Yes",Projects!$K$9="No",42=Projects!$C$9),Projects!$B$9*Assumptions!$B$47,0)+IF(AND(Projects!$G$10="Yes",Projects!$J$10="Yes",Projects!$K$10="No",42=Projects!$C$10),Projects!$B$10*Assumptions!$B$47,0)+IF(AND(Projects!$G$11="Yes",Projects!$J$11="Yes",Projects!$K$11="No",42=Projects!$C$11),Projects!$B$11*Assumptions!$B$47,0)+IF(AND(Projects!$G$12="Yes",Projects!$J$12="Yes",Projects!$K$12="No",42=Projects!$C$12),Projects!$B$12*Assumptions!$B$47,0)+IF(AND(Projects!$G$13="Yes",Projects!$J$13="Yes",Projects!$K$13="No",42=Projects!$C$13),Projects!$B$13*Assumptions!$B$47,0)+IF(AND(Projects!$G$14="Yes",Projects!$J$14="Yes",Projects!$K$14="No",42=Projects!$C$14),Projects!$B$14*Assumptions!$B$47,0)),Actuals!AU105)</f>
        <v>0</v>
      </c>
      <c r="AV106" s="3">
        <f>IF(ISBLANK(Actuals!AV105),-(IF(AND(Projects!$G$2="Yes",Projects!$J$2="Yes",Projects!$K$2="No",43=Projects!$C$2),Projects!$B$2*Assumptions!$B$47,0)+IF(AND(Projects!$G$3="Yes",Projects!$J$3="Yes",Projects!$K$3="No",43=Projects!$C$3),Projects!$B$3*Assumptions!$B$47,0)+IF(AND(Projects!$G$4="Yes",Projects!$J$4="Yes",Projects!$K$4="No",43=Projects!$C$4),Projects!$B$4*Assumptions!$B$47,0)+IF(AND(Projects!$G$5="Yes",Projects!$J$5="Yes",Projects!$K$5="No",43=Projects!$C$5),Projects!$B$5*Assumptions!$B$47,0)+IF(AND(Projects!$G$6="Yes",Projects!$J$6="Yes",Projects!$K$6="No",43=Projects!$C$6),Projects!$B$6*Assumptions!$B$47,0)+IF(AND(Projects!$G$7="Yes",Projects!$J$7="Yes",Projects!$K$7="No",43=Projects!$C$7),Projects!$B$7*Assumptions!$B$47,0)+IF(AND(Projects!$G$8="Yes",Projects!$J$8="Yes",Projects!$K$8="No",43=Projects!$C$8),Projects!$B$8*Assumptions!$B$47,0)+IF(AND(Projects!$G$9="Yes",Projects!$J$9="Yes",Projects!$K$9="No",43=Projects!$C$9),Projects!$B$9*Assumptions!$B$47,0)+IF(AND(Projects!$G$10="Yes",Projects!$J$10="Yes",Projects!$K$10="No",43=Projects!$C$10),Projects!$B$10*Assumptions!$B$47,0)+IF(AND(Projects!$G$11="Yes",Projects!$J$11="Yes",Projects!$K$11="No",43=Projects!$C$11),Projects!$B$11*Assumptions!$B$47,0)+IF(AND(Projects!$G$12="Yes",Projects!$J$12="Yes",Projects!$K$12="No",43=Projects!$C$12),Projects!$B$12*Assumptions!$B$47,0)+IF(AND(Projects!$G$13="Yes",Projects!$J$13="Yes",Projects!$K$13="No",43=Projects!$C$13),Projects!$B$13*Assumptions!$B$47,0)+IF(AND(Projects!$G$14="Yes",Projects!$J$14="Yes",Projects!$K$14="No",43=Projects!$C$14),Projects!$B$14*Assumptions!$B$47,0)),Actuals!AV105)</f>
        <v>0</v>
      </c>
      <c r="AW106" s="3">
        <f>IF(ISBLANK(Actuals!AW105),-(IF(AND(Projects!$G$2="Yes",Projects!$J$2="Yes",Projects!$K$2="No",44=Projects!$C$2),Projects!$B$2*Assumptions!$B$47,0)+IF(AND(Projects!$G$3="Yes",Projects!$J$3="Yes",Projects!$K$3="No",44=Projects!$C$3),Projects!$B$3*Assumptions!$B$47,0)+IF(AND(Projects!$G$4="Yes",Projects!$J$4="Yes",Projects!$K$4="No",44=Projects!$C$4),Projects!$B$4*Assumptions!$B$47,0)+IF(AND(Projects!$G$5="Yes",Projects!$J$5="Yes",Projects!$K$5="No",44=Projects!$C$5),Projects!$B$5*Assumptions!$B$47,0)+IF(AND(Projects!$G$6="Yes",Projects!$J$6="Yes",Projects!$K$6="No",44=Projects!$C$6),Projects!$B$6*Assumptions!$B$47,0)+IF(AND(Projects!$G$7="Yes",Projects!$J$7="Yes",Projects!$K$7="No",44=Projects!$C$7),Projects!$B$7*Assumptions!$B$47,0)+IF(AND(Projects!$G$8="Yes",Projects!$J$8="Yes",Projects!$K$8="No",44=Projects!$C$8),Projects!$B$8*Assumptions!$B$47,0)+IF(AND(Projects!$G$9="Yes",Projects!$J$9="Yes",Projects!$K$9="No",44=Projects!$C$9),Projects!$B$9*Assumptions!$B$47,0)+IF(AND(Projects!$G$10="Yes",Projects!$J$10="Yes",Projects!$K$10="No",44=Projects!$C$10),Projects!$B$10*Assumptions!$B$47,0)+IF(AND(Projects!$G$11="Yes",Projects!$J$11="Yes",Projects!$K$11="No",44=Projects!$C$11),Projects!$B$11*Assumptions!$B$47,0)+IF(AND(Projects!$G$12="Yes",Projects!$J$12="Yes",Projects!$K$12="No",44=Projects!$C$12),Projects!$B$12*Assumptions!$B$47,0)+IF(AND(Projects!$G$13="Yes",Projects!$J$13="Yes",Projects!$K$13="No",44=Projects!$C$13),Projects!$B$13*Assumptions!$B$47,0)+IF(AND(Projects!$G$14="Yes",Projects!$J$14="Yes",Projects!$K$14="No",44=Projects!$C$14),Projects!$B$14*Assumptions!$B$47,0)),Actuals!AW105)</f>
        <v>0</v>
      </c>
      <c r="AX106" s="3">
        <f>IF(ISBLANK(Actuals!AX105),-(IF(AND(Projects!$G$2="Yes",Projects!$J$2="Yes",Projects!$K$2="No",45=Projects!$C$2),Projects!$B$2*Assumptions!$B$47,0)+IF(AND(Projects!$G$3="Yes",Projects!$J$3="Yes",Projects!$K$3="No",45=Projects!$C$3),Projects!$B$3*Assumptions!$B$47,0)+IF(AND(Projects!$G$4="Yes",Projects!$J$4="Yes",Projects!$K$4="No",45=Projects!$C$4),Projects!$B$4*Assumptions!$B$47,0)+IF(AND(Projects!$G$5="Yes",Projects!$J$5="Yes",Projects!$K$5="No",45=Projects!$C$5),Projects!$B$5*Assumptions!$B$47,0)+IF(AND(Projects!$G$6="Yes",Projects!$J$6="Yes",Projects!$K$6="No",45=Projects!$C$6),Projects!$B$6*Assumptions!$B$47,0)+IF(AND(Projects!$G$7="Yes",Projects!$J$7="Yes",Projects!$K$7="No",45=Projects!$C$7),Projects!$B$7*Assumptions!$B$47,0)+IF(AND(Projects!$G$8="Yes",Projects!$J$8="Yes",Projects!$K$8="No",45=Projects!$C$8),Projects!$B$8*Assumptions!$B$47,0)+IF(AND(Projects!$G$9="Yes",Projects!$J$9="Yes",Projects!$K$9="No",45=Projects!$C$9),Projects!$B$9*Assumptions!$B$47,0)+IF(AND(Projects!$G$10="Yes",Projects!$J$10="Yes",Projects!$K$10="No",45=Projects!$C$10),Projects!$B$10*Assumptions!$B$47,0)+IF(AND(Projects!$G$11="Yes",Projects!$J$11="Yes",Projects!$K$11="No",45=Projects!$C$11),Projects!$B$11*Assumptions!$B$47,0)+IF(AND(Projects!$G$12="Yes",Projects!$J$12="Yes",Projects!$K$12="No",45=Projects!$C$12),Projects!$B$12*Assumptions!$B$47,0)+IF(AND(Projects!$G$13="Yes",Projects!$J$13="Yes",Projects!$K$13="No",45=Projects!$C$13),Projects!$B$13*Assumptions!$B$47,0)+IF(AND(Projects!$G$14="Yes",Projects!$J$14="Yes",Projects!$K$14="No",45=Projects!$C$14),Projects!$B$14*Assumptions!$B$47,0)),Actuals!AX105)</f>
        <v>0</v>
      </c>
      <c r="AY106" s="3">
        <f>IF(ISBLANK(Actuals!AY105),-(IF(AND(Projects!$G$2="Yes",Projects!$J$2="Yes",Projects!$K$2="No",46=Projects!$C$2),Projects!$B$2*Assumptions!$B$47,0)+IF(AND(Projects!$G$3="Yes",Projects!$J$3="Yes",Projects!$K$3="No",46=Projects!$C$3),Projects!$B$3*Assumptions!$B$47,0)+IF(AND(Projects!$G$4="Yes",Projects!$J$4="Yes",Projects!$K$4="No",46=Projects!$C$4),Projects!$B$4*Assumptions!$B$47,0)+IF(AND(Projects!$G$5="Yes",Projects!$J$5="Yes",Projects!$K$5="No",46=Projects!$C$5),Projects!$B$5*Assumptions!$B$47,0)+IF(AND(Projects!$G$6="Yes",Projects!$J$6="Yes",Projects!$K$6="No",46=Projects!$C$6),Projects!$B$6*Assumptions!$B$47,0)+IF(AND(Projects!$G$7="Yes",Projects!$J$7="Yes",Projects!$K$7="No",46=Projects!$C$7),Projects!$B$7*Assumptions!$B$47,0)+IF(AND(Projects!$G$8="Yes",Projects!$J$8="Yes",Projects!$K$8="No",46=Projects!$C$8),Projects!$B$8*Assumptions!$B$47,0)+IF(AND(Projects!$G$9="Yes",Projects!$J$9="Yes",Projects!$K$9="No",46=Projects!$C$9),Projects!$B$9*Assumptions!$B$47,0)+IF(AND(Projects!$G$10="Yes",Projects!$J$10="Yes",Projects!$K$10="No",46=Projects!$C$10),Projects!$B$10*Assumptions!$B$47,0)+IF(AND(Projects!$G$11="Yes",Projects!$J$11="Yes",Projects!$K$11="No",46=Projects!$C$11),Projects!$B$11*Assumptions!$B$47,0)+IF(AND(Projects!$G$12="Yes",Projects!$J$12="Yes",Projects!$K$12="No",46=Projects!$C$12),Projects!$B$12*Assumptions!$B$47,0)+IF(AND(Projects!$G$13="Yes",Projects!$J$13="Yes",Projects!$K$13="No",46=Projects!$C$13),Projects!$B$13*Assumptions!$B$47,0)+IF(AND(Projects!$G$14="Yes",Projects!$J$14="Yes",Projects!$K$14="No",46=Projects!$C$14),Projects!$B$14*Assumptions!$B$47,0)),Actuals!AY105)</f>
        <v>0</v>
      </c>
      <c r="AZ106" s="3">
        <f>IF(ISBLANK(Actuals!AZ105),-(IF(AND(Projects!$G$2="Yes",Projects!$J$2="Yes",Projects!$K$2="No",47=Projects!$C$2),Projects!$B$2*Assumptions!$B$47,0)+IF(AND(Projects!$G$3="Yes",Projects!$J$3="Yes",Projects!$K$3="No",47=Projects!$C$3),Projects!$B$3*Assumptions!$B$47,0)+IF(AND(Projects!$G$4="Yes",Projects!$J$4="Yes",Projects!$K$4="No",47=Projects!$C$4),Projects!$B$4*Assumptions!$B$47,0)+IF(AND(Projects!$G$5="Yes",Projects!$J$5="Yes",Projects!$K$5="No",47=Projects!$C$5),Projects!$B$5*Assumptions!$B$47,0)+IF(AND(Projects!$G$6="Yes",Projects!$J$6="Yes",Projects!$K$6="No",47=Projects!$C$6),Projects!$B$6*Assumptions!$B$47,0)+IF(AND(Projects!$G$7="Yes",Projects!$J$7="Yes",Projects!$K$7="No",47=Projects!$C$7),Projects!$B$7*Assumptions!$B$47,0)+IF(AND(Projects!$G$8="Yes",Projects!$J$8="Yes",Projects!$K$8="No",47=Projects!$C$8),Projects!$B$8*Assumptions!$B$47,0)+IF(AND(Projects!$G$9="Yes",Projects!$J$9="Yes",Projects!$K$9="No",47=Projects!$C$9),Projects!$B$9*Assumptions!$B$47,0)+IF(AND(Projects!$G$10="Yes",Projects!$J$10="Yes",Projects!$K$10="No",47=Projects!$C$10),Projects!$B$10*Assumptions!$B$47,0)+IF(AND(Projects!$G$11="Yes",Projects!$J$11="Yes",Projects!$K$11="No",47=Projects!$C$11),Projects!$B$11*Assumptions!$B$47,0)+IF(AND(Projects!$G$12="Yes",Projects!$J$12="Yes",Projects!$K$12="No",47=Projects!$C$12),Projects!$B$12*Assumptions!$B$47,0)+IF(AND(Projects!$G$13="Yes",Projects!$J$13="Yes",Projects!$K$13="No",47=Projects!$C$13),Projects!$B$13*Assumptions!$B$47,0)+IF(AND(Projects!$G$14="Yes",Projects!$J$14="Yes",Projects!$K$14="No",47=Projects!$C$14),Projects!$B$14*Assumptions!$B$47,0)),Actuals!AZ105)</f>
        <v>0</v>
      </c>
      <c r="BA106" s="3">
        <f>IF(ISBLANK(Actuals!BA105),-(IF(AND(Projects!$G$2="Yes",Projects!$J$2="Yes",Projects!$K$2="No",48=Projects!$C$2),Projects!$B$2*Assumptions!$B$47,0)+IF(AND(Projects!$G$3="Yes",Projects!$J$3="Yes",Projects!$K$3="No",48=Projects!$C$3),Projects!$B$3*Assumptions!$B$47,0)+IF(AND(Projects!$G$4="Yes",Projects!$J$4="Yes",Projects!$K$4="No",48=Projects!$C$4),Projects!$B$4*Assumptions!$B$47,0)+IF(AND(Projects!$G$5="Yes",Projects!$J$5="Yes",Projects!$K$5="No",48=Projects!$C$5),Projects!$B$5*Assumptions!$B$47,0)+IF(AND(Projects!$G$6="Yes",Projects!$J$6="Yes",Projects!$K$6="No",48=Projects!$C$6),Projects!$B$6*Assumptions!$B$47,0)+IF(AND(Projects!$G$7="Yes",Projects!$J$7="Yes",Projects!$K$7="No",48=Projects!$C$7),Projects!$B$7*Assumptions!$B$47,0)+IF(AND(Projects!$G$8="Yes",Projects!$J$8="Yes",Projects!$K$8="No",48=Projects!$C$8),Projects!$B$8*Assumptions!$B$47,0)+IF(AND(Projects!$G$9="Yes",Projects!$J$9="Yes",Projects!$K$9="No",48=Projects!$C$9),Projects!$B$9*Assumptions!$B$47,0)+IF(AND(Projects!$G$10="Yes",Projects!$J$10="Yes",Projects!$K$10="No",48=Projects!$C$10),Projects!$B$10*Assumptions!$B$47,0)+IF(AND(Projects!$G$11="Yes",Projects!$J$11="Yes",Projects!$K$11="No",48=Projects!$C$11),Projects!$B$11*Assumptions!$B$47,0)+IF(AND(Projects!$G$12="Yes",Projects!$J$12="Yes",Projects!$K$12="No",48=Projects!$C$12),Projects!$B$12*Assumptions!$B$47,0)+IF(AND(Projects!$G$13="Yes",Projects!$J$13="Yes",Projects!$K$13="No",48=Projects!$C$13),Projects!$B$13*Assumptions!$B$47,0)+IF(AND(Projects!$G$14="Yes",Projects!$J$14="Yes",Projects!$K$14="No",48=Projects!$C$14),Projects!$B$14*Assumptions!$B$47,0)),Actuals!BA105)</f>
        <v>0</v>
      </c>
      <c r="BB106" s="3">
        <f>IF(ISBLANK(Actuals!BB105),-(IF(AND(Projects!$G$2="Yes",Projects!$J$2="Yes",Projects!$K$2="No",49=Projects!$C$2),Projects!$B$2*Assumptions!$B$47,0)+IF(AND(Projects!$G$3="Yes",Projects!$J$3="Yes",Projects!$K$3="No",49=Projects!$C$3),Projects!$B$3*Assumptions!$B$47,0)+IF(AND(Projects!$G$4="Yes",Projects!$J$4="Yes",Projects!$K$4="No",49=Projects!$C$4),Projects!$B$4*Assumptions!$B$47,0)+IF(AND(Projects!$G$5="Yes",Projects!$J$5="Yes",Projects!$K$5="No",49=Projects!$C$5),Projects!$B$5*Assumptions!$B$47,0)+IF(AND(Projects!$G$6="Yes",Projects!$J$6="Yes",Projects!$K$6="No",49=Projects!$C$6),Projects!$B$6*Assumptions!$B$47,0)+IF(AND(Projects!$G$7="Yes",Projects!$J$7="Yes",Projects!$K$7="No",49=Projects!$C$7),Projects!$B$7*Assumptions!$B$47,0)+IF(AND(Projects!$G$8="Yes",Projects!$J$8="Yes",Projects!$K$8="No",49=Projects!$C$8),Projects!$B$8*Assumptions!$B$47,0)+IF(AND(Projects!$G$9="Yes",Projects!$J$9="Yes",Projects!$K$9="No",49=Projects!$C$9),Projects!$B$9*Assumptions!$B$47,0)+IF(AND(Projects!$G$10="Yes",Projects!$J$10="Yes",Projects!$K$10="No",49=Projects!$C$10),Projects!$B$10*Assumptions!$B$47,0)+IF(AND(Projects!$G$11="Yes",Projects!$J$11="Yes",Projects!$K$11="No",49=Projects!$C$11),Projects!$B$11*Assumptions!$B$47,0)+IF(AND(Projects!$G$12="Yes",Projects!$J$12="Yes",Projects!$K$12="No",49=Projects!$C$12),Projects!$B$12*Assumptions!$B$47,0)+IF(AND(Projects!$G$13="Yes",Projects!$J$13="Yes",Projects!$K$13="No",49=Projects!$C$13),Projects!$B$13*Assumptions!$B$47,0)+IF(AND(Projects!$G$14="Yes",Projects!$J$14="Yes",Projects!$K$14="No",49=Projects!$C$14),Projects!$B$14*Assumptions!$B$47,0)),Actuals!BB105)</f>
        <v>0</v>
      </c>
      <c r="BC106" s="3">
        <f>IF(ISBLANK(Actuals!BC105),-(IF(AND(Projects!$G$2="Yes",Projects!$J$2="Yes",Projects!$K$2="No",50=Projects!$C$2),Projects!$B$2*Assumptions!$B$47,0)+IF(AND(Projects!$G$3="Yes",Projects!$J$3="Yes",Projects!$K$3="No",50=Projects!$C$3),Projects!$B$3*Assumptions!$B$47,0)+IF(AND(Projects!$G$4="Yes",Projects!$J$4="Yes",Projects!$K$4="No",50=Projects!$C$4),Projects!$B$4*Assumptions!$B$47,0)+IF(AND(Projects!$G$5="Yes",Projects!$J$5="Yes",Projects!$K$5="No",50=Projects!$C$5),Projects!$B$5*Assumptions!$B$47,0)+IF(AND(Projects!$G$6="Yes",Projects!$J$6="Yes",Projects!$K$6="No",50=Projects!$C$6),Projects!$B$6*Assumptions!$B$47,0)+IF(AND(Projects!$G$7="Yes",Projects!$J$7="Yes",Projects!$K$7="No",50=Projects!$C$7),Projects!$B$7*Assumptions!$B$47,0)+IF(AND(Projects!$G$8="Yes",Projects!$J$8="Yes",Projects!$K$8="No",50=Projects!$C$8),Projects!$B$8*Assumptions!$B$47,0)+IF(AND(Projects!$G$9="Yes",Projects!$J$9="Yes",Projects!$K$9="No",50=Projects!$C$9),Projects!$B$9*Assumptions!$B$47,0)+IF(AND(Projects!$G$10="Yes",Projects!$J$10="Yes",Projects!$K$10="No",50=Projects!$C$10),Projects!$B$10*Assumptions!$B$47,0)+IF(AND(Projects!$G$11="Yes",Projects!$J$11="Yes",Projects!$K$11="No",50=Projects!$C$11),Projects!$B$11*Assumptions!$B$47,0)+IF(AND(Projects!$G$12="Yes",Projects!$J$12="Yes",Projects!$K$12="No",50=Projects!$C$12),Projects!$B$12*Assumptions!$B$47,0)+IF(AND(Projects!$G$13="Yes",Projects!$J$13="Yes",Projects!$K$13="No",50=Projects!$C$13),Projects!$B$13*Assumptions!$B$47,0)+IF(AND(Projects!$G$14="Yes",Projects!$J$14="Yes",Projects!$K$14="No",50=Projects!$C$14),Projects!$B$14*Assumptions!$B$47,0)),Actuals!BC105)</f>
        <v>0</v>
      </c>
      <c r="BD106" s="3">
        <f>IF(ISBLANK(Actuals!BD105),-(IF(AND(Projects!$G$2="Yes",Projects!$J$2="Yes",Projects!$K$2="No",51=Projects!$C$2),Projects!$B$2*Assumptions!$B$47,0)+IF(AND(Projects!$G$3="Yes",Projects!$J$3="Yes",Projects!$K$3="No",51=Projects!$C$3),Projects!$B$3*Assumptions!$B$47,0)+IF(AND(Projects!$G$4="Yes",Projects!$J$4="Yes",Projects!$K$4="No",51=Projects!$C$4),Projects!$B$4*Assumptions!$B$47,0)+IF(AND(Projects!$G$5="Yes",Projects!$J$5="Yes",Projects!$K$5="No",51=Projects!$C$5),Projects!$B$5*Assumptions!$B$47,0)+IF(AND(Projects!$G$6="Yes",Projects!$J$6="Yes",Projects!$K$6="No",51=Projects!$C$6),Projects!$B$6*Assumptions!$B$47,0)+IF(AND(Projects!$G$7="Yes",Projects!$J$7="Yes",Projects!$K$7="No",51=Projects!$C$7),Projects!$B$7*Assumptions!$B$47,0)+IF(AND(Projects!$G$8="Yes",Projects!$J$8="Yes",Projects!$K$8="No",51=Projects!$C$8),Projects!$B$8*Assumptions!$B$47,0)+IF(AND(Projects!$G$9="Yes",Projects!$J$9="Yes",Projects!$K$9="No",51=Projects!$C$9),Projects!$B$9*Assumptions!$B$47,0)+IF(AND(Projects!$G$10="Yes",Projects!$J$10="Yes",Projects!$K$10="No",51=Projects!$C$10),Projects!$B$10*Assumptions!$B$47,0)+IF(AND(Projects!$G$11="Yes",Projects!$J$11="Yes",Projects!$K$11="No",51=Projects!$C$11),Projects!$B$11*Assumptions!$B$47,0)+IF(AND(Projects!$G$12="Yes",Projects!$J$12="Yes",Projects!$K$12="No",51=Projects!$C$12),Projects!$B$12*Assumptions!$B$47,0)+IF(AND(Projects!$G$13="Yes",Projects!$J$13="Yes",Projects!$K$13="No",51=Projects!$C$13),Projects!$B$13*Assumptions!$B$47,0)+IF(AND(Projects!$G$14="Yes",Projects!$J$14="Yes",Projects!$K$14="No",51=Projects!$C$14),Projects!$B$14*Assumptions!$B$47,0)),Actuals!BD105)</f>
        <v>0</v>
      </c>
      <c r="BE106" s="3">
        <f>IF(ISBLANK(Actuals!BE105),-(IF(AND(Projects!$G$2="Yes",Projects!$J$2="Yes",Projects!$K$2="No",52=Projects!$C$2),Projects!$B$2*Assumptions!$B$47,0)+IF(AND(Projects!$G$3="Yes",Projects!$J$3="Yes",Projects!$K$3="No",52=Projects!$C$3),Projects!$B$3*Assumptions!$B$47,0)+IF(AND(Projects!$G$4="Yes",Projects!$J$4="Yes",Projects!$K$4="No",52=Projects!$C$4),Projects!$B$4*Assumptions!$B$47,0)+IF(AND(Projects!$G$5="Yes",Projects!$J$5="Yes",Projects!$K$5="No",52=Projects!$C$5),Projects!$B$5*Assumptions!$B$47,0)+IF(AND(Projects!$G$6="Yes",Projects!$J$6="Yes",Projects!$K$6="No",52=Projects!$C$6),Projects!$B$6*Assumptions!$B$47,0)+IF(AND(Projects!$G$7="Yes",Projects!$J$7="Yes",Projects!$K$7="No",52=Projects!$C$7),Projects!$B$7*Assumptions!$B$47,0)+IF(AND(Projects!$G$8="Yes",Projects!$J$8="Yes",Projects!$K$8="No",52=Projects!$C$8),Projects!$B$8*Assumptions!$B$47,0)+IF(AND(Projects!$G$9="Yes",Projects!$J$9="Yes",Projects!$K$9="No",52=Projects!$C$9),Projects!$B$9*Assumptions!$B$47,0)+IF(AND(Projects!$G$10="Yes",Projects!$J$10="Yes",Projects!$K$10="No",52=Projects!$C$10),Projects!$B$10*Assumptions!$B$47,0)+IF(AND(Projects!$G$11="Yes",Projects!$J$11="Yes",Projects!$K$11="No",52=Projects!$C$11),Projects!$B$11*Assumptions!$B$47,0)+IF(AND(Projects!$G$12="Yes",Projects!$J$12="Yes",Projects!$K$12="No",52=Projects!$C$12),Projects!$B$12*Assumptions!$B$47,0)+IF(AND(Projects!$G$13="Yes",Projects!$J$13="Yes",Projects!$K$13="No",52=Projects!$C$13),Projects!$B$13*Assumptions!$B$47,0)+IF(AND(Projects!$G$14="Yes",Projects!$J$14="Yes",Projects!$K$14="No",52=Projects!$C$14),Projects!$B$14*Assumptions!$B$47,0)),Actuals!BE105)</f>
        <v>0</v>
      </c>
      <c r="BF106" s="3">
        <f>IF(ISBLANK(Actuals!BF105),-(IF(AND(Projects!$G$2="Yes",Projects!$J$2="Yes",Projects!$K$2="No",53=Projects!$C$2),Projects!$B$2*Assumptions!$B$47,0)+IF(AND(Projects!$G$3="Yes",Projects!$J$3="Yes",Projects!$K$3="No",53=Projects!$C$3),Projects!$B$3*Assumptions!$B$47,0)+IF(AND(Projects!$G$4="Yes",Projects!$J$4="Yes",Projects!$K$4="No",53=Projects!$C$4),Projects!$B$4*Assumptions!$B$47,0)+IF(AND(Projects!$G$5="Yes",Projects!$J$5="Yes",Projects!$K$5="No",53=Projects!$C$5),Projects!$B$5*Assumptions!$B$47,0)+IF(AND(Projects!$G$6="Yes",Projects!$J$6="Yes",Projects!$K$6="No",53=Projects!$C$6),Projects!$B$6*Assumptions!$B$47,0)+IF(AND(Projects!$G$7="Yes",Projects!$J$7="Yes",Projects!$K$7="No",53=Projects!$C$7),Projects!$B$7*Assumptions!$B$47,0)+IF(AND(Projects!$G$8="Yes",Projects!$J$8="Yes",Projects!$K$8="No",53=Projects!$C$8),Projects!$B$8*Assumptions!$B$47,0)+IF(AND(Projects!$G$9="Yes",Projects!$J$9="Yes",Projects!$K$9="No",53=Projects!$C$9),Projects!$B$9*Assumptions!$B$47,0)+IF(AND(Projects!$G$10="Yes",Projects!$J$10="Yes",Projects!$K$10="No",53=Projects!$C$10),Projects!$B$10*Assumptions!$B$47,0)+IF(AND(Projects!$G$11="Yes",Projects!$J$11="Yes",Projects!$K$11="No",53=Projects!$C$11),Projects!$B$11*Assumptions!$B$47,0)+IF(AND(Projects!$G$12="Yes",Projects!$J$12="Yes",Projects!$K$12="No",53=Projects!$C$12),Projects!$B$12*Assumptions!$B$47,0)+IF(AND(Projects!$G$13="Yes",Projects!$J$13="Yes",Projects!$K$13="No",53=Projects!$C$13),Projects!$B$13*Assumptions!$B$47,0)+IF(AND(Projects!$G$14="Yes",Projects!$J$14="Yes",Projects!$K$14="No",53=Projects!$C$14),Projects!$B$14*Assumptions!$B$47,0)),Actuals!BF105)</f>
        <v>0</v>
      </c>
      <c r="BG106" s="3">
        <f>IF(ISBLANK(Actuals!BG105),-(IF(AND(Projects!$G$2="Yes",Projects!$J$2="Yes",Projects!$K$2="No",54=Projects!$C$2),Projects!$B$2*Assumptions!$B$47,0)+IF(AND(Projects!$G$3="Yes",Projects!$J$3="Yes",Projects!$K$3="No",54=Projects!$C$3),Projects!$B$3*Assumptions!$B$47,0)+IF(AND(Projects!$G$4="Yes",Projects!$J$4="Yes",Projects!$K$4="No",54=Projects!$C$4),Projects!$B$4*Assumptions!$B$47,0)+IF(AND(Projects!$G$5="Yes",Projects!$J$5="Yes",Projects!$K$5="No",54=Projects!$C$5),Projects!$B$5*Assumptions!$B$47,0)+IF(AND(Projects!$G$6="Yes",Projects!$J$6="Yes",Projects!$K$6="No",54=Projects!$C$6),Projects!$B$6*Assumptions!$B$47,0)+IF(AND(Projects!$G$7="Yes",Projects!$J$7="Yes",Projects!$K$7="No",54=Projects!$C$7),Projects!$B$7*Assumptions!$B$47,0)+IF(AND(Projects!$G$8="Yes",Projects!$J$8="Yes",Projects!$K$8="No",54=Projects!$C$8),Projects!$B$8*Assumptions!$B$47,0)+IF(AND(Projects!$G$9="Yes",Projects!$J$9="Yes",Projects!$K$9="No",54=Projects!$C$9),Projects!$B$9*Assumptions!$B$47,0)+IF(AND(Projects!$G$10="Yes",Projects!$J$10="Yes",Projects!$K$10="No",54=Projects!$C$10),Projects!$B$10*Assumptions!$B$47,0)+IF(AND(Projects!$G$11="Yes",Projects!$J$11="Yes",Projects!$K$11="No",54=Projects!$C$11),Projects!$B$11*Assumptions!$B$47,0)+IF(AND(Projects!$G$12="Yes",Projects!$J$12="Yes",Projects!$K$12="No",54=Projects!$C$12),Projects!$B$12*Assumptions!$B$47,0)+IF(AND(Projects!$G$13="Yes",Projects!$J$13="Yes",Projects!$K$13="No",54=Projects!$C$13),Projects!$B$13*Assumptions!$B$47,0)+IF(AND(Projects!$G$14="Yes",Projects!$J$14="Yes",Projects!$K$14="No",54=Projects!$C$14),Projects!$B$14*Assumptions!$B$47,0)),Actuals!BG105)</f>
        <v>0</v>
      </c>
      <c r="BH106" s="3">
        <f>IF(ISBLANK(Actuals!BH105),-(IF(AND(Projects!$G$2="Yes",Projects!$J$2="Yes",Projects!$K$2="No",55=Projects!$C$2),Projects!$B$2*Assumptions!$B$47,0)+IF(AND(Projects!$G$3="Yes",Projects!$J$3="Yes",Projects!$K$3="No",55=Projects!$C$3),Projects!$B$3*Assumptions!$B$47,0)+IF(AND(Projects!$G$4="Yes",Projects!$J$4="Yes",Projects!$K$4="No",55=Projects!$C$4),Projects!$B$4*Assumptions!$B$47,0)+IF(AND(Projects!$G$5="Yes",Projects!$J$5="Yes",Projects!$K$5="No",55=Projects!$C$5),Projects!$B$5*Assumptions!$B$47,0)+IF(AND(Projects!$G$6="Yes",Projects!$J$6="Yes",Projects!$K$6="No",55=Projects!$C$6),Projects!$B$6*Assumptions!$B$47,0)+IF(AND(Projects!$G$7="Yes",Projects!$J$7="Yes",Projects!$K$7="No",55=Projects!$C$7),Projects!$B$7*Assumptions!$B$47,0)+IF(AND(Projects!$G$8="Yes",Projects!$J$8="Yes",Projects!$K$8="No",55=Projects!$C$8),Projects!$B$8*Assumptions!$B$47,0)+IF(AND(Projects!$G$9="Yes",Projects!$J$9="Yes",Projects!$K$9="No",55=Projects!$C$9),Projects!$B$9*Assumptions!$B$47,0)+IF(AND(Projects!$G$10="Yes",Projects!$J$10="Yes",Projects!$K$10="No",55=Projects!$C$10),Projects!$B$10*Assumptions!$B$47,0)+IF(AND(Projects!$G$11="Yes",Projects!$J$11="Yes",Projects!$K$11="No",55=Projects!$C$11),Projects!$B$11*Assumptions!$B$47,0)+IF(AND(Projects!$G$12="Yes",Projects!$J$12="Yes",Projects!$K$12="No",55=Projects!$C$12),Projects!$B$12*Assumptions!$B$47,0)+IF(AND(Projects!$G$13="Yes",Projects!$J$13="Yes",Projects!$K$13="No",55=Projects!$C$13),Projects!$B$13*Assumptions!$B$47,0)+IF(AND(Projects!$G$14="Yes",Projects!$J$14="Yes",Projects!$K$14="No",55=Projects!$C$14),Projects!$B$14*Assumptions!$B$47,0)),Actuals!BH105)</f>
        <v>0</v>
      </c>
      <c r="BI106" s="3">
        <f>IF(ISBLANK(Actuals!BI105),-(IF(AND(Projects!$G$2="Yes",Projects!$J$2="Yes",Projects!$K$2="No",56=Projects!$C$2),Projects!$B$2*Assumptions!$B$47,0)+IF(AND(Projects!$G$3="Yes",Projects!$J$3="Yes",Projects!$K$3="No",56=Projects!$C$3),Projects!$B$3*Assumptions!$B$47,0)+IF(AND(Projects!$G$4="Yes",Projects!$J$4="Yes",Projects!$K$4="No",56=Projects!$C$4),Projects!$B$4*Assumptions!$B$47,0)+IF(AND(Projects!$G$5="Yes",Projects!$J$5="Yes",Projects!$K$5="No",56=Projects!$C$5),Projects!$B$5*Assumptions!$B$47,0)+IF(AND(Projects!$G$6="Yes",Projects!$J$6="Yes",Projects!$K$6="No",56=Projects!$C$6),Projects!$B$6*Assumptions!$B$47,0)+IF(AND(Projects!$G$7="Yes",Projects!$J$7="Yes",Projects!$K$7="No",56=Projects!$C$7),Projects!$B$7*Assumptions!$B$47,0)+IF(AND(Projects!$G$8="Yes",Projects!$J$8="Yes",Projects!$K$8="No",56=Projects!$C$8),Projects!$B$8*Assumptions!$B$47,0)+IF(AND(Projects!$G$9="Yes",Projects!$J$9="Yes",Projects!$K$9="No",56=Projects!$C$9),Projects!$B$9*Assumptions!$B$47,0)+IF(AND(Projects!$G$10="Yes",Projects!$J$10="Yes",Projects!$K$10="No",56=Projects!$C$10),Projects!$B$10*Assumptions!$B$47,0)+IF(AND(Projects!$G$11="Yes",Projects!$J$11="Yes",Projects!$K$11="No",56=Projects!$C$11),Projects!$B$11*Assumptions!$B$47,0)+IF(AND(Projects!$G$12="Yes",Projects!$J$12="Yes",Projects!$K$12="No",56=Projects!$C$12),Projects!$B$12*Assumptions!$B$47,0)+IF(AND(Projects!$G$13="Yes",Projects!$J$13="Yes",Projects!$K$13="No",56=Projects!$C$13),Projects!$B$13*Assumptions!$B$47,0)+IF(AND(Projects!$G$14="Yes",Projects!$J$14="Yes",Projects!$K$14="No",56=Projects!$C$14),Projects!$B$14*Assumptions!$B$47,0)),Actuals!BI105)</f>
        <v>0</v>
      </c>
      <c r="BJ106" s="3">
        <f>IF(ISBLANK(Actuals!BJ105),-(IF(AND(Projects!$G$2="Yes",Projects!$J$2="Yes",Projects!$K$2="No",57=Projects!$C$2),Projects!$B$2*Assumptions!$B$47,0)+IF(AND(Projects!$G$3="Yes",Projects!$J$3="Yes",Projects!$K$3="No",57=Projects!$C$3),Projects!$B$3*Assumptions!$B$47,0)+IF(AND(Projects!$G$4="Yes",Projects!$J$4="Yes",Projects!$K$4="No",57=Projects!$C$4),Projects!$B$4*Assumptions!$B$47,0)+IF(AND(Projects!$G$5="Yes",Projects!$J$5="Yes",Projects!$K$5="No",57=Projects!$C$5),Projects!$B$5*Assumptions!$B$47,0)+IF(AND(Projects!$G$6="Yes",Projects!$J$6="Yes",Projects!$K$6="No",57=Projects!$C$6),Projects!$B$6*Assumptions!$B$47,0)+IF(AND(Projects!$G$7="Yes",Projects!$J$7="Yes",Projects!$K$7="No",57=Projects!$C$7),Projects!$B$7*Assumptions!$B$47,0)+IF(AND(Projects!$G$8="Yes",Projects!$J$8="Yes",Projects!$K$8="No",57=Projects!$C$8),Projects!$B$8*Assumptions!$B$47,0)+IF(AND(Projects!$G$9="Yes",Projects!$J$9="Yes",Projects!$K$9="No",57=Projects!$C$9),Projects!$B$9*Assumptions!$B$47,0)+IF(AND(Projects!$G$10="Yes",Projects!$J$10="Yes",Projects!$K$10="No",57=Projects!$C$10),Projects!$B$10*Assumptions!$B$47,0)+IF(AND(Projects!$G$11="Yes",Projects!$J$11="Yes",Projects!$K$11="No",57=Projects!$C$11),Projects!$B$11*Assumptions!$B$47,0)+IF(AND(Projects!$G$12="Yes",Projects!$J$12="Yes",Projects!$K$12="No",57=Projects!$C$12),Projects!$B$12*Assumptions!$B$47,0)+IF(AND(Projects!$G$13="Yes",Projects!$J$13="Yes",Projects!$K$13="No",57=Projects!$C$13),Projects!$B$13*Assumptions!$B$47,0)+IF(AND(Projects!$G$14="Yes",Projects!$J$14="Yes",Projects!$K$14="No",57=Projects!$C$14),Projects!$B$14*Assumptions!$B$47,0)),Actuals!BJ105)</f>
        <v>0</v>
      </c>
      <c r="BK106" s="3">
        <f>IF(ISBLANK(Actuals!BK105),-(IF(AND(Projects!$G$2="Yes",Projects!$J$2="Yes",Projects!$K$2="No",58=Projects!$C$2),Projects!$B$2*Assumptions!$B$47,0)+IF(AND(Projects!$G$3="Yes",Projects!$J$3="Yes",Projects!$K$3="No",58=Projects!$C$3),Projects!$B$3*Assumptions!$B$47,0)+IF(AND(Projects!$G$4="Yes",Projects!$J$4="Yes",Projects!$K$4="No",58=Projects!$C$4),Projects!$B$4*Assumptions!$B$47,0)+IF(AND(Projects!$G$5="Yes",Projects!$J$5="Yes",Projects!$K$5="No",58=Projects!$C$5),Projects!$B$5*Assumptions!$B$47,0)+IF(AND(Projects!$G$6="Yes",Projects!$J$6="Yes",Projects!$K$6="No",58=Projects!$C$6),Projects!$B$6*Assumptions!$B$47,0)+IF(AND(Projects!$G$7="Yes",Projects!$J$7="Yes",Projects!$K$7="No",58=Projects!$C$7),Projects!$B$7*Assumptions!$B$47,0)+IF(AND(Projects!$G$8="Yes",Projects!$J$8="Yes",Projects!$K$8="No",58=Projects!$C$8),Projects!$B$8*Assumptions!$B$47,0)+IF(AND(Projects!$G$9="Yes",Projects!$J$9="Yes",Projects!$K$9="No",58=Projects!$C$9),Projects!$B$9*Assumptions!$B$47,0)+IF(AND(Projects!$G$10="Yes",Projects!$J$10="Yes",Projects!$K$10="No",58=Projects!$C$10),Projects!$B$10*Assumptions!$B$47,0)+IF(AND(Projects!$G$11="Yes",Projects!$J$11="Yes",Projects!$K$11="No",58=Projects!$C$11),Projects!$B$11*Assumptions!$B$47,0)+IF(AND(Projects!$G$12="Yes",Projects!$J$12="Yes",Projects!$K$12="No",58=Projects!$C$12),Projects!$B$12*Assumptions!$B$47,0)+IF(AND(Projects!$G$13="Yes",Projects!$J$13="Yes",Projects!$K$13="No",58=Projects!$C$13),Projects!$B$13*Assumptions!$B$47,0)+IF(AND(Projects!$G$14="Yes",Projects!$J$14="Yes",Projects!$K$14="No",58=Projects!$C$14),Projects!$B$14*Assumptions!$B$47,0)),Actuals!BK105)</f>
        <v>0</v>
      </c>
      <c r="BL106" s="3">
        <f>IF(ISBLANK(Actuals!BL105),-(IF(AND(Projects!$G$2="Yes",Projects!$J$2="Yes",Projects!$K$2="No",59=Projects!$C$2),Projects!$B$2*Assumptions!$B$47,0)+IF(AND(Projects!$G$3="Yes",Projects!$J$3="Yes",Projects!$K$3="No",59=Projects!$C$3),Projects!$B$3*Assumptions!$B$47,0)+IF(AND(Projects!$G$4="Yes",Projects!$J$4="Yes",Projects!$K$4="No",59=Projects!$C$4),Projects!$B$4*Assumptions!$B$47,0)+IF(AND(Projects!$G$5="Yes",Projects!$J$5="Yes",Projects!$K$5="No",59=Projects!$C$5),Projects!$B$5*Assumptions!$B$47,0)+IF(AND(Projects!$G$6="Yes",Projects!$J$6="Yes",Projects!$K$6="No",59=Projects!$C$6),Projects!$B$6*Assumptions!$B$47,0)+IF(AND(Projects!$G$7="Yes",Projects!$J$7="Yes",Projects!$K$7="No",59=Projects!$C$7),Projects!$B$7*Assumptions!$B$47,0)+IF(AND(Projects!$G$8="Yes",Projects!$J$8="Yes",Projects!$K$8="No",59=Projects!$C$8),Projects!$B$8*Assumptions!$B$47,0)+IF(AND(Projects!$G$9="Yes",Projects!$J$9="Yes",Projects!$K$9="No",59=Projects!$C$9),Projects!$B$9*Assumptions!$B$47,0)+IF(AND(Projects!$G$10="Yes",Projects!$J$10="Yes",Projects!$K$10="No",59=Projects!$C$10),Projects!$B$10*Assumptions!$B$47,0)+IF(AND(Projects!$G$11="Yes",Projects!$J$11="Yes",Projects!$K$11="No",59=Projects!$C$11),Projects!$B$11*Assumptions!$B$47,0)+IF(AND(Projects!$G$12="Yes",Projects!$J$12="Yes",Projects!$K$12="No",59=Projects!$C$12),Projects!$B$12*Assumptions!$B$47,0)+IF(AND(Projects!$G$13="Yes",Projects!$J$13="Yes",Projects!$K$13="No",59=Projects!$C$13),Projects!$B$13*Assumptions!$B$47,0)+IF(AND(Projects!$G$14="Yes",Projects!$J$14="Yes",Projects!$K$14="No",59=Projects!$C$14),Projects!$B$14*Assumptions!$B$47,0)),Actuals!BL105)</f>
        <v>0</v>
      </c>
      <c r="BM106" s="3">
        <f>IF(ISBLANK(Actuals!BM105),-(IF(AND(Projects!$G$2="Yes",Projects!$J$2="Yes",Projects!$K$2="No",60=Projects!$C$2),Projects!$B$2*Assumptions!$B$47,0)+IF(AND(Projects!$G$3="Yes",Projects!$J$3="Yes",Projects!$K$3="No",60=Projects!$C$3),Projects!$B$3*Assumptions!$B$47,0)+IF(AND(Projects!$G$4="Yes",Projects!$J$4="Yes",Projects!$K$4="No",60=Projects!$C$4),Projects!$B$4*Assumptions!$B$47,0)+IF(AND(Projects!$G$5="Yes",Projects!$J$5="Yes",Projects!$K$5="No",60=Projects!$C$5),Projects!$B$5*Assumptions!$B$47,0)+IF(AND(Projects!$G$6="Yes",Projects!$J$6="Yes",Projects!$K$6="No",60=Projects!$C$6),Projects!$B$6*Assumptions!$B$47,0)+IF(AND(Projects!$G$7="Yes",Projects!$J$7="Yes",Projects!$K$7="No",60=Projects!$C$7),Projects!$B$7*Assumptions!$B$47,0)+IF(AND(Projects!$G$8="Yes",Projects!$J$8="Yes",Projects!$K$8="No",60=Projects!$C$8),Projects!$B$8*Assumptions!$B$47,0)+IF(AND(Projects!$G$9="Yes",Projects!$J$9="Yes",Projects!$K$9="No",60=Projects!$C$9),Projects!$B$9*Assumptions!$B$47,0)+IF(AND(Projects!$G$10="Yes",Projects!$J$10="Yes",Projects!$K$10="No",60=Projects!$C$10),Projects!$B$10*Assumptions!$B$47,0)+IF(AND(Projects!$G$11="Yes",Projects!$J$11="Yes",Projects!$K$11="No",60=Projects!$C$11),Projects!$B$11*Assumptions!$B$47,0)+IF(AND(Projects!$G$12="Yes",Projects!$J$12="Yes",Projects!$K$12="No",60=Projects!$C$12),Projects!$B$12*Assumptions!$B$47,0)+IF(AND(Projects!$G$13="Yes",Projects!$J$13="Yes",Projects!$K$13="No",60=Projects!$C$13),Projects!$B$13*Assumptions!$B$47,0)+IF(AND(Projects!$G$14="Yes",Projects!$J$14="Yes",Projects!$K$14="No",60=Projects!$C$14),Projects!$B$14*Assumptions!$B$47,0)),Actuals!BM105)</f>
        <v>0</v>
      </c>
      <c r="BN106" s="3">
        <f>IF(ISBLANK(Actuals!BN105),-(IF(AND(Projects!$G$2="Yes",Projects!$J$2="Yes",Projects!$K$2="No",61=Projects!$C$2),Projects!$B$2*Assumptions!$B$47,0)+IF(AND(Projects!$G$3="Yes",Projects!$J$3="Yes",Projects!$K$3="No",61=Projects!$C$3),Projects!$B$3*Assumptions!$B$47,0)+IF(AND(Projects!$G$4="Yes",Projects!$J$4="Yes",Projects!$K$4="No",61=Projects!$C$4),Projects!$B$4*Assumptions!$B$47,0)+IF(AND(Projects!$G$5="Yes",Projects!$J$5="Yes",Projects!$K$5="No",61=Projects!$C$5),Projects!$B$5*Assumptions!$B$47,0)+IF(AND(Projects!$G$6="Yes",Projects!$J$6="Yes",Projects!$K$6="No",61=Projects!$C$6),Projects!$B$6*Assumptions!$B$47,0)+IF(AND(Projects!$G$7="Yes",Projects!$J$7="Yes",Projects!$K$7="No",61=Projects!$C$7),Projects!$B$7*Assumptions!$B$47,0)+IF(AND(Projects!$G$8="Yes",Projects!$J$8="Yes",Projects!$K$8="No",61=Projects!$C$8),Projects!$B$8*Assumptions!$B$47,0)+IF(AND(Projects!$G$9="Yes",Projects!$J$9="Yes",Projects!$K$9="No",61=Projects!$C$9),Projects!$B$9*Assumptions!$B$47,0)+IF(AND(Projects!$G$10="Yes",Projects!$J$10="Yes",Projects!$K$10="No",61=Projects!$C$10),Projects!$B$10*Assumptions!$B$47,0)+IF(AND(Projects!$G$11="Yes",Projects!$J$11="Yes",Projects!$K$11="No",61=Projects!$C$11),Projects!$B$11*Assumptions!$B$47,0)+IF(AND(Projects!$G$12="Yes",Projects!$J$12="Yes",Projects!$K$12="No",61=Projects!$C$12),Projects!$B$12*Assumptions!$B$47,0)+IF(AND(Projects!$G$13="Yes",Projects!$J$13="Yes",Projects!$K$13="No",61=Projects!$C$13),Projects!$B$13*Assumptions!$B$47,0)+IF(AND(Projects!$G$14="Yes",Projects!$J$14="Yes",Projects!$K$14="No",61=Projects!$C$14),Projects!$B$14*Assumptions!$B$47,0)),Actuals!BN105)</f>
        <v>0</v>
      </c>
      <c r="BO106" s="3">
        <f>IF(ISBLANK(Actuals!BO105),-(IF(AND(Projects!$G$2="Yes",Projects!$J$2="Yes",Projects!$K$2="No",62=Projects!$C$2),Projects!$B$2*Assumptions!$B$47,0)+IF(AND(Projects!$G$3="Yes",Projects!$J$3="Yes",Projects!$K$3="No",62=Projects!$C$3),Projects!$B$3*Assumptions!$B$47,0)+IF(AND(Projects!$G$4="Yes",Projects!$J$4="Yes",Projects!$K$4="No",62=Projects!$C$4),Projects!$B$4*Assumptions!$B$47,0)+IF(AND(Projects!$G$5="Yes",Projects!$J$5="Yes",Projects!$K$5="No",62=Projects!$C$5),Projects!$B$5*Assumptions!$B$47,0)+IF(AND(Projects!$G$6="Yes",Projects!$J$6="Yes",Projects!$K$6="No",62=Projects!$C$6),Projects!$B$6*Assumptions!$B$47,0)+IF(AND(Projects!$G$7="Yes",Projects!$J$7="Yes",Projects!$K$7="No",62=Projects!$C$7),Projects!$B$7*Assumptions!$B$47,0)+IF(AND(Projects!$G$8="Yes",Projects!$J$8="Yes",Projects!$K$8="No",62=Projects!$C$8),Projects!$B$8*Assumptions!$B$47,0)+IF(AND(Projects!$G$9="Yes",Projects!$J$9="Yes",Projects!$K$9="No",62=Projects!$C$9),Projects!$B$9*Assumptions!$B$47,0)+IF(AND(Projects!$G$10="Yes",Projects!$J$10="Yes",Projects!$K$10="No",62=Projects!$C$10),Projects!$B$10*Assumptions!$B$47,0)+IF(AND(Projects!$G$11="Yes",Projects!$J$11="Yes",Projects!$K$11="No",62=Projects!$C$11),Projects!$B$11*Assumptions!$B$47,0)+IF(AND(Projects!$G$12="Yes",Projects!$J$12="Yes",Projects!$K$12="No",62=Projects!$C$12),Projects!$B$12*Assumptions!$B$47,0)+IF(AND(Projects!$G$13="Yes",Projects!$J$13="Yes",Projects!$K$13="No",62=Projects!$C$13),Projects!$B$13*Assumptions!$B$47,0)+IF(AND(Projects!$G$14="Yes",Projects!$J$14="Yes",Projects!$K$14="No",62=Projects!$C$14),Projects!$B$14*Assumptions!$B$47,0)),Actuals!BO105)</f>
        <v>0</v>
      </c>
      <c r="BP106" s="3">
        <f>IF(ISBLANK(Actuals!BP105),-(IF(AND(Projects!$G$2="Yes",Projects!$J$2="Yes",Projects!$K$2="No",63=Projects!$C$2),Projects!$B$2*Assumptions!$B$47,0)+IF(AND(Projects!$G$3="Yes",Projects!$J$3="Yes",Projects!$K$3="No",63=Projects!$C$3),Projects!$B$3*Assumptions!$B$47,0)+IF(AND(Projects!$G$4="Yes",Projects!$J$4="Yes",Projects!$K$4="No",63=Projects!$C$4),Projects!$B$4*Assumptions!$B$47,0)+IF(AND(Projects!$G$5="Yes",Projects!$J$5="Yes",Projects!$K$5="No",63=Projects!$C$5),Projects!$B$5*Assumptions!$B$47,0)+IF(AND(Projects!$G$6="Yes",Projects!$J$6="Yes",Projects!$K$6="No",63=Projects!$C$6),Projects!$B$6*Assumptions!$B$47,0)+IF(AND(Projects!$G$7="Yes",Projects!$J$7="Yes",Projects!$K$7="No",63=Projects!$C$7),Projects!$B$7*Assumptions!$B$47,0)+IF(AND(Projects!$G$8="Yes",Projects!$J$8="Yes",Projects!$K$8="No",63=Projects!$C$8),Projects!$B$8*Assumptions!$B$47,0)+IF(AND(Projects!$G$9="Yes",Projects!$J$9="Yes",Projects!$K$9="No",63=Projects!$C$9),Projects!$B$9*Assumptions!$B$47,0)+IF(AND(Projects!$G$10="Yes",Projects!$J$10="Yes",Projects!$K$10="No",63=Projects!$C$10),Projects!$B$10*Assumptions!$B$47,0)+IF(AND(Projects!$G$11="Yes",Projects!$J$11="Yes",Projects!$K$11="No",63=Projects!$C$11),Projects!$B$11*Assumptions!$B$47,0)+IF(AND(Projects!$G$12="Yes",Projects!$J$12="Yes",Projects!$K$12="No",63=Projects!$C$12),Projects!$B$12*Assumptions!$B$47,0)+IF(AND(Projects!$G$13="Yes",Projects!$J$13="Yes",Projects!$K$13="No",63=Projects!$C$13),Projects!$B$13*Assumptions!$B$47,0)+IF(AND(Projects!$G$14="Yes",Projects!$J$14="Yes",Projects!$K$14="No",63=Projects!$C$14),Projects!$B$14*Assumptions!$B$47,0)),Actuals!BP105)</f>
        <v>0</v>
      </c>
      <c r="BQ106" s="3">
        <f>IF(ISBLANK(Actuals!BQ105),-(IF(AND(Projects!$G$2="Yes",Projects!$J$2="Yes",Projects!$K$2="No",64=Projects!$C$2),Projects!$B$2*Assumptions!$B$47,0)+IF(AND(Projects!$G$3="Yes",Projects!$J$3="Yes",Projects!$K$3="No",64=Projects!$C$3),Projects!$B$3*Assumptions!$B$47,0)+IF(AND(Projects!$G$4="Yes",Projects!$J$4="Yes",Projects!$K$4="No",64=Projects!$C$4),Projects!$B$4*Assumptions!$B$47,0)+IF(AND(Projects!$G$5="Yes",Projects!$J$5="Yes",Projects!$K$5="No",64=Projects!$C$5),Projects!$B$5*Assumptions!$B$47,0)+IF(AND(Projects!$G$6="Yes",Projects!$J$6="Yes",Projects!$K$6="No",64=Projects!$C$6),Projects!$B$6*Assumptions!$B$47,0)+IF(AND(Projects!$G$7="Yes",Projects!$J$7="Yes",Projects!$K$7="No",64=Projects!$C$7),Projects!$B$7*Assumptions!$B$47,0)+IF(AND(Projects!$G$8="Yes",Projects!$J$8="Yes",Projects!$K$8="No",64=Projects!$C$8),Projects!$B$8*Assumptions!$B$47,0)+IF(AND(Projects!$G$9="Yes",Projects!$J$9="Yes",Projects!$K$9="No",64=Projects!$C$9),Projects!$B$9*Assumptions!$B$47,0)+IF(AND(Projects!$G$10="Yes",Projects!$J$10="Yes",Projects!$K$10="No",64=Projects!$C$10),Projects!$B$10*Assumptions!$B$47,0)+IF(AND(Projects!$G$11="Yes",Projects!$J$11="Yes",Projects!$K$11="No",64=Projects!$C$11),Projects!$B$11*Assumptions!$B$47,0)+IF(AND(Projects!$G$12="Yes",Projects!$J$12="Yes",Projects!$K$12="No",64=Projects!$C$12),Projects!$B$12*Assumptions!$B$47,0)+IF(AND(Projects!$G$13="Yes",Projects!$J$13="Yes",Projects!$K$13="No",64=Projects!$C$13),Projects!$B$13*Assumptions!$B$47,0)+IF(AND(Projects!$G$14="Yes",Projects!$J$14="Yes",Projects!$K$14="No",64=Projects!$C$14),Projects!$B$14*Assumptions!$B$47,0)),Actuals!BQ105)</f>
        <v>0</v>
      </c>
      <c r="BR106" s="3">
        <f>IF(ISBLANK(Actuals!BR105),-(IF(AND(Projects!$G$2="Yes",Projects!$J$2="Yes",Projects!$K$2="No",65=Projects!$C$2),Projects!$B$2*Assumptions!$B$47,0)+IF(AND(Projects!$G$3="Yes",Projects!$J$3="Yes",Projects!$K$3="No",65=Projects!$C$3),Projects!$B$3*Assumptions!$B$47,0)+IF(AND(Projects!$G$4="Yes",Projects!$J$4="Yes",Projects!$K$4="No",65=Projects!$C$4),Projects!$B$4*Assumptions!$B$47,0)+IF(AND(Projects!$G$5="Yes",Projects!$J$5="Yes",Projects!$K$5="No",65=Projects!$C$5),Projects!$B$5*Assumptions!$B$47,0)+IF(AND(Projects!$G$6="Yes",Projects!$J$6="Yes",Projects!$K$6="No",65=Projects!$C$6),Projects!$B$6*Assumptions!$B$47,0)+IF(AND(Projects!$G$7="Yes",Projects!$J$7="Yes",Projects!$K$7="No",65=Projects!$C$7),Projects!$B$7*Assumptions!$B$47,0)+IF(AND(Projects!$G$8="Yes",Projects!$J$8="Yes",Projects!$K$8="No",65=Projects!$C$8),Projects!$B$8*Assumptions!$B$47,0)+IF(AND(Projects!$G$9="Yes",Projects!$J$9="Yes",Projects!$K$9="No",65=Projects!$C$9),Projects!$B$9*Assumptions!$B$47,0)+IF(AND(Projects!$G$10="Yes",Projects!$J$10="Yes",Projects!$K$10="No",65=Projects!$C$10),Projects!$B$10*Assumptions!$B$47,0)+IF(AND(Projects!$G$11="Yes",Projects!$J$11="Yes",Projects!$K$11="No",65=Projects!$C$11),Projects!$B$11*Assumptions!$B$47,0)+IF(AND(Projects!$G$12="Yes",Projects!$J$12="Yes",Projects!$K$12="No",65=Projects!$C$12),Projects!$B$12*Assumptions!$B$47,0)+IF(AND(Projects!$G$13="Yes",Projects!$J$13="Yes",Projects!$K$13="No",65=Projects!$C$13),Projects!$B$13*Assumptions!$B$47,0)+IF(AND(Projects!$G$14="Yes",Projects!$J$14="Yes",Projects!$K$14="No",65=Projects!$C$14),Projects!$B$14*Assumptions!$B$47,0)),Actuals!BR105)</f>
        <v>0</v>
      </c>
      <c r="BS106" s="3">
        <f>IF(ISBLANK(Actuals!BS105),-(IF(AND(Projects!$G$2="Yes",Projects!$J$2="Yes",Projects!$K$2="No",66=Projects!$C$2),Projects!$B$2*Assumptions!$B$47,0)+IF(AND(Projects!$G$3="Yes",Projects!$J$3="Yes",Projects!$K$3="No",66=Projects!$C$3),Projects!$B$3*Assumptions!$B$47,0)+IF(AND(Projects!$G$4="Yes",Projects!$J$4="Yes",Projects!$K$4="No",66=Projects!$C$4),Projects!$B$4*Assumptions!$B$47,0)+IF(AND(Projects!$G$5="Yes",Projects!$J$5="Yes",Projects!$K$5="No",66=Projects!$C$5),Projects!$B$5*Assumptions!$B$47,0)+IF(AND(Projects!$G$6="Yes",Projects!$J$6="Yes",Projects!$K$6="No",66=Projects!$C$6),Projects!$B$6*Assumptions!$B$47,0)+IF(AND(Projects!$G$7="Yes",Projects!$J$7="Yes",Projects!$K$7="No",66=Projects!$C$7),Projects!$B$7*Assumptions!$B$47,0)+IF(AND(Projects!$G$8="Yes",Projects!$J$8="Yes",Projects!$K$8="No",66=Projects!$C$8),Projects!$B$8*Assumptions!$B$47,0)+IF(AND(Projects!$G$9="Yes",Projects!$J$9="Yes",Projects!$K$9="No",66=Projects!$C$9),Projects!$B$9*Assumptions!$B$47,0)+IF(AND(Projects!$G$10="Yes",Projects!$J$10="Yes",Projects!$K$10="No",66=Projects!$C$10),Projects!$B$10*Assumptions!$B$47,0)+IF(AND(Projects!$G$11="Yes",Projects!$J$11="Yes",Projects!$K$11="No",66=Projects!$C$11),Projects!$B$11*Assumptions!$B$47,0)+IF(AND(Projects!$G$12="Yes",Projects!$J$12="Yes",Projects!$K$12="No",66=Projects!$C$12),Projects!$B$12*Assumptions!$B$47,0)+IF(AND(Projects!$G$13="Yes",Projects!$J$13="Yes",Projects!$K$13="No",66=Projects!$C$13),Projects!$B$13*Assumptions!$B$47,0)+IF(AND(Projects!$G$14="Yes",Projects!$J$14="Yes",Projects!$K$14="No",66=Projects!$C$14),Projects!$B$14*Assumptions!$B$47,0)),Actuals!BS105)</f>
        <v>0</v>
      </c>
      <c r="BT106" s="3">
        <f>IF(ISBLANK(Actuals!BT105),-(IF(AND(Projects!$G$2="Yes",Projects!$J$2="Yes",Projects!$K$2="No",67=Projects!$C$2),Projects!$B$2*Assumptions!$B$47,0)+IF(AND(Projects!$G$3="Yes",Projects!$J$3="Yes",Projects!$K$3="No",67=Projects!$C$3),Projects!$B$3*Assumptions!$B$47,0)+IF(AND(Projects!$G$4="Yes",Projects!$J$4="Yes",Projects!$K$4="No",67=Projects!$C$4),Projects!$B$4*Assumptions!$B$47,0)+IF(AND(Projects!$G$5="Yes",Projects!$J$5="Yes",Projects!$K$5="No",67=Projects!$C$5),Projects!$B$5*Assumptions!$B$47,0)+IF(AND(Projects!$G$6="Yes",Projects!$J$6="Yes",Projects!$K$6="No",67=Projects!$C$6),Projects!$B$6*Assumptions!$B$47,0)+IF(AND(Projects!$G$7="Yes",Projects!$J$7="Yes",Projects!$K$7="No",67=Projects!$C$7),Projects!$B$7*Assumptions!$B$47,0)+IF(AND(Projects!$G$8="Yes",Projects!$J$8="Yes",Projects!$K$8="No",67=Projects!$C$8),Projects!$B$8*Assumptions!$B$47,0)+IF(AND(Projects!$G$9="Yes",Projects!$J$9="Yes",Projects!$K$9="No",67=Projects!$C$9),Projects!$B$9*Assumptions!$B$47,0)+IF(AND(Projects!$G$10="Yes",Projects!$J$10="Yes",Projects!$K$10="No",67=Projects!$C$10),Projects!$B$10*Assumptions!$B$47,0)+IF(AND(Projects!$G$11="Yes",Projects!$J$11="Yes",Projects!$K$11="No",67=Projects!$C$11),Projects!$B$11*Assumptions!$B$47,0)+IF(AND(Projects!$G$12="Yes",Projects!$J$12="Yes",Projects!$K$12="No",67=Projects!$C$12),Projects!$B$12*Assumptions!$B$47,0)+IF(AND(Projects!$G$13="Yes",Projects!$J$13="Yes",Projects!$K$13="No",67=Projects!$C$13),Projects!$B$13*Assumptions!$B$47,0)+IF(AND(Projects!$G$14="Yes",Projects!$J$14="Yes",Projects!$K$14="No",67=Projects!$C$14),Projects!$B$14*Assumptions!$B$47,0)),Actuals!BT105)</f>
        <v>0</v>
      </c>
      <c r="BU106" s="3">
        <f>IF(ISBLANK(Actuals!BU105),-(IF(AND(Projects!$G$2="Yes",Projects!$J$2="Yes",Projects!$K$2="No",68=Projects!$C$2),Projects!$B$2*Assumptions!$B$47,0)+IF(AND(Projects!$G$3="Yes",Projects!$J$3="Yes",Projects!$K$3="No",68=Projects!$C$3),Projects!$B$3*Assumptions!$B$47,0)+IF(AND(Projects!$G$4="Yes",Projects!$J$4="Yes",Projects!$K$4="No",68=Projects!$C$4),Projects!$B$4*Assumptions!$B$47,0)+IF(AND(Projects!$G$5="Yes",Projects!$J$5="Yes",Projects!$K$5="No",68=Projects!$C$5),Projects!$B$5*Assumptions!$B$47,0)+IF(AND(Projects!$G$6="Yes",Projects!$J$6="Yes",Projects!$K$6="No",68=Projects!$C$6),Projects!$B$6*Assumptions!$B$47,0)+IF(AND(Projects!$G$7="Yes",Projects!$J$7="Yes",Projects!$K$7="No",68=Projects!$C$7),Projects!$B$7*Assumptions!$B$47,0)+IF(AND(Projects!$G$8="Yes",Projects!$J$8="Yes",Projects!$K$8="No",68=Projects!$C$8),Projects!$B$8*Assumptions!$B$47,0)+IF(AND(Projects!$G$9="Yes",Projects!$J$9="Yes",Projects!$K$9="No",68=Projects!$C$9),Projects!$B$9*Assumptions!$B$47,0)+IF(AND(Projects!$G$10="Yes",Projects!$J$10="Yes",Projects!$K$10="No",68=Projects!$C$10),Projects!$B$10*Assumptions!$B$47,0)+IF(AND(Projects!$G$11="Yes",Projects!$J$11="Yes",Projects!$K$11="No",68=Projects!$C$11),Projects!$B$11*Assumptions!$B$47,0)+IF(AND(Projects!$G$12="Yes",Projects!$J$12="Yes",Projects!$K$12="No",68=Projects!$C$12),Projects!$B$12*Assumptions!$B$47,0)+IF(AND(Projects!$G$13="Yes",Projects!$J$13="Yes",Projects!$K$13="No",68=Projects!$C$13),Projects!$B$13*Assumptions!$B$47,0)+IF(AND(Projects!$G$14="Yes",Projects!$J$14="Yes",Projects!$K$14="No",68=Projects!$C$14),Projects!$B$14*Assumptions!$B$47,0)),Actuals!BU105)</f>
        <v>0</v>
      </c>
      <c r="BV106" s="3">
        <f>IF(ISBLANK(Actuals!BV105),-(IF(AND(Projects!$G$2="Yes",Projects!$J$2="Yes",Projects!$K$2="No",69=Projects!$C$2),Projects!$B$2*Assumptions!$B$47,0)+IF(AND(Projects!$G$3="Yes",Projects!$J$3="Yes",Projects!$K$3="No",69=Projects!$C$3),Projects!$B$3*Assumptions!$B$47,0)+IF(AND(Projects!$G$4="Yes",Projects!$J$4="Yes",Projects!$K$4="No",69=Projects!$C$4),Projects!$B$4*Assumptions!$B$47,0)+IF(AND(Projects!$G$5="Yes",Projects!$J$5="Yes",Projects!$K$5="No",69=Projects!$C$5),Projects!$B$5*Assumptions!$B$47,0)+IF(AND(Projects!$G$6="Yes",Projects!$J$6="Yes",Projects!$K$6="No",69=Projects!$C$6),Projects!$B$6*Assumptions!$B$47,0)+IF(AND(Projects!$G$7="Yes",Projects!$J$7="Yes",Projects!$K$7="No",69=Projects!$C$7),Projects!$B$7*Assumptions!$B$47,0)+IF(AND(Projects!$G$8="Yes",Projects!$J$8="Yes",Projects!$K$8="No",69=Projects!$C$8),Projects!$B$8*Assumptions!$B$47,0)+IF(AND(Projects!$G$9="Yes",Projects!$J$9="Yes",Projects!$K$9="No",69=Projects!$C$9),Projects!$B$9*Assumptions!$B$47,0)+IF(AND(Projects!$G$10="Yes",Projects!$J$10="Yes",Projects!$K$10="No",69=Projects!$C$10),Projects!$B$10*Assumptions!$B$47,0)+IF(AND(Projects!$G$11="Yes",Projects!$J$11="Yes",Projects!$K$11="No",69=Projects!$C$11),Projects!$B$11*Assumptions!$B$47,0)+IF(AND(Projects!$G$12="Yes",Projects!$J$12="Yes",Projects!$K$12="No",69=Projects!$C$12),Projects!$B$12*Assumptions!$B$47,0)+IF(AND(Projects!$G$13="Yes",Projects!$J$13="Yes",Projects!$K$13="No",69=Projects!$C$13),Projects!$B$13*Assumptions!$B$47,0)+IF(AND(Projects!$G$14="Yes",Projects!$J$14="Yes",Projects!$K$14="No",69=Projects!$C$14),Projects!$B$14*Assumptions!$B$47,0)),Actuals!BV105)</f>
        <v>0</v>
      </c>
      <c r="BW106" s="3">
        <f>IF(ISBLANK(Actuals!BW105),-(IF(AND(Projects!$G$2="Yes",Projects!$J$2="Yes",Projects!$K$2="No",70=Projects!$C$2),Projects!$B$2*Assumptions!$B$47,0)+IF(AND(Projects!$G$3="Yes",Projects!$J$3="Yes",Projects!$K$3="No",70=Projects!$C$3),Projects!$B$3*Assumptions!$B$47,0)+IF(AND(Projects!$G$4="Yes",Projects!$J$4="Yes",Projects!$K$4="No",70=Projects!$C$4),Projects!$B$4*Assumptions!$B$47,0)+IF(AND(Projects!$G$5="Yes",Projects!$J$5="Yes",Projects!$K$5="No",70=Projects!$C$5),Projects!$B$5*Assumptions!$B$47,0)+IF(AND(Projects!$G$6="Yes",Projects!$J$6="Yes",Projects!$K$6="No",70=Projects!$C$6),Projects!$B$6*Assumptions!$B$47,0)+IF(AND(Projects!$G$7="Yes",Projects!$J$7="Yes",Projects!$K$7="No",70=Projects!$C$7),Projects!$B$7*Assumptions!$B$47,0)+IF(AND(Projects!$G$8="Yes",Projects!$J$8="Yes",Projects!$K$8="No",70=Projects!$C$8),Projects!$B$8*Assumptions!$B$47,0)+IF(AND(Projects!$G$9="Yes",Projects!$J$9="Yes",Projects!$K$9="No",70=Projects!$C$9),Projects!$B$9*Assumptions!$B$47,0)+IF(AND(Projects!$G$10="Yes",Projects!$J$10="Yes",Projects!$K$10="No",70=Projects!$C$10),Projects!$B$10*Assumptions!$B$47,0)+IF(AND(Projects!$G$11="Yes",Projects!$J$11="Yes",Projects!$K$11="No",70=Projects!$C$11),Projects!$B$11*Assumptions!$B$47,0)+IF(AND(Projects!$G$12="Yes",Projects!$J$12="Yes",Projects!$K$12="No",70=Projects!$C$12),Projects!$B$12*Assumptions!$B$47,0)+IF(AND(Projects!$G$13="Yes",Projects!$J$13="Yes",Projects!$K$13="No",70=Projects!$C$13),Projects!$B$13*Assumptions!$B$47,0)+IF(AND(Projects!$G$14="Yes",Projects!$J$14="Yes",Projects!$K$14="No",70=Projects!$C$14),Projects!$B$14*Assumptions!$B$47,0)),Actuals!BW105)</f>
        <v>0</v>
      </c>
      <c r="BX106" s="3">
        <f>IF(ISBLANK(Actuals!BX105),-(IF(AND(Projects!$G$2="Yes",Projects!$J$2="Yes",Projects!$K$2="No",71=Projects!$C$2),Projects!$B$2*Assumptions!$B$47,0)+IF(AND(Projects!$G$3="Yes",Projects!$J$3="Yes",Projects!$K$3="No",71=Projects!$C$3),Projects!$B$3*Assumptions!$B$47,0)+IF(AND(Projects!$G$4="Yes",Projects!$J$4="Yes",Projects!$K$4="No",71=Projects!$C$4),Projects!$B$4*Assumptions!$B$47,0)+IF(AND(Projects!$G$5="Yes",Projects!$J$5="Yes",Projects!$K$5="No",71=Projects!$C$5),Projects!$B$5*Assumptions!$B$47,0)+IF(AND(Projects!$G$6="Yes",Projects!$J$6="Yes",Projects!$K$6="No",71=Projects!$C$6),Projects!$B$6*Assumptions!$B$47,0)+IF(AND(Projects!$G$7="Yes",Projects!$J$7="Yes",Projects!$K$7="No",71=Projects!$C$7),Projects!$B$7*Assumptions!$B$47,0)+IF(AND(Projects!$G$8="Yes",Projects!$J$8="Yes",Projects!$K$8="No",71=Projects!$C$8),Projects!$B$8*Assumptions!$B$47,0)+IF(AND(Projects!$G$9="Yes",Projects!$J$9="Yes",Projects!$K$9="No",71=Projects!$C$9),Projects!$B$9*Assumptions!$B$47,0)+IF(AND(Projects!$G$10="Yes",Projects!$J$10="Yes",Projects!$K$10="No",71=Projects!$C$10),Projects!$B$10*Assumptions!$B$47,0)+IF(AND(Projects!$G$11="Yes",Projects!$J$11="Yes",Projects!$K$11="No",71=Projects!$C$11),Projects!$B$11*Assumptions!$B$47,0)+IF(AND(Projects!$G$12="Yes",Projects!$J$12="Yes",Projects!$K$12="No",71=Projects!$C$12),Projects!$B$12*Assumptions!$B$47,0)+IF(AND(Projects!$G$13="Yes",Projects!$J$13="Yes",Projects!$K$13="No",71=Projects!$C$13),Projects!$B$13*Assumptions!$B$47,0)+IF(AND(Projects!$G$14="Yes",Projects!$J$14="Yes",Projects!$K$14="No",71=Projects!$C$14),Projects!$B$14*Assumptions!$B$47,0)),Actuals!BX105)</f>
        <v>0</v>
      </c>
      <c r="BY106" s="3">
        <f>IF(ISBLANK(Actuals!BY105),-(IF(AND(Projects!$G$2="Yes",Projects!$J$2="Yes",Projects!$K$2="No",72=Projects!$C$2),Projects!$B$2*Assumptions!$B$47,0)+IF(AND(Projects!$G$3="Yes",Projects!$J$3="Yes",Projects!$K$3="No",72=Projects!$C$3),Projects!$B$3*Assumptions!$B$47,0)+IF(AND(Projects!$G$4="Yes",Projects!$J$4="Yes",Projects!$K$4="No",72=Projects!$C$4),Projects!$B$4*Assumptions!$B$47,0)+IF(AND(Projects!$G$5="Yes",Projects!$J$5="Yes",Projects!$K$5="No",72=Projects!$C$5),Projects!$B$5*Assumptions!$B$47,0)+IF(AND(Projects!$G$6="Yes",Projects!$J$6="Yes",Projects!$K$6="No",72=Projects!$C$6),Projects!$B$6*Assumptions!$B$47,0)+IF(AND(Projects!$G$7="Yes",Projects!$J$7="Yes",Projects!$K$7="No",72=Projects!$C$7),Projects!$B$7*Assumptions!$B$47,0)+IF(AND(Projects!$G$8="Yes",Projects!$J$8="Yes",Projects!$K$8="No",72=Projects!$C$8),Projects!$B$8*Assumptions!$B$47,0)+IF(AND(Projects!$G$9="Yes",Projects!$J$9="Yes",Projects!$K$9="No",72=Projects!$C$9),Projects!$B$9*Assumptions!$B$47,0)+IF(AND(Projects!$G$10="Yes",Projects!$J$10="Yes",Projects!$K$10="No",72=Projects!$C$10),Projects!$B$10*Assumptions!$B$47,0)+IF(AND(Projects!$G$11="Yes",Projects!$J$11="Yes",Projects!$K$11="No",72=Projects!$C$11),Projects!$B$11*Assumptions!$B$47,0)+IF(AND(Projects!$G$12="Yes",Projects!$J$12="Yes",Projects!$K$12="No",72=Projects!$C$12),Projects!$B$12*Assumptions!$B$47,0)+IF(AND(Projects!$G$13="Yes",Projects!$J$13="Yes",Projects!$K$13="No",72=Projects!$C$13),Projects!$B$13*Assumptions!$B$47,0)+IF(AND(Projects!$G$14="Yes",Projects!$J$14="Yes",Projects!$K$14="No",72=Projects!$C$14),Projects!$B$14*Assumptions!$B$47,0)),Actuals!BY105)</f>
        <v>0</v>
      </c>
      <c r="BZ106" s="3">
        <f>IF(ISBLANK(Actuals!BZ105),-(IF(AND(Projects!$G$2="Yes",Projects!$J$2="Yes",Projects!$K$2="No",73=Projects!$C$2),Projects!$B$2*Assumptions!$B$47,0)+IF(AND(Projects!$G$3="Yes",Projects!$J$3="Yes",Projects!$K$3="No",73=Projects!$C$3),Projects!$B$3*Assumptions!$B$47,0)+IF(AND(Projects!$G$4="Yes",Projects!$J$4="Yes",Projects!$K$4="No",73=Projects!$C$4),Projects!$B$4*Assumptions!$B$47,0)+IF(AND(Projects!$G$5="Yes",Projects!$J$5="Yes",Projects!$K$5="No",73=Projects!$C$5),Projects!$B$5*Assumptions!$B$47,0)+IF(AND(Projects!$G$6="Yes",Projects!$J$6="Yes",Projects!$K$6="No",73=Projects!$C$6),Projects!$B$6*Assumptions!$B$47,0)+IF(AND(Projects!$G$7="Yes",Projects!$J$7="Yes",Projects!$K$7="No",73=Projects!$C$7),Projects!$B$7*Assumptions!$B$47,0)+IF(AND(Projects!$G$8="Yes",Projects!$J$8="Yes",Projects!$K$8="No",73=Projects!$C$8),Projects!$B$8*Assumptions!$B$47,0)+IF(AND(Projects!$G$9="Yes",Projects!$J$9="Yes",Projects!$K$9="No",73=Projects!$C$9),Projects!$B$9*Assumptions!$B$47,0)+IF(AND(Projects!$G$10="Yes",Projects!$J$10="Yes",Projects!$K$10="No",73=Projects!$C$10),Projects!$B$10*Assumptions!$B$47,0)+IF(AND(Projects!$G$11="Yes",Projects!$J$11="Yes",Projects!$K$11="No",73=Projects!$C$11),Projects!$B$11*Assumptions!$B$47,0)+IF(AND(Projects!$G$12="Yes",Projects!$J$12="Yes",Projects!$K$12="No",73=Projects!$C$12),Projects!$B$12*Assumptions!$B$47,0)+IF(AND(Projects!$G$13="Yes",Projects!$J$13="Yes",Projects!$K$13="No",73=Projects!$C$13),Projects!$B$13*Assumptions!$B$47,0)+IF(AND(Projects!$G$14="Yes",Projects!$J$14="Yes",Projects!$K$14="No",73=Projects!$C$14),Projects!$B$14*Assumptions!$B$47,0)),Actuals!BZ105)</f>
        <v>0</v>
      </c>
      <c r="CA106" s="3">
        <f>IF(ISBLANK(Actuals!CA105),-(IF(AND(Projects!$G$2="Yes",Projects!$J$2="Yes",Projects!$K$2="No",74=Projects!$C$2),Projects!$B$2*Assumptions!$B$47,0)+IF(AND(Projects!$G$3="Yes",Projects!$J$3="Yes",Projects!$K$3="No",74=Projects!$C$3),Projects!$B$3*Assumptions!$B$47,0)+IF(AND(Projects!$G$4="Yes",Projects!$J$4="Yes",Projects!$K$4="No",74=Projects!$C$4),Projects!$B$4*Assumptions!$B$47,0)+IF(AND(Projects!$G$5="Yes",Projects!$J$5="Yes",Projects!$K$5="No",74=Projects!$C$5),Projects!$B$5*Assumptions!$B$47,0)+IF(AND(Projects!$G$6="Yes",Projects!$J$6="Yes",Projects!$K$6="No",74=Projects!$C$6),Projects!$B$6*Assumptions!$B$47,0)+IF(AND(Projects!$G$7="Yes",Projects!$J$7="Yes",Projects!$K$7="No",74=Projects!$C$7),Projects!$B$7*Assumptions!$B$47,0)+IF(AND(Projects!$G$8="Yes",Projects!$J$8="Yes",Projects!$K$8="No",74=Projects!$C$8),Projects!$B$8*Assumptions!$B$47,0)+IF(AND(Projects!$G$9="Yes",Projects!$J$9="Yes",Projects!$K$9="No",74=Projects!$C$9),Projects!$B$9*Assumptions!$B$47,0)+IF(AND(Projects!$G$10="Yes",Projects!$J$10="Yes",Projects!$K$10="No",74=Projects!$C$10),Projects!$B$10*Assumptions!$B$47,0)+IF(AND(Projects!$G$11="Yes",Projects!$J$11="Yes",Projects!$K$11="No",74=Projects!$C$11),Projects!$B$11*Assumptions!$B$47,0)+IF(AND(Projects!$G$12="Yes",Projects!$J$12="Yes",Projects!$K$12="No",74=Projects!$C$12),Projects!$B$12*Assumptions!$B$47,0)+IF(AND(Projects!$G$13="Yes",Projects!$J$13="Yes",Projects!$K$13="No",74=Projects!$C$13),Projects!$B$13*Assumptions!$B$47,0)+IF(AND(Projects!$G$14="Yes",Projects!$J$14="Yes",Projects!$K$14="No",74=Projects!$C$14),Projects!$B$14*Assumptions!$B$47,0)),Actuals!CA105)</f>
        <v>0</v>
      </c>
      <c r="CB106" s="3">
        <f>IF(ISBLANK(Actuals!CB105),-(IF(AND(Projects!$G$2="Yes",Projects!$J$2="Yes",Projects!$K$2="No",75=Projects!$C$2),Projects!$B$2*Assumptions!$B$47,0)+IF(AND(Projects!$G$3="Yes",Projects!$J$3="Yes",Projects!$K$3="No",75=Projects!$C$3),Projects!$B$3*Assumptions!$B$47,0)+IF(AND(Projects!$G$4="Yes",Projects!$J$4="Yes",Projects!$K$4="No",75=Projects!$C$4),Projects!$B$4*Assumptions!$B$47,0)+IF(AND(Projects!$G$5="Yes",Projects!$J$5="Yes",Projects!$K$5="No",75=Projects!$C$5),Projects!$B$5*Assumptions!$B$47,0)+IF(AND(Projects!$G$6="Yes",Projects!$J$6="Yes",Projects!$K$6="No",75=Projects!$C$6),Projects!$B$6*Assumptions!$B$47,0)+IF(AND(Projects!$G$7="Yes",Projects!$J$7="Yes",Projects!$K$7="No",75=Projects!$C$7),Projects!$B$7*Assumptions!$B$47,0)+IF(AND(Projects!$G$8="Yes",Projects!$J$8="Yes",Projects!$K$8="No",75=Projects!$C$8),Projects!$B$8*Assumptions!$B$47,0)+IF(AND(Projects!$G$9="Yes",Projects!$J$9="Yes",Projects!$K$9="No",75=Projects!$C$9),Projects!$B$9*Assumptions!$B$47,0)+IF(AND(Projects!$G$10="Yes",Projects!$J$10="Yes",Projects!$K$10="No",75=Projects!$C$10),Projects!$B$10*Assumptions!$B$47,0)+IF(AND(Projects!$G$11="Yes",Projects!$J$11="Yes",Projects!$K$11="No",75=Projects!$C$11),Projects!$B$11*Assumptions!$B$47,0)+IF(AND(Projects!$G$12="Yes",Projects!$J$12="Yes",Projects!$K$12="No",75=Projects!$C$12),Projects!$B$12*Assumptions!$B$47,0)+IF(AND(Projects!$G$13="Yes",Projects!$J$13="Yes",Projects!$K$13="No",75=Projects!$C$13),Projects!$B$13*Assumptions!$B$47,0)+IF(AND(Projects!$G$14="Yes",Projects!$J$14="Yes",Projects!$K$14="No",75=Projects!$C$14),Projects!$B$14*Assumptions!$B$47,0)),Actuals!CB105)</f>
        <v>0</v>
      </c>
      <c r="CC106" s="3">
        <f>IF(ISBLANK(Actuals!CC105),-(IF(AND(Projects!$G$2="Yes",Projects!$J$2="Yes",Projects!$K$2="No",76=Projects!$C$2),Projects!$B$2*Assumptions!$B$47,0)+IF(AND(Projects!$G$3="Yes",Projects!$J$3="Yes",Projects!$K$3="No",76=Projects!$C$3),Projects!$B$3*Assumptions!$B$47,0)+IF(AND(Projects!$G$4="Yes",Projects!$J$4="Yes",Projects!$K$4="No",76=Projects!$C$4),Projects!$B$4*Assumptions!$B$47,0)+IF(AND(Projects!$G$5="Yes",Projects!$J$5="Yes",Projects!$K$5="No",76=Projects!$C$5),Projects!$B$5*Assumptions!$B$47,0)+IF(AND(Projects!$G$6="Yes",Projects!$J$6="Yes",Projects!$K$6="No",76=Projects!$C$6),Projects!$B$6*Assumptions!$B$47,0)+IF(AND(Projects!$G$7="Yes",Projects!$J$7="Yes",Projects!$K$7="No",76=Projects!$C$7),Projects!$B$7*Assumptions!$B$47,0)+IF(AND(Projects!$G$8="Yes",Projects!$J$8="Yes",Projects!$K$8="No",76=Projects!$C$8),Projects!$B$8*Assumptions!$B$47,0)+IF(AND(Projects!$G$9="Yes",Projects!$J$9="Yes",Projects!$K$9="No",76=Projects!$C$9),Projects!$B$9*Assumptions!$B$47,0)+IF(AND(Projects!$G$10="Yes",Projects!$J$10="Yes",Projects!$K$10="No",76=Projects!$C$10),Projects!$B$10*Assumptions!$B$47,0)+IF(AND(Projects!$G$11="Yes",Projects!$J$11="Yes",Projects!$K$11="No",76=Projects!$C$11),Projects!$B$11*Assumptions!$B$47,0)+IF(AND(Projects!$G$12="Yes",Projects!$J$12="Yes",Projects!$K$12="No",76=Projects!$C$12),Projects!$B$12*Assumptions!$B$47,0)+IF(AND(Projects!$G$13="Yes",Projects!$J$13="Yes",Projects!$K$13="No",76=Projects!$C$13),Projects!$B$13*Assumptions!$B$47,0)+IF(AND(Projects!$G$14="Yes",Projects!$J$14="Yes",Projects!$K$14="No",76=Projects!$C$14),Projects!$B$14*Assumptions!$B$47,0)),Actuals!CC105)</f>
        <v>0</v>
      </c>
      <c r="CD106" s="3">
        <f>IF(ISBLANK(Actuals!CD105),-(IF(AND(Projects!$G$2="Yes",Projects!$J$2="Yes",Projects!$K$2="No",77=Projects!$C$2),Projects!$B$2*Assumptions!$B$47,0)+IF(AND(Projects!$G$3="Yes",Projects!$J$3="Yes",Projects!$K$3="No",77=Projects!$C$3),Projects!$B$3*Assumptions!$B$47,0)+IF(AND(Projects!$G$4="Yes",Projects!$J$4="Yes",Projects!$K$4="No",77=Projects!$C$4),Projects!$B$4*Assumptions!$B$47,0)+IF(AND(Projects!$G$5="Yes",Projects!$J$5="Yes",Projects!$K$5="No",77=Projects!$C$5),Projects!$B$5*Assumptions!$B$47,0)+IF(AND(Projects!$G$6="Yes",Projects!$J$6="Yes",Projects!$K$6="No",77=Projects!$C$6),Projects!$B$6*Assumptions!$B$47,0)+IF(AND(Projects!$G$7="Yes",Projects!$J$7="Yes",Projects!$K$7="No",77=Projects!$C$7),Projects!$B$7*Assumptions!$B$47,0)+IF(AND(Projects!$G$8="Yes",Projects!$J$8="Yes",Projects!$K$8="No",77=Projects!$C$8),Projects!$B$8*Assumptions!$B$47,0)+IF(AND(Projects!$G$9="Yes",Projects!$J$9="Yes",Projects!$K$9="No",77=Projects!$C$9),Projects!$B$9*Assumptions!$B$47,0)+IF(AND(Projects!$G$10="Yes",Projects!$J$10="Yes",Projects!$K$10="No",77=Projects!$C$10),Projects!$B$10*Assumptions!$B$47,0)+IF(AND(Projects!$G$11="Yes",Projects!$J$11="Yes",Projects!$K$11="No",77=Projects!$C$11),Projects!$B$11*Assumptions!$B$47,0)+IF(AND(Projects!$G$12="Yes",Projects!$J$12="Yes",Projects!$K$12="No",77=Projects!$C$12),Projects!$B$12*Assumptions!$B$47,0)+IF(AND(Projects!$G$13="Yes",Projects!$J$13="Yes",Projects!$K$13="No",77=Projects!$C$13),Projects!$B$13*Assumptions!$B$47,0)+IF(AND(Projects!$G$14="Yes",Projects!$J$14="Yes",Projects!$K$14="No",77=Projects!$C$14),Projects!$B$14*Assumptions!$B$47,0)),Actuals!CD105)</f>
        <v>0</v>
      </c>
      <c r="CE106" s="3">
        <f>IF(ISBLANK(Actuals!CE105),-(IF(AND(Projects!$G$2="Yes",Projects!$J$2="Yes",Projects!$K$2="No",78=Projects!$C$2),Projects!$B$2*Assumptions!$B$47,0)+IF(AND(Projects!$G$3="Yes",Projects!$J$3="Yes",Projects!$K$3="No",78=Projects!$C$3),Projects!$B$3*Assumptions!$B$47,0)+IF(AND(Projects!$G$4="Yes",Projects!$J$4="Yes",Projects!$K$4="No",78=Projects!$C$4),Projects!$B$4*Assumptions!$B$47,0)+IF(AND(Projects!$G$5="Yes",Projects!$J$5="Yes",Projects!$K$5="No",78=Projects!$C$5),Projects!$B$5*Assumptions!$B$47,0)+IF(AND(Projects!$G$6="Yes",Projects!$J$6="Yes",Projects!$K$6="No",78=Projects!$C$6),Projects!$B$6*Assumptions!$B$47,0)+IF(AND(Projects!$G$7="Yes",Projects!$J$7="Yes",Projects!$K$7="No",78=Projects!$C$7),Projects!$B$7*Assumptions!$B$47,0)+IF(AND(Projects!$G$8="Yes",Projects!$J$8="Yes",Projects!$K$8="No",78=Projects!$C$8),Projects!$B$8*Assumptions!$B$47,0)+IF(AND(Projects!$G$9="Yes",Projects!$J$9="Yes",Projects!$K$9="No",78=Projects!$C$9),Projects!$B$9*Assumptions!$B$47,0)+IF(AND(Projects!$G$10="Yes",Projects!$J$10="Yes",Projects!$K$10="No",78=Projects!$C$10),Projects!$B$10*Assumptions!$B$47,0)+IF(AND(Projects!$G$11="Yes",Projects!$J$11="Yes",Projects!$K$11="No",78=Projects!$C$11),Projects!$B$11*Assumptions!$B$47,0)+IF(AND(Projects!$G$12="Yes",Projects!$J$12="Yes",Projects!$K$12="No",78=Projects!$C$12),Projects!$B$12*Assumptions!$B$47,0)+IF(AND(Projects!$G$13="Yes",Projects!$J$13="Yes",Projects!$K$13="No",78=Projects!$C$13),Projects!$B$13*Assumptions!$B$47,0)+IF(AND(Projects!$G$14="Yes",Projects!$J$14="Yes",Projects!$K$14="No",78=Projects!$C$14),Projects!$B$14*Assumptions!$B$47,0)),Actuals!CE105)</f>
        <v>0</v>
      </c>
      <c r="CF106" s="3">
        <f>IF(ISBLANK(Actuals!CF105),-(IF(AND(Projects!$G$2="Yes",Projects!$J$2="Yes",Projects!$K$2="No",79=Projects!$C$2),Projects!$B$2*Assumptions!$B$47,0)+IF(AND(Projects!$G$3="Yes",Projects!$J$3="Yes",Projects!$K$3="No",79=Projects!$C$3),Projects!$B$3*Assumptions!$B$47,0)+IF(AND(Projects!$G$4="Yes",Projects!$J$4="Yes",Projects!$K$4="No",79=Projects!$C$4),Projects!$B$4*Assumptions!$B$47,0)+IF(AND(Projects!$G$5="Yes",Projects!$J$5="Yes",Projects!$K$5="No",79=Projects!$C$5),Projects!$B$5*Assumptions!$B$47,0)+IF(AND(Projects!$G$6="Yes",Projects!$J$6="Yes",Projects!$K$6="No",79=Projects!$C$6),Projects!$B$6*Assumptions!$B$47,0)+IF(AND(Projects!$G$7="Yes",Projects!$J$7="Yes",Projects!$K$7="No",79=Projects!$C$7),Projects!$B$7*Assumptions!$B$47,0)+IF(AND(Projects!$G$8="Yes",Projects!$J$8="Yes",Projects!$K$8="No",79=Projects!$C$8),Projects!$B$8*Assumptions!$B$47,0)+IF(AND(Projects!$G$9="Yes",Projects!$J$9="Yes",Projects!$K$9="No",79=Projects!$C$9),Projects!$B$9*Assumptions!$B$47,0)+IF(AND(Projects!$G$10="Yes",Projects!$J$10="Yes",Projects!$K$10="No",79=Projects!$C$10),Projects!$B$10*Assumptions!$B$47,0)+IF(AND(Projects!$G$11="Yes",Projects!$J$11="Yes",Projects!$K$11="No",79=Projects!$C$11),Projects!$B$11*Assumptions!$B$47,0)+IF(AND(Projects!$G$12="Yes",Projects!$J$12="Yes",Projects!$K$12="No",79=Projects!$C$12),Projects!$B$12*Assumptions!$B$47,0)+IF(AND(Projects!$G$13="Yes",Projects!$J$13="Yes",Projects!$K$13="No",79=Projects!$C$13),Projects!$B$13*Assumptions!$B$47,0)+IF(AND(Projects!$G$14="Yes",Projects!$J$14="Yes",Projects!$K$14="No",79=Projects!$C$14),Projects!$B$14*Assumptions!$B$47,0)),Actuals!CF105)</f>
        <v>0</v>
      </c>
      <c r="CG106" s="3">
        <f>IF(ISBLANK(Actuals!CG105),-(IF(AND(Projects!$G$2="Yes",Projects!$J$2="Yes",Projects!$K$2="No",80=Projects!$C$2),Projects!$B$2*Assumptions!$B$47,0)+IF(AND(Projects!$G$3="Yes",Projects!$J$3="Yes",Projects!$K$3="No",80=Projects!$C$3),Projects!$B$3*Assumptions!$B$47,0)+IF(AND(Projects!$G$4="Yes",Projects!$J$4="Yes",Projects!$K$4="No",80=Projects!$C$4),Projects!$B$4*Assumptions!$B$47,0)+IF(AND(Projects!$G$5="Yes",Projects!$J$5="Yes",Projects!$K$5="No",80=Projects!$C$5),Projects!$B$5*Assumptions!$B$47,0)+IF(AND(Projects!$G$6="Yes",Projects!$J$6="Yes",Projects!$K$6="No",80=Projects!$C$6),Projects!$B$6*Assumptions!$B$47,0)+IF(AND(Projects!$G$7="Yes",Projects!$J$7="Yes",Projects!$K$7="No",80=Projects!$C$7),Projects!$B$7*Assumptions!$B$47,0)+IF(AND(Projects!$G$8="Yes",Projects!$J$8="Yes",Projects!$K$8="No",80=Projects!$C$8),Projects!$B$8*Assumptions!$B$47,0)+IF(AND(Projects!$G$9="Yes",Projects!$J$9="Yes",Projects!$K$9="No",80=Projects!$C$9),Projects!$B$9*Assumptions!$B$47,0)+IF(AND(Projects!$G$10="Yes",Projects!$J$10="Yes",Projects!$K$10="No",80=Projects!$C$10),Projects!$B$10*Assumptions!$B$47,0)+IF(AND(Projects!$G$11="Yes",Projects!$J$11="Yes",Projects!$K$11="No",80=Projects!$C$11),Projects!$B$11*Assumptions!$B$47,0)+IF(AND(Projects!$G$12="Yes",Projects!$J$12="Yes",Projects!$K$12="No",80=Projects!$C$12),Projects!$B$12*Assumptions!$B$47,0)+IF(AND(Projects!$G$13="Yes",Projects!$J$13="Yes",Projects!$K$13="No",80=Projects!$C$13),Projects!$B$13*Assumptions!$B$47,0)+IF(AND(Projects!$G$14="Yes",Projects!$J$14="Yes",Projects!$K$14="No",80=Projects!$C$14),Projects!$B$14*Assumptions!$B$47,0)),Actuals!CG105)</f>
        <v>0</v>
      </c>
      <c r="CH106" s="3">
        <f>IF(ISBLANK(Actuals!CH105),-(IF(AND(Projects!$G$2="Yes",Projects!$J$2="Yes",Projects!$K$2="No",81=Projects!$C$2),Projects!$B$2*Assumptions!$B$47,0)+IF(AND(Projects!$G$3="Yes",Projects!$J$3="Yes",Projects!$K$3="No",81=Projects!$C$3),Projects!$B$3*Assumptions!$B$47,0)+IF(AND(Projects!$G$4="Yes",Projects!$J$4="Yes",Projects!$K$4="No",81=Projects!$C$4),Projects!$B$4*Assumptions!$B$47,0)+IF(AND(Projects!$G$5="Yes",Projects!$J$5="Yes",Projects!$K$5="No",81=Projects!$C$5),Projects!$B$5*Assumptions!$B$47,0)+IF(AND(Projects!$G$6="Yes",Projects!$J$6="Yes",Projects!$K$6="No",81=Projects!$C$6),Projects!$B$6*Assumptions!$B$47,0)+IF(AND(Projects!$G$7="Yes",Projects!$J$7="Yes",Projects!$K$7="No",81=Projects!$C$7),Projects!$B$7*Assumptions!$B$47,0)+IF(AND(Projects!$G$8="Yes",Projects!$J$8="Yes",Projects!$K$8="No",81=Projects!$C$8),Projects!$B$8*Assumptions!$B$47,0)+IF(AND(Projects!$G$9="Yes",Projects!$J$9="Yes",Projects!$K$9="No",81=Projects!$C$9),Projects!$B$9*Assumptions!$B$47,0)+IF(AND(Projects!$G$10="Yes",Projects!$J$10="Yes",Projects!$K$10="No",81=Projects!$C$10),Projects!$B$10*Assumptions!$B$47,0)+IF(AND(Projects!$G$11="Yes",Projects!$J$11="Yes",Projects!$K$11="No",81=Projects!$C$11),Projects!$B$11*Assumptions!$B$47,0)+IF(AND(Projects!$G$12="Yes",Projects!$J$12="Yes",Projects!$K$12="No",81=Projects!$C$12),Projects!$B$12*Assumptions!$B$47,0)+IF(AND(Projects!$G$13="Yes",Projects!$J$13="Yes",Projects!$K$13="No",81=Projects!$C$13),Projects!$B$13*Assumptions!$B$47,0)+IF(AND(Projects!$G$14="Yes",Projects!$J$14="Yes",Projects!$K$14="No",81=Projects!$C$14),Projects!$B$14*Assumptions!$B$47,0)),Actuals!CH105)</f>
        <v>0</v>
      </c>
      <c r="CI106" s="3">
        <f>IF(ISBLANK(Actuals!CI105),-(IF(AND(Projects!$G$2="Yes",Projects!$J$2="Yes",Projects!$K$2="No",82=Projects!$C$2),Projects!$B$2*Assumptions!$B$47,0)+IF(AND(Projects!$G$3="Yes",Projects!$J$3="Yes",Projects!$K$3="No",82=Projects!$C$3),Projects!$B$3*Assumptions!$B$47,0)+IF(AND(Projects!$G$4="Yes",Projects!$J$4="Yes",Projects!$K$4="No",82=Projects!$C$4),Projects!$B$4*Assumptions!$B$47,0)+IF(AND(Projects!$G$5="Yes",Projects!$J$5="Yes",Projects!$K$5="No",82=Projects!$C$5),Projects!$B$5*Assumptions!$B$47,0)+IF(AND(Projects!$G$6="Yes",Projects!$J$6="Yes",Projects!$K$6="No",82=Projects!$C$6),Projects!$B$6*Assumptions!$B$47,0)+IF(AND(Projects!$G$7="Yes",Projects!$J$7="Yes",Projects!$K$7="No",82=Projects!$C$7),Projects!$B$7*Assumptions!$B$47,0)+IF(AND(Projects!$G$8="Yes",Projects!$J$8="Yes",Projects!$K$8="No",82=Projects!$C$8),Projects!$B$8*Assumptions!$B$47,0)+IF(AND(Projects!$G$9="Yes",Projects!$J$9="Yes",Projects!$K$9="No",82=Projects!$C$9),Projects!$B$9*Assumptions!$B$47,0)+IF(AND(Projects!$G$10="Yes",Projects!$J$10="Yes",Projects!$K$10="No",82=Projects!$C$10),Projects!$B$10*Assumptions!$B$47,0)+IF(AND(Projects!$G$11="Yes",Projects!$J$11="Yes",Projects!$K$11="No",82=Projects!$C$11),Projects!$B$11*Assumptions!$B$47,0)+IF(AND(Projects!$G$12="Yes",Projects!$J$12="Yes",Projects!$K$12="No",82=Projects!$C$12),Projects!$B$12*Assumptions!$B$47,0)+IF(AND(Projects!$G$13="Yes",Projects!$J$13="Yes",Projects!$K$13="No",82=Projects!$C$13),Projects!$B$13*Assumptions!$B$47,0)+IF(AND(Projects!$G$14="Yes",Projects!$J$14="Yes",Projects!$K$14="No",82=Projects!$C$14),Projects!$B$14*Assumptions!$B$47,0)),Actuals!CI105)</f>
        <v>0</v>
      </c>
      <c r="CJ106" s="3">
        <f>IF(ISBLANK(Actuals!CJ105),-(IF(AND(Projects!$G$2="Yes",Projects!$J$2="Yes",Projects!$K$2="No",83=Projects!$C$2),Projects!$B$2*Assumptions!$B$47,0)+IF(AND(Projects!$G$3="Yes",Projects!$J$3="Yes",Projects!$K$3="No",83=Projects!$C$3),Projects!$B$3*Assumptions!$B$47,0)+IF(AND(Projects!$G$4="Yes",Projects!$J$4="Yes",Projects!$K$4="No",83=Projects!$C$4),Projects!$B$4*Assumptions!$B$47,0)+IF(AND(Projects!$G$5="Yes",Projects!$J$5="Yes",Projects!$K$5="No",83=Projects!$C$5),Projects!$B$5*Assumptions!$B$47,0)+IF(AND(Projects!$G$6="Yes",Projects!$J$6="Yes",Projects!$K$6="No",83=Projects!$C$6),Projects!$B$6*Assumptions!$B$47,0)+IF(AND(Projects!$G$7="Yes",Projects!$J$7="Yes",Projects!$K$7="No",83=Projects!$C$7),Projects!$B$7*Assumptions!$B$47,0)+IF(AND(Projects!$G$8="Yes",Projects!$J$8="Yes",Projects!$K$8="No",83=Projects!$C$8),Projects!$B$8*Assumptions!$B$47,0)+IF(AND(Projects!$G$9="Yes",Projects!$J$9="Yes",Projects!$K$9="No",83=Projects!$C$9),Projects!$B$9*Assumptions!$B$47,0)+IF(AND(Projects!$G$10="Yes",Projects!$J$10="Yes",Projects!$K$10="No",83=Projects!$C$10),Projects!$B$10*Assumptions!$B$47,0)+IF(AND(Projects!$G$11="Yes",Projects!$J$11="Yes",Projects!$K$11="No",83=Projects!$C$11),Projects!$B$11*Assumptions!$B$47,0)+IF(AND(Projects!$G$12="Yes",Projects!$J$12="Yes",Projects!$K$12="No",83=Projects!$C$12),Projects!$B$12*Assumptions!$B$47,0)+IF(AND(Projects!$G$13="Yes",Projects!$J$13="Yes",Projects!$K$13="No",83=Projects!$C$13),Projects!$B$13*Assumptions!$B$47,0)+IF(AND(Projects!$G$14="Yes",Projects!$J$14="Yes",Projects!$K$14="No",83=Projects!$C$14),Projects!$B$14*Assumptions!$B$47,0)),Actuals!CJ105)</f>
        <v>0</v>
      </c>
      <c r="CK106" s="3">
        <f>IF(ISBLANK(Actuals!CK105),-(IF(AND(Projects!$G$2="Yes",Projects!$J$2="Yes",Projects!$K$2="No",84=Projects!$C$2),Projects!$B$2*Assumptions!$B$47,0)+IF(AND(Projects!$G$3="Yes",Projects!$J$3="Yes",Projects!$K$3="No",84=Projects!$C$3),Projects!$B$3*Assumptions!$B$47,0)+IF(AND(Projects!$G$4="Yes",Projects!$J$4="Yes",Projects!$K$4="No",84=Projects!$C$4),Projects!$B$4*Assumptions!$B$47,0)+IF(AND(Projects!$G$5="Yes",Projects!$J$5="Yes",Projects!$K$5="No",84=Projects!$C$5),Projects!$B$5*Assumptions!$B$47,0)+IF(AND(Projects!$G$6="Yes",Projects!$J$6="Yes",Projects!$K$6="No",84=Projects!$C$6),Projects!$B$6*Assumptions!$B$47,0)+IF(AND(Projects!$G$7="Yes",Projects!$J$7="Yes",Projects!$K$7="No",84=Projects!$C$7),Projects!$B$7*Assumptions!$B$47,0)+IF(AND(Projects!$G$8="Yes",Projects!$J$8="Yes",Projects!$K$8="No",84=Projects!$C$8),Projects!$B$8*Assumptions!$B$47,0)+IF(AND(Projects!$G$9="Yes",Projects!$J$9="Yes",Projects!$K$9="No",84=Projects!$C$9),Projects!$B$9*Assumptions!$B$47,0)+IF(AND(Projects!$G$10="Yes",Projects!$J$10="Yes",Projects!$K$10="No",84=Projects!$C$10),Projects!$B$10*Assumptions!$B$47,0)+IF(AND(Projects!$G$11="Yes",Projects!$J$11="Yes",Projects!$K$11="No",84=Projects!$C$11),Projects!$B$11*Assumptions!$B$47,0)+IF(AND(Projects!$G$12="Yes",Projects!$J$12="Yes",Projects!$K$12="No",84=Projects!$C$12),Projects!$B$12*Assumptions!$B$47,0)+IF(AND(Projects!$G$13="Yes",Projects!$J$13="Yes",Projects!$K$13="No",84=Projects!$C$13),Projects!$B$13*Assumptions!$B$47,0)+IF(AND(Projects!$G$14="Yes",Projects!$J$14="Yes",Projects!$K$14="No",84=Projects!$C$14),Projects!$B$14*Assumptions!$B$47,0)),Actuals!CK105)</f>
        <v>0</v>
      </c>
      <c r="CL106" s="3">
        <f>IF(ISBLANK(Actuals!CL105),-(IF(AND(Projects!$G$2="Yes",Projects!$J$2="Yes",Projects!$K$2="No",85=Projects!$C$2),Projects!$B$2*Assumptions!$B$47,0)+IF(AND(Projects!$G$3="Yes",Projects!$J$3="Yes",Projects!$K$3="No",85=Projects!$C$3),Projects!$B$3*Assumptions!$B$47,0)+IF(AND(Projects!$G$4="Yes",Projects!$J$4="Yes",Projects!$K$4="No",85=Projects!$C$4),Projects!$B$4*Assumptions!$B$47,0)+IF(AND(Projects!$G$5="Yes",Projects!$J$5="Yes",Projects!$K$5="No",85=Projects!$C$5),Projects!$B$5*Assumptions!$B$47,0)+IF(AND(Projects!$G$6="Yes",Projects!$J$6="Yes",Projects!$K$6="No",85=Projects!$C$6),Projects!$B$6*Assumptions!$B$47,0)+IF(AND(Projects!$G$7="Yes",Projects!$J$7="Yes",Projects!$K$7="No",85=Projects!$C$7),Projects!$B$7*Assumptions!$B$47,0)+IF(AND(Projects!$G$8="Yes",Projects!$J$8="Yes",Projects!$K$8="No",85=Projects!$C$8),Projects!$B$8*Assumptions!$B$47,0)+IF(AND(Projects!$G$9="Yes",Projects!$J$9="Yes",Projects!$K$9="No",85=Projects!$C$9),Projects!$B$9*Assumptions!$B$47,0)+IF(AND(Projects!$G$10="Yes",Projects!$J$10="Yes",Projects!$K$10="No",85=Projects!$C$10),Projects!$B$10*Assumptions!$B$47,0)+IF(AND(Projects!$G$11="Yes",Projects!$J$11="Yes",Projects!$K$11="No",85=Projects!$C$11),Projects!$B$11*Assumptions!$B$47,0)+IF(AND(Projects!$G$12="Yes",Projects!$J$12="Yes",Projects!$K$12="No",85=Projects!$C$12),Projects!$B$12*Assumptions!$B$47,0)+IF(AND(Projects!$G$13="Yes",Projects!$J$13="Yes",Projects!$K$13="No",85=Projects!$C$13),Projects!$B$13*Assumptions!$B$47,0)+IF(AND(Projects!$G$14="Yes",Projects!$J$14="Yes",Projects!$K$14="No",85=Projects!$C$14),Projects!$B$14*Assumptions!$B$47,0)),Actuals!CL105)</f>
        <v>0</v>
      </c>
      <c r="CM106" s="3">
        <f>IF(ISBLANK(Actuals!CM105),-(IF(AND(Projects!$G$2="Yes",Projects!$J$2="Yes",Projects!$K$2="No",86=Projects!$C$2),Projects!$B$2*Assumptions!$B$47,0)+IF(AND(Projects!$G$3="Yes",Projects!$J$3="Yes",Projects!$K$3="No",86=Projects!$C$3),Projects!$B$3*Assumptions!$B$47,0)+IF(AND(Projects!$G$4="Yes",Projects!$J$4="Yes",Projects!$K$4="No",86=Projects!$C$4),Projects!$B$4*Assumptions!$B$47,0)+IF(AND(Projects!$G$5="Yes",Projects!$J$5="Yes",Projects!$K$5="No",86=Projects!$C$5),Projects!$B$5*Assumptions!$B$47,0)+IF(AND(Projects!$G$6="Yes",Projects!$J$6="Yes",Projects!$K$6="No",86=Projects!$C$6),Projects!$B$6*Assumptions!$B$47,0)+IF(AND(Projects!$G$7="Yes",Projects!$J$7="Yes",Projects!$K$7="No",86=Projects!$C$7),Projects!$B$7*Assumptions!$B$47,0)+IF(AND(Projects!$G$8="Yes",Projects!$J$8="Yes",Projects!$K$8="No",86=Projects!$C$8),Projects!$B$8*Assumptions!$B$47,0)+IF(AND(Projects!$G$9="Yes",Projects!$J$9="Yes",Projects!$K$9="No",86=Projects!$C$9),Projects!$B$9*Assumptions!$B$47,0)+IF(AND(Projects!$G$10="Yes",Projects!$J$10="Yes",Projects!$K$10="No",86=Projects!$C$10),Projects!$B$10*Assumptions!$B$47,0)+IF(AND(Projects!$G$11="Yes",Projects!$J$11="Yes",Projects!$K$11="No",86=Projects!$C$11),Projects!$B$11*Assumptions!$B$47,0)+IF(AND(Projects!$G$12="Yes",Projects!$J$12="Yes",Projects!$K$12="No",86=Projects!$C$12),Projects!$B$12*Assumptions!$B$47,0)+IF(AND(Projects!$G$13="Yes",Projects!$J$13="Yes",Projects!$K$13="No",86=Projects!$C$13),Projects!$B$13*Assumptions!$B$47,0)+IF(AND(Projects!$G$14="Yes",Projects!$J$14="Yes",Projects!$K$14="No",86=Projects!$C$14),Projects!$B$14*Assumptions!$B$47,0)),Actuals!CM105)</f>
        <v>0</v>
      </c>
      <c r="CN106" s="3">
        <f>IF(ISBLANK(Actuals!CN105),-(IF(AND(Projects!$G$2="Yes",Projects!$J$2="Yes",Projects!$K$2="No",87=Projects!$C$2),Projects!$B$2*Assumptions!$B$47,0)+IF(AND(Projects!$G$3="Yes",Projects!$J$3="Yes",Projects!$K$3="No",87=Projects!$C$3),Projects!$B$3*Assumptions!$B$47,0)+IF(AND(Projects!$G$4="Yes",Projects!$J$4="Yes",Projects!$K$4="No",87=Projects!$C$4),Projects!$B$4*Assumptions!$B$47,0)+IF(AND(Projects!$G$5="Yes",Projects!$J$5="Yes",Projects!$K$5="No",87=Projects!$C$5),Projects!$B$5*Assumptions!$B$47,0)+IF(AND(Projects!$G$6="Yes",Projects!$J$6="Yes",Projects!$K$6="No",87=Projects!$C$6),Projects!$B$6*Assumptions!$B$47,0)+IF(AND(Projects!$G$7="Yes",Projects!$J$7="Yes",Projects!$K$7="No",87=Projects!$C$7),Projects!$B$7*Assumptions!$B$47,0)+IF(AND(Projects!$G$8="Yes",Projects!$J$8="Yes",Projects!$K$8="No",87=Projects!$C$8),Projects!$B$8*Assumptions!$B$47,0)+IF(AND(Projects!$G$9="Yes",Projects!$J$9="Yes",Projects!$K$9="No",87=Projects!$C$9),Projects!$B$9*Assumptions!$B$47,0)+IF(AND(Projects!$G$10="Yes",Projects!$J$10="Yes",Projects!$K$10="No",87=Projects!$C$10),Projects!$B$10*Assumptions!$B$47,0)+IF(AND(Projects!$G$11="Yes",Projects!$J$11="Yes",Projects!$K$11="No",87=Projects!$C$11),Projects!$B$11*Assumptions!$B$47,0)+IF(AND(Projects!$G$12="Yes",Projects!$J$12="Yes",Projects!$K$12="No",87=Projects!$C$12),Projects!$B$12*Assumptions!$B$47,0)+IF(AND(Projects!$G$13="Yes",Projects!$J$13="Yes",Projects!$K$13="No",87=Projects!$C$13),Projects!$B$13*Assumptions!$B$47,0)+IF(AND(Projects!$G$14="Yes",Projects!$J$14="Yes",Projects!$K$14="No",87=Projects!$C$14),Projects!$B$14*Assumptions!$B$47,0)),Actuals!CN105)</f>
        <v>0</v>
      </c>
      <c r="CO106" s="3">
        <f>IF(ISBLANK(Actuals!CO105),-(IF(AND(Projects!$G$2="Yes",Projects!$J$2="Yes",Projects!$K$2="No",88=Projects!$C$2),Projects!$B$2*Assumptions!$B$47,0)+IF(AND(Projects!$G$3="Yes",Projects!$J$3="Yes",Projects!$K$3="No",88=Projects!$C$3),Projects!$B$3*Assumptions!$B$47,0)+IF(AND(Projects!$G$4="Yes",Projects!$J$4="Yes",Projects!$K$4="No",88=Projects!$C$4),Projects!$B$4*Assumptions!$B$47,0)+IF(AND(Projects!$G$5="Yes",Projects!$J$5="Yes",Projects!$K$5="No",88=Projects!$C$5),Projects!$B$5*Assumptions!$B$47,0)+IF(AND(Projects!$G$6="Yes",Projects!$J$6="Yes",Projects!$K$6="No",88=Projects!$C$6),Projects!$B$6*Assumptions!$B$47,0)+IF(AND(Projects!$G$7="Yes",Projects!$J$7="Yes",Projects!$K$7="No",88=Projects!$C$7),Projects!$B$7*Assumptions!$B$47,0)+IF(AND(Projects!$G$8="Yes",Projects!$J$8="Yes",Projects!$K$8="No",88=Projects!$C$8),Projects!$B$8*Assumptions!$B$47,0)+IF(AND(Projects!$G$9="Yes",Projects!$J$9="Yes",Projects!$K$9="No",88=Projects!$C$9),Projects!$B$9*Assumptions!$B$47,0)+IF(AND(Projects!$G$10="Yes",Projects!$J$10="Yes",Projects!$K$10="No",88=Projects!$C$10),Projects!$B$10*Assumptions!$B$47,0)+IF(AND(Projects!$G$11="Yes",Projects!$J$11="Yes",Projects!$K$11="No",88=Projects!$C$11),Projects!$B$11*Assumptions!$B$47,0)+IF(AND(Projects!$G$12="Yes",Projects!$J$12="Yes",Projects!$K$12="No",88=Projects!$C$12),Projects!$B$12*Assumptions!$B$47,0)+IF(AND(Projects!$G$13="Yes",Projects!$J$13="Yes",Projects!$K$13="No",88=Projects!$C$13),Projects!$B$13*Assumptions!$B$47,0)+IF(AND(Projects!$G$14="Yes",Projects!$J$14="Yes",Projects!$K$14="No",88=Projects!$C$14),Projects!$B$14*Assumptions!$B$47,0)),Actuals!CO105)</f>
        <v>0</v>
      </c>
      <c r="CP106" s="3">
        <f>IF(ISBLANK(Actuals!CP105),-(IF(AND(Projects!$G$2="Yes",Projects!$J$2="Yes",Projects!$K$2="No",89=Projects!$C$2),Projects!$B$2*Assumptions!$B$47,0)+IF(AND(Projects!$G$3="Yes",Projects!$J$3="Yes",Projects!$K$3="No",89=Projects!$C$3),Projects!$B$3*Assumptions!$B$47,0)+IF(AND(Projects!$G$4="Yes",Projects!$J$4="Yes",Projects!$K$4="No",89=Projects!$C$4),Projects!$B$4*Assumptions!$B$47,0)+IF(AND(Projects!$G$5="Yes",Projects!$J$5="Yes",Projects!$K$5="No",89=Projects!$C$5),Projects!$B$5*Assumptions!$B$47,0)+IF(AND(Projects!$G$6="Yes",Projects!$J$6="Yes",Projects!$K$6="No",89=Projects!$C$6),Projects!$B$6*Assumptions!$B$47,0)+IF(AND(Projects!$G$7="Yes",Projects!$J$7="Yes",Projects!$K$7="No",89=Projects!$C$7),Projects!$B$7*Assumptions!$B$47,0)+IF(AND(Projects!$G$8="Yes",Projects!$J$8="Yes",Projects!$K$8="No",89=Projects!$C$8),Projects!$B$8*Assumptions!$B$47,0)+IF(AND(Projects!$G$9="Yes",Projects!$J$9="Yes",Projects!$K$9="No",89=Projects!$C$9),Projects!$B$9*Assumptions!$B$47,0)+IF(AND(Projects!$G$10="Yes",Projects!$J$10="Yes",Projects!$K$10="No",89=Projects!$C$10),Projects!$B$10*Assumptions!$B$47,0)+IF(AND(Projects!$G$11="Yes",Projects!$J$11="Yes",Projects!$K$11="No",89=Projects!$C$11),Projects!$B$11*Assumptions!$B$47,0)+IF(AND(Projects!$G$12="Yes",Projects!$J$12="Yes",Projects!$K$12="No",89=Projects!$C$12),Projects!$B$12*Assumptions!$B$47,0)+IF(AND(Projects!$G$13="Yes",Projects!$J$13="Yes",Projects!$K$13="No",89=Projects!$C$13),Projects!$B$13*Assumptions!$B$47,0)+IF(AND(Projects!$G$14="Yes",Projects!$J$14="Yes",Projects!$K$14="No",89=Projects!$C$14),Projects!$B$14*Assumptions!$B$47,0)),Actuals!CP105)</f>
        <v>0</v>
      </c>
      <c r="CQ106" s="3">
        <f>IF(ISBLANK(Actuals!CQ105),-(IF(AND(Projects!$G$2="Yes",Projects!$J$2="Yes",Projects!$K$2="No",90=Projects!$C$2),Projects!$B$2*Assumptions!$B$47,0)+IF(AND(Projects!$G$3="Yes",Projects!$J$3="Yes",Projects!$K$3="No",90=Projects!$C$3),Projects!$B$3*Assumptions!$B$47,0)+IF(AND(Projects!$G$4="Yes",Projects!$J$4="Yes",Projects!$K$4="No",90=Projects!$C$4),Projects!$B$4*Assumptions!$B$47,0)+IF(AND(Projects!$G$5="Yes",Projects!$J$5="Yes",Projects!$K$5="No",90=Projects!$C$5),Projects!$B$5*Assumptions!$B$47,0)+IF(AND(Projects!$G$6="Yes",Projects!$J$6="Yes",Projects!$K$6="No",90=Projects!$C$6),Projects!$B$6*Assumptions!$B$47,0)+IF(AND(Projects!$G$7="Yes",Projects!$J$7="Yes",Projects!$K$7="No",90=Projects!$C$7),Projects!$B$7*Assumptions!$B$47,0)+IF(AND(Projects!$G$8="Yes",Projects!$J$8="Yes",Projects!$K$8="No",90=Projects!$C$8),Projects!$B$8*Assumptions!$B$47,0)+IF(AND(Projects!$G$9="Yes",Projects!$J$9="Yes",Projects!$K$9="No",90=Projects!$C$9),Projects!$B$9*Assumptions!$B$47,0)+IF(AND(Projects!$G$10="Yes",Projects!$J$10="Yes",Projects!$K$10="No",90=Projects!$C$10),Projects!$B$10*Assumptions!$B$47,0)+IF(AND(Projects!$G$11="Yes",Projects!$J$11="Yes",Projects!$K$11="No",90=Projects!$C$11),Projects!$B$11*Assumptions!$B$47,0)+IF(AND(Projects!$G$12="Yes",Projects!$J$12="Yes",Projects!$K$12="No",90=Projects!$C$12),Projects!$B$12*Assumptions!$B$47,0)+IF(AND(Projects!$G$13="Yes",Projects!$J$13="Yes",Projects!$K$13="No",90=Projects!$C$13),Projects!$B$13*Assumptions!$B$47,0)+IF(AND(Projects!$G$14="Yes",Projects!$J$14="Yes",Projects!$K$14="No",90=Projects!$C$14),Projects!$B$14*Assumptions!$B$47,0)),Actuals!CQ105)</f>
        <v>0</v>
      </c>
      <c r="CR106" s="3">
        <f>IF(ISBLANK(Actuals!CR105),-(IF(AND(Projects!$G$2="Yes",Projects!$J$2="Yes",Projects!$K$2="No",91=Projects!$C$2),Projects!$B$2*Assumptions!$B$47,0)+IF(AND(Projects!$G$3="Yes",Projects!$J$3="Yes",Projects!$K$3="No",91=Projects!$C$3),Projects!$B$3*Assumptions!$B$47,0)+IF(AND(Projects!$G$4="Yes",Projects!$J$4="Yes",Projects!$K$4="No",91=Projects!$C$4),Projects!$B$4*Assumptions!$B$47,0)+IF(AND(Projects!$G$5="Yes",Projects!$J$5="Yes",Projects!$K$5="No",91=Projects!$C$5),Projects!$B$5*Assumptions!$B$47,0)+IF(AND(Projects!$G$6="Yes",Projects!$J$6="Yes",Projects!$K$6="No",91=Projects!$C$6),Projects!$B$6*Assumptions!$B$47,0)+IF(AND(Projects!$G$7="Yes",Projects!$J$7="Yes",Projects!$K$7="No",91=Projects!$C$7),Projects!$B$7*Assumptions!$B$47,0)+IF(AND(Projects!$G$8="Yes",Projects!$J$8="Yes",Projects!$K$8="No",91=Projects!$C$8),Projects!$B$8*Assumptions!$B$47,0)+IF(AND(Projects!$G$9="Yes",Projects!$J$9="Yes",Projects!$K$9="No",91=Projects!$C$9),Projects!$B$9*Assumptions!$B$47,0)+IF(AND(Projects!$G$10="Yes",Projects!$J$10="Yes",Projects!$K$10="No",91=Projects!$C$10),Projects!$B$10*Assumptions!$B$47,0)+IF(AND(Projects!$G$11="Yes",Projects!$J$11="Yes",Projects!$K$11="No",91=Projects!$C$11),Projects!$B$11*Assumptions!$B$47,0)+IF(AND(Projects!$G$12="Yes",Projects!$J$12="Yes",Projects!$K$12="No",91=Projects!$C$12),Projects!$B$12*Assumptions!$B$47,0)+IF(AND(Projects!$G$13="Yes",Projects!$J$13="Yes",Projects!$K$13="No",91=Projects!$C$13),Projects!$B$13*Assumptions!$B$47,0)+IF(AND(Projects!$G$14="Yes",Projects!$J$14="Yes",Projects!$K$14="No",91=Projects!$C$14),Projects!$B$14*Assumptions!$B$47,0)),Actuals!CR105)</f>
        <v>0</v>
      </c>
      <c r="CS106" s="3">
        <f>IF(ISBLANK(Actuals!CS105),-(IF(AND(Projects!$G$2="Yes",Projects!$J$2="Yes",Projects!$K$2="No",92=Projects!$C$2),Projects!$B$2*Assumptions!$B$47,0)+IF(AND(Projects!$G$3="Yes",Projects!$J$3="Yes",Projects!$K$3="No",92=Projects!$C$3),Projects!$B$3*Assumptions!$B$47,0)+IF(AND(Projects!$G$4="Yes",Projects!$J$4="Yes",Projects!$K$4="No",92=Projects!$C$4),Projects!$B$4*Assumptions!$B$47,0)+IF(AND(Projects!$G$5="Yes",Projects!$J$5="Yes",Projects!$K$5="No",92=Projects!$C$5),Projects!$B$5*Assumptions!$B$47,0)+IF(AND(Projects!$G$6="Yes",Projects!$J$6="Yes",Projects!$K$6="No",92=Projects!$C$6),Projects!$B$6*Assumptions!$B$47,0)+IF(AND(Projects!$G$7="Yes",Projects!$J$7="Yes",Projects!$K$7="No",92=Projects!$C$7),Projects!$B$7*Assumptions!$B$47,0)+IF(AND(Projects!$G$8="Yes",Projects!$J$8="Yes",Projects!$K$8="No",92=Projects!$C$8),Projects!$B$8*Assumptions!$B$47,0)+IF(AND(Projects!$G$9="Yes",Projects!$J$9="Yes",Projects!$K$9="No",92=Projects!$C$9),Projects!$B$9*Assumptions!$B$47,0)+IF(AND(Projects!$G$10="Yes",Projects!$J$10="Yes",Projects!$K$10="No",92=Projects!$C$10),Projects!$B$10*Assumptions!$B$47,0)+IF(AND(Projects!$G$11="Yes",Projects!$J$11="Yes",Projects!$K$11="No",92=Projects!$C$11),Projects!$B$11*Assumptions!$B$47,0)+IF(AND(Projects!$G$12="Yes",Projects!$J$12="Yes",Projects!$K$12="No",92=Projects!$C$12),Projects!$B$12*Assumptions!$B$47,0)+IF(AND(Projects!$G$13="Yes",Projects!$J$13="Yes",Projects!$K$13="No",92=Projects!$C$13),Projects!$B$13*Assumptions!$B$47,0)+IF(AND(Projects!$G$14="Yes",Projects!$J$14="Yes",Projects!$K$14="No",92=Projects!$C$14),Projects!$B$14*Assumptions!$B$47,0)),Actuals!CS105)</f>
        <v>0</v>
      </c>
      <c r="CT106" s="3">
        <f>IF(ISBLANK(Actuals!CT105),-(IF(AND(Projects!$G$2="Yes",Projects!$J$2="Yes",Projects!$K$2="No",93=Projects!$C$2),Projects!$B$2*Assumptions!$B$47,0)+IF(AND(Projects!$G$3="Yes",Projects!$J$3="Yes",Projects!$K$3="No",93=Projects!$C$3),Projects!$B$3*Assumptions!$B$47,0)+IF(AND(Projects!$G$4="Yes",Projects!$J$4="Yes",Projects!$K$4="No",93=Projects!$C$4),Projects!$B$4*Assumptions!$B$47,0)+IF(AND(Projects!$G$5="Yes",Projects!$J$5="Yes",Projects!$K$5="No",93=Projects!$C$5),Projects!$B$5*Assumptions!$B$47,0)+IF(AND(Projects!$G$6="Yes",Projects!$J$6="Yes",Projects!$K$6="No",93=Projects!$C$6),Projects!$B$6*Assumptions!$B$47,0)+IF(AND(Projects!$G$7="Yes",Projects!$J$7="Yes",Projects!$K$7="No",93=Projects!$C$7),Projects!$B$7*Assumptions!$B$47,0)+IF(AND(Projects!$G$8="Yes",Projects!$J$8="Yes",Projects!$K$8="No",93=Projects!$C$8),Projects!$B$8*Assumptions!$B$47,0)+IF(AND(Projects!$G$9="Yes",Projects!$J$9="Yes",Projects!$K$9="No",93=Projects!$C$9),Projects!$B$9*Assumptions!$B$47,0)+IF(AND(Projects!$G$10="Yes",Projects!$J$10="Yes",Projects!$K$10="No",93=Projects!$C$10),Projects!$B$10*Assumptions!$B$47,0)+IF(AND(Projects!$G$11="Yes",Projects!$J$11="Yes",Projects!$K$11="No",93=Projects!$C$11),Projects!$B$11*Assumptions!$B$47,0)+IF(AND(Projects!$G$12="Yes",Projects!$J$12="Yes",Projects!$K$12="No",93=Projects!$C$12),Projects!$B$12*Assumptions!$B$47,0)+IF(AND(Projects!$G$13="Yes",Projects!$J$13="Yes",Projects!$K$13="No",93=Projects!$C$13),Projects!$B$13*Assumptions!$B$47,0)+IF(AND(Projects!$G$14="Yes",Projects!$J$14="Yes",Projects!$K$14="No",93=Projects!$C$14),Projects!$B$14*Assumptions!$B$47,0)),Actuals!CT105)</f>
        <v>0</v>
      </c>
      <c r="CU106" s="3">
        <f>IF(ISBLANK(Actuals!CU105),-(IF(AND(Projects!$G$2="Yes",Projects!$J$2="Yes",Projects!$K$2="No",94=Projects!$C$2),Projects!$B$2*Assumptions!$B$47,0)+IF(AND(Projects!$G$3="Yes",Projects!$J$3="Yes",Projects!$K$3="No",94=Projects!$C$3),Projects!$B$3*Assumptions!$B$47,0)+IF(AND(Projects!$G$4="Yes",Projects!$J$4="Yes",Projects!$K$4="No",94=Projects!$C$4),Projects!$B$4*Assumptions!$B$47,0)+IF(AND(Projects!$G$5="Yes",Projects!$J$5="Yes",Projects!$K$5="No",94=Projects!$C$5),Projects!$B$5*Assumptions!$B$47,0)+IF(AND(Projects!$G$6="Yes",Projects!$J$6="Yes",Projects!$K$6="No",94=Projects!$C$6),Projects!$B$6*Assumptions!$B$47,0)+IF(AND(Projects!$G$7="Yes",Projects!$J$7="Yes",Projects!$K$7="No",94=Projects!$C$7),Projects!$B$7*Assumptions!$B$47,0)+IF(AND(Projects!$G$8="Yes",Projects!$J$8="Yes",Projects!$K$8="No",94=Projects!$C$8),Projects!$B$8*Assumptions!$B$47,0)+IF(AND(Projects!$G$9="Yes",Projects!$J$9="Yes",Projects!$K$9="No",94=Projects!$C$9),Projects!$B$9*Assumptions!$B$47,0)+IF(AND(Projects!$G$10="Yes",Projects!$J$10="Yes",Projects!$K$10="No",94=Projects!$C$10),Projects!$B$10*Assumptions!$B$47,0)+IF(AND(Projects!$G$11="Yes",Projects!$J$11="Yes",Projects!$K$11="No",94=Projects!$C$11),Projects!$B$11*Assumptions!$B$47,0)+IF(AND(Projects!$G$12="Yes",Projects!$J$12="Yes",Projects!$K$12="No",94=Projects!$C$12),Projects!$B$12*Assumptions!$B$47,0)+IF(AND(Projects!$G$13="Yes",Projects!$J$13="Yes",Projects!$K$13="No",94=Projects!$C$13),Projects!$B$13*Assumptions!$B$47,0)+IF(AND(Projects!$G$14="Yes",Projects!$J$14="Yes",Projects!$K$14="No",94=Projects!$C$14),Projects!$B$14*Assumptions!$B$47,0)),Actuals!CU105)</f>
        <v>0</v>
      </c>
      <c r="CV106" s="3">
        <f>IF(ISBLANK(Actuals!CV105),-(IF(AND(Projects!$G$2="Yes",Projects!$J$2="Yes",Projects!$K$2="No",95=Projects!$C$2),Projects!$B$2*Assumptions!$B$47,0)+IF(AND(Projects!$G$3="Yes",Projects!$J$3="Yes",Projects!$K$3="No",95=Projects!$C$3),Projects!$B$3*Assumptions!$B$47,0)+IF(AND(Projects!$G$4="Yes",Projects!$J$4="Yes",Projects!$K$4="No",95=Projects!$C$4),Projects!$B$4*Assumptions!$B$47,0)+IF(AND(Projects!$G$5="Yes",Projects!$J$5="Yes",Projects!$K$5="No",95=Projects!$C$5),Projects!$B$5*Assumptions!$B$47,0)+IF(AND(Projects!$G$6="Yes",Projects!$J$6="Yes",Projects!$K$6="No",95=Projects!$C$6),Projects!$B$6*Assumptions!$B$47,0)+IF(AND(Projects!$G$7="Yes",Projects!$J$7="Yes",Projects!$K$7="No",95=Projects!$C$7),Projects!$B$7*Assumptions!$B$47,0)+IF(AND(Projects!$G$8="Yes",Projects!$J$8="Yes",Projects!$K$8="No",95=Projects!$C$8),Projects!$B$8*Assumptions!$B$47,0)+IF(AND(Projects!$G$9="Yes",Projects!$J$9="Yes",Projects!$K$9="No",95=Projects!$C$9),Projects!$B$9*Assumptions!$B$47,0)+IF(AND(Projects!$G$10="Yes",Projects!$J$10="Yes",Projects!$K$10="No",95=Projects!$C$10),Projects!$B$10*Assumptions!$B$47,0)+IF(AND(Projects!$G$11="Yes",Projects!$J$11="Yes",Projects!$K$11="No",95=Projects!$C$11),Projects!$B$11*Assumptions!$B$47,0)+IF(AND(Projects!$G$12="Yes",Projects!$J$12="Yes",Projects!$K$12="No",95=Projects!$C$12),Projects!$B$12*Assumptions!$B$47,0)+IF(AND(Projects!$G$13="Yes",Projects!$J$13="Yes",Projects!$K$13="No",95=Projects!$C$13),Projects!$B$13*Assumptions!$B$47,0)+IF(AND(Projects!$G$14="Yes",Projects!$J$14="Yes",Projects!$K$14="No",95=Projects!$C$14),Projects!$B$14*Assumptions!$B$47,0)),Actuals!CV105)</f>
        <v>0</v>
      </c>
      <c r="CW106" s="3">
        <f>IF(ISBLANK(Actuals!CW105),-(IF(AND(Projects!$G$2="Yes",Projects!$J$2="Yes",Projects!$K$2="No",96=Projects!$C$2),Projects!$B$2*Assumptions!$B$47,0)+IF(AND(Projects!$G$3="Yes",Projects!$J$3="Yes",Projects!$K$3="No",96=Projects!$C$3),Projects!$B$3*Assumptions!$B$47,0)+IF(AND(Projects!$G$4="Yes",Projects!$J$4="Yes",Projects!$K$4="No",96=Projects!$C$4),Projects!$B$4*Assumptions!$B$47,0)+IF(AND(Projects!$G$5="Yes",Projects!$J$5="Yes",Projects!$K$5="No",96=Projects!$C$5),Projects!$B$5*Assumptions!$B$47,0)+IF(AND(Projects!$G$6="Yes",Projects!$J$6="Yes",Projects!$K$6="No",96=Projects!$C$6),Projects!$B$6*Assumptions!$B$47,0)+IF(AND(Projects!$G$7="Yes",Projects!$J$7="Yes",Projects!$K$7="No",96=Projects!$C$7),Projects!$B$7*Assumptions!$B$47,0)+IF(AND(Projects!$G$8="Yes",Projects!$J$8="Yes",Projects!$K$8="No",96=Projects!$C$8),Projects!$B$8*Assumptions!$B$47,0)+IF(AND(Projects!$G$9="Yes",Projects!$J$9="Yes",Projects!$K$9="No",96=Projects!$C$9),Projects!$B$9*Assumptions!$B$47,0)+IF(AND(Projects!$G$10="Yes",Projects!$J$10="Yes",Projects!$K$10="No",96=Projects!$C$10),Projects!$B$10*Assumptions!$B$47,0)+IF(AND(Projects!$G$11="Yes",Projects!$J$11="Yes",Projects!$K$11="No",96=Projects!$C$11),Projects!$B$11*Assumptions!$B$47,0)+IF(AND(Projects!$G$12="Yes",Projects!$J$12="Yes",Projects!$K$12="No",96=Projects!$C$12),Projects!$B$12*Assumptions!$B$47,0)+IF(AND(Projects!$G$13="Yes",Projects!$J$13="Yes",Projects!$K$13="No",96=Projects!$C$13),Projects!$B$13*Assumptions!$B$47,0)+IF(AND(Projects!$G$14="Yes",Projects!$J$14="Yes",Projects!$K$14="No",96=Projects!$C$14),Projects!$B$14*Assumptions!$B$47,0)),Actuals!CW105)</f>
        <v>0</v>
      </c>
      <c r="CX106" s="3">
        <f>IF(ISBLANK(Actuals!CX105),-(IF(AND(Projects!$G$2="Yes",Projects!$J$2="Yes",Projects!$K$2="No",97=Projects!$C$2),Projects!$B$2*Assumptions!$B$47,0)+IF(AND(Projects!$G$3="Yes",Projects!$J$3="Yes",Projects!$K$3="No",97=Projects!$C$3),Projects!$B$3*Assumptions!$B$47,0)+IF(AND(Projects!$G$4="Yes",Projects!$J$4="Yes",Projects!$K$4="No",97=Projects!$C$4),Projects!$B$4*Assumptions!$B$47,0)+IF(AND(Projects!$G$5="Yes",Projects!$J$5="Yes",Projects!$K$5="No",97=Projects!$C$5),Projects!$B$5*Assumptions!$B$47,0)+IF(AND(Projects!$G$6="Yes",Projects!$J$6="Yes",Projects!$K$6="No",97=Projects!$C$6),Projects!$B$6*Assumptions!$B$47,0)+IF(AND(Projects!$G$7="Yes",Projects!$J$7="Yes",Projects!$K$7="No",97=Projects!$C$7),Projects!$B$7*Assumptions!$B$47,0)+IF(AND(Projects!$G$8="Yes",Projects!$J$8="Yes",Projects!$K$8="No",97=Projects!$C$8),Projects!$B$8*Assumptions!$B$47,0)+IF(AND(Projects!$G$9="Yes",Projects!$J$9="Yes",Projects!$K$9="No",97=Projects!$C$9),Projects!$B$9*Assumptions!$B$47,0)+IF(AND(Projects!$G$10="Yes",Projects!$J$10="Yes",Projects!$K$10="No",97=Projects!$C$10),Projects!$B$10*Assumptions!$B$47,0)+IF(AND(Projects!$G$11="Yes",Projects!$J$11="Yes",Projects!$K$11="No",97=Projects!$C$11),Projects!$B$11*Assumptions!$B$47,0)+IF(AND(Projects!$G$12="Yes",Projects!$J$12="Yes",Projects!$K$12="No",97=Projects!$C$12),Projects!$B$12*Assumptions!$B$47,0)+IF(AND(Projects!$G$13="Yes",Projects!$J$13="Yes",Projects!$K$13="No",97=Projects!$C$13),Projects!$B$13*Assumptions!$B$47,0)+IF(AND(Projects!$G$14="Yes",Projects!$J$14="Yes",Projects!$K$14="No",97=Projects!$C$14),Projects!$B$14*Assumptions!$B$47,0)),Actuals!CX105)</f>
        <v>0</v>
      </c>
      <c r="CY106" s="3">
        <f>IF(ISBLANK(Actuals!CY105),-(IF(AND(Projects!$G$2="Yes",Projects!$J$2="Yes",Projects!$K$2="No",98=Projects!$C$2),Projects!$B$2*Assumptions!$B$47,0)+IF(AND(Projects!$G$3="Yes",Projects!$J$3="Yes",Projects!$K$3="No",98=Projects!$C$3),Projects!$B$3*Assumptions!$B$47,0)+IF(AND(Projects!$G$4="Yes",Projects!$J$4="Yes",Projects!$K$4="No",98=Projects!$C$4),Projects!$B$4*Assumptions!$B$47,0)+IF(AND(Projects!$G$5="Yes",Projects!$J$5="Yes",Projects!$K$5="No",98=Projects!$C$5),Projects!$B$5*Assumptions!$B$47,0)+IF(AND(Projects!$G$6="Yes",Projects!$J$6="Yes",Projects!$K$6="No",98=Projects!$C$6),Projects!$B$6*Assumptions!$B$47,0)+IF(AND(Projects!$G$7="Yes",Projects!$J$7="Yes",Projects!$K$7="No",98=Projects!$C$7),Projects!$B$7*Assumptions!$B$47,0)+IF(AND(Projects!$G$8="Yes",Projects!$J$8="Yes",Projects!$K$8="No",98=Projects!$C$8),Projects!$B$8*Assumptions!$B$47,0)+IF(AND(Projects!$G$9="Yes",Projects!$J$9="Yes",Projects!$K$9="No",98=Projects!$C$9),Projects!$B$9*Assumptions!$B$47,0)+IF(AND(Projects!$G$10="Yes",Projects!$J$10="Yes",Projects!$K$10="No",98=Projects!$C$10),Projects!$B$10*Assumptions!$B$47,0)+IF(AND(Projects!$G$11="Yes",Projects!$J$11="Yes",Projects!$K$11="No",98=Projects!$C$11),Projects!$B$11*Assumptions!$B$47,0)+IF(AND(Projects!$G$12="Yes",Projects!$J$12="Yes",Projects!$K$12="No",98=Projects!$C$12),Projects!$B$12*Assumptions!$B$47,0)+IF(AND(Projects!$G$13="Yes",Projects!$J$13="Yes",Projects!$K$13="No",98=Projects!$C$13),Projects!$B$13*Assumptions!$B$47,0)+IF(AND(Projects!$G$14="Yes",Projects!$J$14="Yes",Projects!$K$14="No",98=Projects!$C$14),Projects!$B$14*Assumptions!$B$47,0)),Actuals!CY105)</f>
        <v>0</v>
      </c>
      <c r="CZ106" s="3">
        <f>IF(ISBLANK(Actuals!CZ105),-(IF(AND(Projects!$G$2="Yes",Projects!$J$2="Yes",Projects!$K$2="No",99=Projects!$C$2),Projects!$B$2*Assumptions!$B$47,0)+IF(AND(Projects!$G$3="Yes",Projects!$J$3="Yes",Projects!$K$3="No",99=Projects!$C$3),Projects!$B$3*Assumptions!$B$47,0)+IF(AND(Projects!$G$4="Yes",Projects!$J$4="Yes",Projects!$K$4="No",99=Projects!$C$4),Projects!$B$4*Assumptions!$B$47,0)+IF(AND(Projects!$G$5="Yes",Projects!$J$5="Yes",Projects!$K$5="No",99=Projects!$C$5),Projects!$B$5*Assumptions!$B$47,0)+IF(AND(Projects!$G$6="Yes",Projects!$J$6="Yes",Projects!$K$6="No",99=Projects!$C$6),Projects!$B$6*Assumptions!$B$47,0)+IF(AND(Projects!$G$7="Yes",Projects!$J$7="Yes",Projects!$K$7="No",99=Projects!$C$7),Projects!$B$7*Assumptions!$B$47,0)+IF(AND(Projects!$G$8="Yes",Projects!$J$8="Yes",Projects!$K$8="No",99=Projects!$C$8),Projects!$B$8*Assumptions!$B$47,0)+IF(AND(Projects!$G$9="Yes",Projects!$J$9="Yes",Projects!$K$9="No",99=Projects!$C$9),Projects!$B$9*Assumptions!$B$47,0)+IF(AND(Projects!$G$10="Yes",Projects!$J$10="Yes",Projects!$K$10="No",99=Projects!$C$10),Projects!$B$10*Assumptions!$B$47,0)+IF(AND(Projects!$G$11="Yes",Projects!$J$11="Yes",Projects!$K$11="No",99=Projects!$C$11),Projects!$B$11*Assumptions!$B$47,0)+IF(AND(Projects!$G$12="Yes",Projects!$J$12="Yes",Projects!$K$12="No",99=Projects!$C$12),Projects!$B$12*Assumptions!$B$47,0)+IF(AND(Projects!$G$13="Yes",Projects!$J$13="Yes",Projects!$K$13="No",99=Projects!$C$13),Projects!$B$13*Assumptions!$B$47,0)+IF(AND(Projects!$G$14="Yes",Projects!$J$14="Yes",Projects!$K$14="No",99=Projects!$C$14),Projects!$B$14*Assumptions!$B$47,0)),Actuals!CZ105)</f>
        <v>0</v>
      </c>
      <c r="DA106" s="3">
        <f>IF(ISBLANK(Actuals!DA105),-(IF(AND(Projects!$G$2="Yes",Projects!$J$2="Yes",Projects!$K$2="No",100=Projects!$C$2),Projects!$B$2*Assumptions!$B$47,0)+IF(AND(Projects!$G$3="Yes",Projects!$J$3="Yes",Projects!$K$3="No",100=Projects!$C$3),Projects!$B$3*Assumptions!$B$47,0)+IF(AND(Projects!$G$4="Yes",Projects!$J$4="Yes",Projects!$K$4="No",100=Projects!$C$4),Projects!$B$4*Assumptions!$B$47,0)+IF(AND(Projects!$G$5="Yes",Projects!$J$5="Yes",Projects!$K$5="No",100=Projects!$C$5),Projects!$B$5*Assumptions!$B$47,0)+IF(AND(Projects!$G$6="Yes",Projects!$J$6="Yes",Projects!$K$6="No",100=Projects!$C$6),Projects!$B$6*Assumptions!$B$47,0)+IF(AND(Projects!$G$7="Yes",Projects!$J$7="Yes",Projects!$K$7="No",100=Projects!$C$7),Projects!$B$7*Assumptions!$B$47,0)+IF(AND(Projects!$G$8="Yes",Projects!$J$8="Yes",Projects!$K$8="No",100=Projects!$C$8),Projects!$B$8*Assumptions!$B$47,0)+IF(AND(Projects!$G$9="Yes",Projects!$J$9="Yes",Projects!$K$9="No",100=Projects!$C$9),Projects!$B$9*Assumptions!$B$47,0)+IF(AND(Projects!$G$10="Yes",Projects!$J$10="Yes",Projects!$K$10="No",100=Projects!$C$10),Projects!$B$10*Assumptions!$B$47,0)+IF(AND(Projects!$G$11="Yes",Projects!$J$11="Yes",Projects!$K$11="No",100=Projects!$C$11),Projects!$B$11*Assumptions!$B$47,0)+IF(AND(Projects!$G$12="Yes",Projects!$J$12="Yes",Projects!$K$12="No",100=Projects!$C$12),Projects!$B$12*Assumptions!$B$47,0)+IF(AND(Projects!$G$13="Yes",Projects!$J$13="Yes",Projects!$K$13="No",100=Projects!$C$13),Projects!$B$13*Assumptions!$B$47,0)+IF(AND(Projects!$G$14="Yes",Projects!$J$14="Yes",Projects!$K$14="No",100=Projects!$C$14),Projects!$B$14*Assumptions!$B$47,0)),Actuals!DA105)</f>
        <v>0</v>
      </c>
      <c r="DB106" s="3">
        <f>IF(ISBLANK(Actuals!DB105),-(IF(AND(Projects!$G$2="Yes",Projects!$J$2="Yes",Projects!$K$2="No",101=Projects!$C$2),Projects!$B$2*Assumptions!$B$47,0)+IF(AND(Projects!$G$3="Yes",Projects!$J$3="Yes",Projects!$K$3="No",101=Projects!$C$3),Projects!$B$3*Assumptions!$B$47,0)+IF(AND(Projects!$G$4="Yes",Projects!$J$4="Yes",Projects!$K$4="No",101=Projects!$C$4),Projects!$B$4*Assumptions!$B$47,0)+IF(AND(Projects!$G$5="Yes",Projects!$J$5="Yes",Projects!$K$5="No",101=Projects!$C$5),Projects!$B$5*Assumptions!$B$47,0)+IF(AND(Projects!$G$6="Yes",Projects!$J$6="Yes",Projects!$K$6="No",101=Projects!$C$6),Projects!$B$6*Assumptions!$B$47,0)+IF(AND(Projects!$G$7="Yes",Projects!$J$7="Yes",Projects!$K$7="No",101=Projects!$C$7),Projects!$B$7*Assumptions!$B$47,0)+IF(AND(Projects!$G$8="Yes",Projects!$J$8="Yes",Projects!$K$8="No",101=Projects!$C$8),Projects!$B$8*Assumptions!$B$47,0)+IF(AND(Projects!$G$9="Yes",Projects!$J$9="Yes",Projects!$K$9="No",101=Projects!$C$9),Projects!$B$9*Assumptions!$B$47,0)+IF(AND(Projects!$G$10="Yes",Projects!$J$10="Yes",Projects!$K$10="No",101=Projects!$C$10),Projects!$B$10*Assumptions!$B$47,0)+IF(AND(Projects!$G$11="Yes",Projects!$J$11="Yes",Projects!$K$11="No",101=Projects!$C$11),Projects!$B$11*Assumptions!$B$47,0)+IF(AND(Projects!$G$12="Yes",Projects!$J$12="Yes",Projects!$K$12="No",101=Projects!$C$12),Projects!$B$12*Assumptions!$B$47,0)+IF(AND(Projects!$G$13="Yes",Projects!$J$13="Yes",Projects!$K$13="No",101=Projects!$C$13),Projects!$B$13*Assumptions!$B$47,0)+IF(AND(Projects!$G$14="Yes",Projects!$J$14="Yes",Projects!$K$14="No",101=Projects!$C$14),Projects!$B$14*Assumptions!$B$47,0)),Actuals!DB105)</f>
        <v>0</v>
      </c>
      <c r="DC106" s="3">
        <f>IF(ISBLANK(Actuals!DC105),-(IF(AND(Projects!$G$2="Yes",Projects!$J$2="Yes",Projects!$K$2="No",102=Projects!$C$2),Projects!$B$2*Assumptions!$B$47,0)+IF(AND(Projects!$G$3="Yes",Projects!$J$3="Yes",Projects!$K$3="No",102=Projects!$C$3),Projects!$B$3*Assumptions!$B$47,0)+IF(AND(Projects!$G$4="Yes",Projects!$J$4="Yes",Projects!$K$4="No",102=Projects!$C$4),Projects!$B$4*Assumptions!$B$47,0)+IF(AND(Projects!$G$5="Yes",Projects!$J$5="Yes",Projects!$K$5="No",102=Projects!$C$5),Projects!$B$5*Assumptions!$B$47,0)+IF(AND(Projects!$G$6="Yes",Projects!$J$6="Yes",Projects!$K$6="No",102=Projects!$C$6),Projects!$B$6*Assumptions!$B$47,0)+IF(AND(Projects!$G$7="Yes",Projects!$J$7="Yes",Projects!$K$7="No",102=Projects!$C$7),Projects!$B$7*Assumptions!$B$47,0)+IF(AND(Projects!$G$8="Yes",Projects!$J$8="Yes",Projects!$K$8="No",102=Projects!$C$8),Projects!$B$8*Assumptions!$B$47,0)+IF(AND(Projects!$G$9="Yes",Projects!$J$9="Yes",Projects!$K$9="No",102=Projects!$C$9),Projects!$B$9*Assumptions!$B$47,0)+IF(AND(Projects!$G$10="Yes",Projects!$J$10="Yes",Projects!$K$10="No",102=Projects!$C$10),Projects!$B$10*Assumptions!$B$47,0)+IF(AND(Projects!$G$11="Yes",Projects!$J$11="Yes",Projects!$K$11="No",102=Projects!$C$11),Projects!$B$11*Assumptions!$B$47,0)+IF(AND(Projects!$G$12="Yes",Projects!$J$12="Yes",Projects!$K$12="No",102=Projects!$C$12),Projects!$B$12*Assumptions!$B$47,0)+IF(AND(Projects!$G$13="Yes",Projects!$J$13="Yes",Projects!$K$13="No",102=Projects!$C$13),Projects!$B$13*Assumptions!$B$47,0)+IF(AND(Projects!$G$14="Yes",Projects!$J$14="Yes",Projects!$K$14="No",102=Projects!$C$14),Projects!$B$14*Assumptions!$B$47,0)),Actuals!DC105)</f>
        <v>0</v>
      </c>
      <c r="DD106" s="3">
        <f>IF(ISBLANK(Actuals!DD105),-(IF(AND(Projects!$G$2="Yes",Projects!$J$2="Yes",Projects!$K$2="No",103=Projects!$C$2),Projects!$B$2*Assumptions!$B$47,0)+IF(AND(Projects!$G$3="Yes",Projects!$J$3="Yes",Projects!$K$3="No",103=Projects!$C$3),Projects!$B$3*Assumptions!$B$47,0)+IF(AND(Projects!$G$4="Yes",Projects!$J$4="Yes",Projects!$K$4="No",103=Projects!$C$4),Projects!$B$4*Assumptions!$B$47,0)+IF(AND(Projects!$G$5="Yes",Projects!$J$5="Yes",Projects!$K$5="No",103=Projects!$C$5),Projects!$B$5*Assumptions!$B$47,0)+IF(AND(Projects!$G$6="Yes",Projects!$J$6="Yes",Projects!$K$6="No",103=Projects!$C$6),Projects!$B$6*Assumptions!$B$47,0)+IF(AND(Projects!$G$7="Yes",Projects!$J$7="Yes",Projects!$K$7="No",103=Projects!$C$7),Projects!$B$7*Assumptions!$B$47,0)+IF(AND(Projects!$G$8="Yes",Projects!$J$8="Yes",Projects!$K$8="No",103=Projects!$C$8),Projects!$B$8*Assumptions!$B$47,0)+IF(AND(Projects!$G$9="Yes",Projects!$J$9="Yes",Projects!$K$9="No",103=Projects!$C$9),Projects!$B$9*Assumptions!$B$47,0)+IF(AND(Projects!$G$10="Yes",Projects!$J$10="Yes",Projects!$K$10="No",103=Projects!$C$10),Projects!$B$10*Assumptions!$B$47,0)+IF(AND(Projects!$G$11="Yes",Projects!$J$11="Yes",Projects!$K$11="No",103=Projects!$C$11),Projects!$B$11*Assumptions!$B$47,0)+IF(AND(Projects!$G$12="Yes",Projects!$J$12="Yes",Projects!$K$12="No",103=Projects!$C$12),Projects!$B$12*Assumptions!$B$47,0)+IF(AND(Projects!$G$13="Yes",Projects!$J$13="Yes",Projects!$K$13="No",103=Projects!$C$13),Projects!$B$13*Assumptions!$B$47,0)+IF(AND(Projects!$G$14="Yes",Projects!$J$14="Yes",Projects!$K$14="No",103=Projects!$C$14),Projects!$B$14*Assumptions!$B$47,0)),Actuals!DD105)</f>
        <v>0</v>
      </c>
      <c r="DE106" s="3">
        <f>IF(ISBLANK(Actuals!DE105),-(IF(AND(Projects!$G$2="Yes",Projects!$J$2="Yes",Projects!$K$2="No",104=Projects!$C$2),Projects!$B$2*Assumptions!$B$47,0)+IF(AND(Projects!$G$3="Yes",Projects!$J$3="Yes",Projects!$K$3="No",104=Projects!$C$3),Projects!$B$3*Assumptions!$B$47,0)+IF(AND(Projects!$G$4="Yes",Projects!$J$4="Yes",Projects!$K$4="No",104=Projects!$C$4),Projects!$B$4*Assumptions!$B$47,0)+IF(AND(Projects!$G$5="Yes",Projects!$J$5="Yes",Projects!$K$5="No",104=Projects!$C$5),Projects!$B$5*Assumptions!$B$47,0)+IF(AND(Projects!$G$6="Yes",Projects!$J$6="Yes",Projects!$K$6="No",104=Projects!$C$6),Projects!$B$6*Assumptions!$B$47,0)+IF(AND(Projects!$G$7="Yes",Projects!$J$7="Yes",Projects!$K$7="No",104=Projects!$C$7),Projects!$B$7*Assumptions!$B$47,0)+IF(AND(Projects!$G$8="Yes",Projects!$J$8="Yes",Projects!$K$8="No",104=Projects!$C$8),Projects!$B$8*Assumptions!$B$47,0)+IF(AND(Projects!$G$9="Yes",Projects!$J$9="Yes",Projects!$K$9="No",104=Projects!$C$9),Projects!$B$9*Assumptions!$B$47,0)+IF(AND(Projects!$G$10="Yes",Projects!$J$10="Yes",Projects!$K$10="No",104=Projects!$C$10),Projects!$B$10*Assumptions!$B$47,0)+IF(AND(Projects!$G$11="Yes",Projects!$J$11="Yes",Projects!$K$11="No",104=Projects!$C$11),Projects!$B$11*Assumptions!$B$47,0)+IF(AND(Projects!$G$12="Yes",Projects!$J$12="Yes",Projects!$K$12="No",104=Projects!$C$12),Projects!$B$12*Assumptions!$B$47,0)+IF(AND(Projects!$G$13="Yes",Projects!$J$13="Yes",Projects!$K$13="No",104=Projects!$C$13),Projects!$B$13*Assumptions!$B$47,0)+IF(AND(Projects!$G$14="Yes",Projects!$J$14="Yes",Projects!$K$14="No",104=Projects!$C$14),Projects!$B$14*Assumptions!$B$47,0)),Actuals!DE105)</f>
        <v>0</v>
      </c>
      <c r="DF106" s="3">
        <f>IF(ISBLANK(Actuals!DF105),-(IF(AND(Projects!$G$2="Yes",Projects!$J$2="Yes",Projects!$K$2="No",105=Projects!$C$2),Projects!$B$2*Assumptions!$B$47,0)+IF(AND(Projects!$G$3="Yes",Projects!$J$3="Yes",Projects!$K$3="No",105=Projects!$C$3),Projects!$B$3*Assumptions!$B$47,0)+IF(AND(Projects!$G$4="Yes",Projects!$J$4="Yes",Projects!$K$4="No",105=Projects!$C$4),Projects!$B$4*Assumptions!$B$47,0)+IF(AND(Projects!$G$5="Yes",Projects!$J$5="Yes",Projects!$K$5="No",105=Projects!$C$5),Projects!$B$5*Assumptions!$B$47,0)+IF(AND(Projects!$G$6="Yes",Projects!$J$6="Yes",Projects!$K$6="No",105=Projects!$C$6),Projects!$B$6*Assumptions!$B$47,0)+IF(AND(Projects!$G$7="Yes",Projects!$J$7="Yes",Projects!$K$7="No",105=Projects!$C$7),Projects!$B$7*Assumptions!$B$47,0)+IF(AND(Projects!$G$8="Yes",Projects!$J$8="Yes",Projects!$K$8="No",105=Projects!$C$8),Projects!$B$8*Assumptions!$B$47,0)+IF(AND(Projects!$G$9="Yes",Projects!$J$9="Yes",Projects!$K$9="No",105=Projects!$C$9),Projects!$B$9*Assumptions!$B$47,0)+IF(AND(Projects!$G$10="Yes",Projects!$J$10="Yes",Projects!$K$10="No",105=Projects!$C$10),Projects!$B$10*Assumptions!$B$47,0)+IF(AND(Projects!$G$11="Yes",Projects!$J$11="Yes",Projects!$K$11="No",105=Projects!$C$11),Projects!$B$11*Assumptions!$B$47,0)+IF(AND(Projects!$G$12="Yes",Projects!$J$12="Yes",Projects!$K$12="No",105=Projects!$C$12),Projects!$B$12*Assumptions!$B$47,0)+IF(AND(Projects!$G$13="Yes",Projects!$J$13="Yes",Projects!$K$13="No",105=Projects!$C$13),Projects!$B$13*Assumptions!$B$47,0)+IF(AND(Projects!$G$14="Yes",Projects!$J$14="Yes",Projects!$K$14="No",105=Projects!$C$14),Projects!$B$14*Assumptions!$B$47,0)),Actuals!DF105)</f>
        <v>0</v>
      </c>
    </row>
    <row r="107" spans="1:110" ht="15" customHeight="1" x14ac:dyDescent="0.25">
      <c r="A107" s="13" t="s">
        <v>125</v>
      </c>
      <c r="B107" s="302"/>
      <c r="C107" s="3">
        <f>IF(ISBLANK(Actuals!C106),0,Actuals!C106)</f>
        <v>0</v>
      </c>
      <c r="D107" s="3">
        <f>IF(ISBLANK(Actuals!D106),0,Actuals!D106)</f>
        <v>0</v>
      </c>
      <c r="E107" s="3">
        <f>IF(ISBLANK(Actuals!E106),0,Actuals!E106)</f>
        <v>0</v>
      </c>
      <c r="F107" s="3">
        <f>IF(ISBLANK(Actuals!F106),-(IF(AND(Projects!$G$7="Yes",Projects!$K$7="No",1=Projects!$C$7,Assumptions!$B$53&gt;0),Assumptions!$B$53*Assumptions!$B$48,0)+IF(AND(Projects!$G$11="Yes",Projects!$K$11="No",1=Projects!$C$11,Assumptions!$B$51&gt;0),Assumptions!$B$51*Assumptions!$B$48,0)+IF(AND(Projects!$G$12="Yes",Projects!$K$12="No",1=Projects!$C$12,Assumptions!$B$52&gt;0),Assumptions!$B$52*Assumptions!$B$48,0)+IF(AND(Projects!$G$13="Yes",Projects!$K$13="No",1=Projects!$C$13,Assumptions!$B$54&gt;0),Assumptions!$B$54*Assumptions!$B$48,0)+IF(AND(Projects!$G$14="Yes",Projects!$K$14="No",1=Projects!$C$14,Assumptions!$B$55&gt;0),Assumptions!$B$55*Assumptions!$B$48,0)),Actuals!F106)</f>
        <v>0</v>
      </c>
      <c r="G107" s="3">
        <f>IF(ISBLANK(Actuals!G106),-(IF(AND(Projects!$G$7="Yes",Projects!$K$7="No",2=Projects!$C$7,Assumptions!$B$53&gt;0),Assumptions!$B$53*Assumptions!$B$48,0)+IF(AND(Projects!$G$11="Yes",Projects!$K$11="No",2=Projects!$C$11,Assumptions!$B$51&gt;0),Assumptions!$B$51*Assumptions!$B$48,0)+IF(AND(Projects!$G$12="Yes",Projects!$K$12="No",2=Projects!$C$12,Assumptions!$B$52&gt;0),Assumptions!$B$52*Assumptions!$B$48,0)+IF(AND(Projects!$G$13="Yes",Projects!$K$13="No",2=Projects!$C$13,Assumptions!$B$54&gt;0),Assumptions!$B$54*Assumptions!$B$48,0)+IF(AND(Projects!$G$14="Yes",Projects!$K$14="No",2=Projects!$C$14,Assumptions!$B$55&gt;0),Assumptions!$B$55*Assumptions!$B$48,0)),Actuals!G106)</f>
        <v>0</v>
      </c>
      <c r="H107" s="3">
        <f>IF(ISBLANK(Actuals!H106),-(IF(AND(Projects!$G$7="Yes",Projects!$K$7="No",3=Projects!$C$7,Assumptions!$B$53&gt;0),Assumptions!$B$53*Assumptions!$B$48,0)+IF(AND(Projects!$G$11="Yes",Projects!$K$11="No",3=Projects!$C$11,Assumptions!$B$51&gt;0),Assumptions!$B$51*Assumptions!$B$48,0)+IF(AND(Projects!$G$12="Yes",Projects!$K$12="No",3=Projects!$C$12,Assumptions!$B$52&gt;0),Assumptions!$B$52*Assumptions!$B$48,0)+IF(AND(Projects!$G$13="Yes",Projects!$K$13="No",3=Projects!$C$13,Assumptions!$B$54&gt;0),Assumptions!$B$54*Assumptions!$B$48,0)+IF(AND(Projects!$G$14="Yes",Projects!$K$14="No",3=Projects!$C$14,Assumptions!$B$55&gt;0),Assumptions!$B$55*Assumptions!$B$48,0)),Actuals!H106)</f>
        <v>0</v>
      </c>
      <c r="I107" s="3">
        <f>IF(ISBLANK(Actuals!I106),-(IF(AND(Projects!$G$7="Yes",Projects!$K$7="No",4=Projects!$C$7,Assumptions!$B$53&gt;0),Assumptions!$B$53*Assumptions!$B$48,0)+IF(AND(Projects!$G$11="Yes",Projects!$K$11="No",4=Projects!$C$11,Assumptions!$B$51&gt;0),Assumptions!$B$51*Assumptions!$B$48,0)+IF(AND(Projects!$G$12="Yes",Projects!$K$12="No",4=Projects!$C$12,Assumptions!$B$52&gt;0),Assumptions!$B$52*Assumptions!$B$48,0)+IF(AND(Projects!$G$13="Yes",Projects!$K$13="No",4=Projects!$C$13,Assumptions!$B$54&gt;0),Assumptions!$B$54*Assumptions!$B$48,0)+IF(AND(Projects!$G$14="Yes",Projects!$K$14="No",4=Projects!$C$14,Assumptions!$B$55&gt;0),Assumptions!$B$55*Assumptions!$B$48,0)),Actuals!I106)</f>
        <v>0</v>
      </c>
      <c r="J107" s="3">
        <f>IF(ISBLANK(Actuals!J106),-(IF(AND(Projects!$G$7="Yes",Projects!$K$7="No",5=Projects!$C$7,Assumptions!$B$53&gt;0),Assumptions!$B$53*Assumptions!$B$48,0)+IF(AND(Projects!$G$11="Yes",Projects!$K$11="No",5=Projects!$C$11,Assumptions!$B$51&gt;0),Assumptions!$B$51*Assumptions!$B$48,0)+IF(AND(Projects!$G$12="Yes",Projects!$K$12="No",5=Projects!$C$12,Assumptions!$B$52&gt;0),Assumptions!$B$52*Assumptions!$B$48,0)+IF(AND(Projects!$G$13="Yes",Projects!$K$13="No",5=Projects!$C$13,Assumptions!$B$54&gt;0),Assumptions!$B$54*Assumptions!$B$48,0)+IF(AND(Projects!$G$14="Yes",Projects!$K$14="No",5=Projects!$C$14,Assumptions!$B$55&gt;0),Assumptions!$B$55*Assumptions!$B$48,0)),Actuals!J106)</f>
        <v>0</v>
      </c>
      <c r="K107" s="3">
        <f>IF(ISBLANK(Actuals!K106),-(IF(AND(Projects!$G$7="Yes",Projects!$K$7="No",6=Projects!$C$7,Assumptions!$B$53&gt;0),Assumptions!$B$53*Assumptions!$B$48,0)+IF(AND(Projects!$G$11="Yes",Projects!$K$11="No",6=Projects!$C$11,Assumptions!$B$51&gt;0),Assumptions!$B$51*Assumptions!$B$48,0)+IF(AND(Projects!$G$12="Yes",Projects!$K$12="No",6=Projects!$C$12,Assumptions!$B$52&gt;0),Assumptions!$B$52*Assumptions!$B$48,0)+IF(AND(Projects!$G$13="Yes",Projects!$K$13="No",6=Projects!$C$13,Assumptions!$B$54&gt;0),Assumptions!$B$54*Assumptions!$B$48,0)+IF(AND(Projects!$G$14="Yes",Projects!$K$14="No",6=Projects!$C$14,Assumptions!$B$55&gt;0),Assumptions!$B$55*Assumptions!$B$48,0)),Actuals!K106)</f>
        <v>0</v>
      </c>
      <c r="L107" s="3">
        <f>IF(ISBLANK(Actuals!L106),-(IF(AND(Projects!$G$7="Yes",Projects!$K$7="No",7=Projects!$C$7,Assumptions!$B$53&gt;0),Assumptions!$B$53*Assumptions!$B$48,0)+IF(AND(Projects!$G$11="Yes",Projects!$K$11="No",7=Projects!$C$11,Assumptions!$B$51&gt;0),Assumptions!$B$51*Assumptions!$B$48,0)+IF(AND(Projects!$G$12="Yes",Projects!$K$12="No",7=Projects!$C$12,Assumptions!$B$52&gt;0),Assumptions!$B$52*Assumptions!$B$48,0)+IF(AND(Projects!$G$13="Yes",Projects!$K$13="No",7=Projects!$C$13,Assumptions!$B$54&gt;0),Assumptions!$B$54*Assumptions!$B$48,0)+IF(AND(Projects!$G$14="Yes",Projects!$K$14="No",7=Projects!$C$14,Assumptions!$B$55&gt;0),Assumptions!$B$55*Assumptions!$B$48,0)),Actuals!L106)</f>
        <v>0</v>
      </c>
      <c r="M107" s="3">
        <f>IF(ISBLANK(Actuals!M106),-(IF(AND(Projects!$G$7="Yes",Projects!$K$7="No",8=Projects!$C$7,Assumptions!$B$53&gt;0),Assumptions!$B$53*Assumptions!$B$48,0)+IF(AND(Projects!$G$11="Yes",Projects!$K$11="No",8=Projects!$C$11,Assumptions!$B$51&gt;0),Assumptions!$B$51*Assumptions!$B$48,0)+IF(AND(Projects!$G$12="Yes",Projects!$K$12="No",8=Projects!$C$12,Assumptions!$B$52&gt;0),Assumptions!$B$52*Assumptions!$B$48,0)+IF(AND(Projects!$G$13="Yes",Projects!$K$13="No",8=Projects!$C$13,Assumptions!$B$54&gt;0),Assumptions!$B$54*Assumptions!$B$48,0)+IF(AND(Projects!$G$14="Yes",Projects!$K$14="No",8=Projects!$C$14,Assumptions!$B$55&gt;0),Assumptions!$B$55*Assumptions!$B$48,0)),Actuals!M106)</f>
        <v>0</v>
      </c>
      <c r="N107" s="3">
        <f>IF(ISBLANK(Actuals!N106),-(IF(AND(Projects!$G$7="Yes",Projects!$K$7="No",9=Projects!$C$7,Assumptions!$B$53&gt;0),Assumptions!$B$53*Assumptions!$B$48,0)+IF(AND(Projects!$G$11="Yes",Projects!$K$11="No",9=Projects!$C$11,Assumptions!$B$51&gt;0),Assumptions!$B$51*Assumptions!$B$48,0)+IF(AND(Projects!$G$12="Yes",Projects!$K$12="No",9=Projects!$C$12,Assumptions!$B$52&gt;0),Assumptions!$B$52*Assumptions!$B$48,0)+IF(AND(Projects!$G$13="Yes",Projects!$K$13="No",9=Projects!$C$13,Assumptions!$B$54&gt;0),Assumptions!$B$54*Assumptions!$B$48,0)+IF(AND(Projects!$G$14="Yes",Projects!$K$14="No",9=Projects!$C$14,Assumptions!$B$55&gt;0),Assumptions!$B$55*Assumptions!$B$48,0)),Actuals!N106)</f>
        <v>0</v>
      </c>
      <c r="O107" s="3">
        <f>IF(ISBLANK(Actuals!O106),-(IF(AND(Projects!$G$7="Yes",Projects!$K$7="No",10=Projects!$C$7,Assumptions!$B$53&gt;0),Assumptions!$B$53*Assumptions!$B$48,0)+IF(AND(Projects!$G$11="Yes",Projects!$K$11="No",10=Projects!$C$11,Assumptions!$B$51&gt;0),Assumptions!$B$51*Assumptions!$B$48,0)+IF(AND(Projects!$G$12="Yes",Projects!$K$12="No",10=Projects!$C$12,Assumptions!$B$52&gt;0),Assumptions!$B$52*Assumptions!$B$48,0)+IF(AND(Projects!$G$13="Yes",Projects!$K$13="No",10=Projects!$C$13,Assumptions!$B$54&gt;0),Assumptions!$B$54*Assumptions!$B$48,0)+IF(AND(Projects!$G$14="Yes",Projects!$K$14="No",10=Projects!$C$14,Assumptions!$B$55&gt;0),Assumptions!$B$55*Assumptions!$B$48,0)),Actuals!O106)</f>
        <v>0</v>
      </c>
      <c r="P107" s="3">
        <f>IF(ISBLANK(Actuals!P106),-(IF(AND(Projects!$G$7="Yes",Projects!$K$7="No",11=Projects!$C$7,Assumptions!$B$53&gt;0),Assumptions!$B$53*Assumptions!$B$48,0)+IF(AND(Projects!$G$11="Yes",Projects!$K$11="No",11=Projects!$C$11,Assumptions!$B$51&gt;0),Assumptions!$B$51*Assumptions!$B$48,0)+IF(AND(Projects!$G$12="Yes",Projects!$K$12="No",11=Projects!$C$12,Assumptions!$B$52&gt;0),Assumptions!$B$52*Assumptions!$B$48,0)+IF(AND(Projects!$G$13="Yes",Projects!$K$13="No",11=Projects!$C$13,Assumptions!$B$54&gt;0),Assumptions!$B$54*Assumptions!$B$48,0)+IF(AND(Projects!$G$14="Yes",Projects!$K$14="No",11=Projects!$C$14,Assumptions!$B$55&gt;0),Assumptions!$B$55*Assumptions!$B$48,0)),Actuals!P106)</f>
        <v>0</v>
      </c>
      <c r="Q107" s="3">
        <f>IF(ISBLANK(Actuals!Q106),-(IF(AND(Projects!$G$7="Yes",Projects!$K$7="No",12=Projects!$C$7,Assumptions!$B$53&gt;0),Assumptions!$B$53*Assumptions!$B$48,0)+IF(AND(Projects!$G$11="Yes",Projects!$K$11="No",12=Projects!$C$11,Assumptions!$B$51&gt;0),Assumptions!$B$51*Assumptions!$B$48,0)+IF(AND(Projects!$G$12="Yes",Projects!$K$12="No",12=Projects!$C$12,Assumptions!$B$52&gt;0),Assumptions!$B$52*Assumptions!$B$48,0)+IF(AND(Projects!$G$13="Yes",Projects!$K$13="No",12=Projects!$C$13,Assumptions!$B$54&gt;0),Assumptions!$B$54*Assumptions!$B$48,0)+IF(AND(Projects!$G$14="Yes",Projects!$K$14="No",12=Projects!$C$14,Assumptions!$B$55&gt;0),Assumptions!$B$55*Assumptions!$B$48,0)),Actuals!Q106)</f>
        <v>0</v>
      </c>
      <c r="R107" s="3">
        <f>IF(ISBLANK(Actuals!R106),-(IF(AND(Projects!$G$7="Yes",Projects!$K$7="No",13=Projects!$C$7,Assumptions!$B$53&gt;0),Assumptions!$B$53*Assumptions!$B$48,0)+IF(AND(Projects!$G$11="Yes",Projects!$K$11="No",13=Projects!$C$11,Assumptions!$B$51&gt;0),Assumptions!$B$51*Assumptions!$B$48,0)+IF(AND(Projects!$G$12="Yes",Projects!$K$12="No",13=Projects!$C$12,Assumptions!$B$52&gt;0),Assumptions!$B$52*Assumptions!$B$48,0)+IF(AND(Projects!$G$13="Yes",Projects!$K$13="No",13=Projects!$C$13,Assumptions!$B$54&gt;0),Assumptions!$B$54*Assumptions!$B$48,0)+IF(AND(Projects!$G$14="Yes",Projects!$K$14="No",13=Projects!$C$14,Assumptions!$B$55&gt;0),Assumptions!$B$55*Assumptions!$B$48,0)),Actuals!R106)</f>
        <v>0</v>
      </c>
      <c r="S107" s="3">
        <f>IF(ISBLANK(Actuals!S106),-(IF(AND(Projects!$G$7="Yes",Projects!$K$7="No",14=Projects!$C$7,Assumptions!$B$53&gt;0),Assumptions!$B$53*Assumptions!$B$48,0)+IF(AND(Projects!$G$11="Yes",Projects!$K$11="No",14=Projects!$C$11,Assumptions!$B$51&gt;0),Assumptions!$B$51*Assumptions!$B$48,0)+IF(AND(Projects!$G$12="Yes",Projects!$K$12="No",14=Projects!$C$12,Assumptions!$B$52&gt;0),Assumptions!$B$52*Assumptions!$B$48,0)+IF(AND(Projects!$G$13="Yes",Projects!$K$13="No",14=Projects!$C$13,Assumptions!$B$54&gt;0),Assumptions!$B$54*Assumptions!$B$48,0)+IF(AND(Projects!$G$14="Yes",Projects!$K$14="No",14=Projects!$C$14,Assumptions!$B$55&gt;0),Assumptions!$B$55*Assumptions!$B$48,0)),Actuals!S106)</f>
        <v>0</v>
      </c>
      <c r="T107" s="3">
        <f>IF(ISBLANK(Actuals!T106),-(IF(AND(Projects!$G$7="Yes",Projects!$K$7="No",15=Projects!$C$7,Assumptions!$B$53&gt;0),Assumptions!$B$53*Assumptions!$B$48,0)+IF(AND(Projects!$G$11="Yes",Projects!$K$11="No",15=Projects!$C$11,Assumptions!$B$51&gt;0),Assumptions!$B$51*Assumptions!$B$48,0)+IF(AND(Projects!$G$12="Yes",Projects!$K$12="No",15=Projects!$C$12,Assumptions!$B$52&gt;0),Assumptions!$B$52*Assumptions!$B$48,0)+IF(AND(Projects!$G$13="Yes",Projects!$K$13="No",15=Projects!$C$13,Assumptions!$B$54&gt;0),Assumptions!$B$54*Assumptions!$B$48,0)+IF(AND(Projects!$G$14="Yes",Projects!$K$14="No",15=Projects!$C$14,Assumptions!$B$55&gt;0),Assumptions!$B$55*Assumptions!$B$48,0)),Actuals!T106)</f>
        <v>0</v>
      </c>
      <c r="U107" s="3">
        <f>IF(ISBLANK(Actuals!U106),-(IF(AND(Projects!$G$7="Yes",Projects!$K$7="No",16=Projects!$C$7,Assumptions!$B$53&gt;0),Assumptions!$B$53*Assumptions!$B$48,0)+IF(AND(Projects!$G$11="Yes",Projects!$K$11="No",16=Projects!$C$11,Assumptions!$B$51&gt;0),Assumptions!$B$51*Assumptions!$B$48,0)+IF(AND(Projects!$G$12="Yes",Projects!$K$12="No",16=Projects!$C$12,Assumptions!$B$52&gt;0),Assumptions!$B$52*Assumptions!$B$48,0)+IF(AND(Projects!$G$13="Yes",Projects!$K$13="No",16=Projects!$C$13,Assumptions!$B$54&gt;0),Assumptions!$B$54*Assumptions!$B$48,0)+IF(AND(Projects!$G$14="Yes",Projects!$K$14="No",16=Projects!$C$14,Assumptions!$B$55&gt;0),Assumptions!$B$55*Assumptions!$B$48,0)),Actuals!U106)</f>
        <v>0</v>
      </c>
      <c r="V107" s="3">
        <f>IF(ISBLANK(Actuals!V106),-(IF(AND(Projects!$G$7="Yes",Projects!$K$7="No",17=Projects!$C$7,Assumptions!$B$53&gt;0),Assumptions!$B$53*Assumptions!$B$48,0)+IF(AND(Projects!$G$11="Yes",Projects!$K$11="No",17=Projects!$C$11,Assumptions!$B$51&gt;0),Assumptions!$B$51*Assumptions!$B$48,0)+IF(AND(Projects!$G$12="Yes",Projects!$K$12="No",17=Projects!$C$12,Assumptions!$B$52&gt;0),Assumptions!$B$52*Assumptions!$B$48,0)+IF(AND(Projects!$G$13="Yes",Projects!$K$13="No",17=Projects!$C$13,Assumptions!$B$54&gt;0),Assumptions!$B$54*Assumptions!$B$48,0)+IF(AND(Projects!$G$14="Yes",Projects!$K$14="No",17=Projects!$C$14,Assumptions!$B$55&gt;0),Assumptions!$B$55*Assumptions!$B$48,0)),Actuals!V106)</f>
        <v>0</v>
      </c>
      <c r="W107" s="3">
        <f>IF(ISBLANK(Actuals!W106),-(IF(AND(Projects!$G$7="Yes",Projects!$K$7="No",18=Projects!$C$7,Assumptions!$B$53&gt;0),Assumptions!$B$53*Assumptions!$B$48,0)+IF(AND(Projects!$G$11="Yes",Projects!$K$11="No",18=Projects!$C$11,Assumptions!$B$51&gt;0),Assumptions!$B$51*Assumptions!$B$48,0)+IF(AND(Projects!$G$12="Yes",Projects!$K$12="No",18=Projects!$C$12,Assumptions!$B$52&gt;0),Assumptions!$B$52*Assumptions!$B$48,0)+IF(AND(Projects!$G$13="Yes",Projects!$K$13="No",18=Projects!$C$13,Assumptions!$B$54&gt;0),Assumptions!$B$54*Assumptions!$B$48,0)+IF(AND(Projects!$G$14="Yes",Projects!$K$14="No",18=Projects!$C$14,Assumptions!$B$55&gt;0),Assumptions!$B$55*Assumptions!$B$48,0)),Actuals!W106)</f>
        <v>0</v>
      </c>
      <c r="X107" s="3">
        <f>IF(ISBLANK(Actuals!X106),-(IF(AND(Projects!$G$7="Yes",Projects!$K$7="No",19=Projects!$C$7,Assumptions!$B$53&gt;0),Assumptions!$B$53*Assumptions!$B$48,0)+IF(AND(Projects!$G$11="Yes",Projects!$K$11="No",19=Projects!$C$11,Assumptions!$B$51&gt;0),Assumptions!$B$51*Assumptions!$B$48,0)+IF(AND(Projects!$G$12="Yes",Projects!$K$12="No",19=Projects!$C$12,Assumptions!$B$52&gt;0),Assumptions!$B$52*Assumptions!$B$48,0)+IF(AND(Projects!$G$13="Yes",Projects!$K$13="No",19=Projects!$C$13,Assumptions!$B$54&gt;0),Assumptions!$B$54*Assumptions!$B$48,0)+IF(AND(Projects!$G$14="Yes",Projects!$K$14="No",19=Projects!$C$14,Assumptions!$B$55&gt;0),Assumptions!$B$55*Assumptions!$B$48,0)),Actuals!X106)</f>
        <v>0</v>
      </c>
      <c r="Y107" s="3">
        <f>IF(ISBLANK(Actuals!Y106),-(IF(AND(Projects!$G$7="Yes",Projects!$K$7="No",20=Projects!$C$7,Assumptions!$B$53&gt;0),Assumptions!$B$53*Assumptions!$B$48,0)+IF(AND(Projects!$G$11="Yes",Projects!$K$11="No",20=Projects!$C$11,Assumptions!$B$51&gt;0),Assumptions!$B$51*Assumptions!$B$48,0)+IF(AND(Projects!$G$12="Yes",Projects!$K$12="No",20=Projects!$C$12,Assumptions!$B$52&gt;0),Assumptions!$B$52*Assumptions!$B$48,0)+IF(AND(Projects!$G$13="Yes",Projects!$K$13="No",20=Projects!$C$13,Assumptions!$B$54&gt;0),Assumptions!$B$54*Assumptions!$B$48,0)+IF(AND(Projects!$G$14="Yes",Projects!$K$14="No",20=Projects!$C$14,Assumptions!$B$55&gt;0),Assumptions!$B$55*Assumptions!$B$48,0)),Actuals!Y106)</f>
        <v>0</v>
      </c>
      <c r="Z107" s="3">
        <f>IF(ISBLANK(Actuals!Z106),-(IF(AND(Projects!$G$7="Yes",Projects!$K$7="No",21=Projects!$C$7,Assumptions!$B$53&gt;0),Assumptions!$B$53*Assumptions!$B$48,0)+IF(AND(Projects!$G$11="Yes",Projects!$K$11="No",21=Projects!$C$11,Assumptions!$B$51&gt;0),Assumptions!$B$51*Assumptions!$B$48,0)+IF(AND(Projects!$G$12="Yes",Projects!$K$12="No",21=Projects!$C$12,Assumptions!$B$52&gt;0),Assumptions!$B$52*Assumptions!$B$48,0)+IF(AND(Projects!$G$13="Yes",Projects!$K$13="No",21=Projects!$C$13,Assumptions!$B$54&gt;0),Assumptions!$B$54*Assumptions!$B$48,0)+IF(AND(Projects!$G$14="Yes",Projects!$K$14="No",21=Projects!$C$14,Assumptions!$B$55&gt;0),Assumptions!$B$55*Assumptions!$B$48,0)),Actuals!Z106)</f>
        <v>0</v>
      </c>
      <c r="AA107" s="3">
        <f>IF(ISBLANK(Actuals!AA106),-(IF(AND(Projects!$G$7="Yes",Projects!$K$7="No",22=Projects!$C$7,Assumptions!$B$53&gt;0),Assumptions!$B$53*Assumptions!$B$48,0)+IF(AND(Projects!$G$11="Yes",Projects!$K$11="No",22=Projects!$C$11,Assumptions!$B$51&gt;0),Assumptions!$B$51*Assumptions!$B$48,0)+IF(AND(Projects!$G$12="Yes",Projects!$K$12="No",22=Projects!$C$12,Assumptions!$B$52&gt;0),Assumptions!$B$52*Assumptions!$B$48,0)+IF(AND(Projects!$G$13="Yes",Projects!$K$13="No",22=Projects!$C$13,Assumptions!$B$54&gt;0),Assumptions!$B$54*Assumptions!$B$48,0)+IF(AND(Projects!$G$14="Yes",Projects!$K$14="No",22=Projects!$C$14,Assumptions!$B$55&gt;0),Assumptions!$B$55*Assumptions!$B$48,0)),Actuals!AA106)</f>
        <v>0</v>
      </c>
      <c r="AB107" s="3">
        <f>IF(ISBLANK(Actuals!AB106),-(IF(AND(Projects!$G$7="Yes",Projects!$K$7="No",23=Projects!$C$7,Assumptions!$B$53&gt;0),Assumptions!$B$53*Assumptions!$B$48,0)+IF(AND(Projects!$G$11="Yes",Projects!$K$11="No",23=Projects!$C$11,Assumptions!$B$51&gt;0),Assumptions!$B$51*Assumptions!$B$48,0)+IF(AND(Projects!$G$12="Yes",Projects!$K$12="No",23=Projects!$C$12,Assumptions!$B$52&gt;0),Assumptions!$B$52*Assumptions!$B$48,0)+IF(AND(Projects!$G$13="Yes",Projects!$K$13="No",23=Projects!$C$13,Assumptions!$B$54&gt;0),Assumptions!$B$54*Assumptions!$B$48,0)+IF(AND(Projects!$G$14="Yes",Projects!$K$14="No",23=Projects!$C$14,Assumptions!$B$55&gt;0),Assumptions!$B$55*Assumptions!$B$48,0)),Actuals!AB106)</f>
        <v>0</v>
      </c>
      <c r="AC107" s="3">
        <f>IF(ISBLANK(Actuals!AC106),-(IF(AND(Projects!$G$7="Yes",Projects!$K$7="No",24=Projects!$C$7,Assumptions!$B$53&gt;0),Assumptions!$B$53*Assumptions!$B$48,0)+IF(AND(Projects!$G$11="Yes",Projects!$K$11="No",24=Projects!$C$11,Assumptions!$B$51&gt;0),Assumptions!$B$51*Assumptions!$B$48,0)+IF(AND(Projects!$G$12="Yes",Projects!$K$12="No",24=Projects!$C$12,Assumptions!$B$52&gt;0),Assumptions!$B$52*Assumptions!$B$48,0)+IF(AND(Projects!$G$13="Yes",Projects!$K$13="No",24=Projects!$C$13,Assumptions!$B$54&gt;0),Assumptions!$B$54*Assumptions!$B$48,0)+IF(AND(Projects!$G$14="Yes",Projects!$K$14="No",24=Projects!$C$14,Assumptions!$B$55&gt;0),Assumptions!$B$55*Assumptions!$B$48,0)),Actuals!AC106)</f>
        <v>0</v>
      </c>
      <c r="AD107" s="3">
        <f>IF(ISBLANK(Actuals!AD106),-(IF(AND(Projects!$G$7="Yes",Projects!$K$7="No",25=Projects!$C$7,Assumptions!$B$53&gt;0),Assumptions!$B$53*Assumptions!$B$48,0)+IF(AND(Projects!$G$11="Yes",Projects!$K$11="No",25=Projects!$C$11,Assumptions!$B$51&gt;0),Assumptions!$B$51*Assumptions!$B$48,0)+IF(AND(Projects!$G$12="Yes",Projects!$K$12="No",25=Projects!$C$12,Assumptions!$B$52&gt;0),Assumptions!$B$52*Assumptions!$B$48,0)+IF(AND(Projects!$G$13="Yes",Projects!$K$13="No",25=Projects!$C$13,Assumptions!$B$54&gt;0),Assumptions!$B$54*Assumptions!$B$48,0)+IF(AND(Projects!$G$14="Yes",Projects!$K$14="No",25=Projects!$C$14,Assumptions!$B$55&gt;0),Assumptions!$B$55*Assumptions!$B$48,0)),Actuals!AD106)</f>
        <v>0</v>
      </c>
      <c r="AE107" s="3">
        <f>IF(ISBLANK(Actuals!AE106),-(IF(AND(Projects!$G$7="Yes",Projects!$K$7="No",26=Projects!$C$7,Assumptions!$B$53&gt;0),Assumptions!$B$53*Assumptions!$B$48,0)+IF(AND(Projects!$G$11="Yes",Projects!$K$11="No",26=Projects!$C$11,Assumptions!$B$51&gt;0),Assumptions!$B$51*Assumptions!$B$48,0)+IF(AND(Projects!$G$12="Yes",Projects!$K$12="No",26=Projects!$C$12,Assumptions!$B$52&gt;0),Assumptions!$B$52*Assumptions!$B$48,0)+IF(AND(Projects!$G$13="Yes",Projects!$K$13="No",26=Projects!$C$13,Assumptions!$B$54&gt;0),Assumptions!$B$54*Assumptions!$B$48,0)+IF(AND(Projects!$G$14="Yes",Projects!$K$14="No",26=Projects!$C$14,Assumptions!$B$55&gt;0),Assumptions!$B$55*Assumptions!$B$48,0)),Actuals!AE106)</f>
        <v>0</v>
      </c>
      <c r="AF107" s="3">
        <f>IF(ISBLANK(Actuals!AF106),-(IF(AND(Projects!$G$7="Yes",Projects!$K$7="No",27=Projects!$C$7,Assumptions!$B$53&gt;0),Assumptions!$B$53*Assumptions!$B$48,0)+IF(AND(Projects!$G$11="Yes",Projects!$K$11="No",27=Projects!$C$11,Assumptions!$B$51&gt;0),Assumptions!$B$51*Assumptions!$B$48,0)+IF(AND(Projects!$G$12="Yes",Projects!$K$12="No",27=Projects!$C$12,Assumptions!$B$52&gt;0),Assumptions!$B$52*Assumptions!$B$48,0)+IF(AND(Projects!$G$13="Yes",Projects!$K$13="No",27=Projects!$C$13,Assumptions!$B$54&gt;0),Assumptions!$B$54*Assumptions!$B$48,0)+IF(AND(Projects!$G$14="Yes",Projects!$K$14="No",27=Projects!$C$14,Assumptions!$B$55&gt;0),Assumptions!$B$55*Assumptions!$B$48,0)),Actuals!AF106)</f>
        <v>0</v>
      </c>
      <c r="AG107" s="3">
        <f>IF(ISBLANK(Actuals!AG106),-(IF(AND(Projects!$G$7="Yes",Projects!$K$7="No",28=Projects!$C$7,Assumptions!$B$53&gt;0),Assumptions!$B$53*Assumptions!$B$48,0)+IF(AND(Projects!$G$11="Yes",Projects!$K$11="No",28=Projects!$C$11,Assumptions!$B$51&gt;0),Assumptions!$B$51*Assumptions!$B$48,0)+IF(AND(Projects!$G$12="Yes",Projects!$K$12="No",28=Projects!$C$12,Assumptions!$B$52&gt;0),Assumptions!$B$52*Assumptions!$B$48,0)+IF(AND(Projects!$G$13="Yes",Projects!$K$13="No",28=Projects!$C$13,Assumptions!$B$54&gt;0),Assumptions!$B$54*Assumptions!$B$48,0)+IF(AND(Projects!$G$14="Yes",Projects!$K$14="No",28=Projects!$C$14,Assumptions!$B$55&gt;0),Assumptions!$B$55*Assumptions!$B$48,0)),Actuals!AG106)</f>
        <v>0</v>
      </c>
      <c r="AH107" s="3">
        <f>IF(ISBLANK(Actuals!AH106),-(IF(AND(Projects!$G$7="Yes",Projects!$K$7="No",29=Projects!$C$7,Assumptions!$B$53&gt;0),Assumptions!$B$53*Assumptions!$B$48,0)+IF(AND(Projects!$G$11="Yes",Projects!$K$11="No",29=Projects!$C$11,Assumptions!$B$51&gt;0),Assumptions!$B$51*Assumptions!$B$48,0)+IF(AND(Projects!$G$12="Yes",Projects!$K$12="No",29=Projects!$C$12,Assumptions!$B$52&gt;0),Assumptions!$B$52*Assumptions!$B$48,0)+IF(AND(Projects!$G$13="Yes",Projects!$K$13="No",29=Projects!$C$13,Assumptions!$B$54&gt;0),Assumptions!$B$54*Assumptions!$B$48,0)+IF(AND(Projects!$G$14="Yes",Projects!$K$14="No",29=Projects!$C$14,Assumptions!$B$55&gt;0),Assumptions!$B$55*Assumptions!$B$48,0)),Actuals!AH106)</f>
        <v>0</v>
      </c>
      <c r="AI107" s="3">
        <f>IF(ISBLANK(Actuals!AI106),-(IF(AND(Projects!$G$7="Yes",Projects!$K$7="No",30=Projects!$C$7,Assumptions!$B$53&gt;0),Assumptions!$B$53*Assumptions!$B$48,0)+IF(AND(Projects!$G$11="Yes",Projects!$K$11="No",30=Projects!$C$11,Assumptions!$B$51&gt;0),Assumptions!$B$51*Assumptions!$B$48,0)+IF(AND(Projects!$G$12="Yes",Projects!$K$12="No",30=Projects!$C$12,Assumptions!$B$52&gt;0),Assumptions!$B$52*Assumptions!$B$48,0)+IF(AND(Projects!$G$13="Yes",Projects!$K$13="No",30=Projects!$C$13,Assumptions!$B$54&gt;0),Assumptions!$B$54*Assumptions!$B$48,0)+IF(AND(Projects!$G$14="Yes",Projects!$K$14="No",30=Projects!$C$14,Assumptions!$B$55&gt;0),Assumptions!$B$55*Assumptions!$B$48,0)),Actuals!AI106)</f>
        <v>0</v>
      </c>
      <c r="AJ107" s="3">
        <f>IF(ISBLANK(Actuals!AJ106),-(IF(AND(Projects!$G$7="Yes",Projects!$K$7="No",31=Projects!$C$7,Assumptions!$B$53&gt;0),Assumptions!$B$53*Assumptions!$B$48,0)+IF(AND(Projects!$G$11="Yes",Projects!$K$11="No",31=Projects!$C$11,Assumptions!$B$51&gt;0),Assumptions!$B$51*Assumptions!$B$48,0)+IF(AND(Projects!$G$12="Yes",Projects!$K$12="No",31=Projects!$C$12,Assumptions!$B$52&gt;0),Assumptions!$B$52*Assumptions!$B$48,0)+IF(AND(Projects!$G$13="Yes",Projects!$K$13="No",31=Projects!$C$13,Assumptions!$B$54&gt;0),Assumptions!$B$54*Assumptions!$B$48,0)+IF(AND(Projects!$G$14="Yes",Projects!$K$14="No",31=Projects!$C$14,Assumptions!$B$55&gt;0),Assumptions!$B$55*Assumptions!$B$48,0)),Actuals!AJ106)</f>
        <v>0</v>
      </c>
      <c r="AK107" s="3">
        <f>IF(ISBLANK(Actuals!AK106),-(IF(AND(Projects!$G$7="Yes",Projects!$K$7="No",32=Projects!$C$7,Assumptions!$B$53&gt;0),Assumptions!$B$53*Assumptions!$B$48,0)+IF(AND(Projects!$G$11="Yes",Projects!$K$11="No",32=Projects!$C$11,Assumptions!$B$51&gt;0),Assumptions!$B$51*Assumptions!$B$48,0)+IF(AND(Projects!$G$12="Yes",Projects!$K$12="No",32=Projects!$C$12,Assumptions!$B$52&gt;0),Assumptions!$B$52*Assumptions!$B$48,0)+IF(AND(Projects!$G$13="Yes",Projects!$K$13="No",32=Projects!$C$13,Assumptions!$B$54&gt;0),Assumptions!$B$54*Assumptions!$B$48,0)+IF(AND(Projects!$G$14="Yes",Projects!$K$14="No",32=Projects!$C$14,Assumptions!$B$55&gt;0),Assumptions!$B$55*Assumptions!$B$48,0)),Actuals!AK106)</f>
        <v>0</v>
      </c>
      <c r="AL107" s="3">
        <f>IF(ISBLANK(Actuals!AL106),-(IF(AND(Projects!$G$7="Yes",Projects!$K$7="No",33=Projects!$C$7,Assumptions!$B$53&gt;0),Assumptions!$B$53*Assumptions!$B$48,0)+IF(AND(Projects!$G$11="Yes",Projects!$K$11="No",33=Projects!$C$11,Assumptions!$B$51&gt;0),Assumptions!$B$51*Assumptions!$B$48,0)+IF(AND(Projects!$G$12="Yes",Projects!$K$12="No",33=Projects!$C$12,Assumptions!$B$52&gt;0),Assumptions!$B$52*Assumptions!$B$48,0)+IF(AND(Projects!$G$13="Yes",Projects!$K$13="No",33=Projects!$C$13,Assumptions!$B$54&gt;0),Assumptions!$B$54*Assumptions!$B$48,0)+IF(AND(Projects!$G$14="Yes",Projects!$K$14="No",33=Projects!$C$14,Assumptions!$B$55&gt;0),Assumptions!$B$55*Assumptions!$B$48,0)),Actuals!AL106)</f>
        <v>0</v>
      </c>
      <c r="AM107" s="3">
        <f>IF(ISBLANK(Actuals!AM106),-(IF(AND(Projects!$G$7="Yes",Projects!$K$7="No",34=Projects!$C$7,Assumptions!$B$53&gt;0),Assumptions!$B$53*Assumptions!$B$48,0)+IF(AND(Projects!$G$11="Yes",Projects!$K$11="No",34=Projects!$C$11,Assumptions!$B$51&gt;0),Assumptions!$B$51*Assumptions!$B$48,0)+IF(AND(Projects!$G$12="Yes",Projects!$K$12="No",34=Projects!$C$12,Assumptions!$B$52&gt;0),Assumptions!$B$52*Assumptions!$B$48,0)+IF(AND(Projects!$G$13="Yes",Projects!$K$13="No",34=Projects!$C$13,Assumptions!$B$54&gt;0),Assumptions!$B$54*Assumptions!$B$48,0)+IF(AND(Projects!$G$14="Yes",Projects!$K$14="No",34=Projects!$C$14,Assumptions!$B$55&gt;0),Assumptions!$B$55*Assumptions!$B$48,0)),Actuals!AM106)</f>
        <v>0</v>
      </c>
      <c r="AN107" s="3">
        <f>IF(ISBLANK(Actuals!AN106),-(IF(AND(Projects!$G$7="Yes",Projects!$K$7="No",35=Projects!$C$7,Assumptions!$B$53&gt;0),Assumptions!$B$53*Assumptions!$B$48,0)+IF(AND(Projects!$G$11="Yes",Projects!$K$11="No",35=Projects!$C$11,Assumptions!$B$51&gt;0),Assumptions!$B$51*Assumptions!$B$48,0)+IF(AND(Projects!$G$12="Yes",Projects!$K$12="No",35=Projects!$C$12,Assumptions!$B$52&gt;0),Assumptions!$B$52*Assumptions!$B$48,0)+IF(AND(Projects!$G$13="Yes",Projects!$K$13="No",35=Projects!$C$13,Assumptions!$B$54&gt;0),Assumptions!$B$54*Assumptions!$B$48,0)+IF(AND(Projects!$G$14="Yes",Projects!$K$14="No",35=Projects!$C$14,Assumptions!$B$55&gt;0),Assumptions!$B$55*Assumptions!$B$48,0)),Actuals!AN106)</f>
        <v>0</v>
      </c>
      <c r="AO107" s="3">
        <f>IF(ISBLANK(Actuals!AO106),-(IF(AND(Projects!$G$7="Yes",Projects!$K$7="No",36=Projects!$C$7,Assumptions!$B$53&gt;0),Assumptions!$B$53*Assumptions!$B$48,0)+IF(AND(Projects!$G$11="Yes",Projects!$K$11="No",36=Projects!$C$11,Assumptions!$B$51&gt;0),Assumptions!$B$51*Assumptions!$B$48,0)+IF(AND(Projects!$G$12="Yes",Projects!$K$12="No",36=Projects!$C$12,Assumptions!$B$52&gt;0),Assumptions!$B$52*Assumptions!$B$48,0)+IF(AND(Projects!$G$13="Yes",Projects!$K$13="No",36=Projects!$C$13,Assumptions!$B$54&gt;0),Assumptions!$B$54*Assumptions!$B$48,0)+IF(AND(Projects!$G$14="Yes",Projects!$K$14="No",36=Projects!$C$14,Assumptions!$B$55&gt;0),Assumptions!$B$55*Assumptions!$B$48,0)),Actuals!AO106)</f>
        <v>0</v>
      </c>
      <c r="AP107" s="3">
        <f>IF(ISBLANK(Actuals!AP106),-(IF(AND(Projects!$G$7="Yes",Projects!$K$7="No",37=Projects!$C$7,Assumptions!$B$53&gt;0),Assumptions!$B$53*Assumptions!$B$48,0)+IF(AND(Projects!$G$11="Yes",Projects!$K$11="No",37=Projects!$C$11,Assumptions!$B$51&gt;0),Assumptions!$B$51*Assumptions!$B$48,0)+IF(AND(Projects!$G$12="Yes",Projects!$K$12="No",37=Projects!$C$12,Assumptions!$B$52&gt;0),Assumptions!$B$52*Assumptions!$B$48,0)+IF(AND(Projects!$G$13="Yes",Projects!$K$13="No",37=Projects!$C$13,Assumptions!$B$54&gt;0),Assumptions!$B$54*Assumptions!$B$48,0)+IF(AND(Projects!$G$14="Yes",Projects!$K$14="No",37=Projects!$C$14,Assumptions!$B$55&gt;0),Assumptions!$B$55*Assumptions!$B$48,0)),Actuals!AP106)</f>
        <v>0</v>
      </c>
      <c r="AQ107" s="3">
        <f>IF(ISBLANK(Actuals!AQ106),-(IF(AND(Projects!$G$7="Yes",Projects!$K$7="No",38=Projects!$C$7,Assumptions!$B$53&gt;0),Assumptions!$B$53*Assumptions!$B$48,0)+IF(AND(Projects!$G$11="Yes",Projects!$K$11="No",38=Projects!$C$11,Assumptions!$B$51&gt;0),Assumptions!$B$51*Assumptions!$B$48,0)+IF(AND(Projects!$G$12="Yes",Projects!$K$12="No",38=Projects!$C$12,Assumptions!$B$52&gt;0),Assumptions!$B$52*Assumptions!$B$48,0)+IF(AND(Projects!$G$13="Yes",Projects!$K$13="No",38=Projects!$C$13,Assumptions!$B$54&gt;0),Assumptions!$B$54*Assumptions!$B$48,0)+IF(AND(Projects!$G$14="Yes",Projects!$K$14="No",38=Projects!$C$14,Assumptions!$B$55&gt;0),Assumptions!$B$55*Assumptions!$B$48,0)),Actuals!AQ106)</f>
        <v>0</v>
      </c>
      <c r="AR107" s="3">
        <f>IF(ISBLANK(Actuals!AR106),-(IF(AND(Projects!$G$7="Yes",Projects!$K$7="No",39=Projects!$C$7,Assumptions!$B$53&gt;0),Assumptions!$B$53*Assumptions!$B$48,0)+IF(AND(Projects!$G$11="Yes",Projects!$K$11="No",39=Projects!$C$11,Assumptions!$B$51&gt;0),Assumptions!$B$51*Assumptions!$B$48,0)+IF(AND(Projects!$G$12="Yes",Projects!$K$12="No",39=Projects!$C$12,Assumptions!$B$52&gt;0),Assumptions!$B$52*Assumptions!$B$48,0)+IF(AND(Projects!$G$13="Yes",Projects!$K$13="No",39=Projects!$C$13,Assumptions!$B$54&gt;0),Assumptions!$B$54*Assumptions!$B$48,0)+IF(AND(Projects!$G$14="Yes",Projects!$K$14="No",39=Projects!$C$14,Assumptions!$B$55&gt;0),Assumptions!$B$55*Assumptions!$B$48,0)),Actuals!AR106)</f>
        <v>0</v>
      </c>
      <c r="AS107" s="3">
        <f>IF(ISBLANK(Actuals!AS106),-(IF(AND(Projects!$G$7="Yes",Projects!$K$7="No",40=Projects!$C$7,Assumptions!$B$53&gt;0),Assumptions!$B$53*Assumptions!$B$48,0)+IF(AND(Projects!$G$11="Yes",Projects!$K$11="No",40=Projects!$C$11,Assumptions!$B$51&gt;0),Assumptions!$B$51*Assumptions!$B$48,0)+IF(AND(Projects!$G$12="Yes",Projects!$K$12="No",40=Projects!$C$12,Assumptions!$B$52&gt;0),Assumptions!$B$52*Assumptions!$B$48,0)+IF(AND(Projects!$G$13="Yes",Projects!$K$13="No",40=Projects!$C$13,Assumptions!$B$54&gt;0),Assumptions!$B$54*Assumptions!$B$48,0)+IF(AND(Projects!$G$14="Yes",Projects!$K$14="No",40=Projects!$C$14,Assumptions!$B$55&gt;0),Assumptions!$B$55*Assumptions!$B$48,0)),Actuals!AS106)</f>
        <v>0</v>
      </c>
      <c r="AT107" s="3">
        <f>IF(ISBLANK(Actuals!AT106),-(IF(AND(Projects!$G$7="Yes",Projects!$K$7="No",41=Projects!$C$7,Assumptions!$B$53&gt;0),Assumptions!$B$53*Assumptions!$B$48,0)+IF(AND(Projects!$G$11="Yes",Projects!$K$11="No",41=Projects!$C$11,Assumptions!$B$51&gt;0),Assumptions!$B$51*Assumptions!$B$48,0)+IF(AND(Projects!$G$12="Yes",Projects!$K$12="No",41=Projects!$C$12,Assumptions!$B$52&gt;0),Assumptions!$B$52*Assumptions!$B$48,0)+IF(AND(Projects!$G$13="Yes",Projects!$K$13="No",41=Projects!$C$13,Assumptions!$B$54&gt;0),Assumptions!$B$54*Assumptions!$B$48,0)+IF(AND(Projects!$G$14="Yes",Projects!$K$14="No",41=Projects!$C$14,Assumptions!$B$55&gt;0),Assumptions!$B$55*Assumptions!$B$48,0)),Actuals!AT106)</f>
        <v>0</v>
      </c>
      <c r="AU107" s="3">
        <f>IF(ISBLANK(Actuals!AU106),-(IF(AND(Projects!$G$7="Yes",Projects!$K$7="No",42=Projects!$C$7,Assumptions!$B$53&gt;0),Assumptions!$B$53*Assumptions!$B$48,0)+IF(AND(Projects!$G$11="Yes",Projects!$K$11="No",42=Projects!$C$11,Assumptions!$B$51&gt;0),Assumptions!$B$51*Assumptions!$B$48,0)+IF(AND(Projects!$G$12="Yes",Projects!$K$12="No",42=Projects!$C$12,Assumptions!$B$52&gt;0),Assumptions!$B$52*Assumptions!$B$48,0)+IF(AND(Projects!$G$13="Yes",Projects!$K$13="No",42=Projects!$C$13,Assumptions!$B$54&gt;0),Assumptions!$B$54*Assumptions!$B$48,0)+IF(AND(Projects!$G$14="Yes",Projects!$K$14="No",42=Projects!$C$14,Assumptions!$B$55&gt;0),Assumptions!$B$55*Assumptions!$B$48,0)),Actuals!AU106)</f>
        <v>0</v>
      </c>
      <c r="AV107" s="3">
        <f>IF(ISBLANK(Actuals!AV106),-(IF(AND(Projects!$G$7="Yes",Projects!$K$7="No",43=Projects!$C$7,Assumptions!$B$53&gt;0),Assumptions!$B$53*Assumptions!$B$48,0)+IF(AND(Projects!$G$11="Yes",Projects!$K$11="No",43=Projects!$C$11,Assumptions!$B$51&gt;0),Assumptions!$B$51*Assumptions!$B$48,0)+IF(AND(Projects!$G$12="Yes",Projects!$K$12="No",43=Projects!$C$12,Assumptions!$B$52&gt;0),Assumptions!$B$52*Assumptions!$B$48,0)+IF(AND(Projects!$G$13="Yes",Projects!$K$13="No",43=Projects!$C$13,Assumptions!$B$54&gt;0),Assumptions!$B$54*Assumptions!$B$48,0)+IF(AND(Projects!$G$14="Yes",Projects!$K$14="No",43=Projects!$C$14,Assumptions!$B$55&gt;0),Assumptions!$B$55*Assumptions!$B$48,0)),Actuals!AV106)</f>
        <v>0</v>
      </c>
      <c r="AW107" s="3">
        <f>IF(ISBLANK(Actuals!AW106),-(IF(AND(Projects!$G$7="Yes",Projects!$K$7="No",44=Projects!$C$7,Assumptions!$B$53&gt;0),Assumptions!$B$53*Assumptions!$B$48,0)+IF(AND(Projects!$G$11="Yes",Projects!$K$11="No",44=Projects!$C$11,Assumptions!$B$51&gt;0),Assumptions!$B$51*Assumptions!$B$48,0)+IF(AND(Projects!$G$12="Yes",Projects!$K$12="No",44=Projects!$C$12,Assumptions!$B$52&gt;0),Assumptions!$B$52*Assumptions!$B$48,0)+IF(AND(Projects!$G$13="Yes",Projects!$K$13="No",44=Projects!$C$13,Assumptions!$B$54&gt;0),Assumptions!$B$54*Assumptions!$B$48,0)+IF(AND(Projects!$G$14="Yes",Projects!$K$14="No",44=Projects!$C$14,Assumptions!$B$55&gt;0),Assumptions!$B$55*Assumptions!$B$48,0)),Actuals!AW106)</f>
        <v>0</v>
      </c>
      <c r="AX107" s="3">
        <f>IF(ISBLANK(Actuals!AX106),-(IF(AND(Projects!$G$7="Yes",Projects!$K$7="No",45=Projects!$C$7,Assumptions!$B$53&gt;0),Assumptions!$B$53*Assumptions!$B$48,0)+IF(AND(Projects!$G$11="Yes",Projects!$K$11="No",45=Projects!$C$11,Assumptions!$B$51&gt;0),Assumptions!$B$51*Assumptions!$B$48,0)+IF(AND(Projects!$G$12="Yes",Projects!$K$12="No",45=Projects!$C$12,Assumptions!$B$52&gt;0),Assumptions!$B$52*Assumptions!$B$48,0)+IF(AND(Projects!$G$13="Yes",Projects!$K$13="No",45=Projects!$C$13,Assumptions!$B$54&gt;0),Assumptions!$B$54*Assumptions!$B$48,0)+IF(AND(Projects!$G$14="Yes",Projects!$K$14="No",45=Projects!$C$14,Assumptions!$B$55&gt;0),Assumptions!$B$55*Assumptions!$B$48,0)),Actuals!AX106)</f>
        <v>0</v>
      </c>
      <c r="AY107" s="3">
        <f>IF(ISBLANK(Actuals!AY106),-(IF(AND(Projects!$G$7="Yes",Projects!$K$7="No",46=Projects!$C$7,Assumptions!$B$53&gt;0),Assumptions!$B$53*Assumptions!$B$48,0)+IF(AND(Projects!$G$11="Yes",Projects!$K$11="No",46=Projects!$C$11,Assumptions!$B$51&gt;0),Assumptions!$B$51*Assumptions!$B$48,0)+IF(AND(Projects!$G$12="Yes",Projects!$K$12="No",46=Projects!$C$12,Assumptions!$B$52&gt;0),Assumptions!$B$52*Assumptions!$B$48,0)+IF(AND(Projects!$G$13="Yes",Projects!$K$13="No",46=Projects!$C$13,Assumptions!$B$54&gt;0),Assumptions!$B$54*Assumptions!$B$48,0)+IF(AND(Projects!$G$14="Yes",Projects!$K$14="No",46=Projects!$C$14,Assumptions!$B$55&gt;0),Assumptions!$B$55*Assumptions!$B$48,0)),Actuals!AY106)</f>
        <v>0</v>
      </c>
      <c r="AZ107" s="3">
        <f>IF(ISBLANK(Actuals!AZ106),-(IF(AND(Projects!$G$7="Yes",Projects!$K$7="No",47=Projects!$C$7,Assumptions!$B$53&gt;0),Assumptions!$B$53*Assumptions!$B$48,0)+IF(AND(Projects!$G$11="Yes",Projects!$K$11="No",47=Projects!$C$11,Assumptions!$B$51&gt;0),Assumptions!$B$51*Assumptions!$B$48,0)+IF(AND(Projects!$G$12="Yes",Projects!$K$12="No",47=Projects!$C$12,Assumptions!$B$52&gt;0),Assumptions!$B$52*Assumptions!$B$48,0)+IF(AND(Projects!$G$13="Yes",Projects!$K$13="No",47=Projects!$C$13,Assumptions!$B$54&gt;0),Assumptions!$B$54*Assumptions!$B$48,0)+IF(AND(Projects!$G$14="Yes",Projects!$K$14="No",47=Projects!$C$14,Assumptions!$B$55&gt;0),Assumptions!$B$55*Assumptions!$B$48,0)),Actuals!AZ106)</f>
        <v>0</v>
      </c>
      <c r="BA107" s="3">
        <f>IF(ISBLANK(Actuals!BA106),-(IF(AND(Projects!$G$7="Yes",Projects!$K$7="No",48=Projects!$C$7,Assumptions!$B$53&gt;0),Assumptions!$B$53*Assumptions!$B$48,0)+IF(AND(Projects!$G$11="Yes",Projects!$K$11="No",48=Projects!$C$11,Assumptions!$B$51&gt;0),Assumptions!$B$51*Assumptions!$B$48,0)+IF(AND(Projects!$G$12="Yes",Projects!$K$12="No",48=Projects!$C$12,Assumptions!$B$52&gt;0),Assumptions!$B$52*Assumptions!$B$48,0)+IF(AND(Projects!$G$13="Yes",Projects!$K$13="No",48=Projects!$C$13,Assumptions!$B$54&gt;0),Assumptions!$B$54*Assumptions!$B$48,0)+IF(AND(Projects!$G$14="Yes",Projects!$K$14="No",48=Projects!$C$14,Assumptions!$B$55&gt;0),Assumptions!$B$55*Assumptions!$B$48,0)),Actuals!BA106)</f>
        <v>0</v>
      </c>
      <c r="BB107" s="3">
        <f>IF(ISBLANK(Actuals!BB106),-(IF(AND(Projects!$G$7="Yes",Projects!$K$7="No",49=Projects!$C$7,Assumptions!$B$53&gt;0),Assumptions!$B$53*Assumptions!$B$48,0)+IF(AND(Projects!$G$11="Yes",Projects!$K$11="No",49=Projects!$C$11,Assumptions!$B$51&gt;0),Assumptions!$B$51*Assumptions!$B$48,0)+IF(AND(Projects!$G$12="Yes",Projects!$K$12="No",49=Projects!$C$12,Assumptions!$B$52&gt;0),Assumptions!$B$52*Assumptions!$B$48,0)+IF(AND(Projects!$G$13="Yes",Projects!$K$13="No",49=Projects!$C$13,Assumptions!$B$54&gt;0),Assumptions!$B$54*Assumptions!$B$48,0)+IF(AND(Projects!$G$14="Yes",Projects!$K$14="No",49=Projects!$C$14,Assumptions!$B$55&gt;0),Assumptions!$B$55*Assumptions!$B$48,0)),Actuals!BB106)</f>
        <v>0</v>
      </c>
      <c r="BC107" s="3">
        <f>IF(ISBLANK(Actuals!BC106),-(IF(AND(Projects!$G$7="Yes",Projects!$K$7="No",50=Projects!$C$7,Assumptions!$B$53&gt;0),Assumptions!$B$53*Assumptions!$B$48,0)+IF(AND(Projects!$G$11="Yes",Projects!$K$11="No",50=Projects!$C$11,Assumptions!$B$51&gt;0),Assumptions!$B$51*Assumptions!$B$48,0)+IF(AND(Projects!$G$12="Yes",Projects!$K$12="No",50=Projects!$C$12,Assumptions!$B$52&gt;0),Assumptions!$B$52*Assumptions!$B$48,0)+IF(AND(Projects!$G$13="Yes",Projects!$K$13="No",50=Projects!$C$13,Assumptions!$B$54&gt;0),Assumptions!$B$54*Assumptions!$B$48,0)+IF(AND(Projects!$G$14="Yes",Projects!$K$14="No",50=Projects!$C$14,Assumptions!$B$55&gt;0),Assumptions!$B$55*Assumptions!$B$48,0)),Actuals!BC106)</f>
        <v>0</v>
      </c>
      <c r="BD107" s="3">
        <f>IF(ISBLANK(Actuals!BD106),-(IF(AND(Projects!$G$7="Yes",Projects!$K$7="No",51=Projects!$C$7,Assumptions!$B$53&gt;0),Assumptions!$B$53*Assumptions!$B$48,0)+IF(AND(Projects!$G$11="Yes",Projects!$K$11="No",51=Projects!$C$11,Assumptions!$B$51&gt;0),Assumptions!$B$51*Assumptions!$B$48,0)+IF(AND(Projects!$G$12="Yes",Projects!$K$12="No",51=Projects!$C$12,Assumptions!$B$52&gt;0),Assumptions!$B$52*Assumptions!$B$48,0)+IF(AND(Projects!$G$13="Yes",Projects!$K$13="No",51=Projects!$C$13,Assumptions!$B$54&gt;0),Assumptions!$B$54*Assumptions!$B$48,0)+IF(AND(Projects!$G$14="Yes",Projects!$K$14="No",51=Projects!$C$14,Assumptions!$B$55&gt;0),Assumptions!$B$55*Assumptions!$B$48,0)),Actuals!BD106)</f>
        <v>0</v>
      </c>
      <c r="BE107" s="3">
        <f>IF(ISBLANK(Actuals!BE106),-(IF(AND(Projects!$G$7="Yes",Projects!$K$7="No",52=Projects!$C$7,Assumptions!$B$53&gt;0),Assumptions!$B$53*Assumptions!$B$48,0)+IF(AND(Projects!$G$11="Yes",Projects!$K$11="No",52=Projects!$C$11,Assumptions!$B$51&gt;0),Assumptions!$B$51*Assumptions!$B$48,0)+IF(AND(Projects!$G$12="Yes",Projects!$K$12="No",52=Projects!$C$12,Assumptions!$B$52&gt;0),Assumptions!$B$52*Assumptions!$B$48,0)+IF(AND(Projects!$G$13="Yes",Projects!$K$13="No",52=Projects!$C$13,Assumptions!$B$54&gt;0),Assumptions!$B$54*Assumptions!$B$48,0)+IF(AND(Projects!$G$14="Yes",Projects!$K$14="No",52=Projects!$C$14,Assumptions!$B$55&gt;0),Assumptions!$B$55*Assumptions!$B$48,0)),Actuals!BE106)</f>
        <v>0</v>
      </c>
      <c r="BF107" s="3">
        <f>IF(ISBLANK(Actuals!BF106),-(IF(AND(Projects!$G$7="Yes",Projects!$K$7="No",53=Projects!$C$7,Assumptions!$B$53&gt;0),Assumptions!$B$53*Assumptions!$B$48,0)+IF(AND(Projects!$G$11="Yes",Projects!$K$11="No",53=Projects!$C$11,Assumptions!$B$51&gt;0),Assumptions!$B$51*Assumptions!$B$48,0)+IF(AND(Projects!$G$12="Yes",Projects!$K$12="No",53=Projects!$C$12,Assumptions!$B$52&gt;0),Assumptions!$B$52*Assumptions!$B$48,0)+IF(AND(Projects!$G$13="Yes",Projects!$K$13="No",53=Projects!$C$13,Assumptions!$B$54&gt;0),Assumptions!$B$54*Assumptions!$B$48,0)+IF(AND(Projects!$G$14="Yes",Projects!$K$14="No",53=Projects!$C$14,Assumptions!$B$55&gt;0),Assumptions!$B$55*Assumptions!$B$48,0)),Actuals!BF106)</f>
        <v>0</v>
      </c>
      <c r="BG107" s="3">
        <f>IF(ISBLANK(Actuals!BG106),-(IF(AND(Projects!$G$7="Yes",Projects!$K$7="No",54=Projects!$C$7,Assumptions!$B$53&gt;0),Assumptions!$B$53*Assumptions!$B$48,0)+IF(AND(Projects!$G$11="Yes",Projects!$K$11="No",54=Projects!$C$11,Assumptions!$B$51&gt;0),Assumptions!$B$51*Assumptions!$B$48,0)+IF(AND(Projects!$G$12="Yes",Projects!$K$12="No",54=Projects!$C$12,Assumptions!$B$52&gt;0),Assumptions!$B$52*Assumptions!$B$48,0)+IF(AND(Projects!$G$13="Yes",Projects!$K$13="No",54=Projects!$C$13,Assumptions!$B$54&gt;0),Assumptions!$B$54*Assumptions!$B$48,0)+IF(AND(Projects!$G$14="Yes",Projects!$K$14="No",54=Projects!$C$14,Assumptions!$B$55&gt;0),Assumptions!$B$55*Assumptions!$B$48,0)),Actuals!BG106)</f>
        <v>0</v>
      </c>
      <c r="BH107" s="3">
        <f>IF(ISBLANK(Actuals!BH106),-(IF(AND(Projects!$G$7="Yes",Projects!$K$7="No",55=Projects!$C$7,Assumptions!$B$53&gt;0),Assumptions!$B$53*Assumptions!$B$48,0)+IF(AND(Projects!$G$11="Yes",Projects!$K$11="No",55=Projects!$C$11,Assumptions!$B$51&gt;0),Assumptions!$B$51*Assumptions!$B$48,0)+IF(AND(Projects!$G$12="Yes",Projects!$K$12="No",55=Projects!$C$12,Assumptions!$B$52&gt;0),Assumptions!$B$52*Assumptions!$B$48,0)+IF(AND(Projects!$G$13="Yes",Projects!$K$13="No",55=Projects!$C$13,Assumptions!$B$54&gt;0),Assumptions!$B$54*Assumptions!$B$48,0)+IF(AND(Projects!$G$14="Yes",Projects!$K$14="No",55=Projects!$C$14,Assumptions!$B$55&gt;0),Assumptions!$B$55*Assumptions!$B$48,0)),Actuals!BH106)</f>
        <v>0</v>
      </c>
      <c r="BI107" s="3">
        <f>IF(ISBLANK(Actuals!BI106),-(IF(AND(Projects!$G$7="Yes",Projects!$K$7="No",56=Projects!$C$7,Assumptions!$B$53&gt;0),Assumptions!$B$53*Assumptions!$B$48,0)+IF(AND(Projects!$G$11="Yes",Projects!$K$11="No",56=Projects!$C$11,Assumptions!$B$51&gt;0),Assumptions!$B$51*Assumptions!$B$48,0)+IF(AND(Projects!$G$12="Yes",Projects!$K$12="No",56=Projects!$C$12,Assumptions!$B$52&gt;0),Assumptions!$B$52*Assumptions!$B$48,0)+IF(AND(Projects!$G$13="Yes",Projects!$K$13="No",56=Projects!$C$13,Assumptions!$B$54&gt;0),Assumptions!$B$54*Assumptions!$B$48,0)+IF(AND(Projects!$G$14="Yes",Projects!$K$14="No",56=Projects!$C$14,Assumptions!$B$55&gt;0),Assumptions!$B$55*Assumptions!$B$48,0)),Actuals!BI106)</f>
        <v>0</v>
      </c>
      <c r="BJ107" s="3">
        <f>IF(ISBLANK(Actuals!BJ106),-(IF(AND(Projects!$G$7="Yes",Projects!$K$7="No",57=Projects!$C$7,Assumptions!$B$53&gt;0),Assumptions!$B$53*Assumptions!$B$48,0)+IF(AND(Projects!$G$11="Yes",Projects!$K$11="No",57=Projects!$C$11,Assumptions!$B$51&gt;0),Assumptions!$B$51*Assumptions!$B$48,0)+IF(AND(Projects!$G$12="Yes",Projects!$K$12="No",57=Projects!$C$12,Assumptions!$B$52&gt;0),Assumptions!$B$52*Assumptions!$B$48,0)+IF(AND(Projects!$G$13="Yes",Projects!$K$13="No",57=Projects!$C$13,Assumptions!$B$54&gt;0),Assumptions!$B$54*Assumptions!$B$48,0)+IF(AND(Projects!$G$14="Yes",Projects!$K$14="No",57=Projects!$C$14,Assumptions!$B$55&gt;0),Assumptions!$B$55*Assumptions!$B$48,0)),Actuals!BJ106)</f>
        <v>0</v>
      </c>
      <c r="BK107" s="3">
        <f>IF(ISBLANK(Actuals!BK106),-(IF(AND(Projects!$G$7="Yes",Projects!$K$7="No",58=Projects!$C$7,Assumptions!$B$53&gt;0),Assumptions!$B$53*Assumptions!$B$48,0)+IF(AND(Projects!$G$11="Yes",Projects!$K$11="No",58=Projects!$C$11,Assumptions!$B$51&gt;0),Assumptions!$B$51*Assumptions!$B$48,0)+IF(AND(Projects!$G$12="Yes",Projects!$K$12="No",58=Projects!$C$12,Assumptions!$B$52&gt;0),Assumptions!$B$52*Assumptions!$B$48,0)+IF(AND(Projects!$G$13="Yes",Projects!$K$13="No",58=Projects!$C$13,Assumptions!$B$54&gt;0),Assumptions!$B$54*Assumptions!$B$48,0)+IF(AND(Projects!$G$14="Yes",Projects!$K$14="No",58=Projects!$C$14,Assumptions!$B$55&gt;0),Assumptions!$B$55*Assumptions!$B$48,0)),Actuals!BK106)</f>
        <v>0</v>
      </c>
      <c r="BL107" s="3">
        <f>IF(ISBLANK(Actuals!BL106),-(IF(AND(Projects!$G$7="Yes",Projects!$K$7="No",59=Projects!$C$7,Assumptions!$B$53&gt;0),Assumptions!$B$53*Assumptions!$B$48,0)+IF(AND(Projects!$G$11="Yes",Projects!$K$11="No",59=Projects!$C$11,Assumptions!$B$51&gt;0),Assumptions!$B$51*Assumptions!$B$48,0)+IF(AND(Projects!$G$12="Yes",Projects!$K$12="No",59=Projects!$C$12,Assumptions!$B$52&gt;0),Assumptions!$B$52*Assumptions!$B$48,0)+IF(AND(Projects!$G$13="Yes",Projects!$K$13="No",59=Projects!$C$13,Assumptions!$B$54&gt;0),Assumptions!$B$54*Assumptions!$B$48,0)+IF(AND(Projects!$G$14="Yes",Projects!$K$14="No",59=Projects!$C$14,Assumptions!$B$55&gt;0),Assumptions!$B$55*Assumptions!$B$48,0)),Actuals!BL106)</f>
        <v>0</v>
      </c>
      <c r="BM107" s="3">
        <f>IF(ISBLANK(Actuals!BM106),-(IF(AND(Projects!$G$7="Yes",Projects!$K$7="No",60=Projects!$C$7,Assumptions!$B$53&gt;0),Assumptions!$B$53*Assumptions!$B$48,0)+IF(AND(Projects!$G$11="Yes",Projects!$K$11="No",60=Projects!$C$11,Assumptions!$B$51&gt;0),Assumptions!$B$51*Assumptions!$B$48,0)+IF(AND(Projects!$G$12="Yes",Projects!$K$12="No",60=Projects!$C$12,Assumptions!$B$52&gt;0),Assumptions!$B$52*Assumptions!$B$48,0)+IF(AND(Projects!$G$13="Yes",Projects!$K$13="No",60=Projects!$C$13,Assumptions!$B$54&gt;0),Assumptions!$B$54*Assumptions!$B$48,0)+IF(AND(Projects!$G$14="Yes",Projects!$K$14="No",60=Projects!$C$14,Assumptions!$B$55&gt;0),Assumptions!$B$55*Assumptions!$B$48,0)),Actuals!BM106)</f>
        <v>0</v>
      </c>
      <c r="BN107" s="3">
        <f>IF(ISBLANK(Actuals!BN106),-(IF(AND(Projects!$G$7="Yes",Projects!$K$7="No",61=Projects!$C$7,Assumptions!$B$53&gt;0),Assumptions!$B$53*Assumptions!$B$48,0)+IF(AND(Projects!$G$11="Yes",Projects!$K$11="No",61=Projects!$C$11,Assumptions!$B$51&gt;0),Assumptions!$B$51*Assumptions!$B$48,0)+IF(AND(Projects!$G$12="Yes",Projects!$K$12="No",61=Projects!$C$12,Assumptions!$B$52&gt;0),Assumptions!$B$52*Assumptions!$B$48,0)+IF(AND(Projects!$G$13="Yes",Projects!$K$13="No",61=Projects!$C$13,Assumptions!$B$54&gt;0),Assumptions!$B$54*Assumptions!$B$48,0)+IF(AND(Projects!$G$14="Yes",Projects!$K$14="No",61=Projects!$C$14,Assumptions!$B$55&gt;0),Assumptions!$B$55*Assumptions!$B$48,0)),Actuals!BN106)</f>
        <v>0</v>
      </c>
      <c r="BO107" s="3">
        <f>IF(ISBLANK(Actuals!BO106),-(IF(AND(Projects!$G$7="Yes",Projects!$K$7="No",62=Projects!$C$7,Assumptions!$B$53&gt;0),Assumptions!$B$53*Assumptions!$B$48,0)+IF(AND(Projects!$G$11="Yes",Projects!$K$11="No",62=Projects!$C$11,Assumptions!$B$51&gt;0),Assumptions!$B$51*Assumptions!$B$48,0)+IF(AND(Projects!$G$12="Yes",Projects!$K$12="No",62=Projects!$C$12,Assumptions!$B$52&gt;0),Assumptions!$B$52*Assumptions!$B$48,0)+IF(AND(Projects!$G$13="Yes",Projects!$K$13="No",62=Projects!$C$13,Assumptions!$B$54&gt;0),Assumptions!$B$54*Assumptions!$B$48,0)+IF(AND(Projects!$G$14="Yes",Projects!$K$14="No",62=Projects!$C$14,Assumptions!$B$55&gt;0),Assumptions!$B$55*Assumptions!$B$48,0)),Actuals!BO106)</f>
        <v>0</v>
      </c>
      <c r="BP107" s="3">
        <f>IF(ISBLANK(Actuals!BP106),-(IF(AND(Projects!$G$7="Yes",Projects!$K$7="No",63=Projects!$C$7,Assumptions!$B$53&gt;0),Assumptions!$B$53*Assumptions!$B$48,0)+IF(AND(Projects!$G$11="Yes",Projects!$K$11="No",63=Projects!$C$11,Assumptions!$B$51&gt;0),Assumptions!$B$51*Assumptions!$B$48,0)+IF(AND(Projects!$G$12="Yes",Projects!$K$12="No",63=Projects!$C$12,Assumptions!$B$52&gt;0),Assumptions!$B$52*Assumptions!$B$48,0)+IF(AND(Projects!$G$13="Yes",Projects!$K$13="No",63=Projects!$C$13,Assumptions!$B$54&gt;0),Assumptions!$B$54*Assumptions!$B$48,0)+IF(AND(Projects!$G$14="Yes",Projects!$K$14="No",63=Projects!$C$14,Assumptions!$B$55&gt;0),Assumptions!$B$55*Assumptions!$B$48,0)),Actuals!BP106)</f>
        <v>0</v>
      </c>
      <c r="BQ107" s="3">
        <f>IF(ISBLANK(Actuals!BQ106),-(IF(AND(Projects!$G$7="Yes",Projects!$K$7="No",64=Projects!$C$7,Assumptions!$B$53&gt;0),Assumptions!$B$53*Assumptions!$B$48,0)+IF(AND(Projects!$G$11="Yes",Projects!$K$11="No",64=Projects!$C$11,Assumptions!$B$51&gt;0),Assumptions!$B$51*Assumptions!$B$48,0)+IF(AND(Projects!$G$12="Yes",Projects!$K$12="No",64=Projects!$C$12,Assumptions!$B$52&gt;0),Assumptions!$B$52*Assumptions!$B$48,0)+IF(AND(Projects!$G$13="Yes",Projects!$K$13="No",64=Projects!$C$13,Assumptions!$B$54&gt;0),Assumptions!$B$54*Assumptions!$B$48,0)+IF(AND(Projects!$G$14="Yes",Projects!$K$14="No",64=Projects!$C$14,Assumptions!$B$55&gt;0),Assumptions!$B$55*Assumptions!$B$48,0)),Actuals!BQ106)</f>
        <v>0</v>
      </c>
      <c r="BR107" s="3">
        <f>IF(ISBLANK(Actuals!BR106),-(IF(AND(Projects!$G$7="Yes",Projects!$K$7="No",65=Projects!$C$7,Assumptions!$B$53&gt;0),Assumptions!$B$53*Assumptions!$B$48,0)+IF(AND(Projects!$G$11="Yes",Projects!$K$11="No",65=Projects!$C$11,Assumptions!$B$51&gt;0),Assumptions!$B$51*Assumptions!$B$48,0)+IF(AND(Projects!$G$12="Yes",Projects!$K$12="No",65=Projects!$C$12,Assumptions!$B$52&gt;0),Assumptions!$B$52*Assumptions!$B$48,0)+IF(AND(Projects!$G$13="Yes",Projects!$K$13="No",65=Projects!$C$13,Assumptions!$B$54&gt;0),Assumptions!$B$54*Assumptions!$B$48,0)+IF(AND(Projects!$G$14="Yes",Projects!$K$14="No",65=Projects!$C$14,Assumptions!$B$55&gt;0),Assumptions!$B$55*Assumptions!$B$48,0)),Actuals!BR106)</f>
        <v>0</v>
      </c>
      <c r="BS107" s="3">
        <f>IF(ISBLANK(Actuals!BS106),-(IF(AND(Projects!$G$7="Yes",Projects!$K$7="No",66=Projects!$C$7,Assumptions!$B$53&gt;0),Assumptions!$B$53*Assumptions!$B$48,0)+IF(AND(Projects!$G$11="Yes",Projects!$K$11="No",66=Projects!$C$11,Assumptions!$B$51&gt;0),Assumptions!$B$51*Assumptions!$B$48,0)+IF(AND(Projects!$G$12="Yes",Projects!$K$12="No",66=Projects!$C$12,Assumptions!$B$52&gt;0),Assumptions!$B$52*Assumptions!$B$48,0)+IF(AND(Projects!$G$13="Yes",Projects!$K$13="No",66=Projects!$C$13,Assumptions!$B$54&gt;0),Assumptions!$B$54*Assumptions!$B$48,0)+IF(AND(Projects!$G$14="Yes",Projects!$K$14="No",66=Projects!$C$14,Assumptions!$B$55&gt;0),Assumptions!$B$55*Assumptions!$B$48,0)),Actuals!BS106)</f>
        <v>0</v>
      </c>
      <c r="BT107" s="3">
        <f>IF(ISBLANK(Actuals!BT106),-(IF(AND(Projects!$G$7="Yes",Projects!$K$7="No",67=Projects!$C$7,Assumptions!$B$53&gt;0),Assumptions!$B$53*Assumptions!$B$48,0)+IF(AND(Projects!$G$11="Yes",Projects!$K$11="No",67=Projects!$C$11,Assumptions!$B$51&gt;0),Assumptions!$B$51*Assumptions!$B$48,0)+IF(AND(Projects!$G$12="Yes",Projects!$K$12="No",67=Projects!$C$12,Assumptions!$B$52&gt;0),Assumptions!$B$52*Assumptions!$B$48,0)+IF(AND(Projects!$G$13="Yes",Projects!$K$13="No",67=Projects!$C$13,Assumptions!$B$54&gt;0),Assumptions!$B$54*Assumptions!$B$48,0)+IF(AND(Projects!$G$14="Yes",Projects!$K$14="No",67=Projects!$C$14,Assumptions!$B$55&gt;0),Assumptions!$B$55*Assumptions!$B$48,0)),Actuals!BT106)</f>
        <v>0</v>
      </c>
      <c r="BU107" s="3">
        <f>IF(ISBLANK(Actuals!BU106),-(IF(AND(Projects!$G$7="Yes",Projects!$K$7="No",68=Projects!$C$7,Assumptions!$B$53&gt;0),Assumptions!$B$53*Assumptions!$B$48,0)+IF(AND(Projects!$G$11="Yes",Projects!$K$11="No",68=Projects!$C$11,Assumptions!$B$51&gt;0),Assumptions!$B$51*Assumptions!$B$48,0)+IF(AND(Projects!$G$12="Yes",Projects!$K$12="No",68=Projects!$C$12,Assumptions!$B$52&gt;0),Assumptions!$B$52*Assumptions!$B$48,0)+IF(AND(Projects!$G$13="Yes",Projects!$K$13="No",68=Projects!$C$13,Assumptions!$B$54&gt;0),Assumptions!$B$54*Assumptions!$B$48,0)+IF(AND(Projects!$G$14="Yes",Projects!$K$14="No",68=Projects!$C$14,Assumptions!$B$55&gt;0),Assumptions!$B$55*Assumptions!$B$48,0)),Actuals!BU106)</f>
        <v>0</v>
      </c>
      <c r="BV107" s="3">
        <f>IF(ISBLANK(Actuals!BV106),-(IF(AND(Projects!$G$7="Yes",Projects!$K$7="No",69=Projects!$C$7,Assumptions!$B$53&gt;0),Assumptions!$B$53*Assumptions!$B$48,0)+IF(AND(Projects!$G$11="Yes",Projects!$K$11="No",69=Projects!$C$11,Assumptions!$B$51&gt;0),Assumptions!$B$51*Assumptions!$B$48,0)+IF(AND(Projects!$G$12="Yes",Projects!$K$12="No",69=Projects!$C$12,Assumptions!$B$52&gt;0),Assumptions!$B$52*Assumptions!$B$48,0)+IF(AND(Projects!$G$13="Yes",Projects!$K$13="No",69=Projects!$C$13,Assumptions!$B$54&gt;0),Assumptions!$B$54*Assumptions!$B$48,0)+IF(AND(Projects!$G$14="Yes",Projects!$K$14="No",69=Projects!$C$14,Assumptions!$B$55&gt;0),Assumptions!$B$55*Assumptions!$B$48,0)),Actuals!BV106)</f>
        <v>0</v>
      </c>
      <c r="BW107" s="3">
        <f>IF(ISBLANK(Actuals!BW106),-(IF(AND(Projects!$G$7="Yes",Projects!$K$7="No",70=Projects!$C$7,Assumptions!$B$53&gt;0),Assumptions!$B$53*Assumptions!$B$48,0)+IF(AND(Projects!$G$11="Yes",Projects!$K$11="No",70=Projects!$C$11,Assumptions!$B$51&gt;0),Assumptions!$B$51*Assumptions!$B$48,0)+IF(AND(Projects!$G$12="Yes",Projects!$K$12="No",70=Projects!$C$12,Assumptions!$B$52&gt;0),Assumptions!$B$52*Assumptions!$B$48,0)+IF(AND(Projects!$G$13="Yes",Projects!$K$13="No",70=Projects!$C$13,Assumptions!$B$54&gt;0),Assumptions!$B$54*Assumptions!$B$48,0)+IF(AND(Projects!$G$14="Yes",Projects!$K$14="No",70=Projects!$C$14,Assumptions!$B$55&gt;0),Assumptions!$B$55*Assumptions!$B$48,0)),Actuals!BW106)</f>
        <v>0</v>
      </c>
      <c r="BX107" s="3">
        <f>IF(ISBLANK(Actuals!BX106),-(IF(AND(Projects!$G$7="Yes",Projects!$K$7="No",71=Projects!$C$7,Assumptions!$B$53&gt;0),Assumptions!$B$53*Assumptions!$B$48,0)+IF(AND(Projects!$G$11="Yes",Projects!$K$11="No",71=Projects!$C$11,Assumptions!$B$51&gt;0),Assumptions!$B$51*Assumptions!$B$48,0)+IF(AND(Projects!$G$12="Yes",Projects!$K$12="No",71=Projects!$C$12,Assumptions!$B$52&gt;0),Assumptions!$B$52*Assumptions!$B$48,0)+IF(AND(Projects!$G$13="Yes",Projects!$K$13="No",71=Projects!$C$13,Assumptions!$B$54&gt;0),Assumptions!$B$54*Assumptions!$B$48,0)+IF(AND(Projects!$G$14="Yes",Projects!$K$14="No",71=Projects!$C$14,Assumptions!$B$55&gt;0),Assumptions!$B$55*Assumptions!$B$48,0)),Actuals!BX106)</f>
        <v>0</v>
      </c>
      <c r="BY107" s="3">
        <f>IF(ISBLANK(Actuals!BY106),-(IF(AND(Projects!$G$7="Yes",Projects!$K$7="No",72=Projects!$C$7,Assumptions!$B$53&gt;0),Assumptions!$B$53*Assumptions!$B$48,0)+IF(AND(Projects!$G$11="Yes",Projects!$K$11="No",72=Projects!$C$11,Assumptions!$B$51&gt;0),Assumptions!$B$51*Assumptions!$B$48,0)+IF(AND(Projects!$G$12="Yes",Projects!$K$12="No",72=Projects!$C$12,Assumptions!$B$52&gt;0),Assumptions!$B$52*Assumptions!$B$48,0)+IF(AND(Projects!$G$13="Yes",Projects!$K$13="No",72=Projects!$C$13,Assumptions!$B$54&gt;0),Assumptions!$B$54*Assumptions!$B$48,0)+IF(AND(Projects!$G$14="Yes",Projects!$K$14="No",72=Projects!$C$14,Assumptions!$B$55&gt;0),Assumptions!$B$55*Assumptions!$B$48,0)),Actuals!BY106)</f>
        <v>0</v>
      </c>
      <c r="BZ107" s="3">
        <f>IF(ISBLANK(Actuals!BZ106),-(IF(AND(Projects!$G$7="Yes",Projects!$K$7="No",73=Projects!$C$7,Assumptions!$B$53&gt;0),Assumptions!$B$53*Assumptions!$B$48,0)+IF(AND(Projects!$G$11="Yes",Projects!$K$11="No",73=Projects!$C$11,Assumptions!$B$51&gt;0),Assumptions!$B$51*Assumptions!$B$48,0)+IF(AND(Projects!$G$12="Yes",Projects!$K$12="No",73=Projects!$C$12,Assumptions!$B$52&gt;0),Assumptions!$B$52*Assumptions!$B$48,0)+IF(AND(Projects!$G$13="Yes",Projects!$K$13="No",73=Projects!$C$13,Assumptions!$B$54&gt;0),Assumptions!$B$54*Assumptions!$B$48,0)+IF(AND(Projects!$G$14="Yes",Projects!$K$14="No",73=Projects!$C$14,Assumptions!$B$55&gt;0),Assumptions!$B$55*Assumptions!$B$48,0)),Actuals!BZ106)</f>
        <v>0</v>
      </c>
      <c r="CA107" s="3">
        <f>IF(ISBLANK(Actuals!CA106),-(IF(AND(Projects!$G$7="Yes",Projects!$K$7="No",74=Projects!$C$7,Assumptions!$B$53&gt;0),Assumptions!$B$53*Assumptions!$B$48,0)+IF(AND(Projects!$G$11="Yes",Projects!$K$11="No",74=Projects!$C$11,Assumptions!$B$51&gt;0),Assumptions!$B$51*Assumptions!$B$48,0)+IF(AND(Projects!$G$12="Yes",Projects!$K$12="No",74=Projects!$C$12,Assumptions!$B$52&gt;0),Assumptions!$B$52*Assumptions!$B$48,0)+IF(AND(Projects!$G$13="Yes",Projects!$K$13="No",74=Projects!$C$13,Assumptions!$B$54&gt;0),Assumptions!$B$54*Assumptions!$B$48,0)+IF(AND(Projects!$G$14="Yes",Projects!$K$14="No",74=Projects!$C$14,Assumptions!$B$55&gt;0),Assumptions!$B$55*Assumptions!$B$48,0)),Actuals!CA106)</f>
        <v>0</v>
      </c>
      <c r="CB107" s="3">
        <f>IF(ISBLANK(Actuals!CB106),-(IF(AND(Projects!$G$7="Yes",Projects!$K$7="No",75=Projects!$C$7,Assumptions!$B$53&gt;0),Assumptions!$B$53*Assumptions!$B$48,0)+IF(AND(Projects!$G$11="Yes",Projects!$K$11="No",75=Projects!$C$11,Assumptions!$B$51&gt;0),Assumptions!$B$51*Assumptions!$B$48,0)+IF(AND(Projects!$G$12="Yes",Projects!$K$12="No",75=Projects!$C$12,Assumptions!$B$52&gt;0),Assumptions!$B$52*Assumptions!$B$48,0)+IF(AND(Projects!$G$13="Yes",Projects!$K$13="No",75=Projects!$C$13,Assumptions!$B$54&gt;0),Assumptions!$B$54*Assumptions!$B$48,0)+IF(AND(Projects!$G$14="Yes",Projects!$K$14="No",75=Projects!$C$14,Assumptions!$B$55&gt;0),Assumptions!$B$55*Assumptions!$B$48,0)),Actuals!CB106)</f>
        <v>0</v>
      </c>
      <c r="CC107" s="3">
        <f>IF(ISBLANK(Actuals!CC106),-(IF(AND(Projects!$G$7="Yes",Projects!$K$7="No",76=Projects!$C$7,Assumptions!$B$53&gt;0),Assumptions!$B$53*Assumptions!$B$48,0)+IF(AND(Projects!$G$11="Yes",Projects!$K$11="No",76=Projects!$C$11,Assumptions!$B$51&gt;0),Assumptions!$B$51*Assumptions!$B$48,0)+IF(AND(Projects!$G$12="Yes",Projects!$K$12="No",76=Projects!$C$12,Assumptions!$B$52&gt;0),Assumptions!$B$52*Assumptions!$B$48,0)+IF(AND(Projects!$G$13="Yes",Projects!$K$13="No",76=Projects!$C$13,Assumptions!$B$54&gt;0),Assumptions!$B$54*Assumptions!$B$48,0)+IF(AND(Projects!$G$14="Yes",Projects!$K$14="No",76=Projects!$C$14,Assumptions!$B$55&gt;0),Assumptions!$B$55*Assumptions!$B$48,0)),Actuals!CC106)</f>
        <v>0</v>
      </c>
      <c r="CD107" s="3">
        <f>IF(ISBLANK(Actuals!CD106),-(IF(AND(Projects!$G$7="Yes",Projects!$K$7="No",77=Projects!$C$7,Assumptions!$B$53&gt;0),Assumptions!$B$53*Assumptions!$B$48,0)+IF(AND(Projects!$G$11="Yes",Projects!$K$11="No",77=Projects!$C$11,Assumptions!$B$51&gt;0),Assumptions!$B$51*Assumptions!$B$48,0)+IF(AND(Projects!$G$12="Yes",Projects!$K$12="No",77=Projects!$C$12,Assumptions!$B$52&gt;0),Assumptions!$B$52*Assumptions!$B$48,0)+IF(AND(Projects!$G$13="Yes",Projects!$K$13="No",77=Projects!$C$13,Assumptions!$B$54&gt;0),Assumptions!$B$54*Assumptions!$B$48,0)+IF(AND(Projects!$G$14="Yes",Projects!$K$14="No",77=Projects!$C$14,Assumptions!$B$55&gt;0),Assumptions!$B$55*Assumptions!$B$48,0)),Actuals!CD106)</f>
        <v>0</v>
      </c>
      <c r="CE107" s="3">
        <f>IF(ISBLANK(Actuals!CE106),-(IF(AND(Projects!$G$7="Yes",Projects!$K$7="No",78=Projects!$C$7,Assumptions!$B$53&gt;0),Assumptions!$B$53*Assumptions!$B$48,0)+IF(AND(Projects!$G$11="Yes",Projects!$K$11="No",78=Projects!$C$11,Assumptions!$B$51&gt;0),Assumptions!$B$51*Assumptions!$B$48,0)+IF(AND(Projects!$G$12="Yes",Projects!$K$12="No",78=Projects!$C$12,Assumptions!$B$52&gt;0),Assumptions!$B$52*Assumptions!$B$48,0)+IF(AND(Projects!$G$13="Yes",Projects!$K$13="No",78=Projects!$C$13,Assumptions!$B$54&gt;0),Assumptions!$B$54*Assumptions!$B$48,0)+IF(AND(Projects!$G$14="Yes",Projects!$K$14="No",78=Projects!$C$14,Assumptions!$B$55&gt;0),Assumptions!$B$55*Assumptions!$B$48,0)),Actuals!CE106)</f>
        <v>0</v>
      </c>
      <c r="CF107" s="3">
        <f>IF(ISBLANK(Actuals!CF106),-(IF(AND(Projects!$G$7="Yes",Projects!$K$7="No",79=Projects!$C$7,Assumptions!$B$53&gt;0),Assumptions!$B$53*Assumptions!$B$48,0)+IF(AND(Projects!$G$11="Yes",Projects!$K$11="No",79=Projects!$C$11,Assumptions!$B$51&gt;0),Assumptions!$B$51*Assumptions!$B$48,0)+IF(AND(Projects!$G$12="Yes",Projects!$K$12="No",79=Projects!$C$12,Assumptions!$B$52&gt;0),Assumptions!$B$52*Assumptions!$B$48,0)+IF(AND(Projects!$G$13="Yes",Projects!$K$13="No",79=Projects!$C$13,Assumptions!$B$54&gt;0),Assumptions!$B$54*Assumptions!$B$48,0)+IF(AND(Projects!$G$14="Yes",Projects!$K$14="No",79=Projects!$C$14,Assumptions!$B$55&gt;0),Assumptions!$B$55*Assumptions!$B$48,0)),Actuals!CF106)</f>
        <v>0</v>
      </c>
      <c r="CG107" s="3">
        <f>IF(ISBLANK(Actuals!CG106),-(IF(AND(Projects!$G$7="Yes",Projects!$K$7="No",80=Projects!$C$7,Assumptions!$B$53&gt;0),Assumptions!$B$53*Assumptions!$B$48,0)+IF(AND(Projects!$G$11="Yes",Projects!$K$11="No",80=Projects!$C$11,Assumptions!$B$51&gt;0),Assumptions!$B$51*Assumptions!$B$48,0)+IF(AND(Projects!$G$12="Yes",Projects!$K$12="No",80=Projects!$C$12,Assumptions!$B$52&gt;0),Assumptions!$B$52*Assumptions!$B$48,0)+IF(AND(Projects!$G$13="Yes",Projects!$K$13="No",80=Projects!$C$13,Assumptions!$B$54&gt;0),Assumptions!$B$54*Assumptions!$B$48,0)+IF(AND(Projects!$G$14="Yes",Projects!$K$14="No",80=Projects!$C$14,Assumptions!$B$55&gt;0),Assumptions!$B$55*Assumptions!$B$48,0)),Actuals!CG106)</f>
        <v>0</v>
      </c>
      <c r="CH107" s="3">
        <f>IF(ISBLANK(Actuals!CH106),-(IF(AND(Projects!$G$7="Yes",Projects!$K$7="No",81=Projects!$C$7,Assumptions!$B$53&gt;0),Assumptions!$B$53*Assumptions!$B$48,0)+IF(AND(Projects!$G$11="Yes",Projects!$K$11="No",81=Projects!$C$11,Assumptions!$B$51&gt;0),Assumptions!$B$51*Assumptions!$B$48,0)+IF(AND(Projects!$G$12="Yes",Projects!$K$12="No",81=Projects!$C$12,Assumptions!$B$52&gt;0),Assumptions!$B$52*Assumptions!$B$48,0)+IF(AND(Projects!$G$13="Yes",Projects!$K$13="No",81=Projects!$C$13,Assumptions!$B$54&gt;0),Assumptions!$B$54*Assumptions!$B$48,0)+IF(AND(Projects!$G$14="Yes",Projects!$K$14="No",81=Projects!$C$14,Assumptions!$B$55&gt;0),Assumptions!$B$55*Assumptions!$B$48,0)),Actuals!CH106)</f>
        <v>0</v>
      </c>
      <c r="CI107" s="3">
        <f>IF(ISBLANK(Actuals!CI106),-(IF(AND(Projects!$G$7="Yes",Projects!$K$7="No",82=Projects!$C$7,Assumptions!$B$53&gt;0),Assumptions!$B$53*Assumptions!$B$48,0)+IF(AND(Projects!$G$11="Yes",Projects!$K$11="No",82=Projects!$C$11,Assumptions!$B$51&gt;0),Assumptions!$B$51*Assumptions!$B$48,0)+IF(AND(Projects!$G$12="Yes",Projects!$K$12="No",82=Projects!$C$12,Assumptions!$B$52&gt;0),Assumptions!$B$52*Assumptions!$B$48,0)+IF(AND(Projects!$G$13="Yes",Projects!$K$13="No",82=Projects!$C$13,Assumptions!$B$54&gt;0),Assumptions!$B$54*Assumptions!$B$48,0)+IF(AND(Projects!$G$14="Yes",Projects!$K$14="No",82=Projects!$C$14,Assumptions!$B$55&gt;0),Assumptions!$B$55*Assumptions!$B$48,0)),Actuals!CI106)</f>
        <v>0</v>
      </c>
      <c r="CJ107" s="3">
        <f>IF(ISBLANK(Actuals!CJ106),-(IF(AND(Projects!$G$7="Yes",Projects!$K$7="No",83=Projects!$C$7,Assumptions!$B$53&gt;0),Assumptions!$B$53*Assumptions!$B$48,0)+IF(AND(Projects!$G$11="Yes",Projects!$K$11="No",83=Projects!$C$11,Assumptions!$B$51&gt;0),Assumptions!$B$51*Assumptions!$B$48,0)+IF(AND(Projects!$G$12="Yes",Projects!$K$12="No",83=Projects!$C$12,Assumptions!$B$52&gt;0),Assumptions!$B$52*Assumptions!$B$48,0)+IF(AND(Projects!$G$13="Yes",Projects!$K$13="No",83=Projects!$C$13,Assumptions!$B$54&gt;0),Assumptions!$B$54*Assumptions!$B$48,0)+IF(AND(Projects!$G$14="Yes",Projects!$K$14="No",83=Projects!$C$14,Assumptions!$B$55&gt;0),Assumptions!$B$55*Assumptions!$B$48,0)),Actuals!CJ106)</f>
        <v>0</v>
      </c>
      <c r="CK107" s="3">
        <f>IF(ISBLANK(Actuals!CK106),-(IF(AND(Projects!$G$7="Yes",Projects!$K$7="No",84=Projects!$C$7,Assumptions!$B$53&gt;0),Assumptions!$B$53*Assumptions!$B$48,0)+IF(AND(Projects!$G$11="Yes",Projects!$K$11="No",84=Projects!$C$11,Assumptions!$B$51&gt;0),Assumptions!$B$51*Assumptions!$B$48,0)+IF(AND(Projects!$G$12="Yes",Projects!$K$12="No",84=Projects!$C$12,Assumptions!$B$52&gt;0),Assumptions!$B$52*Assumptions!$B$48,0)+IF(AND(Projects!$G$13="Yes",Projects!$K$13="No",84=Projects!$C$13,Assumptions!$B$54&gt;0),Assumptions!$B$54*Assumptions!$B$48,0)+IF(AND(Projects!$G$14="Yes",Projects!$K$14="No",84=Projects!$C$14,Assumptions!$B$55&gt;0),Assumptions!$B$55*Assumptions!$B$48,0)),Actuals!CK106)</f>
        <v>0</v>
      </c>
      <c r="CL107" s="3">
        <f>IF(ISBLANK(Actuals!CL106),-(IF(AND(Projects!$G$7="Yes",Projects!$K$7="No",85=Projects!$C$7,Assumptions!$B$53&gt;0),Assumptions!$B$53*Assumptions!$B$48,0)+IF(AND(Projects!$G$11="Yes",Projects!$K$11="No",85=Projects!$C$11,Assumptions!$B$51&gt;0),Assumptions!$B$51*Assumptions!$B$48,0)+IF(AND(Projects!$G$12="Yes",Projects!$K$12="No",85=Projects!$C$12,Assumptions!$B$52&gt;0),Assumptions!$B$52*Assumptions!$B$48,0)+IF(AND(Projects!$G$13="Yes",Projects!$K$13="No",85=Projects!$C$13,Assumptions!$B$54&gt;0),Assumptions!$B$54*Assumptions!$B$48,0)+IF(AND(Projects!$G$14="Yes",Projects!$K$14="No",85=Projects!$C$14,Assumptions!$B$55&gt;0),Assumptions!$B$55*Assumptions!$B$48,0)),Actuals!CL106)</f>
        <v>0</v>
      </c>
      <c r="CM107" s="3">
        <f>IF(ISBLANK(Actuals!CM106),-(IF(AND(Projects!$G$7="Yes",Projects!$K$7="No",86=Projects!$C$7,Assumptions!$B$53&gt;0),Assumptions!$B$53*Assumptions!$B$48,0)+IF(AND(Projects!$G$11="Yes",Projects!$K$11="No",86=Projects!$C$11,Assumptions!$B$51&gt;0),Assumptions!$B$51*Assumptions!$B$48,0)+IF(AND(Projects!$G$12="Yes",Projects!$K$12="No",86=Projects!$C$12,Assumptions!$B$52&gt;0),Assumptions!$B$52*Assumptions!$B$48,0)+IF(AND(Projects!$G$13="Yes",Projects!$K$13="No",86=Projects!$C$13,Assumptions!$B$54&gt;0),Assumptions!$B$54*Assumptions!$B$48,0)+IF(AND(Projects!$G$14="Yes",Projects!$K$14="No",86=Projects!$C$14,Assumptions!$B$55&gt;0),Assumptions!$B$55*Assumptions!$B$48,0)),Actuals!CM106)</f>
        <v>0</v>
      </c>
      <c r="CN107" s="3">
        <f>IF(ISBLANK(Actuals!CN106),-(IF(AND(Projects!$G$7="Yes",Projects!$K$7="No",87=Projects!$C$7,Assumptions!$B$53&gt;0),Assumptions!$B$53*Assumptions!$B$48,0)+IF(AND(Projects!$G$11="Yes",Projects!$K$11="No",87=Projects!$C$11,Assumptions!$B$51&gt;0),Assumptions!$B$51*Assumptions!$B$48,0)+IF(AND(Projects!$G$12="Yes",Projects!$K$12="No",87=Projects!$C$12,Assumptions!$B$52&gt;0),Assumptions!$B$52*Assumptions!$B$48,0)+IF(AND(Projects!$G$13="Yes",Projects!$K$13="No",87=Projects!$C$13,Assumptions!$B$54&gt;0),Assumptions!$B$54*Assumptions!$B$48,0)+IF(AND(Projects!$G$14="Yes",Projects!$K$14="No",87=Projects!$C$14,Assumptions!$B$55&gt;0),Assumptions!$B$55*Assumptions!$B$48,0)),Actuals!CN106)</f>
        <v>0</v>
      </c>
      <c r="CO107" s="3">
        <f>IF(ISBLANK(Actuals!CO106),-(IF(AND(Projects!$G$7="Yes",Projects!$K$7="No",88=Projects!$C$7,Assumptions!$B$53&gt;0),Assumptions!$B$53*Assumptions!$B$48,0)+IF(AND(Projects!$G$11="Yes",Projects!$K$11="No",88=Projects!$C$11,Assumptions!$B$51&gt;0),Assumptions!$B$51*Assumptions!$B$48,0)+IF(AND(Projects!$G$12="Yes",Projects!$K$12="No",88=Projects!$C$12,Assumptions!$B$52&gt;0),Assumptions!$B$52*Assumptions!$B$48,0)+IF(AND(Projects!$G$13="Yes",Projects!$K$13="No",88=Projects!$C$13,Assumptions!$B$54&gt;0),Assumptions!$B$54*Assumptions!$B$48,0)+IF(AND(Projects!$G$14="Yes",Projects!$K$14="No",88=Projects!$C$14,Assumptions!$B$55&gt;0),Assumptions!$B$55*Assumptions!$B$48,0)),Actuals!CO106)</f>
        <v>0</v>
      </c>
      <c r="CP107" s="3">
        <f>IF(ISBLANK(Actuals!CP106),-(IF(AND(Projects!$G$7="Yes",Projects!$K$7="No",89=Projects!$C$7,Assumptions!$B$53&gt;0),Assumptions!$B$53*Assumptions!$B$48,0)+IF(AND(Projects!$G$11="Yes",Projects!$K$11="No",89=Projects!$C$11,Assumptions!$B$51&gt;0),Assumptions!$B$51*Assumptions!$B$48,0)+IF(AND(Projects!$G$12="Yes",Projects!$K$12="No",89=Projects!$C$12,Assumptions!$B$52&gt;0),Assumptions!$B$52*Assumptions!$B$48,0)+IF(AND(Projects!$G$13="Yes",Projects!$K$13="No",89=Projects!$C$13,Assumptions!$B$54&gt;0),Assumptions!$B$54*Assumptions!$B$48,0)+IF(AND(Projects!$G$14="Yes",Projects!$K$14="No",89=Projects!$C$14,Assumptions!$B$55&gt;0),Assumptions!$B$55*Assumptions!$B$48,0)),Actuals!CP106)</f>
        <v>0</v>
      </c>
      <c r="CQ107" s="3">
        <f>IF(ISBLANK(Actuals!CQ106),-(IF(AND(Projects!$G$7="Yes",Projects!$K$7="No",90=Projects!$C$7,Assumptions!$B$53&gt;0),Assumptions!$B$53*Assumptions!$B$48,0)+IF(AND(Projects!$G$11="Yes",Projects!$K$11="No",90=Projects!$C$11,Assumptions!$B$51&gt;0),Assumptions!$B$51*Assumptions!$B$48,0)+IF(AND(Projects!$G$12="Yes",Projects!$K$12="No",90=Projects!$C$12,Assumptions!$B$52&gt;0),Assumptions!$B$52*Assumptions!$B$48,0)+IF(AND(Projects!$G$13="Yes",Projects!$K$13="No",90=Projects!$C$13,Assumptions!$B$54&gt;0),Assumptions!$B$54*Assumptions!$B$48,0)+IF(AND(Projects!$G$14="Yes",Projects!$K$14="No",90=Projects!$C$14,Assumptions!$B$55&gt;0),Assumptions!$B$55*Assumptions!$B$48,0)),Actuals!CQ106)</f>
        <v>0</v>
      </c>
      <c r="CR107" s="3">
        <f>IF(ISBLANK(Actuals!CR106),-(IF(AND(Projects!$G$7="Yes",Projects!$K$7="No",91=Projects!$C$7,Assumptions!$B$53&gt;0),Assumptions!$B$53*Assumptions!$B$48,0)+IF(AND(Projects!$G$11="Yes",Projects!$K$11="No",91=Projects!$C$11,Assumptions!$B$51&gt;0),Assumptions!$B$51*Assumptions!$B$48,0)+IF(AND(Projects!$G$12="Yes",Projects!$K$12="No",91=Projects!$C$12,Assumptions!$B$52&gt;0),Assumptions!$B$52*Assumptions!$B$48,0)+IF(AND(Projects!$G$13="Yes",Projects!$K$13="No",91=Projects!$C$13,Assumptions!$B$54&gt;0),Assumptions!$B$54*Assumptions!$B$48,0)+IF(AND(Projects!$G$14="Yes",Projects!$K$14="No",91=Projects!$C$14,Assumptions!$B$55&gt;0),Assumptions!$B$55*Assumptions!$B$48,0)),Actuals!CR106)</f>
        <v>0</v>
      </c>
      <c r="CS107" s="3">
        <f>IF(ISBLANK(Actuals!CS106),-(IF(AND(Projects!$G$7="Yes",Projects!$K$7="No",92=Projects!$C$7,Assumptions!$B$53&gt;0),Assumptions!$B$53*Assumptions!$B$48,0)+IF(AND(Projects!$G$11="Yes",Projects!$K$11="No",92=Projects!$C$11,Assumptions!$B$51&gt;0),Assumptions!$B$51*Assumptions!$B$48,0)+IF(AND(Projects!$G$12="Yes",Projects!$K$12="No",92=Projects!$C$12,Assumptions!$B$52&gt;0),Assumptions!$B$52*Assumptions!$B$48,0)+IF(AND(Projects!$G$13="Yes",Projects!$K$13="No",92=Projects!$C$13,Assumptions!$B$54&gt;0),Assumptions!$B$54*Assumptions!$B$48,0)+IF(AND(Projects!$G$14="Yes",Projects!$K$14="No",92=Projects!$C$14,Assumptions!$B$55&gt;0),Assumptions!$B$55*Assumptions!$B$48,0)),Actuals!CS106)</f>
        <v>0</v>
      </c>
      <c r="CT107" s="3">
        <f>IF(ISBLANK(Actuals!CT106),-(IF(AND(Projects!$G$7="Yes",Projects!$K$7="No",93=Projects!$C$7,Assumptions!$B$53&gt;0),Assumptions!$B$53*Assumptions!$B$48,0)+IF(AND(Projects!$G$11="Yes",Projects!$K$11="No",93=Projects!$C$11,Assumptions!$B$51&gt;0),Assumptions!$B$51*Assumptions!$B$48,0)+IF(AND(Projects!$G$12="Yes",Projects!$K$12="No",93=Projects!$C$12,Assumptions!$B$52&gt;0),Assumptions!$B$52*Assumptions!$B$48,0)+IF(AND(Projects!$G$13="Yes",Projects!$K$13="No",93=Projects!$C$13,Assumptions!$B$54&gt;0),Assumptions!$B$54*Assumptions!$B$48,0)+IF(AND(Projects!$G$14="Yes",Projects!$K$14="No",93=Projects!$C$14,Assumptions!$B$55&gt;0),Assumptions!$B$55*Assumptions!$B$48,0)),Actuals!CT106)</f>
        <v>0</v>
      </c>
      <c r="CU107" s="3">
        <f>IF(ISBLANK(Actuals!CU106),-(IF(AND(Projects!$G$7="Yes",Projects!$K$7="No",94=Projects!$C$7,Assumptions!$B$53&gt;0),Assumptions!$B$53*Assumptions!$B$48,0)+IF(AND(Projects!$G$11="Yes",Projects!$K$11="No",94=Projects!$C$11,Assumptions!$B$51&gt;0),Assumptions!$B$51*Assumptions!$B$48,0)+IF(AND(Projects!$G$12="Yes",Projects!$K$12="No",94=Projects!$C$12,Assumptions!$B$52&gt;0),Assumptions!$B$52*Assumptions!$B$48,0)+IF(AND(Projects!$G$13="Yes",Projects!$K$13="No",94=Projects!$C$13,Assumptions!$B$54&gt;0),Assumptions!$B$54*Assumptions!$B$48,0)+IF(AND(Projects!$G$14="Yes",Projects!$K$14="No",94=Projects!$C$14,Assumptions!$B$55&gt;0),Assumptions!$B$55*Assumptions!$B$48,0)),Actuals!CU106)</f>
        <v>0</v>
      </c>
      <c r="CV107" s="3">
        <f>IF(ISBLANK(Actuals!CV106),-(IF(AND(Projects!$G$7="Yes",Projects!$K$7="No",95=Projects!$C$7,Assumptions!$B$53&gt;0),Assumptions!$B$53*Assumptions!$B$48,0)+IF(AND(Projects!$G$11="Yes",Projects!$K$11="No",95=Projects!$C$11,Assumptions!$B$51&gt;0),Assumptions!$B$51*Assumptions!$B$48,0)+IF(AND(Projects!$G$12="Yes",Projects!$K$12="No",95=Projects!$C$12,Assumptions!$B$52&gt;0),Assumptions!$B$52*Assumptions!$B$48,0)+IF(AND(Projects!$G$13="Yes",Projects!$K$13="No",95=Projects!$C$13,Assumptions!$B$54&gt;0),Assumptions!$B$54*Assumptions!$B$48,0)+IF(AND(Projects!$G$14="Yes",Projects!$K$14="No",95=Projects!$C$14,Assumptions!$B$55&gt;0),Assumptions!$B$55*Assumptions!$B$48,0)),Actuals!CV106)</f>
        <v>0</v>
      </c>
      <c r="CW107" s="3">
        <f>IF(ISBLANK(Actuals!CW106),-(IF(AND(Projects!$G$7="Yes",Projects!$K$7="No",96=Projects!$C$7,Assumptions!$B$53&gt;0),Assumptions!$B$53*Assumptions!$B$48,0)+IF(AND(Projects!$G$11="Yes",Projects!$K$11="No",96=Projects!$C$11,Assumptions!$B$51&gt;0),Assumptions!$B$51*Assumptions!$B$48,0)+IF(AND(Projects!$G$12="Yes",Projects!$K$12="No",96=Projects!$C$12,Assumptions!$B$52&gt;0),Assumptions!$B$52*Assumptions!$B$48,0)+IF(AND(Projects!$G$13="Yes",Projects!$K$13="No",96=Projects!$C$13,Assumptions!$B$54&gt;0),Assumptions!$B$54*Assumptions!$B$48,0)+IF(AND(Projects!$G$14="Yes",Projects!$K$14="No",96=Projects!$C$14,Assumptions!$B$55&gt;0),Assumptions!$B$55*Assumptions!$B$48,0)),Actuals!CW106)</f>
        <v>0</v>
      </c>
      <c r="CX107" s="3">
        <f>IF(ISBLANK(Actuals!CX106),-(IF(AND(Projects!$G$7="Yes",Projects!$K$7="No",97=Projects!$C$7,Assumptions!$B$53&gt;0),Assumptions!$B$53*Assumptions!$B$48,0)+IF(AND(Projects!$G$11="Yes",Projects!$K$11="No",97=Projects!$C$11,Assumptions!$B$51&gt;0),Assumptions!$B$51*Assumptions!$B$48,0)+IF(AND(Projects!$G$12="Yes",Projects!$K$12="No",97=Projects!$C$12,Assumptions!$B$52&gt;0),Assumptions!$B$52*Assumptions!$B$48,0)+IF(AND(Projects!$G$13="Yes",Projects!$K$13="No",97=Projects!$C$13,Assumptions!$B$54&gt;0),Assumptions!$B$54*Assumptions!$B$48,0)+IF(AND(Projects!$G$14="Yes",Projects!$K$14="No",97=Projects!$C$14,Assumptions!$B$55&gt;0),Assumptions!$B$55*Assumptions!$B$48,0)),Actuals!CX106)</f>
        <v>0</v>
      </c>
      <c r="CY107" s="3">
        <f>IF(ISBLANK(Actuals!CY106),-(IF(AND(Projects!$G$7="Yes",Projects!$K$7="No",98=Projects!$C$7,Assumptions!$B$53&gt;0),Assumptions!$B$53*Assumptions!$B$48,0)+IF(AND(Projects!$G$11="Yes",Projects!$K$11="No",98=Projects!$C$11,Assumptions!$B$51&gt;0),Assumptions!$B$51*Assumptions!$B$48,0)+IF(AND(Projects!$G$12="Yes",Projects!$K$12="No",98=Projects!$C$12,Assumptions!$B$52&gt;0),Assumptions!$B$52*Assumptions!$B$48,0)+IF(AND(Projects!$G$13="Yes",Projects!$K$13="No",98=Projects!$C$13,Assumptions!$B$54&gt;0),Assumptions!$B$54*Assumptions!$B$48,0)+IF(AND(Projects!$G$14="Yes",Projects!$K$14="No",98=Projects!$C$14,Assumptions!$B$55&gt;0),Assumptions!$B$55*Assumptions!$B$48,0)),Actuals!CY106)</f>
        <v>0</v>
      </c>
      <c r="CZ107" s="3">
        <f>IF(ISBLANK(Actuals!CZ106),-(IF(AND(Projects!$G$7="Yes",Projects!$K$7="No",99=Projects!$C$7,Assumptions!$B$53&gt;0),Assumptions!$B$53*Assumptions!$B$48,0)+IF(AND(Projects!$G$11="Yes",Projects!$K$11="No",99=Projects!$C$11,Assumptions!$B$51&gt;0),Assumptions!$B$51*Assumptions!$B$48,0)+IF(AND(Projects!$G$12="Yes",Projects!$K$12="No",99=Projects!$C$12,Assumptions!$B$52&gt;0),Assumptions!$B$52*Assumptions!$B$48,0)+IF(AND(Projects!$G$13="Yes",Projects!$K$13="No",99=Projects!$C$13,Assumptions!$B$54&gt;0),Assumptions!$B$54*Assumptions!$B$48,0)+IF(AND(Projects!$G$14="Yes",Projects!$K$14="No",99=Projects!$C$14,Assumptions!$B$55&gt;0),Assumptions!$B$55*Assumptions!$B$48,0)),Actuals!CZ106)</f>
        <v>0</v>
      </c>
      <c r="DA107" s="3">
        <f>IF(ISBLANK(Actuals!DA106),-(IF(AND(Projects!$G$7="Yes",Projects!$K$7="No",100=Projects!$C$7,Assumptions!$B$53&gt;0),Assumptions!$B$53*Assumptions!$B$48,0)+IF(AND(Projects!$G$11="Yes",Projects!$K$11="No",100=Projects!$C$11,Assumptions!$B$51&gt;0),Assumptions!$B$51*Assumptions!$B$48,0)+IF(AND(Projects!$G$12="Yes",Projects!$K$12="No",100=Projects!$C$12,Assumptions!$B$52&gt;0),Assumptions!$B$52*Assumptions!$B$48,0)+IF(AND(Projects!$G$13="Yes",Projects!$K$13="No",100=Projects!$C$13,Assumptions!$B$54&gt;0),Assumptions!$B$54*Assumptions!$B$48,0)+IF(AND(Projects!$G$14="Yes",Projects!$K$14="No",100=Projects!$C$14,Assumptions!$B$55&gt;0),Assumptions!$B$55*Assumptions!$B$48,0)),Actuals!DA106)</f>
        <v>0</v>
      </c>
      <c r="DB107" s="3">
        <f>IF(ISBLANK(Actuals!DB106),-(IF(AND(Projects!$G$7="Yes",Projects!$K$7="No",101=Projects!$C$7,Assumptions!$B$53&gt;0),Assumptions!$B$53*Assumptions!$B$48,0)+IF(AND(Projects!$G$11="Yes",Projects!$K$11="No",101=Projects!$C$11,Assumptions!$B$51&gt;0),Assumptions!$B$51*Assumptions!$B$48,0)+IF(AND(Projects!$G$12="Yes",Projects!$K$12="No",101=Projects!$C$12,Assumptions!$B$52&gt;0),Assumptions!$B$52*Assumptions!$B$48,0)+IF(AND(Projects!$G$13="Yes",Projects!$K$13="No",101=Projects!$C$13,Assumptions!$B$54&gt;0),Assumptions!$B$54*Assumptions!$B$48,0)+IF(AND(Projects!$G$14="Yes",Projects!$K$14="No",101=Projects!$C$14,Assumptions!$B$55&gt;0),Assumptions!$B$55*Assumptions!$B$48,0)),Actuals!DB106)</f>
        <v>0</v>
      </c>
      <c r="DC107" s="3">
        <f>IF(ISBLANK(Actuals!DC106),-(IF(AND(Projects!$G$7="Yes",Projects!$K$7="No",102=Projects!$C$7,Assumptions!$B$53&gt;0),Assumptions!$B$53*Assumptions!$B$48,0)+IF(AND(Projects!$G$11="Yes",Projects!$K$11="No",102=Projects!$C$11,Assumptions!$B$51&gt;0),Assumptions!$B$51*Assumptions!$B$48,0)+IF(AND(Projects!$G$12="Yes",Projects!$K$12="No",102=Projects!$C$12,Assumptions!$B$52&gt;0),Assumptions!$B$52*Assumptions!$B$48,0)+IF(AND(Projects!$G$13="Yes",Projects!$K$13="No",102=Projects!$C$13,Assumptions!$B$54&gt;0),Assumptions!$B$54*Assumptions!$B$48,0)+IF(AND(Projects!$G$14="Yes",Projects!$K$14="No",102=Projects!$C$14,Assumptions!$B$55&gt;0),Assumptions!$B$55*Assumptions!$B$48,0)),Actuals!DC106)</f>
        <v>0</v>
      </c>
      <c r="DD107" s="3">
        <f>IF(ISBLANK(Actuals!DD106),-(IF(AND(Projects!$G$7="Yes",Projects!$K$7="No",103=Projects!$C$7,Assumptions!$B$53&gt;0),Assumptions!$B$53*Assumptions!$B$48,0)+IF(AND(Projects!$G$11="Yes",Projects!$K$11="No",103=Projects!$C$11,Assumptions!$B$51&gt;0),Assumptions!$B$51*Assumptions!$B$48,0)+IF(AND(Projects!$G$12="Yes",Projects!$K$12="No",103=Projects!$C$12,Assumptions!$B$52&gt;0),Assumptions!$B$52*Assumptions!$B$48,0)+IF(AND(Projects!$G$13="Yes",Projects!$K$13="No",103=Projects!$C$13,Assumptions!$B$54&gt;0),Assumptions!$B$54*Assumptions!$B$48,0)+IF(AND(Projects!$G$14="Yes",Projects!$K$14="No",103=Projects!$C$14,Assumptions!$B$55&gt;0),Assumptions!$B$55*Assumptions!$B$48,0)),Actuals!DD106)</f>
        <v>0</v>
      </c>
      <c r="DE107" s="3">
        <f>IF(ISBLANK(Actuals!DE106),-(IF(AND(Projects!$G$7="Yes",Projects!$K$7="No",104=Projects!$C$7,Assumptions!$B$53&gt;0),Assumptions!$B$53*Assumptions!$B$48,0)+IF(AND(Projects!$G$11="Yes",Projects!$K$11="No",104=Projects!$C$11,Assumptions!$B$51&gt;0),Assumptions!$B$51*Assumptions!$B$48,0)+IF(AND(Projects!$G$12="Yes",Projects!$K$12="No",104=Projects!$C$12,Assumptions!$B$52&gt;0),Assumptions!$B$52*Assumptions!$B$48,0)+IF(AND(Projects!$G$13="Yes",Projects!$K$13="No",104=Projects!$C$13,Assumptions!$B$54&gt;0),Assumptions!$B$54*Assumptions!$B$48,0)+IF(AND(Projects!$G$14="Yes",Projects!$K$14="No",104=Projects!$C$14,Assumptions!$B$55&gt;0),Assumptions!$B$55*Assumptions!$B$48,0)),Actuals!DE106)</f>
        <v>0</v>
      </c>
      <c r="DF107" s="3">
        <f>IF(ISBLANK(Actuals!DF106),-(IF(AND(Projects!$G$7="Yes",Projects!$K$7="No",105=Projects!$C$7,Assumptions!$B$53&gt;0),Assumptions!$B$53*Assumptions!$B$48,0)+IF(AND(Projects!$G$11="Yes",Projects!$K$11="No",105=Projects!$C$11,Assumptions!$B$51&gt;0),Assumptions!$B$51*Assumptions!$B$48,0)+IF(AND(Projects!$G$12="Yes",Projects!$K$12="No",105=Projects!$C$12,Assumptions!$B$52&gt;0),Assumptions!$B$52*Assumptions!$B$48,0)+IF(AND(Projects!$G$13="Yes",Projects!$K$13="No",105=Projects!$C$13,Assumptions!$B$54&gt;0),Assumptions!$B$54*Assumptions!$B$48,0)+IF(AND(Projects!$G$14="Yes",Projects!$K$14="No",105=Projects!$C$14,Assumptions!$B$55&gt;0),Assumptions!$B$55*Assumptions!$B$48,0)),Actuals!DF106)</f>
        <v>0</v>
      </c>
    </row>
    <row r="108" spans="1:110" ht="15" customHeight="1" x14ac:dyDescent="0.25">
      <c r="A108" s="13" t="s">
        <v>126</v>
      </c>
      <c r="B108" s="302"/>
      <c r="C108" s="3">
        <f>IF(ISBLANK(Actuals!C107),0,Actuals!C107)</f>
        <v>0</v>
      </c>
      <c r="D108" s="3">
        <f>IF(ISBLANK(Actuals!D107),0,Actuals!D107)</f>
        <v>0</v>
      </c>
      <c r="E108" s="3">
        <f>IF(ISBLANK(Actuals!E107),0,Actuals!E107)</f>
        <v>0</v>
      </c>
      <c r="F108" s="3">
        <f>IF(ISBLANK(Actuals!F107),-Helpers!C20,Actuals!F107)</f>
        <v>0</v>
      </c>
      <c r="G108" s="3">
        <f>IF(ISBLANK(Actuals!G107),-Helpers!D20,Actuals!G107)</f>
        <v>0</v>
      </c>
      <c r="H108" s="3">
        <f>IF(ISBLANK(Actuals!H107),-Helpers!E20,Actuals!H107)</f>
        <v>0</v>
      </c>
      <c r="I108" s="3">
        <f>IF(ISBLANK(Actuals!I107),-Helpers!F20,Actuals!I107)</f>
        <v>0</v>
      </c>
      <c r="J108" s="3">
        <f>IF(ISBLANK(Actuals!J107),-Helpers!G20,Actuals!J107)</f>
        <v>0</v>
      </c>
      <c r="K108" s="3">
        <f>IF(ISBLANK(Actuals!K107),-Helpers!H20,Actuals!K107)</f>
        <v>0</v>
      </c>
      <c r="L108" s="3">
        <f>IF(ISBLANK(Actuals!L107),-Helpers!I20,Actuals!L107)</f>
        <v>0</v>
      </c>
      <c r="M108" s="3">
        <f>IF(ISBLANK(Actuals!M107),-Helpers!J20,Actuals!M107)</f>
        <v>0</v>
      </c>
      <c r="N108" s="3">
        <f>IF(ISBLANK(Actuals!N107),-Helpers!K20,Actuals!N107)</f>
        <v>0</v>
      </c>
      <c r="O108" s="3">
        <f>IF(ISBLANK(Actuals!O107),-Helpers!L20,Actuals!O107)</f>
        <v>0</v>
      </c>
      <c r="P108" s="3">
        <f>IF(ISBLANK(Actuals!P107),-Helpers!M20,Actuals!P107)</f>
        <v>0</v>
      </c>
      <c r="Q108" s="3">
        <f>IF(ISBLANK(Actuals!Q107),-Helpers!N20,Actuals!Q107)</f>
        <v>0</v>
      </c>
      <c r="R108" s="3">
        <f>IF(ISBLANK(Actuals!R107),-Helpers!O20,Actuals!R107)</f>
        <v>0</v>
      </c>
      <c r="S108" s="3">
        <f>IF(ISBLANK(Actuals!S107),-Helpers!P20,Actuals!S107)</f>
        <v>0</v>
      </c>
      <c r="T108" s="3">
        <f>IF(ISBLANK(Actuals!T107),-Helpers!Q20,Actuals!T107)</f>
        <v>0</v>
      </c>
      <c r="U108" s="3">
        <f>IF(ISBLANK(Actuals!U107),-Helpers!R20,Actuals!U107)</f>
        <v>0</v>
      </c>
      <c r="V108" s="3">
        <f>IF(ISBLANK(Actuals!V107),-Helpers!S20,Actuals!V107)</f>
        <v>0</v>
      </c>
      <c r="W108" s="3">
        <f>IF(ISBLANK(Actuals!W107),-Helpers!T20,Actuals!W107)</f>
        <v>0</v>
      </c>
      <c r="X108" s="3">
        <f>IF(ISBLANK(Actuals!X107),-Helpers!U20,Actuals!X107)</f>
        <v>0</v>
      </c>
      <c r="Y108" s="3">
        <f>IF(ISBLANK(Actuals!Y107),-Helpers!V20,Actuals!Y107)</f>
        <v>0</v>
      </c>
      <c r="Z108" s="3">
        <f>IF(ISBLANK(Actuals!Z107),-Helpers!W20,Actuals!Z107)</f>
        <v>0</v>
      </c>
      <c r="AA108" s="3">
        <f>IF(ISBLANK(Actuals!AA107),-Helpers!X20,Actuals!AA107)</f>
        <v>0</v>
      </c>
      <c r="AB108" s="3">
        <f>IF(ISBLANK(Actuals!AB107),-Helpers!Y20,Actuals!AB107)</f>
        <v>0</v>
      </c>
      <c r="AC108" s="3">
        <f>IF(ISBLANK(Actuals!AC107),-Helpers!Z20,Actuals!AC107)</f>
        <v>0</v>
      </c>
      <c r="AD108" s="3">
        <f>IF(ISBLANK(Actuals!AD107),-Helpers!AA20,Actuals!AD107)</f>
        <v>0</v>
      </c>
      <c r="AE108" s="3">
        <f>IF(ISBLANK(Actuals!AE107),-Helpers!AB20,Actuals!AE107)</f>
        <v>0</v>
      </c>
      <c r="AF108" s="3">
        <f>IF(ISBLANK(Actuals!AF107),-Helpers!AC20,Actuals!AF107)</f>
        <v>0</v>
      </c>
      <c r="AG108" s="3">
        <f>IF(ISBLANK(Actuals!AG107),-Helpers!AD20,Actuals!AG107)</f>
        <v>0</v>
      </c>
      <c r="AH108" s="3">
        <f>IF(ISBLANK(Actuals!AH107),-Helpers!AE20,Actuals!AH107)</f>
        <v>0</v>
      </c>
      <c r="AI108" s="3">
        <f>IF(ISBLANK(Actuals!AI107),-Helpers!AF20,Actuals!AI107)</f>
        <v>0</v>
      </c>
      <c r="AJ108" s="3">
        <f>IF(ISBLANK(Actuals!AJ107),-Helpers!AG20,Actuals!AJ107)</f>
        <v>0</v>
      </c>
      <c r="AK108" s="3">
        <f>IF(ISBLANK(Actuals!AK107),-Helpers!AH20,Actuals!AK107)</f>
        <v>0</v>
      </c>
      <c r="AL108" s="3">
        <f>IF(ISBLANK(Actuals!AL107),-Helpers!AI20,Actuals!AL107)</f>
        <v>0</v>
      </c>
      <c r="AM108" s="3">
        <f>IF(ISBLANK(Actuals!AM107),-Helpers!AJ20,Actuals!AM107)</f>
        <v>0</v>
      </c>
      <c r="AN108" s="3">
        <f>IF(ISBLANK(Actuals!AN107),-Helpers!AK20,Actuals!AN107)</f>
        <v>0</v>
      </c>
      <c r="AO108" s="3">
        <f>IF(ISBLANK(Actuals!AO107),-Helpers!AL20,Actuals!AO107)</f>
        <v>0</v>
      </c>
      <c r="AP108" s="3">
        <f>IF(ISBLANK(Actuals!AP107),-Helpers!AM20,Actuals!AP107)</f>
        <v>0</v>
      </c>
      <c r="AQ108" s="3">
        <f>IF(ISBLANK(Actuals!AQ107),-Helpers!AN20,Actuals!AQ107)</f>
        <v>0</v>
      </c>
      <c r="AR108" s="3">
        <f>IF(ISBLANK(Actuals!AR107),-Helpers!AO20,Actuals!AR107)</f>
        <v>0</v>
      </c>
      <c r="AS108" s="3">
        <f>IF(ISBLANK(Actuals!AS107),-Helpers!AP20,Actuals!AS107)</f>
        <v>0</v>
      </c>
      <c r="AT108" s="3">
        <f>IF(ISBLANK(Actuals!AT107),-Helpers!AQ20,Actuals!AT107)</f>
        <v>0</v>
      </c>
      <c r="AU108" s="3">
        <f>IF(ISBLANK(Actuals!AU107),-Helpers!AR20,Actuals!AU107)</f>
        <v>-81683</v>
      </c>
      <c r="AV108" s="3">
        <f>IF(ISBLANK(Actuals!AV107),-Helpers!AS20,Actuals!AV107)</f>
        <v>0</v>
      </c>
      <c r="AW108" s="3">
        <f>IF(ISBLANK(Actuals!AW107),-Helpers!AT20,Actuals!AW107)</f>
        <v>0</v>
      </c>
      <c r="AX108" s="3">
        <f>IF(ISBLANK(Actuals!AX107),-Helpers!AU20,Actuals!AX107)</f>
        <v>-81682</v>
      </c>
      <c r="AY108" s="3">
        <f>IF(ISBLANK(Actuals!AY107),-Helpers!AV20,Actuals!AY107)</f>
        <v>0</v>
      </c>
      <c r="AZ108" s="3">
        <f>IF(ISBLANK(Actuals!AZ107),-Helpers!AW20,Actuals!AZ107)</f>
        <v>0</v>
      </c>
      <c r="BA108" s="3">
        <f>IF(ISBLANK(Actuals!BA107),-Helpers!AX20,Actuals!BA107)</f>
        <v>-81682</v>
      </c>
      <c r="BB108" s="3">
        <f>IF(ISBLANK(Actuals!BB107),-Helpers!AY20,Actuals!BB107)</f>
        <v>0</v>
      </c>
      <c r="BC108" s="3">
        <f>IF(ISBLANK(Actuals!BC107),-Helpers!AZ20,Actuals!BC107)</f>
        <v>0</v>
      </c>
      <c r="BD108" s="3">
        <f>IF(ISBLANK(Actuals!BD107),-Helpers!BA20,Actuals!BD107)</f>
        <v>-81682</v>
      </c>
      <c r="BE108" s="3">
        <f>IF(ISBLANK(Actuals!BE107),-Helpers!BB20,Actuals!BE107)</f>
        <v>0</v>
      </c>
      <c r="BF108" s="3">
        <f>IF(ISBLANK(Actuals!BF107),-Helpers!BC20,Actuals!BF107)</f>
        <v>0</v>
      </c>
      <c r="BG108" s="3">
        <f>IF(ISBLANK(Actuals!BG107),-Helpers!BD20,Actuals!BG107)</f>
        <v>-59178</v>
      </c>
      <c r="BH108" s="3">
        <f>IF(ISBLANK(Actuals!BH107),-Helpers!BE20,Actuals!BH107)</f>
        <v>0</v>
      </c>
      <c r="BI108" s="3">
        <f>IF(ISBLANK(Actuals!BI107),-Helpers!BF20,Actuals!BI107)</f>
        <v>0</v>
      </c>
      <c r="BJ108" s="3">
        <f>IF(ISBLANK(Actuals!BJ107),-Helpers!BG20,Actuals!BJ107)</f>
        <v>-59176</v>
      </c>
      <c r="BK108" s="3">
        <f>IF(ISBLANK(Actuals!BK107),-Helpers!BH20,Actuals!BK107)</f>
        <v>0</v>
      </c>
      <c r="BL108" s="3">
        <f>IF(ISBLANK(Actuals!BL107),-Helpers!BI20,Actuals!BL107)</f>
        <v>0</v>
      </c>
      <c r="BM108" s="3">
        <f>IF(ISBLANK(Actuals!BM107),-Helpers!BJ20,Actuals!BM107)</f>
        <v>-59176</v>
      </c>
      <c r="BN108" s="3">
        <f>IF(ISBLANK(Actuals!BN107),-Helpers!BK20,Actuals!BN107)</f>
        <v>0</v>
      </c>
      <c r="BO108" s="3">
        <f>IF(ISBLANK(Actuals!BO107),-Helpers!BL20,Actuals!BO107)</f>
        <v>0</v>
      </c>
      <c r="BP108" s="3">
        <f>IF(ISBLANK(Actuals!BP107),-Helpers!BM20,Actuals!BP107)</f>
        <v>-59176</v>
      </c>
      <c r="BQ108" s="3">
        <f>IF(ISBLANK(Actuals!BQ107),-Helpers!BN20,Actuals!BQ107)</f>
        <v>0</v>
      </c>
      <c r="BR108" s="3">
        <f>IF(ISBLANK(Actuals!BR107),-Helpers!BO20,Actuals!BR107)</f>
        <v>0</v>
      </c>
      <c r="BS108" s="3">
        <f>IF(ISBLANK(Actuals!BS107),-Helpers!BP20,Actuals!BS107)</f>
        <v>-16249.479999999981</v>
      </c>
      <c r="BT108" s="3">
        <f>IF(ISBLANK(Actuals!BT107),-Helpers!BQ20,Actuals!BT107)</f>
        <v>0</v>
      </c>
      <c r="BU108" s="3">
        <f>IF(ISBLANK(Actuals!BU107),-Helpers!BR20,Actuals!BU107)</f>
        <v>0</v>
      </c>
      <c r="BV108" s="3">
        <f>IF(ISBLANK(Actuals!BV107),-Helpers!BS20,Actuals!BV107)</f>
        <v>0</v>
      </c>
      <c r="BW108" s="3">
        <f>IF(ISBLANK(Actuals!BW107),-Helpers!BT20,Actuals!BW107)</f>
        <v>0</v>
      </c>
      <c r="BX108" s="3">
        <f>IF(ISBLANK(Actuals!BX107),-Helpers!BU20,Actuals!BX107)</f>
        <v>0</v>
      </c>
      <c r="BY108" s="3">
        <f>IF(ISBLANK(Actuals!BY107),-Helpers!BV20,Actuals!BY107)</f>
        <v>0</v>
      </c>
      <c r="BZ108" s="3">
        <f>IF(ISBLANK(Actuals!BZ107),-Helpers!BW20,Actuals!BZ107)</f>
        <v>0</v>
      </c>
      <c r="CA108" s="3">
        <f>IF(ISBLANK(Actuals!CA107),-Helpers!BX20,Actuals!CA107)</f>
        <v>0</v>
      </c>
      <c r="CB108" s="3">
        <f>IF(ISBLANK(Actuals!CB107),-Helpers!BY20,Actuals!CB107)</f>
        <v>0</v>
      </c>
      <c r="CC108" s="3">
        <f>IF(ISBLANK(Actuals!CC107),-Helpers!BZ20,Actuals!CC107)</f>
        <v>0</v>
      </c>
      <c r="CD108" s="3">
        <f>IF(ISBLANK(Actuals!CD107),-Helpers!CA20,Actuals!CD107)</f>
        <v>0</v>
      </c>
      <c r="CE108" s="3">
        <f>IF(ISBLANK(Actuals!CE107),-Helpers!CB20,Actuals!CE107)</f>
        <v>0</v>
      </c>
      <c r="CF108" s="3">
        <f>IF(ISBLANK(Actuals!CF107),-Helpers!CC20,Actuals!CF107)</f>
        <v>0</v>
      </c>
      <c r="CG108" s="3">
        <f>IF(ISBLANK(Actuals!CG107),-Helpers!CD20,Actuals!CG107)</f>
        <v>0</v>
      </c>
      <c r="CH108" s="3">
        <f>IF(ISBLANK(Actuals!CH107),-Helpers!CE20,Actuals!CH107)</f>
        <v>0</v>
      </c>
      <c r="CI108" s="3">
        <f>IF(ISBLANK(Actuals!CI107),-Helpers!CF20,Actuals!CI107)</f>
        <v>0</v>
      </c>
      <c r="CJ108" s="3">
        <f>IF(ISBLANK(Actuals!CJ107),-Helpers!CG20,Actuals!CJ107)</f>
        <v>0</v>
      </c>
      <c r="CK108" s="3">
        <f>IF(ISBLANK(Actuals!CK107),-Helpers!CH20,Actuals!CK107)</f>
        <v>0</v>
      </c>
      <c r="CL108" s="3">
        <f>IF(ISBLANK(Actuals!CL107),-Helpers!CI20,Actuals!CL107)</f>
        <v>0</v>
      </c>
      <c r="CM108" s="3">
        <f>IF(ISBLANK(Actuals!CM107),-Helpers!CJ20,Actuals!CM107)</f>
        <v>0</v>
      </c>
      <c r="CN108" s="3">
        <f>IF(ISBLANK(Actuals!CN107),-Helpers!CK20,Actuals!CN107)</f>
        <v>0</v>
      </c>
      <c r="CO108" s="3">
        <f>IF(ISBLANK(Actuals!CO107),-Helpers!CL20,Actuals!CO107)</f>
        <v>0</v>
      </c>
      <c r="CP108" s="3">
        <f>IF(ISBLANK(Actuals!CP107),-Helpers!CM20,Actuals!CP107)</f>
        <v>0</v>
      </c>
      <c r="CQ108" s="3">
        <f>IF(ISBLANK(Actuals!CQ107),-Helpers!CN20,Actuals!CQ107)</f>
        <v>0</v>
      </c>
      <c r="CR108" s="3">
        <f>IF(ISBLANK(Actuals!CR107),-Helpers!CO20,Actuals!CR107)</f>
        <v>0</v>
      </c>
      <c r="CS108" s="3">
        <f>IF(ISBLANK(Actuals!CS107),-Helpers!CP20,Actuals!CS107)</f>
        <v>0</v>
      </c>
      <c r="CT108" s="3">
        <f>IF(ISBLANK(Actuals!CT107),-Helpers!CQ20,Actuals!CT107)</f>
        <v>0</v>
      </c>
      <c r="CU108" s="3">
        <f>IF(ISBLANK(Actuals!CU107),-Helpers!CR20,Actuals!CU107)</f>
        <v>0</v>
      </c>
      <c r="CV108" s="3">
        <f>IF(ISBLANK(Actuals!CV107),-Helpers!CS20,Actuals!CV107)</f>
        <v>0</v>
      </c>
      <c r="CW108" s="3">
        <f>IF(ISBLANK(Actuals!CW107),-Helpers!CT20,Actuals!CW107)</f>
        <v>0</v>
      </c>
      <c r="CX108" s="3">
        <f>IF(ISBLANK(Actuals!CX107),-Helpers!CU20,Actuals!CX107)</f>
        <v>0</v>
      </c>
      <c r="CY108" s="3">
        <f>IF(ISBLANK(Actuals!CY107),-Helpers!CV20,Actuals!CY107)</f>
        <v>0</v>
      </c>
      <c r="CZ108" s="3">
        <f>IF(ISBLANK(Actuals!CZ107),-Helpers!CW20,Actuals!CZ107)</f>
        <v>0</v>
      </c>
      <c r="DA108" s="3">
        <f>IF(ISBLANK(Actuals!DA107),-Helpers!CX20,Actuals!DA107)</f>
        <v>0</v>
      </c>
      <c r="DB108" s="3">
        <f>IF(ISBLANK(Actuals!DB107),-Helpers!CY20,Actuals!DB107)</f>
        <v>0</v>
      </c>
      <c r="DC108" s="3">
        <f>IF(ISBLANK(Actuals!DC107),-Helpers!CZ20,Actuals!DC107)</f>
        <v>0</v>
      </c>
      <c r="DD108" s="3">
        <f>IF(ISBLANK(Actuals!DD107),-Helpers!DA20,Actuals!DD107)</f>
        <v>0</v>
      </c>
      <c r="DE108" s="3">
        <f>IF(ISBLANK(Actuals!DE107),-Helpers!DB20,Actuals!DE107)</f>
        <v>0</v>
      </c>
      <c r="DF108" s="3">
        <f>IF(ISBLANK(Actuals!DF107),-Helpers!DC20,Actuals!DF107)</f>
        <v>0</v>
      </c>
    </row>
    <row r="109" spans="1:110" ht="15" customHeight="1" x14ac:dyDescent="0.25">
      <c r="A109" s="13" t="s">
        <v>127</v>
      </c>
      <c r="B109" s="302"/>
      <c r="C109" s="3">
        <f>IF(ISBLANK(Actuals!C108),0,Actuals!C108)</f>
        <v>0</v>
      </c>
      <c r="D109" s="3">
        <f>IF(ISBLANK(Actuals!D108),0,Actuals!D108)</f>
        <v>0</v>
      </c>
      <c r="E109" s="3">
        <f>IF(ISBLANK(Actuals!E108),0,Actuals!E108)</f>
        <v>0</v>
      </c>
      <c r="F109" s="3">
        <f>IF(ISBLANK(Actuals!F108),-Helpers!C23+F158,Actuals!F108)</f>
        <v>0</v>
      </c>
      <c r="G109" s="3">
        <f>IF(ISBLANK(Actuals!G108),-Helpers!D23+G158,Actuals!G108)</f>
        <v>0</v>
      </c>
      <c r="H109" s="3">
        <f>IF(ISBLANK(Actuals!H108),-Helpers!E23+H158,Actuals!H108)</f>
        <v>0</v>
      </c>
      <c r="I109" s="3">
        <f>IF(ISBLANK(Actuals!I108),-Helpers!F23+I158,Actuals!I108)</f>
        <v>0</v>
      </c>
      <c r="J109" s="3">
        <f>IF(ISBLANK(Actuals!J108),-Helpers!G23+J158,Actuals!J108)</f>
        <v>0</v>
      </c>
      <c r="K109" s="3">
        <f>IF(ISBLANK(Actuals!K108),-Helpers!H23+K158,Actuals!K108)</f>
        <v>0</v>
      </c>
      <c r="L109" s="3">
        <f>IF(ISBLANK(Actuals!L108),-Helpers!I23+L158,Actuals!L108)</f>
        <v>0</v>
      </c>
      <c r="M109" s="3">
        <f>IF(ISBLANK(Actuals!M108),-Helpers!J23+M158,Actuals!M108)</f>
        <v>0</v>
      </c>
      <c r="N109" s="3">
        <f>IF(ISBLANK(Actuals!N108),-Helpers!K23+N158,Actuals!N108)</f>
        <v>0</v>
      </c>
      <c r="O109" s="3">
        <f>IF(ISBLANK(Actuals!O108),-Helpers!L23+O158,Actuals!O108)</f>
        <v>0</v>
      </c>
      <c r="P109" s="3">
        <f>IF(ISBLANK(Actuals!P108),-Helpers!M23+P158,Actuals!P108)</f>
        <v>0</v>
      </c>
      <c r="Q109" s="3">
        <f>IF(ISBLANK(Actuals!Q108),-Helpers!N23+Q158,Actuals!Q108)</f>
        <v>0</v>
      </c>
      <c r="R109" s="3">
        <f>IF(ISBLANK(Actuals!R108),-Helpers!O23+R158,Actuals!R108)</f>
        <v>0</v>
      </c>
      <c r="S109" s="3">
        <f>IF(ISBLANK(Actuals!S108),-Helpers!P23+S158,Actuals!S108)</f>
        <v>0</v>
      </c>
      <c r="T109" s="3">
        <f>IF(ISBLANK(Actuals!T108),-Helpers!Q23+T158,Actuals!T108)</f>
        <v>0</v>
      </c>
      <c r="U109" s="3">
        <f>IF(ISBLANK(Actuals!U108),-Helpers!R23+U158,Actuals!U108)</f>
        <v>0</v>
      </c>
      <c r="V109" s="3">
        <f>IF(ISBLANK(Actuals!V108),-Helpers!S23+V158,Actuals!V108)</f>
        <v>0</v>
      </c>
      <c r="W109" s="3">
        <f>IF(ISBLANK(Actuals!W108),-Helpers!T23+W158,Actuals!W108)</f>
        <v>0</v>
      </c>
      <c r="X109" s="3">
        <f>IF(ISBLANK(Actuals!X108),-Helpers!U23+X158,Actuals!X108)</f>
        <v>0</v>
      </c>
      <c r="Y109" s="3">
        <f>IF(ISBLANK(Actuals!Y108),-Helpers!V23+Y158,Actuals!Y108)</f>
        <v>0</v>
      </c>
      <c r="Z109" s="3">
        <f>IF(ISBLANK(Actuals!Z108),-Helpers!W23+Z158,Actuals!Z108)</f>
        <v>0</v>
      </c>
      <c r="AA109" s="3">
        <f>IF(ISBLANK(Actuals!AA108),-Helpers!X23+AA158,Actuals!AA108)</f>
        <v>0</v>
      </c>
      <c r="AB109" s="3">
        <f>IF(ISBLANK(Actuals!AB108),-Helpers!Y23+AB158,Actuals!AB108)</f>
        <v>0</v>
      </c>
      <c r="AC109" s="3">
        <f>IF(ISBLANK(Actuals!AC108),-Helpers!Z23+AC158,Actuals!AC108)</f>
        <v>0</v>
      </c>
      <c r="AD109" s="3">
        <f>IF(ISBLANK(Actuals!AD108),-Helpers!AA23+AD158,Actuals!AD108)</f>
        <v>0</v>
      </c>
      <c r="AE109" s="3">
        <f>IF(ISBLANK(Actuals!AE108),-Helpers!AB23+AE158,Actuals!AE108)</f>
        <v>0</v>
      </c>
      <c r="AF109" s="3">
        <f>IF(ISBLANK(Actuals!AF108),-Helpers!AC23+AF158,Actuals!AF108)</f>
        <v>0</v>
      </c>
      <c r="AG109" s="3">
        <f>IF(ISBLANK(Actuals!AG108),-Helpers!AD23+AG158,Actuals!AG108)</f>
        <v>0</v>
      </c>
      <c r="AH109" s="3">
        <f>IF(ISBLANK(Actuals!AH108),-Helpers!AE23+AH158,Actuals!AH108)</f>
        <v>0</v>
      </c>
      <c r="AI109" s="3">
        <f>IF(ISBLANK(Actuals!AI108),-Helpers!AF23+AI158,Actuals!AI108)</f>
        <v>0</v>
      </c>
      <c r="AJ109" s="3">
        <f>IF(ISBLANK(Actuals!AJ108),-Helpers!AG23+AJ158,Actuals!AJ108)</f>
        <v>0</v>
      </c>
      <c r="AK109" s="3">
        <f>IF(ISBLANK(Actuals!AK108),-Helpers!AH23+AK158,Actuals!AK108)</f>
        <v>0</v>
      </c>
      <c r="AL109" s="3">
        <f>IF(ISBLANK(Actuals!AL108),-Helpers!AI23+AL158,Actuals!AL108)</f>
        <v>0</v>
      </c>
      <c r="AM109" s="3">
        <f>IF(ISBLANK(Actuals!AM108),-Helpers!AJ23+AM158,Actuals!AM108)</f>
        <v>0</v>
      </c>
      <c r="AN109" s="3">
        <f>IF(ISBLANK(Actuals!AN108),-Helpers!AK23+AN158,Actuals!AN108)</f>
        <v>0</v>
      </c>
      <c r="AO109" s="3">
        <f>IF(ISBLANK(Actuals!AO108),-Helpers!AL23+AO158,Actuals!AO108)</f>
        <v>0</v>
      </c>
      <c r="AP109" s="3">
        <f>IF(ISBLANK(Actuals!AP108),-Helpers!AM23+AP158,Actuals!AP108)</f>
        <v>0</v>
      </c>
      <c r="AQ109" s="3">
        <f>IF(ISBLANK(Actuals!AQ108),-Helpers!AN23+AQ158,Actuals!AQ108)</f>
        <v>0</v>
      </c>
      <c r="AR109" s="3">
        <f>IF(ISBLANK(Actuals!AR108),-Helpers!AO23+AR158,Actuals!AR108)</f>
        <v>0</v>
      </c>
      <c r="AS109" s="3">
        <f>IF(ISBLANK(Actuals!AS108),-Helpers!AP23+AS158,Actuals!AS108)</f>
        <v>0</v>
      </c>
      <c r="AT109" s="3">
        <f>IF(ISBLANK(Actuals!AT108),-Helpers!AQ23+AT158,Actuals!AT108)</f>
        <v>0</v>
      </c>
      <c r="AU109" s="3">
        <f>IF(ISBLANK(Actuals!AU108),-Helpers!AR23+AU158,Actuals!AU108)</f>
        <v>0</v>
      </c>
      <c r="AV109" s="3">
        <f>IF(ISBLANK(Actuals!AV108),-Helpers!AS23+AV158,Actuals!AV108)</f>
        <v>0</v>
      </c>
      <c r="AW109" s="3">
        <f>IF(ISBLANK(Actuals!AW108),-Helpers!AT23+AW158,Actuals!AW108)</f>
        <v>0</v>
      </c>
      <c r="AX109" s="3">
        <f>IF(ISBLANK(Actuals!AX108),-Helpers!AU23+AX158,Actuals!AX108)</f>
        <v>0</v>
      </c>
      <c r="AY109" s="3">
        <f>IF(ISBLANK(Actuals!AY108),-Helpers!AV23+AY158,Actuals!AY108)</f>
        <v>0</v>
      </c>
      <c r="AZ109" s="3">
        <f>IF(ISBLANK(Actuals!AZ108),-Helpers!AW23+AZ158,Actuals!AZ108)</f>
        <v>0</v>
      </c>
      <c r="BA109" s="3">
        <f>IF(ISBLANK(Actuals!BA108),-Helpers!AX23+BA158,Actuals!BA108)</f>
        <v>0</v>
      </c>
      <c r="BB109" s="3">
        <f>IF(ISBLANK(Actuals!BB108),-Helpers!AY23+BB158,Actuals!BB108)</f>
        <v>0</v>
      </c>
      <c r="BC109" s="3">
        <f>IF(ISBLANK(Actuals!BC108),-Helpers!AZ23+BC158,Actuals!BC108)</f>
        <v>0</v>
      </c>
      <c r="BD109" s="3">
        <f>IF(ISBLANK(Actuals!BD108),-Helpers!BA23+BD158,Actuals!BD108)</f>
        <v>-851839</v>
      </c>
      <c r="BE109" s="3">
        <f>IF(ISBLANK(Actuals!BE108),-Helpers!BB23+BE158,Actuals!BE108)</f>
        <v>0</v>
      </c>
      <c r="BF109" s="3">
        <f>IF(ISBLANK(Actuals!BF108),-Helpers!BC23+BF158,Actuals!BF108)</f>
        <v>0</v>
      </c>
      <c r="BG109" s="3">
        <f>IF(ISBLANK(Actuals!BG108),-Helpers!BD23+BG158,Actuals!BG108)</f>
        <v>-71700</v>
      </c>
      <c r="BH109" s="3">
        <f>IF(ISBLANK(Actuals!BH108),-Helpers!BE23+BH158,Actuals!BH108)</f>
        <v>0</v>
      </c>
      <c r="BI109" s="3">
        <f>IF(ISBLANK(Actuals!BI108),-Helpers!BF23+BI158,Actuals!BI108)</f>
        <v>0</v>
      </c>
      <c r="BJ109" s="3">
        <f>IF(ISBLANK(Actuals!BJ108),-Helpers!BG23+BJ158,Actuals!BJ108)</f>
        <v>-71700</v>
      </c>
      <c r="BK109" s="3">
        <f>IF(ISBLANK(Actuals!BK108),-Helpers!BH23+BK158,Actuals!BK108)</f>
        <v>0</v>
      </c>
      <c r="BL109" s="3">
        <f>IF(ISBLANK(Actuals!BL108),-Helpers!BI23+BL158,Actuals!BL108)</f>
        <v>0</v>
      </c>
      <c r="BM109" s="3">
        <f>IF(ISBLANK(Actuals!BM108),-Helpers!BJ23+BM158,Actuals!BM108)</f>
        <v>-71700</v>
      </c>
      <c r="BN109" s="3">
        <f>IF(ISBLANK(Actuals!BN108),-Helpers!BK23+BN158,Actuals!BN108)</f>
        <v>0</v>
      </c>
      <c r="BO109" s="3">
        <f>IF(ISBLANK(Actuals!BO108),-Helpers!BL23+BO158,Actuals!BO108)</f>
        <v>0</v>
      </c>
      <c r="BP109" s="3">
        <f>IF(ISBLANK(Actuals!BP108),-Helpers!BM23+BP158,Actuals!BP108)</f>
        <v>-71700</v>
      </c>
      <c r="BQ109" s="3">
        <f>IF(ISBLANK(Actuals!BQ108),-Helpers!BN23+BQ158,Actuals!BQ108)</f>
        <v>0</v>
      </c>
      <c r="BR109" s="3">
        <f>IF(ISBLANK(Actuals!BR108),-Helpers!BO23+BR158,Actuals!BR108)</f>
        <v>0</v>
      </c>
      <c r="BS109" s="3">
        <f>IF(ISBLANK(Actuals!BS108),-Helpers!BP23+BS158,Actuals!BS108)</f>
        <v>-74643</v>
      </c>
      <c r="BT109" s="3">
        <f>IF(ISBLANK(Actuals!BT108),-Helpers!BQ23+BT158,Actuals!BT108)</f>
        <v>0</v>
      </c>
      <c r="BU109" s="3">
        <f>IF(ISBLANK(Actuals!BU108),-Helpers!BR23+BU158,Actuals!BU108)</f>
        <v>0</v>
      </c>
      <c r="BV109" s="3">
        <f>IF(ISBLANK(Actuals!BV108),-Helpers!BS23+BV158,Actuals!BV108)</f>
        <v>-74640</v>
      </c>
      <c r="BW109" s="3">
        <f>IF(ISBLANK(Actuals!BW108),-Helpers!BT23+BW158,Actuals!BW108)</f>
        <v>0</v>
      </c>
      <c r="BX109" s="3">
        <f>IF(ISBLANK(Actuals!BX108),-Helpers!BU23+BX158,Actuals!BX108)</f>
        <v>0</v>
      </c>
      <c r="BY109" s="3">
        <f>IF(ISBLANK(Actuals!BY108),-Helpers!BV23+BY158,Actuals!BY108)</f>
        <v>-74640</v>
      </c>
      <c r="BZ109" s="3">
        <f>IF(ISBLANK(Actuals!BZ108),-Helpers!BW23+BZ158,Actuals!BZ108)</f>
        <v>0</v>
      </c>
      <c r="CA109" s="3">
        <f>IF(ISBLANK(Actuals!CA108),-Helpers!BX23+CA158,Actuals!CA108)</f>
        <v>0</v>
      </c>
      <c r="CB109" s="3">
        <f>IF(ISBLANK(Actuals!CB108),-Helpers!BY23+CB158,Actuals!CB108)</f>
        <v>-74640</v>
      </c>
      <c r="CC109" s="3">
        <f>IF(ISBLANK(Actuals!CC108),-Helpers!BZ23+CC158,Actuals!CC108)</f>
        <v>0</v>
      </c>
      <c r="CD109" s="3">
        <f>IF(ISBLANK(Actuals!CD108),-Helpers!CA23+CD158,Actuals!CD108)</f>
        <v>0</v>
      </c>
      <c r="CE109" s="3">
        <f>IF(ISBLANK(Actuals!CE108),-Helpers!CB23+CE158,Actuals!CE108)</f>
        <v>-81363</v>
      </c>
      <c r="CF109" s="3">
        <f>IF(ISBLANK(Actuals!CF108),-Helpers!CC23+CF158,Actuals!CF108)</f>
        <v>0</v>
      </c>
      <c r="CG109" s="3">
        <f>IF(ISBLANK(Actuals!CG108),-Helpers!CD23+CG158,Actuals!CG108)</f>
        <v>0</v>
      </c>
      <c r="CH109" s="3">
        <f>IF(ISBLANK(Actuals!CH108),-Helpers!CE23+CH158,Actuals!CH108)</f>
        <v>-81362</v>
      </c>
      <c r="CI109" s="3">
        <f>IF(ISBLANK(Actuals!CI108),-Helpers!CF23+CI158,Actuals!CI108)</f>
        <v>0</v>
      </c>
      <c r="CJ109" s="3">
        <f>IF(ISBLANK(Actuals!CJ108),-Helpers!CG23+CJ158,Actuals!CJ108)</f>
        <v>0</v>
      </c>
      <c r="CK109" s="3">
        <f>IF(ISBLANK(Actuals!CK108),-Helpers!CH23+CK158,Actuals!CK108)</f>
        <v>-74753.973393520777</v>
      </c>
      <c r="CL109" s="3">
        <f>IF(ISBLANK(Actuals!CL108),-Helpers!CI23+CL158,Actuals!CL108)</f>
        <v>0</v>
      </c>
      <c r="CM109" s="3">
        <f>IF(ISBLANK(Actuals!CM108),-Helpers!CJ23+CM158,Actuals!CM108)</f>
        <v>0</v>
      </c>
      <c r="CN109" s="3">
        <f>IF(ISBLANK(Actuals!CN108),-Helpers!CK23+CN158,Actuals!CN108)</f>
        <v>0</v>
      </c>
      <c r="CO109" s="3">
        <f>IF(ISBLANK(Actuals!CO108),-Helpers!CL23+CO158,Actuals!CO108)</f>
        <v>0</v>
      </c>
      <c r="CP109" s="3">
        <f>IF(ISBLANK(Actuals!CP108),-Helpers!CM23+CP158,Actuals!CP108)</f>
        <v>0</v>
      </c>
      <c r="CQ109" s="3">
        <f>IF(ISBLANK(Actuals!CQ108),-Helpers!CN23+CQ158,Actuals!CQ108)</f>
        <v>0</v>
      </c>
      <c r="CR109" s="3">
        <f>IF(ISBLANK(Actuals!CR108),-Helpers!CO23+CR158,Actuals!CR108)</f>
        <v>0</v>
      </c>
      <c r="CS109" s="3">
        <f>IF(ISBLANK(Actuals!CS108),-Helpers!CP23+CS158,Actuals!CS108)</f>
        <v>0</v>
      </c>
      <c r="CT109" s="3">
        <f>IF(ISBLANK(Actuals!CT108),-Helpers!CQ23+CT158,Actuals!CT108)</f>
        <v>0</v>
      </c>
      <c r="CU109" s="3">
        <f>IF(ISBLANK(Actuals!CU108),-Helpers!CR23+CU158,Actuals!CU108)</f>
        <v>0</v>
      </c>
      <c r="CV109" s="3">
        <f>IF(ISBLANK(Actuals!CV108),-Helpers!CS23+CV158,Actuals!CV108)</f>
        <v>0</v>
      </c>
      <c r="CW109" s="3">
        <f>IF(ISBLANK(Actuals!CW108),-Helpers!CT23+CW158,Actuals!CW108)</f>
        <v>0</v>
      </c>
      <c r="CX109" s="3">
        <f>IF(ISBLANK(Actuals!CX108),-Helpers!CU23+CX158,Actuals!CX108)</f>
        <v>0</v>
      </c>
      <c r="CY109" s="3">
        <f>IF(ISBLANK(Actuals!CY108),-Helpers!CV23+CY158,Actuals!CY108)</f>
        <v>0</v>
      </c>
      <c r="CZ109" s="3">
        <f>IF(ISBLANK(Actuals!CZ108),-Helpers!CW23+CZ158,Actuals!CZ108)</f>
        <v>0</v>
      </c>
      <c r="DA109" s="3">
        <f>IF(ISBLANK(Actuals!DA108),-Helpers!CX23+DA158,Actuals!DA108)</f>
        <v>0</v>
      </c>
      <c r="DB109" s="3">
        <f>IF(ISBLANK(Actuals!DB108),-Helpers!CY23+DB158,Actuals!DB108)</f>
        <v>0</v>
      </c>
      <c r="DC109" s="3">
        <f>IF(ISBLANK(Actuals!DC108),-Helpers!CZ23+DC158,Actuals!DC108)</f>
        <v>0</v>
      </c>
      <c r="DD109" s="3">
        <f>IF(ISBLANK(Actuals!DD108),-Helpers!DA23+DD158,Actuals!DD108)</f>
        <v>0</v>
      </c>
      <c r="DE109" s="3">
        <f>IF(ISBLANK(Actuals!DE108),-Helpers!DB23+DE158,Actuals!DE108)</f>
        <v>0</v>
      </c>
      <c r="DF109" s="3">
        <f>IF(ISBLANK(Actuals!DF108),-Helpers!DC23+DF158,Actuals!DF108)</f>
        <v>0</v>
      </c>
    </row>
    <row r="110" spans="1:110" ht="15" customHeight="1" x14ac:dyDescent="0.25">
      <c r="A110" s="13" t="s">
        <v>128</v>
      </c>
      <c r="B110" s="302"/>
      <c r="C110" s="3">
        <f>IF(ISBLANK(Actuals!C109),0,Actuals!C109)</f>
        <v>0</v>
      </c>
      <c r="D110" s="3">
        <f>IF(ISBLANK(Actuals!D109),0,Actuals!D109)</f>
        <v>0</v>
      </c>
      <c r="E110" s="3">
        <f>IF(ISBLANK(Actuals!E109),0,Actuals!E109)</f>
        <v>0</v>
      </c>
      <c r="F110" s="3">
        <f>IF(ISBLANK(Actuals!F109),-Helpers!C26+F153,Actuals!F109)</f>
        <v>0</v>
      </c>
      <c r="G110" s="3">
        <f>IF(ISBLANK(Actuals!G109),-Helpers!D26+G153,Actuals!G109)</f>
        <v>0</v>
      </c>
      <c r="H110" s="3">
        <f>IF(ISBLANK(Actuals!H109),-Helpers!E26+H153,Actuals!H109)</f>
        <v>0</v>
      </c>
      <c r="I110" s="3">
        <f>IF(ISBLANK(Actuals!I109),-Helpers!F26+I153,Actuals!I109)</f>
        <v>0</v>
      </c>
      <c r="J110" s="3">
        <f>IF(ISBLANK(Actuals!J109),-Helpers!G26+J153,Actuals!J109)</f>
        <v>0</v>
      </c>
      <c r="K110" s="3">
        <f>IF(ISBLANK(Actuals!K109),-Helpers!H26+K153,Actuals!K109)</f>
        <v>0</v>
      </c>
      <c r="L110" s="3">
        <f>IF(ISBLANK(Actuals!L109),-Helpers!I26+L153,Actuals!L109)</f>
        <v>0</v>
      </c>
      <c r="M110" s="3">
        <f>IF(ISBLANK(Actuals!M109),-Helpers!J26+M153,Actuals!M109)</f>
        <v>0</v>
      </c>
      <c r="N110" s="3">
        <f>IF(ISBLANK(Actuals!N109),-Helpers!K26+N153,Actuals!N109)</f>
        <v>0</v>
      </c>
      <c r="O110" s="3">
        <f>IF(ISBLANK(Actuals!O109),-Helpers!L26+O153,Actuals!O109)</f>
        <v>0</v>
      </c>
      <c r="P110" s="3">
        <f>IF(ISBLANK(Actuals!P109),-Helpers!M26+P153,Actuals!P109)</f>
        <v>0</v>
      </c>
      <c r="Q110" s="3">
        <f>IF(ISBLANK(Actuals!Q109),-Helpers!N26+Q153,Actuals!Q109)</f>
        <v>0</v>
      </c>
      <c r="R110" s="3">
        <f>IF(ISBLANK(Actuals!R109),-Helpers!O26+R153,Actuals!R109)</f>
        <v>0</v>
      </c>
      <c r="S110" s="3">
        <f>IF(ISBLANK(Actuals!S109),-Helpers!P26+S153,Actuals!S109)</f>
        <v>0</v>
      </c>
      <c r="T110" s="3">
        <f>IF(ISBLANK(Actuals!T109),-Helpers!Q26+T153,Actuals!T109)</f>
        <v>0</v>
      </c>
      <c r="U110" s="3">
        <f>IF(ISBLANK(Actuals!U109),-Helpers!R26+U153,Actuals!U109)</f>
        <v>0</v>
      </c>
      <c r="V110" s="3">
        <f>IF(ISBLANK(Actuals!V109),-Helpers!S26+V153,Actuals!V109)</f>
        <v>0</v>
      </c>
      <c r="W110" s="3">
        <f>IF(ISBLANK(Actuals!W109),-Helpers!T26+W153,Actuals!W109)</f>
        <v>0</v>
      </c>
      <c r="X110" s="3">
        <f>IF(ISBLANK(Actuals!X109),-Helpers!U26+X153,Actuals!X109)</f>
        <v>0</v>
      </c>
      <c r="Y110" s="3">
        <f>IF(ISBLANK(Actuals!Y109),-Helpers!V26+Y153,Actuals!Y109)</f>
        <v>0</v>
      </c>
      <c r="Z110" s="3">
        <f>IF(ISBLANK(Actuals!Z109),-Helpers!W26+Z153,Actuals!Z109)</f>
        <v>0</v>
      </c>
      <c r="AA110" s="3">
        <f>IF(ISBLANK(Actuals!AA109),-Helpers!X26+AA153,Actuals!AA109)</f>
        <v>0</v>
      </c>
      <c r="AB110" s="3">
        <f>IF(ISBLANK(Actuals!AB109),-Helpers!Y26+AB153,Actuals!AB109)</f>
        <v>0</v>
      </c>
      <c r="AC110" s="3">
        <f>IF(ISBLANK(Actuals!AC109),-Helpers!Z26+AC153,Actuals!AC109)</f>
        <v>0</v>
      </c>
      <c r="AD110" s="3">
        <f>IF(ISBLANK(Actuals!AD109),-Helpers!AA26+AD153,Actuals!AD109)</f>
        <v>0</v>
      </c>
      <c r="AE110" s="3">
        <f>IF(ISBLANK(Actuals!AE109),-Helpers!AB26+AE153,Actuals!AE109)</f>
        <v>0</v>
      </c>
      <c r="AF110" s="3">
        <f>IF(ISBLANK(Actuals!AF109),-Helpers!AC26+AF153,Actuals!AF109)</f>
        <v>0</v>
      </c>
      <c r="AG110" s="3">
        <f>IF(ISBLANK(Actuals!AG109),-Helpers!AD26+AG153,Actuals!AG109)</f>
        <v>0</v>
      </c>
      <c r="AH110" s="3">
        <f>IF(ISBLANK(Actuals!AH109),-Helpers!AE26+AH153,Actuals!AH109)</f>
        <v>0</v>
      </c>
      <c r="AI110" s="3">
        <f>IF(ISBLANK(Actuals!AI109),-Helpers!AF26+AI153,Actuals!AI109)</f>
        <v>0</v>
      </c>
      <c r="AJ110" s="3">
        <f>IF(ISBLANK(Actuals!AJ109),-Helpers!AG26+AJ153,Actuals!AJ109)</f>
        <v>0</v>
      </c>
      <c r="AK110" s="3">
        <f>IF(ISBLANK(Actuals!AK109),-Helpers!AH26+AK153,Actuals!AK109)</f>
        <v>0</v>
      </c>
      <c r="AL110" s="3">
        <f>IF(ISBLANK(Actuals!AL109),-Helpers!AI26+AL153,Actuals!AL109)</f>
        <v>0</v>
      </c>
      <c r="AM110" s="3">
        <f>IF(ISBLANK(Actuals!AM109),-Helpers!AJ26+AM153,Actuals!AM109)</f>
        <v>0</v>
      </c>
      <c r="AN110" s="3">
        <f>IF(ISBLANK(Actuals!AN109),-Helpers!AK26+AN153,Actuals!AN109)</f>
        <v>0</v>
      </c>
      <c r="AO110" s="3">
        <f>IF(ISBLANK(Actuals!AO109),-Helpers!AL26+AO153,Actuals!AO109)</f>
        <v>0</v>
      </c>
      <c r="AP110" s="3">
        <f>IF(ISBLANK(Actuals!AP109),-Helpers!AM26+AP153,Actuals!AP109)</f>
        <v>0</v>
      </c>
      <c r="AQ110" s="3">
        <f>IF(ISBLANK(Actuals!AQ109),-Helpers!AN26+AQ153,Actuals!AQ109)</f>
        <v>0</v>
      </c>
      <c r="AR110" s="3">
        <f>IF(ISBLANK(Actuals!AR109),-Helpers!AO26+AR153,Actuals!AR109)</f>
        <v>0</v>
      </c>
      <c r="AS110" s="3">
        <f>IF(ISBLANK(Actuals!AS109),-Helpers!AP26+AS153,Actuals!AS109)</f>
        <v>0</v>
      </c>
      <c r="AT110" s="3">
        <f>IF(ISBLANK(Actuals!AT109),-Helpers!AQ26+AT153,Actuals!AT109)</f>
        <v>0</v>
      </c>
      <c r="AU110" s="3">
        <f>IF(ISBLANK(Actuals!AU109),-Helpers!AR26+AU153,Actuals!AU109)</f>
        <v>0</v>
      </c>
      <c r="AV110" s="3">
        <f>IF(ISBLANK(Actuals!AV109),-Helpers!AS26+AV153,Actuals!AV109)</f>
        <v>0</v>
      </c>
      <c r="AW110" s="3">
        <f>IF(ISBLANK(Actuals!AW109),-Helpers!AT26+AW153,Actuals!AW109)</f>
        <v>0</v>
      </c>
      <c r="AX110" s="3">
        <f>IF(ISBLANK(Actuals!AX109),-Helpers!AU26+AX153,Actuals!AX109)</f>
        <v>0</v>
      </c>
      <c r="AY110" s="3">
        <f>IF(ISBLANK(Actuals!AY109),-Helpers!AV26+AY153,Actuals!AY109)</f>
        <v>0</v>
      </c>
      <c r="AZ110" s="3">
        <f>IF(ISBLANK(Actuals!AZ109),-Helpers!AW26+AZ153,Actuals!AZ109)</f>
        <v>0</v>
      </c>
      <c r="BA110" s="3">
        <f>IF(ISBLANK(Actuals!BA109),-Helpers!AX26+BA153,Actuals!BA109)</f>
        <v>0</v>
      </c>
      <c r="BB110" s="3">
        <f>IF(ISBLANK(Actuals!BB109),-Helpers!AY26+BB153,Actuals!BB109)</f>
        <v>0</v>
      </c>
      <c r="BC110" s="3">
        <f>IF(ISBLANK(Actuals!BC109),-Helpers!AZ26+BC153,Actuals!BC109)</f>
        <v>0</v>
      </c>
      <c r="BD110" s="3">
        <f>IF(ISBLANK(Actuals!BD109),-Helpers!BA26+BD153,Actuals!BD109)</f>
        <v>0</v>
      </c>
      <c r="BE110" s="3">
        <f>IF(ISBLANK(Actuals!BE109),-Helpers!BB26+BE153,Actuals!BE109)</f>
        <v>0</v>
      </c>
      <c r="BF110" s="3">
        <f>IF(ISBLANK(Actuals!BF109),-Helpers!BC26+BF153,Actuals!BF109)</f>
        <v>0</v>
      </c>
      <c r="BG110" s="3">
        <f>IF(ISBLANK(Actuals!BG109),-Helpers!BD26+BG153,Actuals!BG109)</f>
        <v>0</v>
      </c>
      <c r="BH110" s="3">
        <f>IF(ISBLANK(Actuals!BH109),-Helpers!BE26+BH153,Actuals!BH109)</f>
        <v>0</v>
      </c>
      <c r="BI110" s="3">
        <f>IF(ISBLANK(Actuals!BI109),-Helpers!BF26+BI153,Actuals!BI109)</f>
        <v>0</v>
      </c>
      <c r="BJ110" s="3">
        <f>IF(ISBLANK(Actuals!BJ109),-Helpers!BG26+BJ153,Actuals!BJ109)</f>
        <v>0</v>
      </c>
      <c r="BK110" s="3">
        <f>IF(ISBLANK(Actuals!BK109),-Helpers!BH26+BK153,Actuals!BK109)</f>
        <v>0</v>
      </c>
      <c r="BL110" s="3">
        <f>IF(ISBLANK(Actuals!BL109),-Helpers!BI26+BL153,Actuals!BL109)</f>
        <v>0</v>
      </c>
      <c r="BM110" s="3">
        <f>IF(ISBLANK(Actuals!BM109),-Helpers!BJ26+BM153,Actuals!BM109)</f>
        <v>0</v>
      </c>
      <c r="BN110" s="3">
        <f>IF(ISBLANK(Actuals!BN109),-Helpers!BK26+BN153,Actuals!BN109)</f>
        <v>0</v>
      </c>
      <c r="BO110" s="3">
        <f>IF(ISBLANK(Actuals!BO109),-Helpers!BL26+BO153,Actuals!BO109)</f>
        <v>0</v>
      </c>
      <c r="BP110" s="3">
        <f>IF(ISBLANK(Actuals!BP109),-Helpers!BM26+BP153,Actuals!BP109)</f>
        <v>0</v>
      </c>
      <c r="BQ110" s="3">
        <f>IF(ISBLANK(Actuals!BQ109),-Helpers!BN26+BQ153,Actuals!BQ109)</f>
        <v>0</v>
      </c>
      <c r="BR110" s="3">
        <f>IF(ISBLANK(Actuals!BR109),-Helpers!BO26+BR153,Actuals!BR109)</f>
        <v>0</v>
      </c>
      <c r="BS110" s="3">
        <f>IF(ISBLANK(Actuals!BS109),-Helpers!BP26+BS153,Actuals!BS109)</f>
        <v>0</v>
      </c>
      <c r="BT110" s="3">
        <f>IF(ISBLANK(Actuals!BT109),-Helpers!BQ26+BT153,Actuals!BT109)</f>
        <v>0</v>
      </c>
      <c r="BU110" s="3">
        <f>IF(ISBLANK(Actuals!BU109),-Helpers!BR26+BU153,Actuals!BU109)</f>
        <v>0</v>
      </c>
      <c r="BV110" s="3">
        <f>IF(ISBLANK(Actuals!BV109),-Helpers!BS26+BV153,Actuals!BV109)</f>
        <v>0</v>
      </c>
      <c r="BW110" s="3">
        <f>IF(ISBLANK(Actuals!BW109),-Helpers!BT26+BW153,Actuals!BW109)</f>
        <v>0</v>
      </c>
      <c r="BX110" s="3">
        <f>IF(ISBLANK(Actuals!BX109),-Helpers!BU26+BX153,Actuals!BX109)</f>
        <v>0</v>
      </c>
      <c r="BY110" s="3">
        <f>IF(ISBLANK(Actuals!BY109),-Helpers!BV26+BY153,Actuals!BY109)</f>
        <v>0</v>
      </c>
      <c r="BZ110" s="3">
        <f>IF(ISBLANK(Actuals!BZ109),-Helpers!BW26+BZ153,Actuals!BZ109)</f>
        <v>0</v>
      </c>
      <c r="CA110" s="3">
        <f>IF(ISBLANK(Actuals!CA109),-Helpers!BX26+CA153,Actuals!CA109)</f>
        <v>0</v>
      </c>
      <c r="CB110" s="3">
        <f>IF(ISBLANK(Actuals!CB109),-Helpers!BY26+CB153,Actuals!CB109)</f>
        <v>-73156</v>
      </c>
      <c r="CC110" s="3">
        <f>IF(ISBLANK(Actuals!CC109),-Helpers!BZ26+CC153,Actuals!CC109)</f>
        <v>0</v>
      </c>
      <c r="CD110" s="3">
        <f>IF(ISBLANK(Actuals!CD109),-Helpers!CA26+CD153,Actuals!CD109)</f>
        <v>0</v>
      </c>
      <c r="CE110" s="3">
        <f>IF(ISBLANK(Actuals!CE109),-Helpers!CB26+CE153,Actuals!CE109)</f>
        <v>-73155</v>
      </c>
      <c r="CF110" s="3">
        <f>IF(ISBLANK(Actuals!CF109),-Helpers!CC26+CF153,Actuals!CF109)</f>
        <v>0</v>
      </c>
      <c r="CG110" s="3">
        <f>IF(ISBLANK(Actuals!CG109),-Helpers!CD26+CG153,Actuals!CG109)</f>
        <v>0</v>
      </c>
      <c r="CH110" s="3">
        <f>IF(ISBLANK(Actuals!CH109),-Helpers!CE26+CH153,Actuals!CH109)</f>
        <v>-73155</v>
      </c>
      <c r="CI110" s="3">
        <f>IF(ISBLANK(Actuals!CI109),-Helpers!CF26+CI153,Actuals!CI109)</f>
        <v>0</v>
      </c>
      <c r="CJ110" s="3">
        <f>IF(ISBLANK(Actuals!CJ109),-Helpers!CG26+CJ153,Actuals!CJ109)</f>
        <v>0</v>
      </c>
      <c r="CK110" s="3">
        <f>IF(ISBLANK(Actuals!CK109),-Helpers!CH26+CK153,Actuals!CK109)</f>
        <v>-73155</v>
      </c>
      <c r="CL110" s="3">
        <f>IF(ISBLANK(Actuals!CL109),-Helpers!CI26+CL153,Actuals!CL109)</f>
        <v>-73155</v>
      </c>
      <c r="CM110" s="3">
        <f>IF(ISBLANK(Actuals!CM109),-Helpers!CJ26+CM153,Actuals!CM109)</f>
        <v>-73155</v>
      </c>
      <c r="CN110" s="3">
        <f>IF(ISBLANK(Actuals!CN109),-Helpers!CK26+CN153,Actuals!CN109)</f>
        <v>-73155</v>
      </c>
      <c r="CO110" s="3">
        <f>IF(ISBLANK(Actuals!CO109),-Helpers!CL26+CO153,Actuals!CO109)</f>
        <v>-73155</v>
      </c>
      <c r="CP110" s="3">
        <f>IF(ISBLANK(Actuals!CP109),-Helpers!CM26+CP153,Actuals!CP109)</f>
        <v>-73155</v>
      </c>
      <c r="CQ110" s="3">
        <f>IF(ISBLANK(Actuals!CQ109),-Helpers!CN26+CQ153,Actuals!CQ109)</f>
        <v>-73155</v>
      </c>
      <c r="CR110" s="3">
        <f>IF(ISBLANK(Actuals!CR109),-Helpers!CO26+CR153,Actuals!CR109)</f>
        <v>-73155</v>
      </c>
      <c r="CS110" s="3">
        <f>IF(ISBLANK(Actuals!CS109),-Helpers!CP26+CS153,Actuals!CS109)</f>
        <v>-73155</v>
      </c>
      <c r="CT110" s="3">
        <f>IF(ISBLANK(Actuals!CT109),-Helpers!CQ26+CT153,Actuals!CT109)</f>
        <v>-73155</v>
      </c>
      <c r="CU110" s="3">
        <f>IF(ISBLANK(Actuals!CU109),-Helpers!CR26+CU153,Actuals!CU109)</f>
        <v>-73155</v>
      </c>
      <c r="CV110" s="3">
        <f>IF(ISBLANK(Actuals!CV109),-Helpers!CS26+CV153,Actuals!CV109)</f>
        <v>-73155</v>
      </c>
      <c r="CW110" s="3">
        <f>IF(ISBLANK(Actuals!CW109),-Helpers!CT26+CW153,Actuals!CW109)</f>
        <v>-73155</v>
      </c>
      <c r="CX110" s="3">
        <f>IF(ISBLANK(Actuals!CX109),-Helpers!CU26+CX153,Actuals!CX109)</f>
        <v>-17446.848936407172</v>
      </c>
      <c r="CY110" s="3">
        <f>IF(ISBLANK(Actuals!CY109),-Helpers!CV26+CY153,Actuals!CY109)</f>
        <v>0</v>
      </c>
      <c r="CZ110" s="3">
        <f>IF(ISBLANK(Actuals!CZ109),-Helpers!CW26+CZ153,Actuals!CZ109)</f>
        <v>0</v>
      </c>
      <c r="DA110" s="3">
        <f>IF(ISBLANK(Actuals!DA109),-Helpers!CX26+DA153,Actuals!DA109)</f>
        <v>0</v>
      </c>
      <c r="DB110" s="3">
        <f>IF(ISBLANK(Actuals!DB109),-Helpers!CY26+DB153,Actuals!DB109)</f>
        <v>0</v>
      </c>
      <c r="DC110" s="3">
        <f>IF(ISBLANK(Actuals!DC109),-Helpers!CZ26+DC153,Actuals!DC109)</f>
        <v>0</v>
      </c>
      <c r="DD110" s="3">
        <f>IF(ISBLANK(Actuals!DD109),-Helpers!DA26+DD153,Actuals!DD109)</f>
        <v>0</v>
      </c>
      <c r="DE110" s="3">
        <f>IF(ISBLANK(Actuals!DE109),-Helpers!DB26+DE153,Actuals!DE109)</f>
        <v>0</v>
      </c>
      <c r="DF110" s="3">
        <f>IF(ISBLANK(Actuals!DF109),-Helpers!DC26+DF153,Actuals!DF109)</f>
        <v>0</v>
      </c>
    </row>
    <row r="111" spans="1:110" ht="19.5" customHeight="1" x14ac:dyDescent="0.25">
      <c r="A111" s="18" t="s">
        <v>129</v>
      </c>
      <c r="B111" s="19"/>
      <c r="C111" s="20">
        <f t="shared" ref="C111:AH111" si="28">SUM(C82:C110)</f>
        <v>-196623.84</v>
      </c>
      <c r="D111" s="20">
        <f t="shared" si="28"/>
        <v>-189707.12</v>
      </c>
      <c r="E111" s="20">
        <f t="shared" si="28"/>
        <v>-242129.22</v>
      </c>
      <c r="F111" s="20">
        <f t="shared" si="28"/>
        <v>-192976.83999999997</v>
      </c>
      <c r="G111" s="20">
        <f t="shared" si="28"/>
        <v>-78090.09166666666</v>
      </c>
      <c r="H111" s="20">
        <f t="shared" si="28"/>
        <v>-78090.09166666666</v>
      </c>
      <c r="I111" s="20">
        <f t="shared" si="28"/>
        <v>-78090.09166666666</v>
      </c>
      <c r="J111" s="20">
        <f t="shared" si="28"/>
        <v>-78090.09166666666</v>
      </c>
      <c r="K111" s="20">
        <f t="shared" si="28"/>
        <v>-78090.09166666666</v>
      </c>
      <c r="L111" s="20">
        <f t="shared" si="28"/>
        <v>-78090.09166666666</v>
      </c>
      <c r="M111" s="20">
        <f t="shared" si="28"/>
        <v>-78090.09166666666</v>
      </c>
      <c r="N111" s="20">
        <f t="shared" si="28"/>
        <v>-78090.09166666666</v>
      </c>
      <c r="O111" s="20">
        <f t="shared" si="28"/>
        <v>-78090.09166666666</v>
      </c>
      <c r="P111" s="20">
        <f t="shared" si="28"/>
        <v>-78090.09166666666</v>
      </c>
      <c r="Q111" s="20">
        <f t="shared" si="28"/>
        <v>-78090.09166666666</v>
      </c>
      <c r="R111" s="20">
        <f t="shared" si="28"/>
        <v>-79651.893500000006</v>
      </c>
      <c r="S111" s="20">
        <f t="shared" si="28"/>
        <v>-79651.893500000006</v>
      </c>
      <c r="T111" s="20">
        <f t="shared" si="28"/>
        <v>-79651.893500000006</v>
      </c>
      <c r="U111" s="20">
        <f t="shared" si="28"/>
        <v>-79651.893500000006</v>
      </c>
      <c r="V111" s="20">
        <f t="shared" si="28"/>
        <v>-79651.893500000006</v>
      </c>
      <c r="W111" s="20">
        <f t="shared" si="28"/>
        <v>-79651.893500000006</v>
      </c>
      <c r="X111" s="20">
        <f t="shared" si="28"/>
        <v>-79651.893500000006</v>
      </c>
      <c r="Y111" s="20">
        <f t="shared" si="28"/>
        <v>-79651.893500000006</v>
      </c>
      <c r="Z111" s="20">
        <f t="shared" si="28"/>
        <v>-79651.893500000006</v>
      </c>
      <c r="AA111" s="20">
        <f t="shared" si="28"/>
        <v>-79651.893500000006</v>
      </c>
      <c r="AB111" s="20">
        <f t="shared" si="28"/>
        <v>-79651.893500000006</v>
      </c>
      <c r="AC111" s="20">
        <f t="shared" si="28"/>
        <v>-79651.893500000006</v>
      </c>
      <c r="AD111" s="20">
        <f t="shared" si="28"/>
        <v>-81244.931370000006</v>
      </c>
      <c r="AE111" s="20">
        <f t="shared" si="28"/>
        <v>-81244.931370000006</v>
      </c>
      <c r="AF111" s="20">
        <f t="shared" si="28"/>
        <v>-81244.931370000006</v>
      </c>
      <c r="AG111" s="20">
        <f t="shared" si="28"/>
        <v>-81244.931370000006</v>
      </c>
      <c r="AH111" s="20">
        <f t="shared" si="28"/>
        <v>-81244.931370000006</v>
      </c>
      <c r="AI111" s="20">
        <f t="shared" ref="AI111:BN111" si="29">SUM(AI82:AI110)</f>
        <v>-81244.931370000006</v>
      </c>
      <c r="AJ111" s="20">
        <f t="shared" si="29"/>
        <v>-81244.931370000006</v>
      </c>
      <c r="AK111" s="20">
        <f t="shared" si="29"/>
        <v>-81244.931370000006</v>
      </c>
      <c r="AL111" s="20">
        <f t="shared" si="29"/>
        <v>-81244.931370000006</v>
      </c>
      <c r="AM111" s="20">
        <f t="shared" si="29"/>
        <v>-81244.931370000006</v>
      </c>
      <c r="AN111" s="20">
        <f t="shared" si="29"/>
        <v>-81244.931370000006</v>
      </c>
      <c r="AO111" s="20">
        <f t="shared" si="29"/>
        <v>-81244.931370000006</v>
      </c>
      <c r="AP111" s="20">
        <f t="shared" si="29"/>
        <v>-82869.829997399982</v>
      </c>
      <c r="AQ111" s="20">
        <f t="shared" si="29"/>
        <v>-82869.829997399982</v>
      </c>
      <c r="AR111" s="20">
        <f t="shared" si="29"/>
        <v>-82869.829997399982</v>
      </c>
      <c r="AS111" s="20">
        <f t="shared" si="29"/>
        <v>-82869.829997399982</v>
      </c>
      <c r="AT111" s="20">
        <f t="shared" si="29"/>
        <v>-82869.829997399982</v>
      </c>
      <c r="AU111" s="20">
        <f t="shared" si="29"/>
        <v>-164552.8299974</v>
      </c>
      <c r="AV111" s="20">
        <f t="shared" si="29"/>
        <v>-82869.829997399982</v>
      </c>
      <c r="AW111" s="20">
        <f t="shared" si="29"/>
        <v>-82869.829997399982</v>
      </c>
      <c r="AX111" s="20">
        <f t="shared" si="29"/>
        <v>-164551.8299974</v>
      </c>
      <c r="AY111" s="20">
        <f t="shared" si="29"/>
        <v>-82869.829997399982</v>
      </c>
      <c r="AZ111" s="20">
        <f t="shared" si="29"/>
        <v>-82869.829997399982</v>
      </c>
      <c r="BA111" s="20">
        <f t="shared" si="29"/>
        <v>-164551.8299974</v>
      </c>
      <c r="BB111" s="20">
        <f t="shared" si="29"/>
        <v>-84527.226597347995</v>
      </c>
      <c r="BC111" s="20">
        <f t="shared" si="29"/>
        <v>-84527.226597347995</v>
      </c>
      <c r="BD111" s="20">
        <f t="shared" si="29"/>
        <v>-1018048.226597348</v>
      </c>
      <c r="BE111" s="20">
        <f t="shared" si="29"/>
        <v>-84527.226597347995</v>
      </c>
      <c r="BF111" s="20">
        <f t="shared" si="29"/>
        <v>-84527.226597347995</v>
      </c>
      <c r="BG111" s="20">
        <f t="shared" si="29"/>
        <v>-215405.226597348</v>
      </c>
      <c r="BH111" s="20">
        <f t="shared" si="29"/>
        <v>-84527.226597347995</v>
      </c>
      <c r="BI111" s="20">
        <f t="shared" si="29"/>
        <v>-84527.226597347995</v>
      </c>
      <c r="BJ111" s="20">
        <f t="shared" si="29"/>
        <v>-215403.226597348</v>
      </c>
      <c r="BK111" s="20">
        <f t="shared" si="29"/>
        <v>-84527.226597347995</v>
      </c>
      <c r="BL111" s="20">
        <f t="shared" si="29"/>
        <v>-84527.226597347995</v>
      </c>
      <c r="BM111" s="20">
        <f t="shared" si="29"/>
        <v>-215403.226597348</v>
      </c>
      <c r="BN111" s="20">
        <f t="shared" si="29"/>
        <v>-86217.771129294968</v>
      </c>
      <c r="BO111" s="20">
        <f t="shared" ref="BO111:CT111" si="30">SUM(BO82:BO110)</f>
        <v>-86217.771129294968</v>
      </c>
      <c r="BP111" s="20">
        <f t="shared" si="30"/>
        <v>-217093.77112929497</v>
      </c>
      <c r="BQ111" s="20">
        <f t="shared" si="30"/>
        <v>-86217.771129294968</v>
      </c>
      <c r="BR111" s="20">
        <f t="shared" si="30"/>
        <v>-86217.771129294968</v>
      </c>
      <c r="BS111" s="20">
        <f t="shared" si="30"/>
        <v>-177110.25112929495</v>
      </c>
      <c r="BT111" s="20">
        <f t="shared" si="30"/>
        <v>-86217.771129294968</v>
      </c>
      <c r="BU111" s="20">
        <f t="shared" si="30"/>
        <v>-86217.771129294968</v>
      </c>
      <c r="BV111" s="20">
        <f t="shared" si="30"/>
        <v>-160857.77112929497</v>
      </c>
      <c r="BW111" s="20">
        <f t="shared" si="30"/>
        <v>-86217.771129294968</v>
      </c>
      <c r="BX111" s="20">
        <f t="shared" si="30"/>
        <v>-86217.771129294968</v>
      </c>
      <c r="BY111" s="20">
        <f t="shared" si="30"/>
        <v>-160857.77112929497</v>
      </c>
      <c r="BZ111" s="20">
        <f t="shared" si="30"/>
        <v>-87942.126551880865</v>
      </c>
      <c r="CA111" s="20">
        <f t="shared" si="30"/>
        <v>-87942.126551880865</v>
      </c>
      <c r="CB111" s="20">
        <f t="shared" si="30"/>
        <v>-235738.12655188085</v>
      </c>
      <c r="CC111" s="20">
        <f t="shared" si="30"/>
        <v>-87942.126551880865</v>
      </c>
      <c r="CD111" s="20">
        <f t="shared" si="30"/>
        <v>-87942.126551880865</v>
      </c>
      <c r="CE111" s="20">
        <f t="shared" si="30"/>
        <v>-242460.12655188085</v>
      </c>
      <c r="CF111" s="20">
        <f t="shared" si="30"/>
        <v>-87942.126551880865</v>
      </c>
      <c r="CG111" s="20">
        <f t="shared" si="30"/>
        <v>-87942.126551880865</v>
      </c>
      <c r="CH111" s="20">
        <f t="shared" si="30"/>
        <v>-242459.12655188085</v>
      </c>
      <c r="CI111" s="20">
        <f t="shared" si="30"/>
        <v>-87942.126551880865</v>
      </c>
      <c r="CJ111" s="20">
        <f t="shared" si="30"/>
        <v>-87942.126551880865</v>
      </c>
      <c r="CK111" s="20">
        <f t="shared" si="30"/>
        <v>-235851.09994540166</v>
      </c>
      <c r="CL111" s="20">
        <f t="shared" si="30"/>
        <v>-162855.96908291848</v>
      </c>
      <c r="CM111" s="20">
        <f t="shared" si="30"/>
        <v>-162855.96908291848</v>
      </c>
      <c r="CN111" s="20">
        <f t="shared" si="30"/>
        <v>-162855.96908291848</v>
      </c>
      <c r="CO111" s="20">
        <f t="shared" si="30"/>
        <v>-162855.96908291848</v>
      </c>
      <c r="CP111" s="20">
        <f t="shared" si="30"/>
        <v>-162855.96908291848</v>
      </c>
      <c r="CQ111" s="20">
        <f t="shared" si="30"/>
        <v>-162855.96908291848</v>
      </c>
      <c r="CR111" s="20">
        <f t="shared" si="30"/>
        <v>-162855.96908291848</v>
      </c>
      <c r="CS111" s="20">
        <f t="shared" si="30"/>
        <v>-162855.96908291848</v>
      </c>
      <c r="CT111" s="20">
        <f t="shared" si="30"/>
        <v>-162855.96908291848</v>
      </c>
      <c r="CU111" s="20">
        <f t="shared" ref="CU111:DZ111" si="31">SUM(CU82:CU110)</f>
        <v>-160947.47570802202</v>
      </c>
      <c r="CV111" s="20">
        <f t="shared" si="31"/>
        <v>-160947.47570802202</v>
      </c>
      <c r="CW111" s="20">
        <f t="shared" si="31"/>
        <v>-160947.47570802202</v>
      </c>
      <c r="CX111" s="20">
        <f t="shared" si="31"/>
        <v>-106995.17415858962</v>
      </c>
      <c r="CY111" s="20">
        <f t="shared" si="31"/>
        <v>-89548.325222182451</v>
      </c>
      <c r="CZ111" s="20">
        <f t="shared" si="31"/>
        <v>-89548.325222182451</v>
      </c>
      <c r="DA111" s="20">
        <f t="shared" si="31"/>
        <v>-89548.325222182451</v>
      </c>
      <c r="DB111" s="20">
        <f t="shared" si="31"/>
        <v>-89548.325222182451</v>
      </c>
      <c r="DC111" s="20">
        <f t="shared" si="31"/>
        <v>-89548.325222182451</v>
      </c>
      <c r="DD111" s="20">
        <f t="shared" si="31"/>
        <v>-89548.325222182451</v>
      </c>
      <c r="DE111" s="20">
        <f t="shared" si="31"/>
        <v>-89548.325222182451</v>
      </c>
      <c r="DF111" s="20">
        <f t="shared" si="31"/>
        <v>-89548.325222182451</v>
      </c>
    </row>
    <row r="112" spans="1:110" ht="15" customHeight="1" x14ac:dyDescent="0.25">
      <c r="A112" s="300" t="s">
        <v>130</v>
      </c>
      <c r="B112" s="302"/>
      <c r="C112" s="3"/>
      <c r="D112" s="3"/>
      <c r="E112" s="3"/>
      <c r="F112" s="301">
        <f>((IF(AND(1&gt;=Personnel!$E$36,Personnel!$G$36="Yes"),Personnel!$D$36*Personnel!$I$36,0)+IF(AND(1&gt;=Personnel!$E$37,Personnel!$G$37="Yes"),Personnel!$D$37*Personnel!$I$37,0)+IF(AND(1&gt;=Personnel!$E$38,Personnel!$G$38="Yes"),Personnel!$D$38*Personnel!$I$38,0)+IF(AND(1&gt;=Personnel!$E$39,Personnel!$G$39="Yes"),Personnel!$D$39*Personnel!$I$39,0)+IF(AND(1&gt;=Personnel!$E$40,Personnel!$G$40="Yes"),Personnel!$D$40*Personnel!$I$40,0)+IF(AND(1&gt;=Personnel!$E$41,Personnel!$G$41="Yes"),Personnel!$D$41*Personnel!$I$41,0)+IF(AND(1&gt;=Personnel!$E$42,Personnel!$G$42="Yes"),Personnel!$D$42*Personnel!$I$42,0))+(IF(AND(1&gt;=Personnel!$E$40,Personnel!$G$40="Yes"),Personnel!$D$40*Personnel!$I$40,0)+IF(AND(1&gt;=Personnel!$E$41,Personnel!$G$41="Yes"),Personnel!$D$41*Personnel!$I$41,0)+IF(AND(1&gt;=Personnel!$E$42,Personnel!$G$42="Yes"),Personnel!$D$42*Personnel!$I$42,0))*(Assumptions!$B$20+Assumptions!$B$21+Assumptions!$B$22+Assumptions!$B$23))*Escalation!$B$2</f>
        <v>110026.04166666667</v>
      </c>
      <c r="G112" s="301">
        <f>((IF(AND(2&gt;=Personnel!$E$36,Personnel!$G$36="Yes"),Personnel!$D$36*Personnel!$I$36,0)+IF(AND(2&gt;=Personnel!$E$37,Personnel!$G$37="Yes"),Personnel!$D$37*Personnel!$I$37,0)+IF(AND(2&gt;=Personnel!$E$38,Personnel!$G$38="Yes"),Personnel!$D$38*Personnel!$I$38,0)+IF(AND(2&gt;=Personnel!$E$39,Personnel!$G$39="Yes"),Personnel!$D$39*Personnel!$I$39,0)+IF(AND(2&gt;=Personnel!$E$40,Personnel!$G$40="Yes"),Personnel!$D$40*Personnel!$I$40,0)+IF(AND(2&gt;=Personnel!$E$41,Personnel!$G$41="Yes"),Personnel!$D$41*Personnel!$I$41,0)+IF(AND(2&gt;=Personnel!$E$42,Personnel!$G$42="Yes"),Personnel!$D$42*Personnel!$I$42,0))+(IF(AND(2&gt;=Personnel!$E$40,Personnel!$G$40="Yes"),Personnel!$D$40*Personnel!$I$40,0)+IF(AND(2&gt;=Personnel!$E$41,Personnel!$G$41="Yes"),Personnel!$D$41*Personnel!$I$41,0)+IF(AND(2&gt;=Personnel!$E$42,Personnel!$G$42="Yes"),Personnel!$D$42*Personnel!$I$42,0))*(Assumptions!$B$20+Assumptions!$B$21+Assumptions!$B$22+Assumptions!$B$23))*Escalation!$B$3</f>
        <v>110026.04166666667</v>
      </c>
      <c r="H112" s="301">
        <f>((IF(AND(3&gt;=Personnel!$E$36,Personnel!$G$36="Yes"),Personnel!$D$36*Personnel!$I$36,0)+IF(AND(3&gt;=Personnel!$E$37,Personnel!$G$37="Yes"),Personnel!$D$37*Personnel!$I$37,0)+IF(AND(3&gt;=Personnel!$E$38,Personnel!$G$38="Yes"),Personnel!$D$38*Personnel!$I$38,0)+IF(AND(3&gt;=Personnel!$E$39,Personnel!$G$39="Yes"),Personnel!$D$39*Personnel!$I$39,0)+IF(AND(3&gt;=Personnel!$E$40,Personnel!$G$40="Yes"),Personnel!$D$40*Personnel!$I$40,0)+IF(AND(3&gt;=Personnel!$E$41,Personnel!$G$41="Yes"),Personnel!$D$41*Personnel!$I$41,0)+IF(AND(3&gt;=Personnel!$E$42,Personnel!$G$42="Yes"),Personnel!$D$42*Personnel!$I$42,0))+(IF(AND(3&gt;=Personnel!$E$40,Personnel!$G$40="Yes"),Personnel!$D$40*Personnel!$I$40,0)+IF(AND(3&gt;=Personnel!$E$41,Personnel!$G$41="Yes"),Personnel!$D$41*Personnel!$I$41,0)+IF(AND(3&gt;=Personnel!$E$42,Personnel!$G$42="Yes"),Personnel!$D$42*Personnel!$I$42,0))*(Assumptions!$B$20+Assumptions!$B$21+Assumptions!$B$22+Assumptions!$B$23))*Escalation!$B$4</f>
        <v>110026.04166666667</v>
      </c>
      <c r="I112" s="301">
        <f>((IF(AND(4&gt;=Personnel!$E$36,Personnel!$G$36="Yes"),Personnel!$D$36*Personnel!$I$36,0)+IF(AND(4&gt;=Personnel!$E$37,Personnel!$G$37="Yes"),Personnel!$D$37*Personnel!$I$37,0)+IF(AND(4&gt;=Personnel!$E$38,Personnel!$G$38="Yes"),Personnel!$D$38*Personnel!$I$38,0)+IF(AND(4&gt;=Personnel!$E$39,Personnel!$G$39="Yes"),Personnel!$D$39*Personnel!$I$39,0)+IF(AND(4&gt;=Personnel!$E$40,Personnel!$G$40="Yes"),Personnel!$D$40*Personnel!$I$40,0)+IF(AND(4&gt;=Personnel!$E$41,Personnel!$G$41="Yes"),Personnel!$D$41*Personnel!$I$41,0)+IF(AND(4&gt;=Personnel!$E$42,Personnel!$G$42="Yes"),Personnel!$D$42*Personnel!$I$42,0))+(IF(AND(4&gt;=Personnel!$E$40,Personnel!$G$40="Yes"),Personnel!$D$40*Personnel!$I$40,0)+IF(AND(4&gt;=Personnel!$E$41,Personnel!$G$41="Yes"),Personnel!$D$41*Personnel!$I$41,0)+IF(AND(4&gt;=Personnel!$E$42,Personnel!$G$42="Yes"),Personnel!$D$42*Personnel!$I$42,0))*(Assumptions!$B$20+Assumptions!$B$21+Assumptions!$B$22+Assumptions!$B$23))*Escalation!$B$5</f>
        <v>110026.04166666667</v>
      </c>
      <c r="J112" s="301">
        <f>((IF(AND(5&gt;=Personnel!$E$36,Personnel!$G$36="Yes"),Personnel!$D$36*Personnel!$I$36,0)+IF(AND(5&gt;=Personnel!$E$37,Personnel!$G$37="Yes"),Personnel!$D$37*Personnel!$I$37,0)+IF(AND(5&gt;=Personnel!$E$38,Personnel!$G$38="Yes"),Personnel!$D$38*Personnel!$I$38,0)+IF(AND(5&gt;=Personnel!$E$39,Personnel!$G$39="Yes"),Personnel!$D$39*Personnel!$I$39,0)+IF(AND(5&gt;=Personnel!$E$40,Personnel!$G$40="Yes"),Personnel!$D$40*Personnel!$I$40,0)+IF(AND(5&gt;=Personnel!$E$41,Personnel!$G$41="Yes"),Personnel!$D$41*Personnel!$I$41,0)+IF(AND(5&gt;=Personnel!$E$42,Personnel!$G$42="Yes"),Personnel!$D$42*Personnel!$I$42,0))+(IF(AND(5&gt;=Personnel!$E$40,Personnel!$G$40="Yes"),Personnel!$D$40*Personnel!$I$40,0)+IF(AND(5&gt;=Personnel!$E$41,Personnel!$G$41="Yes"),Personnel!$D$41*Personnel!$I$41,0)+IF(AND(5&gt;=Personnel!$E$42,Personnel!$G$42="Yes"),Personnel!$D$42*Personnel!$I$42,0))*(Assumptions!$B$20+Assumptions!$B$21+Assumptions!$B$22+Assumptions!$B$23))*Escalation!$B$6</f>
        <v>110026.04166666667</v>
      </c>
      <c r="K112" s="301">
        <f>((IF(AND(6&gt;=Personnel!$E$36,Personnel!$G$36="Yes"),Personnel!$D$36*Personnel!$I$36,0)+IF(AND(6&gt;=Personnel!$E$37,Personnel!$G$37="Yes"),Personnel!$D$37*Personnel!$I$37,0)+IF(AND(6&gt;=Personnel!$E$38,Personnel!$G$38="Yes"),Personnel!$D$38*Personnel!$I$38,0)+IF(AND(6&gt;=Personnel!$E$39,Personnel!$G$39="Yes"),Personnel!$D$39*Personnel!$I$39,0)+IF(AND(6&gt;=Personnel!$E$40,Personnel!$G$40="Yes"),Personnel!$D$40*Personnel!$I$40,0)+IF(AND(6&gt;=Personnel!$E$41,Personnel!$G$41="Yes"),Personnel!$D$41*Personnel!$I$41,0)+IF(AND(6&gt;=Personnel!$E$42,Personnel!$G$42="Yes"),Personnel!$D$42*Personnel!$I$42,0))+(IF(AND(6&gt;=Personnel!$E$40,Personnel!$G$40="Yes"),Personnel!$D$40*Personnel!$I$40,0)+IF(AND(6&gt;=Personnel!$E$41,Personnel!$G$41="Yes"),Personnel!$D$41*Personnel!$I$41,0)+IF(AND(6&gt;=Personnel!$E$42,Personnel!$G$42="Yes"),Personnel!$D$42*Personnel!$I$42,0))*(Assumptions!$B$20+Assumptions!$B$21+Assumptions!$B$22+Assumptions!$B$23))*Escalation!$B$7</f>
        <v>110026.04166666667</v>
      </c>
      <c r="L112" s="301">
        <f>((IF(AND(7&gt;=Personnel!$E$36,Personnel!$G$36="Yes"),Personnel!$D$36*Personnel!$I$36,0)+IF(AND(7&gt;=Personnel!$E$37,Personnel!$G$37="Yes"),Personnel!$D$37*Personnel!$I$37,0)+IF(AND(7&gt;=Personnel!$E$38,Personnel!$G$38="Yes"),Personnel!$D$38*Personnel!$I$38,0)+IF(AND(7&gt;=Personnel!$E$39,Personnel!$G$39="Yes"),Personnel!$D$39*Personnel!$I$39,0)+IF(AND(7&gt;=Personnel!$E$40,Personnel!$G$40="Yes"),Personnel!$D$40*Personnel!$I$40,0)+IF(AND(7&gt;=Personnel!$E$41,Personnel!$G$41="Yes"),Personnel!$D$41*Personnel!$I$41,0)+IF(AND(7&gt;=Personnel!$E$42,Personnel!$G$42="Yes"),Personnel!$D$42*Personnel!$I$42,0))+(IF(AND(7&gt;=Personnel!$E$40,Personnel!$G$40="Yes"),Personnel!$D$40*Personnel!$I$40,0)+IF(AND(7&gt;=Personnel!$E$41,Personnel!$G$41="Yes"),Personnel!$D$41*Personnel!$I$41,0)+IF(AND(7&gt;=Personnel!$E$42,Personnel!$G$42="Yes"),Personnel!$D$42*Personnel!$I$42,0))*(Assumptions!$B$20+Assumptions!$B$21+Assumptions!$B$22+Assumptions!$B$23))*Escalation!$B$8</f>
        <v>110026.04166666667</v>
      </c>
      <c r="M112" s="301">
        <f>((IF(AND(8&gt;=Personnel!$E$36,Personnel!$G$36="Yes"),Personnel!$D$36*Personnel!$I$36,0)+IF(AND(8&gt;=Personnel!$E$37,Personnel!$G$37="Yes"),Personnel!$D$37*Personnel!$I$37,0)+IF(AND(8&gt;=Personnel!$E$38,Personnel!$G$38="Yes"),Personnel!$D$38*Personnel!$I$38,0)+IF(AND(8&gt;=Personnel!$E$39,Personnel!$G$39="Yes"),Personnel!$D$39*Personnel!$I$39,0)+IF(AND(8&gt;=Personnel!$E$40,Personnel!$G$40="Yes"),Personnel!$D$40*Personnel!$I$40,0)+IF(AND(8&gt;=Personnel!$E$41,Personnel!$G$41="Yes"),Personnel!$D$41*Personnel!$I$41,0)+IF(AND(8&gt;=Personnel!$E$42,Personnel!$G$42="Yes"),Personnel!$D$42*Personnel!$I$42,0))+(IF(AND(8&gt;=Personnel!$E$40,Personnel!$G$40="Yes"),Personnel!$D$40*Personnel!$I$40,0)+IF(AND(8&gt;=Personnel!$E$41,Personnel!$G$41="Yes"),Personnel!$D$41*Personnel!$I$41,0)+IF(AND(8&gt;=Personnel!$E$42,Personnel!$G$42="Yes"),Personnel!$D$42*Personnel!$I$42,0))*(Assumptions!$B$20+Assumptions!$B$21+Assumptions!$B$22+Assumptions!$B$23))*Escalation!$B$9</f>
        <v>110026.04166666667</v>
      </c>
      <c r="N112" s="301">
        <f>((IF(AND(9&gt;=Personnel!$E$36,Personnel!$G$36="Yes"),Personnel!$D$36*Personnel!$I$36,0)+IF(AND(9&gt;=Personnel!$E$37,Personnel!$G$37="Yes"),Personnel!$D$37*Personnel!$I$37,0)+IF(AND(9&gt;=Personnel!$E$38,Personnel!$G$38="Yes"),Personnel!$D$38*Personnel!$I$38,0)+IF(AND(9&gt;=Personnel!$E$39,Personnel!$G$39="Yes"),Personnel!$D$39*Personnel!$I$39,0)+IF(AND(9&gt;=Personnel!$E$40,Personnel!$G$40="Yes"),Personnel!$D$40*Personnel!$I$40,0)+IF(AND(9&gt;=Personnel!$E$41,Personnel!$G$41="Yes"),Personnel!$D$41*Personnel!$I$41,0)+IF(AND(9&gt;=Personnel!$E$42,Personnel!$G$42="Yes"),Personnel!$D$42*Personnel!$I$42,0))+(IF(AND(9&gt;=Personnel!$E$40,Personnel!$G$40="Yes"),Personnel!$D$40*Personnel!$I$40,0)+IF(AND(9&gt;=Personnel!$E$41,Personnel!$G$41="Yes"),Personnel!$D$41*Personnel!$I$41,0)+IF(AND(9&gt;=Personnel!$E$42,Personnel!$G$42="Yes"),Personnel!$D$42*Personnel!$I$42,0))*(Assumptions!$B$20+Assumptions!$B$21+Assumptions!$B$22+Assumptions!$B$23))*Escalation!$B$10</f>
        <v>110026.04166666667</v>
      </c>
      <c r="O112" s="301">
        <f>((IF(AND(10&gt;=Personnel!$E$36,Personnel!$G$36="Yes"),Personnel!$D$36*Personnel!$I$36,0)+IF(AND(10&gt;=Personnel!$E$37,Personnel!$G$37="Yes"),Personnel!$D$37*Personnel!$I$37,0)+IF(AND(10&gt;=Personnel!$E$38,Personnel!$G$38="Yes"),Personnel!$D$38*Personnel!$I$38,0)+IF(AND(10&gt;=Personnel!$E$39,Personnel!$G$39="Yes"),Personnel!$D$39*Personnel!$I$39,0)+IF(AND(10&gt;=Personnel!$E$40,Personnel!$G$40="Yes"),Personnel!$D$40*Personnel!$I$40,0)+IF(AND(10&gt;=Personnel!$E$41,Personnel!$G$41="Yes"),Personnel!$D$41*Personnel!$I$41,0)+IF(AND(10&gt;=Personnel!$E$42,Personnel!$G$42="Yes"),Personnel!$D$42*Personnel!$I$42,0))+(IF(AND(10&gt;=Personnel!$E$40,Personnel!$G$40="Yes"),Personnel!$D$40*Personnel!$I$40,0)+IF(AND(10&gt;=Personnel!$E$41,Personnel!$G$41="Yes"),Personnel!$D$41*Personnel!$I$41,0)+IF(AND(10&gt;=Personnel!$E$42,Personnel!$G$42="Yes"),Personnel!$D$42*Personnel!$I$42,0))*(Assumptions!$B$20+Assumptions!$B$21+Assumptions!$B$22+Assumptions!$B$23))*Escalation!$B$11</f>
        <v>110026.04166666667</v>
      </c>
      <c r="P112" s="301">
        <f>((IF(AND(11&gt;=Personnel!$E$36,Personnel!$G$36="Yes"),Personnel!$D$36*Personnel!$I$36,0)+IF(AND(11&gt;=Personnel!$E$37,Personnel!$G$37="Yes"),Personnel!$D$37*Personnel!$I$37,0)+IF(AND(11&gt;=Personnel!$E$38,Personnel!$G$38="Yes"),Personnel!$D$38*Personnel!$I$38,0)+IF(AND(11&gt;=Personnel!$E$39,Personnel!$G$39="Yes"),Personnel!$D$39*Personnel!$I$39,0)+IF(AND(11&gt;=Personnel!$E$40,Personnel!$G$40="Yes"),Personnel!$D$40*Personnel!$I$40,0)+IF(AND(11&gt;=Personnel!$E$41,Personnel!$G$41="Yes"),Personnel!$D$41*Personnel!$I$41,0)+IF(AND(11&gt;=Personnel!$E$42,Personnel!$G$42="Yes"),Personnel!$D$42*Personnel!$I$42,0))+(IF(AND(11&gt;=Personnel!$E$40,Personnel!$G$40="Yes"),Personnel!$D$40*Personnel!$I$40,0)+IF(AND(11&gt;=Personnel!$E$41,Personnel!$G$41="Yes"),Personnel!$D$41*Personnel!$I$41,0)+IF(AND(11&gt;=Personnel!$E$42,Personnel!$G$42="Yes"),Personnel!$D$42*Personnel!$I$42,0))*(Assumptions!$B$20+Assumptions!$B$21+Assumptions!$B$22+Assumptions!$B$23))*Escalation!$B$12</f>
        <v>110026.04166666667</v>
      </c>
      <c r="Q112" s="301">
        <f>((IF(AND(12&gt;=Personnel!$E$36,Personnel!$G$36="Yes"),Personnel!$D$36*Personnel!$I$36,0)+IF(AND(12&gt;=Personnel!$E$37,Personnel!$G$37="Yes"),Personnel!$D$37*Personnel!$I$37,0)+IF(AND(12&gt;=Personnel!$E$38,Personnel!$G$38="Yes"),Personnel!$D$38*Personnel!$I$38,0)+IF(AND(12&gt;=Personnel!$E$39,Personnel!$G$39="Yes"),Personnel!$D$39*Personnel!$I$39,0)+IF(AND(12&gt;=Personnel!$E$40,Personnel!$G$40="Yes"),Personnel!$D$40*Personnel!$I$40,0)+IF(AND(12&gt;=Personnel!$E$41,Personnel!$G$41="Yes"),Personnel!$D$41*Personnel!$I$41,0)+IF(AND(12&gt;=Personnel!$E$42,Personnel!$G$42="Yes"),Personnel!$D$42*Personnel!$I$42,0))+(IF(AND(12&gt;=Personnel!$E$40,Personnel!$G$40="Yes"),Personnel!$D$40*Personnel!$I$40,0)+IF(AND(12&gt;=Personnel!$E$41,Personnel!$G$41="Yes"),Personnel!$D$41*Personnel!$I$41,0)+IF(AND(12&gt;=Personnel!$E$42,Personnel!$G$42="Yes"),Personnel!$D$42*Personnel!$I$42,0))*(Assumptions!$B$20+Assumptions!$B$21+Assumptions!$B$22+Assumptions!$B$23))*Escalation!$B$13</f>
        <v>110026.04166666667</v>
      </c>
      <c r="R112" s="301">
        <f>((IF(AND(13&gt;=Personnel!$E$36,Personnel!$G$36="Yes"),Personnel!$D$36*Personnel!$I$36,0)+IF(AND(13&gt;=Personnel!$E$37,Personnel!$G$37="Yes"),Personnel!$D$37*Personnel!$I$37,0)+IF(AND(13&gt;=Personnel!$E$38,Personnel!$G$38="Yes"),Personnel!$D$38*Personnel!$I$38,0)+IF(AND(13&gt;=Personnel!$E$39,Personnel!$G$39="Yes"),Personnel!$D$39*Personnel!$I$39,0)+IF(AND(13&gt;=Personnel!$E$40,Personnel!$G$40="Yes"),Personnel!$D$40*Personnel!$I$40,0)+IF(AND(13&gt;=Personnel!$E$41,Personnel!$G$41="Yes"),Personnel!$D$41*Personnel!$I$41,0)+IF(AND(13&gt;=Personnel!$E$42,Personnel!$G$42="Yes"),Personnel!$D$42*Personnel!$I$42,0))+(IF(AND(13&gt;=Personnel!$E$40,Personnel!$G$40="Yes"),Personnel!$D$40*Personnel!$I$40,0)+IF(AND(13&gt;=Personnel!$E$41,Personnel!$G$41="Yes"),Personnel!$D$41*Personnel!$I$41,0)+IF(AND(13&gt;=Personnel!$E$42,Personnel!$G$42="Yes"),Personnel!$D$42*Personnel!$I$42,0))*(Assumptions!$B$20+Assumptions!$B$21+Assumptions!$B$22+Assumptions!$B$23))*Escalation!$B$14</f>
        <v>112226.5625</v>
      </c>
      <c r="S112" s="301">
        <f>((IF(AND(14&gt;=Personnel!$E$36,Personnel!$G$36="Yes"),Personnel!$D$36*Personnel!$I$36,0)+IF(AND(14&gt;=Personnel!$E$37,Personnel!$G$37="Yes"),Personnel!$D$37*Personnel!$I$37,0)+IF(AND(14&gt;=Personnel!$E$38,Personnel!$G$38="Yes"),Personnel!$D$38*Personnel!$I$38,0)+IF(AND(14&gt;=Personnel!$E$39,Personnel!$G$39="Yes"),Personnel!$D$39*Personnel!$I$39,0)+IF(AND(14&gt;=Personnel!$E$40,Personnel!$G$40="Yes"),Personnel!$D$40*Personnel!$I$40,0)+IF(AND(14&gt;=Personnel!$E$41,Personnel!$G$41="Yes"),Personnel!$D$41*Personnel!$I$41,0)+IF(AND(14&gt;=Personnel!$E$42,Personnel!$G$42="Yes"),Personnel!$D$42*Personnel!$I$42,0))+(IF(AND(14&gt;=Personnel!$E$40,Personnel!$G$40="Yes"),Personnel!$D$40*Personnel!$I$40,0)+IF(AND(14&gt;=Personnel!$E$41,Personnel!$G$41="Yes"),Personnel!$D$41*Personnel!$I$41,0)+IF(AND(14&gt;=Personnel!$E$42,Personnel!$G$42="Yes"),Personnel!$D$42*Personnel!$I$42,0))*(Assumptions!$B$20+Assumptions!$B$21+Assumptions!$B$22+Assumptions!$B$23))*Escalation!$B$15</f>
        <v>112226.5625</v>
      </c>
      <c r="T112" s="301">
        <f>((IF(AND(15&gt;=Personnel!$E$36,Personnel!$G$36="Yes"),Personnel!$D$36*Personnel!$I$36,0)+IF(AND(15&gt;=Personnel!$E$37,Personnel!$G$37="Yes"),Personnel!$D$37*Personnel!$I$37,0)+IF(AND(15&gt;=Personnel!$E$38,Personnel!$G$38="Yes"),Personnel!$D$38*Personnel!$I$38,0)+IF(AND(15&gt;=Personnel!$E$39,Personnel!$G$39="Yes"),Personnel!$D$39*Personnel!$I$39,0)+IF(AND(15&gt;=Personnel!$E$40,Personnel!$G$40="Yes"),Personnel!$D$40*Personnel!$I$40,0)+IF(AND(15&gt;=Personnel!$E$41,Personnel!$G$41="Yes"),Personnel!$D$41*Personnel!$I$41,0)+IF(AND(15&gt;=Personnel!$E$42,Personnel!$G$42="Yes"),Personnel!$D$42*Personnel!$I$42,0))+(IF(AND(15&gt;=Personnel!$E$40,Personnel!$G$40="Yes"),Personnel!$D$40*Personnel!$I$40,0)+IF(AND(15&gt;=Personnel!$E$41,Personnel!$G$41="Yes"),Personnel!$D$41*Personnel!$I$41,0)+IF(AND(15&gt;=Personnel!$E$42,Personnel!$G$42="Yes"),Personnel!$D$42*Personnel!$I$42,0))*(Assumptions!$B$20+Assumptions!$B$21+Assumptions!$B$22+Assumptions!$B$23))*Escalation!$B$16</f>
        <v>112226.5625</v>
      </c>
      <c r="U112" s="301">
        <f>((IF(AND(16&gt;=Personnel!$E$36,Personnel!$G$36="Yes"),Personnel!$D$36*Personnel!$I$36,0)+IF(AND(16&gt;=Personnel!$E$37,Personnel!$G$37="Yes"),Personnel!$D$37*Personnel!$I$37,0)+IF(AND(16&gt;=Personnel!$E$38,Personnel!$G$38="Yes"),Personnel!$D$38*Personnel!$I$38,0)+IF(AND(16&gt;=Personnel!$E$39,Personnel!$G$39="Yes"),Personnel!$D$39*Personnel!$I$39,0)+IF(AND(16&gt;=Personnel!$E$40,Personnel!$G$40="Yes"),Personnel!$D$40*Personnel!$I$40,0)+IF(AND(16&gt;=Personnel!$E$41,Personnel!$G$41="Yes"),Personnel!$D$41*Personnel!$I$41,0)+IF(AND(16&gt;=Personnel!$E$42,Personnel!$G$42="Yes"),Personnel!$D$42*Personnel!$I$42,0))+(IF(AND(16&gt;=Personnel!$E$40,Personnel!$G$40="Yes"),Personnel!$D$40*Personnel!$I$40,0)+IF(AND(16&gt;=Personnel!$E$41,Personnel!$G$41="Yes"),Personnel!$D$41*Personnel!$I$41,0)+IF(AND(16&gt;=Personnel!$E$42,Personnel!$G$42="Yes"),Personnel!$D$42*Personnel!$I$42,0))*(Assumptions!$B$20+Assumptions!$B$21+Assumptions!$B$22+Assumptions!$B$23))*Escalation!$B$17</f>
        <v>112226.5625</v>
      </c>
      <c r="V112" s="301">
        <f>((IF(AND(17&gt;=Personnel!$E$36,Personnel!$G$36="Yes"),Personnel!$D$36*Personnel!$I$36,0)+IF(AND(17&gt;=Personnel!$E$37,Personnel!$G$37="Yes"),Personnel!$D$37*Personnel!$I$37,0)+IF(AND(17&gt;=Personnel!$E$38,Personnel!$G$38="Yes"),Personnel!$D$38*Personnel!$I$38,0)+IF(AND(17&gt;=Personnel!$E$39,Personnel!$G$39="Yes"),Personnel!$D$39*Personnel!$I$39,0)+IF(AND(17&gt;=Personnel!$E$40,Personnel!$G$40="Yes"),Personnel!$D$40*Personnel!$I$40,0)+IF(AND(17&gt;=Personnel!$E$41,Personnel!$G$41="Yes"),Personnel!$D$41*Personnel!$I$41,0)+IF(AND(17&gt;=Personnel!$E$42,Personnel!$G$42="Yes"),Personnel!$D$42*Personnel!$I$42,0))+(IF(AND(17&gt;=Personnel!$E$40,Personnel!$G$40="Yes"),Personnel!$D$40*Personnel!$I$40,0)+IF(AND(17&gt;=Personnel!$E$41,Personnel!$G$41="Yes"),Personnel!$D$41*Personnel!$I$41,0)+IF(AND(17&gt;=Personnel!$E$42,Personnel!$G$42="Yes"),Personnel!$D$42*Personnel!$I$42,0))*(Assumptions!$B$20+Assumptions!$B$21+Assumptions!$B$22+Assumptions!$B$23))*Escalation!$B$18</f>
        <v>112226.5625</v>
      </c>
      <c r="W112" s="301">
        <f>((IF(AND(18&gt;=Personnel!$E$36,Personnel!$G$36="Yes"),Personnel!$D$36*Personnel!$I$36,0)+IF(AND(18&gt;=Personnel!$E$37,Personnel!$G$37="Yes"),Personnel!$D$37*Personnel!$I$37,0)+IF(AND(18&gt;=Personnel!$E$38,Personnel!$G$38="Yes"),Personnel!$D$38*Personnel!$I$38,0)+IF(AND(18&gt;=Personnel!$E$39,Personnel!$G$39="Yes"),Personnel!$D$39*Personnel!$I$39,0)+IF(AND(18&gt;=Personnel!$E$40,Personnel!$G$40="Yes"),Personnel!$D$40*Personnel!$I$40,0)+IF(AND(18&gt;=Personnel!$E$41,Personnel!$G$41="Yes"),Personnel!$D$41*Personnel!$I$41,0)+IF(AND(18&gt;=Personnel!$E$42,Personnel!$G$42="Yes"),Personnel!$D$42*Personnel!$I$42,0))+(IF(AND(18&gt;=Personnel!$E$40,Personnel!$G$40="Yes"),Personnel!$D$40*Personnel!$I$40,0)+IF(AND(18&gt;=Personnel!$E$41,Personnel!$G$41="Yes"),Personnel!$D$41*Personnel!$I$41,0)+IF(AND(18&gt;=Personnel!$E$42,Personnel!$G$42="Yes"),Personnel!$D$42*Personnel!$I$42,0))*(Assumptions!$B$20+Assumptions!$B$21+Assumptions!$B$22+Assumptions!$B$23))*Escalation!$B$19</f>
        <v>112226.5625</v>
      </c>
      <c r="X112" s="301">
        <f>((IF(AND(19&gt;=Personnel!$E$36,Personnel!$G$36="Yes"),Personnel!$D$36*Personnel!$I$36,0)+IF(AND(19&gt;=Personnel!$E$37,Personnel!$G$37="Yes"),Personnel!$D$37*Personnel!$I$37,0)+IF(AND(19&gt;=Personnel!$E$38,Personnel!$G$38="Yes"),Personnel!$D$38*Personnel!$I$38,0)+IF(AND(19&gt;=Personnel!$E$39,Personnel!$G$39="Yes"),Personnel!$D$39*Personnel!$I$39,0)+IF(AND(19&gt;=Personnel!$E$40,Personnel!$G$40="Yes"),Personnel!$D$40*Personnel!$I$40,0)+IF(AND(19&gt;=Personnel!$E$41,Personnel!$G$41="Yes"),Personnel!$D$41*Personnel!$I$41,0)+IF(AND(19&gt;=Personnel!$E$42,Personnel!$G$42="Yes"),Personnel!$D$42*Personnel!$I$42,0))+(IF(AND(19&gt;=Personnel!$E$40,Personnel!$G$40="Yes"),Personnel!$D$40*Personnel!$I$40,0)+IF(AND(19&gt;=Personnel!$E$41,Personnel!$G$41="Yes"),Personnel!$D$41*Personnel!$I$41,0)+IF(AND(19&gt;=Personnel!$E$42,Personnel!$G$42="Yes"),Personnel!$D$42*Personnel!$I$42,0))*(Assumptions!$B$20+Assumptions!$B$21+Assumptions!$B$22+Assumptions!$B$23))*Escalation!$B$20</f>
        <v>112226.5625</v>
      </c>
      <c r="Y112" s="301">
        <f>((IF(AND(20&gt;=Personnel!$E$36,Personnel!$G$36="Yes"),Personnel!$D$36*Personnel!$I$36,0)+IF(AND(20&gt;=Personnel!$E$37,Personnel!$G$37="Yes"),Personnel!$D$37*Personnel!$I$37,0)+IF(AND(20&gt;=Personnel!$E$38,Personnel!$G$38="Yes"),Personnel!$D$38*Personnel!$I$38,0)+IF(AND(20&gt;=Personnel!$E$39,Personnel!$G$39="Yes"),Personnel!$D$39*Personnel!$I$39,0)+IF(AND(20&gt;=Personnel!$E$40,Personnel!$G$40="Yes"),Personnel!$D$40*Personnel!$I$40,0)+IF(AND(20&gt;=Personnel!$E$41,Personnel!$G$41="Yes"),Personnel!$D$41*Personnel!$I$41,0)+IF(AND(20&gt;=Personnel!$E$42,Personnel!$G$42="Yes"),Personnel!$D$42*Personnel!$I$42,0))+(IF(AND(20&gt;=Personnel!$E$40,Personnel!$G$40="Yes"),Personnel!$D$40*Personnel!$I$40,0)+IF(AND(20&gt;=Personnel!$E$41,Personnel!$G$41="Yes"),Personnel!$D$41*Personnel!$I$41,0)+IF(AND(20&gt;=Personnel!$E$42,Personnel!$G$42="Yes"),Personnel!$D$42*Personnel!$I$42,0))*(Assumptions!$B$20+Assumptions!$B$21+Assumptions!$B$22+Assumptions!$B$23))*Escalation!$B$21</f>
        <v>112226.5625</v>
      </c>
      <c r="Z112" s="301">
        <f>((IF(AND(21&gt;=Personnel!$E$36,Personnel!$G$36="Yes"),Personnel!$D$36*Personnel!$I$36,0)+IF(AND(21&gt;=Personnel!$E$37,Personnel!$G$37="Yes"),Personnel!$D$37*Personnel!$I$37,0)+IF(AND(21&gt;=Personnel!$E$38,Personnel!$G$38="Yes"),Personnel!$D$38*Personnel!$I$38,0)+IF(AND(21&gt;=Personnel!$E$39,Personnel!$G$39="Yes"),Personnel!$D$39*Personnel!$I$39,0)+IF(AND(21&gt;=Personnel!$E$40,Personnel!$G$40="Yes"),Personnel!$D$40*Personnel!$I$40,0)+IF(AND(21&gt;=Personnel!$E$41,Personnel!$G$41="Yes"),Personnel!$D$41*Personnel!$I$41,0)+IF(AND(21&gt;=Personnel!$E$42,Personnel!$G$42="Yes"),Personnel!$D$42*Personnel!$I$42,0))+(IF(AND(21&gt;=Personnel!$E$40,Personnel!$G$40="Yes"),Personnel!$D$40*Personnel!$I$40,0)+IF(AND(21&gt;=Personnel!$E$41,Personnel!$G$41="Yes"),Personnel!$D$41*Personnel!$I$41,0)+IF(AND(21&gt;=Personnel!$E$42,Personnel!$G$42="Yes"),Personnel!$D$42*Personnel!$I$42,0))*(Assumptions!$B$20+Assumptions!$B$21+Assumptions!$B$22+Assumptions!$B$23))*Escalation!$B$22</f>
        <v>112226.5625</v>
      </c>
      <c r="AA112" s="301">
        <f>((IF(AND(22&gt;=Personnel!$E$36,Personnel!$G$36="Yes"),Personnel!$D$36*Personnel!$I$36,0)+IF(AND(22&gt;=Personnel!$E$37,Personnel!$G$37="Yes"),Personnel!$D$37*Personnel!$I$37,0)+IF(AND(22&gt;=Personnel!$E$38,Personnel!$G$38="Yes"),Personnel!$D$38*Personnel!$I$38,0)+IF(AND(22&gt;=Personnel!$E$39,Personnel!$G$39="Yes"),Personnel!$D$39*Personnel!$I$39,0)+IF(AND(22&gt;=Personnel!$E$40,Personnel!$G$40="Yes"),Personnel!$D$40*Personnel!$I$40,0)+IF(AND(22&gt;=Personnel!$E$41,Personnel!$G$41="Yes"),Personnel!$D$41*Personnel!$I$41,0)+IF(AND(22&gt;=Personnel!$E$42,Personnel!$G$42="Yes"),Personnel!$D$42*Personnel!$I$42,0))+(IF(AND(22&gt;=Personnel!$E$40,Personnel!$G$40="Yes"),Personnel!$D$40*Personnel!$I$40,0)+IF(AND(22&gt;=Personnel!$E$41,Personnel!$G$41="Yes"),Personnel!$D$41*Personnel!$I$41,0)+IF(AND(22&gt;=Personnel!$E$42,Personnel!$G$42="Yes"),Personnel!$D$42*Personnel!$I$42,0))*(Assumptions!$B$20+Assumptions!$B$21+Assumptions!$B$22+Assumptions!$B$23))*Escalation!$B$23</f>
        <v>112226.5625</v>
      </c>
      <c r="AB112" s="301">
        <f>((IF(AND(23&gt;=Personnel!$E$36,Personnel!$G$36="Yes"),Personnel!$D$36*Personnel!$I$36,0)+IF(AND(23&gt;=Personnel!$E$37,Personnel!$G$37="Yes"),Personnel!$D$37*Personnel!$I$37,0)+IF(AND(23&gt;=Personnel!$E$38,Personnel!$G$38="Yes"),Personnel!$D$38*Personnel!$I$38,0)+IF(AND(23&gt;=Personnel!$E$39,Personnel!$G$39="Yes"),Personnel!$D$39*Personnel!$I$39,0)+IF(AND(23&gt;=Personnel!$E$40,Personnel!$G$40="Yes"),Personnel!$D$40*Personnel!$I$40,0)+IF(AND(23&gt;=Personnel!$E$41,Personnel!$G$41="Yes"),Personnel!$D$41*Personnel!$I$41,0)+IF(AND(23&gt;=Personnel!$E$42,Personnel!$G$42="Yes"),Personnel!$D$42*Personnel!$I$42,0))+(IF(AND(23&gt;=Personnel!$E$40,Personnel!$G$40="Yes"),Personnel!$D$40*Personnel!$I$40,0)+IF(AND(23&gt;=Personnel!$E$41,Personnel!$G$41="Yes"),Personnel!$D$41*Personnel!$I$41,0)+IF(AND(23&gt;=Personnel!$E$42,Personnel!$G$42="Yes"),Personnel!$D$42*Personnel!$I$42,0))*(Assumptions!$B$20+Assumptions!$B$21+Assumptions!$B$22+Assumptions!$B$23))*Escalation!$B$24</f>
        <v>112226.5625</v>
      </c>
      <c r="AC112" s="301">
        <f>((IF(AND(24&gt;=Personnel!$E$36,Personnel!$G$36="Yes"),Personnel!$D$36*Personnel!$I$36,0)+IF(AND(24&gt;=Personnel!$E$37,Personnel!$G$37="Yes"),Personnel!$D$37*Personnel!$I$37,0)+IF(AND(24&gt;=Personnel!$E$38,Personnel!$G$38="Yes"),Personnel!$D$38*Personnel!$I$38,0)+IF(AND(24&gt;=Personnel!$E$39,Personnel!$G$39="Yes"),Personnel!$D$39*Personnel!$I$39,0)+IF(AND(24&gt;=Personnel!$E$40,Personnel!$G$40="Yes"),Personnel!$D$40*Personnel!$I$40,0)+IF(AND(24&gt;=Personnel!$E$41,Personnel!$G$41="Yes"),Personnel!$D$41*Personnel!$I$41,0)+IF(AND(24&gt;=Personnel!$E$42,Personnel!$G$42="Yes"),Personnel!$D$42*Personnel!$I$42,0))+(IF(AND(24&gt;=Personnel!$E$40,Personnel!$G$40="Yes"),Personnel!$D$40*Personnel!$I$40,0)+IF(AND(24&gt;=Personnel!$E$41,Personnel!$G$41="Yes"),Personnel!$D$41*Personnel!$I$41,0)+IF(AND(24&gt;=Personnel!$E$42,Personnel!$G$42="Yes"),Personnel!$D$42*Personnel!$I$42,0))*(Assumptions!$B$20+Assumptions!$B$21+Assumptions!$B$22+Assumptions!$B$23))*Escalation!$B$25</f>
        <v>112226.5625</v>
      </c>
      <c r="AD112" s="301">
        <f>((IF(AND(25&gt;=Personnel!$E$36,Personnel!$G$36="Yes"),Personnel!$D$36*Personnel!$I$36,0)+IF(AND(25&gt;=Personnel!$E$37,Personnel!$G$37="Yes"),Personnel!$D$37*Personnel!$I$37,0)+IF(AND(25&gt;=Personnel!$E$38,Personnel!$G$38="Yes"),Personnel!$D$38*Personnel!$I$38,0)+IF(AND(25&gt;=Personnel!$E$39,Personnel!$G$39="Yes"),Personnel!$D$39*Personnel!$I$39,0)+IF(AND(25&gt;=Personnel!$E$40,Personnel!$G$40="Yes"),Personnel!$D$40*Personnel!$I$40,0)+IF(AND(25&gt;=Personnel!$E$41,Personnel!$G$41="Yes"),Personnel!$D$41*Personnel!$I$41,0)+IF(AND(25&gt;=Personnel!$E$42,Personnel!$G$42="Yes"),Personnel!$D$42*Personnel!$I$42,0))+(IF(AND(25&gt;=Personnel!$E$40,Personnel!$G$40="Yes"),Personnel!$D$40*Personnel!$I$40,0)+IF(AND(25&gt;=Personnel!$E$41,Personnel!$G$41="Yes"),Personnel!$D$41*Personnel!$I$41,0)+IF(AND(25&gt;=Personnel!$E$42,Personnel!$G$42="Yes"),Personnel!$D$42*Personnel!$I$42,0))*(Assumptions!$B$20+Assumptions!$B$21+Assumptions!$B$22+Assumptions!$B$23))*Escalation!$B$26</f>
        <v>114471.09375</v>
      </c>
      <c r="AE112" s="301">
        <f>((IF(AND(26&gt;=Personnel!$E$36,Personnel!$G$36="Yes"),Personnel!$D$36*Personnel!$I$36,0)+IF(AND(26&gt;=Personnel!$E$37,Personnel!$G$37="Yes"),Personnel!$D$37*Personnel!$I$37,0)+IF(AND(26&gt;=Personnel!$E$38,Personnel!$G$38="Yes"),Personnel!$D$38*Personnel!$I$38,0)+IF(AND(26&gt;=Personnel!$E$39,Personnel!$G$39="Yes"),Personnel!$D$39*Personnel!$I$39,0)+IF(AND(26&gt;=Personnel!$E$40,Personnel!$G$40="Yes"),Personnel!$D$40*Personnel!$I$40,0)+IF(AND(26&gt;=Personnel!$E$41,Personnel!$G$41="Yes"),Personnel!$D$41*Personnel!$I$41,0)+IF(AND(26&gt;=Personnel!$E$42,Personnel!$G$42="Yes"),Personnel!$D$42*Personnel!$I$42,0))+(IF(AND(26&gt;=Personnel!$E$40,Personnel!$G$40="Yes"),Personnel!$D$40*Personnel!$I$40,0)+IF(AND(26&gt;=Personnel!$E$41,Personnel!$G$41="Yes"),Personnel!$D$41*Personnel!$I$41,0)+IF(AND(26&gt;=Personnel!$E$42,Personnel!$G$42="Yes"),Personnel!$D$42*Personnel!$I$42,0))*(Assumptions!$B$20+Assumptions!$B$21+Assumptions!$B$22+Assumptions!$B$23))*Escalation!$B$27</f>
        <v>114471.09375</v>
      </c>
      <c r="AF112" s="301">
        <f>((IF(AND(27&gt;=Personnel!$E$36,Personnel!$G$36="Yes"),Personnel!$D$36*Personnel!$I$36,0)+IF(AND(27&gt;=Personnel!$E$37,Personnel!$G$37="Yes"),Personnel!$D$37*Personnel!$I$37,0)+IF(AND(27&gt;=Personnel!$E$38,Personnel!$G$38="Yes"),Personnel!$D$38*Personnel!$I$38,0)+IF(AND(27&gt;=Personnel!$E$39,Personnel!$G$39="Yes"),Personnel!$D$39*Personnel!$I$39,0)+IF(AND(27&gt;=Personnel!$E$40,Personnel!$G$40="Yes"),Personnel!$D$40*Personnel!$I$40,0)+IF(AND(27&gt;=Personnel!$E$41,Personnel!$G$41="Yes"),Personnel!$D$41*Personnel!$I$41,0)+IF(AND(27&gt;=Personnel!$E$42,Personnel!$G$42="Yes"),Personnel!$D$42*Personnel!$I$42,0))+(IF(AND(27&gt;=Personnel!$E$40,Personnel!$G$40="Yes"),Personnel!$D$40*Personnel!$I$40,0)+IF(AND(27&gt;=Personnel!$E$41,Personnel!$G$41="Yes"),Personnel!$D$41*Personnel!$I$41,0)+IF(AND(27&gt;=Personnel!$E$42,Personnel!$G$42="Yes"),Personnel!$D$42*Personnel!$I$42,0))*(Assumptions!$B$20+Assumptions!$B$21+Assumptions!$B$22+Assumptions!$B$23))*Escalation!$B$28</f>
        <v>114471.09375</v>
      </c>
      <c r="AG112" s="301">
        <f>((IF(AND(28&gt;=Personnel!$E$36,Personnel!$G$36="Yes"),Personnel!$D$36*Personnel!$I$36,0)+IF(AND(28&gt;=Personnel!$E$37,Personnel!$G$37="Yes"),Personnel!$D$37*Personnel!$I$37,0)+IF(AND(28&gt;=Personnel!$E$38,Personnel!$G$38="Yes"),Personnel!$D$38*Personnel!$I$38,0)+IF(AND(28&gt;=Personnel!$E$39,Personnel!$G$39="Yes"),Personnel!$D$39*Personnel!$I$39,0)+IF(AND(28&gt;=Personnel!$E$40,Personnel!$G$40="Yes"),Personnel!$D$40*Personnel!$I$40,0)+IF(AND(28&gt;=Personnel!$E$41,Personnel!$G$41="Yes"),Personnel!$D$41*Personnel!$I$41,0)+IF(AND(28&gt;=Personnel!$E$42,Personnel!$G$42="Yes"),Personnel!$D$42*Personnel!$I$42,0))+(IF(AND(28&gt;=Personnel!$E$40,Personnel!$G$40="Yes"),Personnel!$D$40*Personnel!$I$40,0)+IF(AND(28&gt;=Personnel!$E$41,Personnel!$G$41="Yes"),Personnel!$D$41*Personnel!$I$41,0)+IF(AND(28&gt;=Personnel!$E$42,Personnel!$G$42="Yes"),Personnel!$D$42*Personnel!$I$42,0))*(Assumptions!$B$20+Assumptions!$B$21+Assumptions!$B$22+Assumptions!$B$23))*Escalation!$B$29</f>
        <v>114471.09375</v>
      </c>
      <c r="AH112" s="301">
        <f>((IF(AND(29&gt;=Personnel!$E$36,Personnel!$G$36="Yes"),Personnel!$D$36*Personnel!$I$36,0)+IF(AND(29&gt;=Personnel!$E$37,Personnel!$G$37="Yes"),Personnel!$D$37*Personnel!$I$37,0)+IF(AND(29&gt;=Personnel!$E$38,Personnel!$G$38="Yes"),Personnel!$D$38*Personnel!$I$38,0)+IF(AND(29&gt;=Personnel!$E$39,Personnel!$G$39="Yes"),Personnel!$D$39*Personnel!$I$39,0)+IF(AND(29&gt;=Personnel!$E$40,Personnel!$G$40="Yes"),Personnel!$D$40*Personnel!$I$40,0)+IF(AND(29&gt;=Personnel!$E$41,Personnel!$G$41="Yes"),Personnel!$D$41*Personnel!$I$41,0)+IF(AND(29&gt;=Personnel!$E$42,Personnel!$G$42="Yes"),Personnel!$D$42*Personnel!$I$42,0))+(IF(AND(29&gt;=Personnel!$E$40,Personnel!$G$40="Yes"),Personnel!$D$40*Personnel!$I$40,0)+IF(AND(29&gt;=Personnel!$E$41,Personnel!$G$41="Yes"),Personnel!$D$41*Personnel!$I$41,0)+IF(AND(29&gt;=Personnel!$E$42,Personnel!$G$42="Yes"),Personnel!$D$42*Personnel!$I$42,0))*(Assumptions!$B$20+Assumptions!$B$21+Assumptions!$B$22+Assumptions!$B$23))*Escalation!$B$30</f>
        <v>114471.09375</v>
      </c>
      <c r="AI112" s="301">
        <f>((IF(AND(30&gt;=Personnel!$E$36,Personnel!$G$36="Yes"),Personnel!$D$36*Personnel!$I$36,0)+IF(AND(30&gt;=Personnel!$E$37,Personnel!$G$37="Yes"),Personnel!$D$37*Personnel!$I$37,0)+IF(AND(30&gt;=Personnel!$E$38,Personnel!$G$38="Yes"),Personnel!$D$38*Personnel!$I$38,0)+IF(AND(30&gt;=Personnel!$E$39,Personnel!$G$39="Yes"),Personnel!$D$39*Personnel!$I$39,0)+IF(AND(30&gt;=Personnel!$E$40,Personnel!$G$40="Yes"),Personnel!$D$40*Personnel!$I$40,0)+IF(AND(30&gt;=Personnel!$E$41,Personnel!$G$41="Yes"),Personnel!$D$41*Personnel!$I$41,0)+IF(AND(30&gt;=Personnel!$E$42,Personnel!$G$42="Yes"),Personnel!$D$42*Personnel!$I$42,0))+(IF(AND(30&gt;=Personnel!$E$40,Personnel!$G$40="Yes"),Personnel!$D$40*Personnel!$I$40,0)+IF(AND(30&gt;=Personnel!$E$41,Personnel!$G$41="Yes"),Personnel!$D$41*Personnel!$I$41,0)+IF(AND(30&gt;=Personnel!$E$42,Personnel!$G$42="Yes"),Personnel!$D$42*Personnel!$I$42,0))*(Assumptions!$B$20+Assumptions!$B$21+Assumptions!$B$22+Assumptions!$B$23))*Escalation!$B$31</f>
        <v>114471.09375</v>
      </c>
      <c r="AJ112" s="301">
        <f>((IF(AND(31&gt;=Personnel!$E$36,Personnel!$G$36="Yes"),Personnel!$D$36*Personnel!$I$36,0)+IF(AND(31&gt;=Personnel!$E$37,Personnel!$G$37="Yes"),Personnel!$D$37*Personnel!$I$37,0)+IF(AND(31&gt;=Personnel!$E$38,Personnel!$G$38="Yes"),Personnel!$D$38*Personnel!$I$38,0)+IF(AND(31&gt;=Personnel!$E$39,Personnel!$G$39="Yes"),Personnel!$D$39*Personnel!$I$39,0)+IF(AND(31&gt;=Personnel!$E$40,Personnel!$G$40="Yes"),Personnel!$D$40*Personnel!$I$40,0)+IF(AND(31&gt;=Personnel!$E$41,Personnel!$G$41="Yes"),Personnel!$D$41*Personnel!$I$41,0)+IF(AND(31&gt;=Personnel!$E$42,Personnel!$G$42="Yes"),Personnel!$D$42*Personnel!$I$42,0))+(IF(AND(31&gt;=Personnel!$E$40,Personnel!$G$40="Yes"),Personnel!$D$40*Personnel!$I$40,0)+IF(AND(31&gt;=Personnel!$E$41,Personnel!$G$41="Yes"),Personnel!$D$41*Personnel!$I$41,0)+IF(AND(31&gt;=Personnel!$E$42,Personnel!$G$42="Yes"),Personnel!$D$42*Personnel!$I$42,0))*(Assumptions!$B$20+Assumptions!$B$21+Assumptions!$B$22+Assumptions!$B$23))*Escalation!$B$32</f>
        <v>114471.09375</v>
      </c>
      <c r="AK112" s="301">
        <f>((IF(AND(32&gt;=Personnel!$E$36,Personnel!$G$36="Yes"),Personnel!$D$36*Personnel!$I$36,0)+IF(AND(32&gt;=Personnel!$E$37,Personnel!$G$37="Yes"),Personnel!$D$37*Personnel!$I$37,0)+IF(AND(32&gt;=Personnel!$E$38,Personnel!$G$38="Yes"),Personnel!$D$38*Personnel!$I$38,0)+IF(AND(32&gt;=Personnel!$E$39,Personnel!$G$39="Yes"),Personnel!$D$39*Personnel!$I$39,0)+IF(AND(32&gt;=Personnel!$E$40,Personnel!$G$40="Yes"),Personnel!$D$40*Personnel!$I$40,0)+IF(AND(32&gt;=Personnel!$E$41,Personnel!$G$41="Yes"),Personnel!$D$41*Personnel!$I$41,0)+IF(AND(32&gt;=Personnel!$E$42,Personnel!$G$42="Yes"),Personnel!$D$42*Personnel!$I$42,0))+(IF(AND(32&gt;=Personnel!$E$40,Personnel!$G$40="Yes"),Personnel!$D$40*Personnel!$I$40,0)+IF(AND(32&gt;=Personnel!$E$41,Personnel!$G$41="Yes"),Personnel!$D$41*Personnel!$I$41,0)+IF(AND(32&gt;=Personnel!$E$42,Personnel!$G$42="Yes"),Personnel!$D$42*Personnel!$I$42,0))*(Assumptions!$B$20+Assumptions!$B$21+Assumptions!$B$22+Assumptions!$B$23))*Escalation!$B$33</f>
        <v>114471.09375</v>
      </c>
      <c r="AL112" s="301">
        <f>((IF(AND(33&gt;=Personnel!$E$36,Personnel!$G$36="Yes"),Personnel!$D$36*Personnel!$I$36,0)+IF(AND(33&gt;=Personnel!$E$37,Personnel!$G$37="Yes"),Personnel!$D$37*Personnel!$I$37,0)+IF(AND(33&gt;=Personnel!$E$38,Personnel!$G$38="Yes"),Personnel!$D$38*Personnel!$I$38,0)+IF(AND(33&gt;=Personnel!$E$39,Personnel!$G$39="Yes"),Personnel!$D$39*Personnel!$I$39,0)+IF(AND(33&gt;=Personnel!$E$40,Personnel!$G$40="Yes"),Personnel!$D$40*Personnel!$I$40,0)+IF(AND(33&gt;=Personnel!$E$41,Personnel!$G$41="Yes"),Personnel!$D$41*Personnel!$I$41,0)+IF(AND(33&gt;=Personnel!$E$42,Personnel!$G$42="Yes"),Personnel!$D$42*Personnel!$I$42,0))+(IF(AND(33&gt;=Personnel!$E$40,Personnel!$G$40="Yes"),Personnel!$D$40*Personnel!$I$40,0)+IF(AND(33&gt;=Personnel!$E$41,Personnel!$G$41="Yes"),Personnel!$D$41*Personnel!$I$41,0)+IF(AND(33&gt;=Personnel!$E$42,Personnel!$G$42="Yes"),Personnel!$D$42*Personnel!$I$42,0))*(Assumptions!$B$20+Assumptions!$B$21+Assumptions!$B$22+Assumptions!$B$23))*Escalation!$B$34</f>
        <v>114471.09375</v>
      </c>
      <c r="AM112" s="301">
        <f>((IF(AND(34&gt;=Personnel!$E$36,Personnel!$G$36="Yes"),Personnel!$D$36*Personnel!$I$36,0)+IF(AND(34&gt;=Personnel!$E$37,Personnel!$G$37="Yes"),Personnel!$D$37*Personnel!$I$37,0)+IF(AND(34&gt;=Personnel!$E$38,Personnel!$G$38="Yes"),Personnel!$D$38*Personnel!$I$38,0)+IF(AND(34&gt;=Personnel!$E$39,Personnel!$G$39="Yes"),Personnel!$D$39*Personnel!$I$39,0)+IF(AND(34&gt;=Personnel!$E$40,Personnel!$G$40="Yes"),Personnel!$D$40*Personnel!$I$40,0)+IF(AND(34&gt;=Personnel!$E$41,Personnel!$G$41="Yes"),Personnel!$D$41*Personnel!$I$41,0)+IF(AND(34&gt;=Personnel!$E$42,Personnel!$G$42="Yes"),Personnel!$D$42*Personnel!$I$42,0))+(IF(AND(34&gt;=Personnel!$E$40,Personnel!$G$40="Yes"),Personnel!$D$40*Personnel!$I$40,0)+IF(AND(34&gt;=Personnel!$E$41,Personnel!$G$41="Yes"),Personnel!$D$41*Personnel!$I$41,0)+IF(AND(34&gt;=Personnel!$E$42,Personnel!$G$42="Yes"),Personnel!$D$42*Personnel!$I$42,0))*(Assumptions!$B$20+Assumptions!$B$21+Assumptions!$B$22+Assumptions!$B$23))*Escalation!$B$35</f>
        <v>114471.09375</v>
      </c>
      <c r="AN112" s="301">
        <f>((IF(AND(35&gt;=Personnel!$E$36,Personnel!$G$36="Yes"),Personnel!$D$36*Personnel!$I$36,0)+IF(AND(35&gt;=Personnel!$E$37,Personnel!$G$37="Yes"),Personnel!$D$37*Personnel!$I$37,0)+IF(AND(35&gt;=Personnel!$E$38,Personnel!$G$38="Yes"),Personnel!$D$38*Personnel!$I$38,0)+IF(AND(35&gt;=Personnel!$E$39,Personnel!$G$39="Yes"),Personnel!$D$39*Personnel!$I$39,0)+IF(AND(35&gt;=Personnel!$E$40,Personnel!$G$40="Yes"),Personnel!$D$40*Personnel!$I$40,0)+IF(AND(35&gt;=Personnel!$E$41,Personnel!$G$41="Yes"),Personnel!$D$41*Personnel!$I$41,0)+IF(AND(35&gt;=Personnel!$E$42,Personnel!$G$42="Yes"),Personnel!$D$42*Personnel!$I$42,0))+(IF(AND(35&gt;=Personnel!$E$40,Personnel!$G$40="Yes"),Personnel!$D$40*Personnel!$I$40,0)+IF(AND(35&gt;=Personnel!$E$41,Personnel!$G$41="Yes"),Personnel!$D$41*Personnel!$I$41,0)+IF(AND(35&gt;=Personnel!$E$42,Personnel!$G$42="Yes"),Personnel!$D$42*Personnel!$I$42,0))*(Assumptions!$B$20+Assumptions!$B$21+Assumptions!$B$22+Assumptions!$B$23))*Escalation!$B$36</f>
        <v>114471.09375</v>
      </c>
      <c r="AO112" s="301">
        <f>((IF(AND(36&gt;=Personnel!$E$36,Personnel!$G$36="Yes"),Personnel!$D$36*Personnel!$I$36,0)+IF(AND(36&gt;=Personnel!$E$37,Personnel!$G$37="Yes"),Personnel!$D$37*Personnel!$I$37,0)+IF(AND(36&gt;=Personnel!$E$38,Personnel!$G$38="Yes"),Personnel!$D$38*Personnel!$I$38,0)+IF(AND(36&gt;=Personnel!$E$39,Personnel!$G$39="Yes"),Personnel!$D$39*Personnel!$I$39,0)+IF(AND(36&gt;=Personnel!$E$40,Personnel!$G$40="Yes"),Personnel!$D$40*Personnel!$I$40,0)+IF(AND(36&gt;=Personnel!$E$41,Personnel!$G$41="Yes"),Personnel!$D$41*Personnel!$I$41,0)+IF(AND(36&gt;=Personnel!$E$42,Personnel!$G$42="Yes"),Personnel!$D$42*Personnel!$I$42,0))+(IF(AND(36&gt;=Personnel!$E$40,Personnel!$G$40="Yes"),Personnel!$D$40*Personnel!$I$40,0)+IF(AND(36&gt;=Personnel!$E$41,Personnel!$G$41="Yes"),Personnel!$D$41*Personnel!$I$41,0)+IF(AND(36&gt;=Personnel!$E$42,Personnel!$G$42="Yes"),Personnel!$D$42*Personnel!$I$42,0))*(Assumptions!$B$20+Assumptions!$B$21+Assumptions!$B$22+Assumptions!$B$23))*Escalation!$B$37</f>
        <v>114471.09375</v>
      </c>
      <c r="AP112" s="301">
        <f>((IF(AND(37&gt;=Personnel!$E$36,Personnel!$G$36="Yes"),Personnel!$D$36*Personnel!$I$36,0)+IF(AND(37&gt;=Personnel!$E$37,Personnel!$G$37="Yes"),Personnel!$D$37*Personnel!$I$37,0)+IF(AND(37&gt;=Personnel!$E$38,Personnel!$G$38="Yes"),Personnel!$D$38*Personnel!$I$38,0)+IF(AND(37&gt;=Personnel!$E$39,Personnel!$G$39="Yes"),Personnel!$D$39*Personnel!$I$39,0)+IF(AND(37&gt;=Personnel!$E$40,Personnel!$G$40="Yes"),Personnel!$D$40*Personnel!$I$40,0)+IF(AND(37&gt;=Personnel!$E$41,Personnel!$G$41="Yes"),Personnel!$D$41*Personnel!$I$41,0)+IF(AND(37&gt;=Personnel!$E$42,Personnel!$G$42="Yes"),Personnel!$D$42*Personnel!$I$42,0))+(IF(AND(37&gt;=Personnel!$E$40,Personnel!$G$40="Yes"),Personnel!$D$40*Personnel!$I$40,0)+IF(AND(37&gt;=Personnel!$E$41,Personnel!$G$41="Yes"),Personnel!$D$41*Personnel!$I$41,0)+IF(AND(37&gt;=Personnel!$E$42,Personnel!$G$42="Yes"),Personnel!$D$42*Personnel!$I$42,0))*(Assumptions!$B$20+Assumptions!$B$21+Assumptions!$B$22+Assumptions!$B$23))*Escalation!$B$38</f>
        <v>116760.515625</v>
      </c>
      <c r="AQ112" s="301">
        <f>((IF(AND(38&gt;=Personnel!$E$36,Personnel!$G$36="Yes"),Personnel!$D$36*Personnel!$I$36,0)+IF(AND(38&gt;=Personnel!$E$37,Personnel!$G$37="Yes"),Personnel!$D$37*Personnel!$I$37,0)+IF(AND(38&gt;=Personnel!$E$38,Personnel!$G$38="Yes"),Personnel!$D$38*Personnel!$I$38,0)+IF(AND(38&gt;=Personnel!$E$39,Personnel!$G$39="Yes"),Personnel!$D$39*Personnel!$I$39,0)+IF(AND(38&gt;=Personnel!$E$40,Personnel!$G$40="Yes"),Personnel!$D$40*Personnel!$I$40,0)+IF(AND(38&gt;=Personnel!$E$41,Personnel!$G$41="Yes"),Personnel!$D$41*Personnel!$I$41,0)+IF(AND(38&gt;=Personnel!$E$42,Personnel!$G$42="Yes"),Personnel!$D$42*Personnel!$I$42,0))+(IF(AND(38&gt;=Personnel!$E$40,Personnel!$G$40="Yes"),Personnel!$D$40*Personnel!$I$40,0)+IF(AND(38&gt;=Personnel!$E$41,Personnel!$G$41="Yes"),Personnel!$D$41*Personnel!$I$41,0)+IF(AND(38&gt;=Personnel!$E$42,Personnel!$G$42="Yes"),Personnel!$D$42*Personnel!$I$42,0))*(Assumptions!$B$20+Assumptions!$B$21+Assumptions!$B$22+Assumptions!$B$23))*Escalation!$B$39</f>
        <v>116760.515625</v>
      </c>
      <c r="AR112" s="301">
        <f>((IF(AND(39&gt;=Personnel!$E$36,Personnel!$G$36="Yes"),Personnel!$D$36*Personnel!$I$36,0)+IF(AND(39&gt;=Personnel!$E$37,Personnel!$G$37="Yes"),Personnel!$D$37*Personnel!$I$37,0)+IF(AND(39&gt;=Personnel!$E$38,Personnel!$G$38="Yes"),Personnel!$D$38*Personnel!$I$38,0)+IF(AND(39&gt;=Personnel!$E$39,Personnel!$G$39="Yes"),Personnel!$D$39*Personnel!$I$39,0)+IF(AND(39&gt;=Personnel!$E$40,Personnel!$G$40="Yes"),Personnel!$D$40*Personnel!$I$40,0)+IF(AND(39&gt;=Personnel!$E$41,Personnel!$G$41="Yes"),Personnel!$D$41*Personnel!$I$41,0)+IF(AND(39&gt;=Personnel!$E$42,Personnel!$G$42="Yes"),Personnel!$D$42*Personnel!$I$42,0))+(IF(AND(39&gt;=Personnel!$E$40,Personnel!$G$40="Yes"),Personnel!$D$40*Personnel!$I$40,0)+IF(AND(39&gt;=Personnel!$E$41,Personnel!$G$41="Yes"),Personnel!$D$41*Personnel!$I$41,0)+IF(AND(39&gt;=Personnel!$E$42,Personnel!$G$42="Yes"),Personnel!$D$42*Personnel!$I$42,0))*(Assumptions!$B$20+Assumptions!$B$21+Assumptions!$B$22+Assumptions!$B$23))*Escalation!$B$40</f>
        <v>116760.515625</v>
      </c>
      <c r="AS112" s="301">
        <f>((IF(AND(40&gt;=Personnel!$E$36,Personnel!$G$36="Yes"),Personnel!$D$36*Personnel!$I$36,0)+IF(AND(40&gt;=Personnel!$E$37,Personnel!$G$37="Yes"),Personnel!$D$37*Personnel!$I$37,0)+IF(AND(40&gt;=Personnel!$E$38,Personnel!$G$38="Yes"),Personnel!$D$38*Personnel!$I$38,0)+IF(AND(40&gt;=Personnel!$E$39,Personnel!$G$39="Yes"),Personnel!$D$39*Personnel!$I$39,0)+IF(AND(40&gt;=Personnel!$E$40,Personnel!$G$40="Yes"),Personnel!$D$40*Personnel!$I$40,0)+IF(AND(40&gt;=Personnel!$E$41,Personnel!$G$41="Yes"),Personnel!$D$41*Personnel!$I$41,0)+IF(AND(40&gt;=Personnel!$E$42,Personnel!$G$42="Yes"),Personnel!$D$42*Personnel!$I$42,0))+(IF(AND(40&gt;=Personnel!$E$40,Personnel!$G$40="Yes"),Personnel!$D$40*Personnel!$I$40,0)+IF(AND(40&gt;=Personnel!$E$41,Personnel!$G$41="Yes"),Personnel!$D$41*Personnel!$I$41,0)+IF(AND(40&gt;=Personnel!$E$42,Personnel!$G$42="Yes"),Personnel!$D$42*Personnel!$I$42,0))*(Assumptions!$B$20+Assumptions!$B$21+Assumptions!$B$22+Assumptions!$B$23))*Escalation!$B$41</f>
        <v>116760.515625</v>
      </c>
      <c r="AT112" s="301">
        <f>((IF(AND(41&gt;=Personnel!$E$36,Personnel!$G$36="Yes"),Personnel!$D$36*Personnel!$I$36,0)+IF(AND(41&gt;=Personnel!$E$37,Personnel!$G$37="Yes"),Personnel!$D$37*Personnel!$I$37,0)+IF(AND(41&gt;=Personnel!$E$38,Personnel!$G$38="Yes"),Personnel!$D$38*Personnel!$I$38,0)+IF(AND(41&gt;=Personnel!$E$39,Personnel!$G$39="Yes"),Personnel!$D$39*Personnel!$I$39,0)+IF(AND(41&gt;=Personnel!$E$40,Personnel!$G$40="Yes"),Personnel!$D$40*Personnel!$I$40,0)+IF(AND(41&gt;=Personnel!$E$41,Personnel!$G$41="Yes"),Personnel!$D$41*Personnel!$I$41,0)+IF(AND(41&gt;=Personnel!$E$42,Personnel!$G$42="Yes"),Personnel!$D$42*Personnel!$I$42,0))+(IF(AND(41&gt;=Personnel!$E$40,Personnel!$G$40="Yes"),Personnel!$D$40*Personnel!$I$40,0)+IF(AND(41&gt;=Personnel!$E$41,Personnel!$G$41="Yes"),Personnel!$D$41*Personnel!$I$41,0)+IF(AND(41&gt;=Personnel!$E$42,Personnel!$G$42="Yes"),Personnel!$D$42*Personnel!$I$42,0))*(Assumptions!$B$20+Assumptions!$B$21+Assumptions!$B$22+Assumptions!$B$23))*Escalation!$B$42</f>
        <v>116760.515625</v>
      </c>
      <c r="AU112" s="301">
        <f>((IF(AND(42&gt;=Personnel!$E$36,Personnel!$G$36="Yes"),Personnel!$D$36*Personnel!$I$36,0)+IF(AND(42&gt;=Personnel!$E$37,Personnel!$G$37="Yes"),Personnel!$D$37*Personnel!$I$37,0)+IF(AND(42&gt;=Personnel!$E$38,Personnel!$G$38="Yes"),Personnel!$D$38*Personnel!$I$38,0)+IF(AND(42&gt;=Personnel!$E$39,Personnel!$G$39="Yes"),Personnel!$D$39*Personnel!$I$39,0)+IF(AND(42&gt;=Personnel!$E$40,Personnel!$G$40="Yes"),Personnel!$D$40*Personnel!$I$40,0)+IF(AND(42&gt;=Personnel!$E$41,Personnel!$G$41="Yes"),Personnel!$D$41*Personnel!$I$41,0)+IF(AND(42&gt;=Personnel!$E$42,Personnel!$G$42="Yes"),Personnel!$D$42*Personnel!$I$42,0))+(IF(AND(42&gt;=Personnel!$E$40,Personnel!$G$40="Yes"),Personnel!$D$40*Personnel!$I$40,0)+IF(AND(42&gt;=Personnel!$E$41,Personnel!$G$41="Yes"),Personnel!$D$41*Personnel!$I$41,0)+IF(AND(42&gt;=Personnel!$E$42,Personnel!$G$42="Yes"),Personnel!$D$42*Personnel!$I$42,0))*(Assumptions!$B$20+Assumptions!$B$21+Assumptions!$B$22+Assumptions!$B$23))*Escalation!$B$43</f>
        <v>116760.515625</v>
      </c>
      <c r="AV112" s="301">
        <f>((IF(AND(43&gt;=Personnel!$E$36,Personnel!$G$36="Yes"),Personnel!$D$36*Personnel!$I$36,0)+IF(AND(43&gt;=Personnel!$E$37,Personnel!$G$37="Yes"),Personnel!$D$37*Personnel!$I$37,0)+IF(AND(43&gt;=Personnel!$E$38,Personnel!$G$38="Yes"),Personnel!$D$38*Personnel!$I$38,0)+IF(AND(43&gt;=Personnel!$E$39,Personnel!$G$39="Yes"),Personnel!$D$39*Personnel!$I$39,0)+IF(AND(43&gt;=Personnel!$E$40,Personnel!$G$40="Yes"),Personnel!$D$40*Personnel!$I$40,0)+IF(AND(43&gt;=Personnel!$E$41,Personnel!$G$41="Yes"),Personnel!$D$41*Personnel!$I$41,0)+IF(AND(43&gt;=Personnel!$E$42,Personnel!$G$42="Yes"),Personnel!$D$42*Personnel!$I$42,0))+(IF(AND(43&gt;=Personnel!$E$40,Personnel!$G$40="Yes"),Personnel!$D$40*Personnel!$I$40,0)+IF(AND(43&gt;=Personnel!$E$41,Personnel!$G$41="Yes"),Personnel!$D$41*Personnel!$I$41,0)+IF(AND(43&gt;=Personnel!$E$42,Personnel!$G$42="Yes"),Personnel!$D$42*Personnel!$I$42,0))*(Assumptions!$B$20+Assumptions!$B$21+Assumptions!$B$22+Assumptions!$B$23))*Escalation!$B$44</f>
        <v>116760.515625</v>
      </c>
      <c r="AW112" s="301">
        <f>((IF(AND(44&gt;=Personnel!$E$36,Personnel!$G$36="Yes"),Personnel!$D$36*Personnel!$I$36,0)+IF(AND(44&gt;=Personnel!$E$37,Personnel!$G$37="Yes"),Personnel!$D$37*Personnel!$I$37,0)+IF(AND(44&gt;=Personnel!$E$38,Personnel!$G$38="Yes"),Personnel!$D$38*Personnel!$I$38,0)+IF(AND(44&gt;=Personnel!$E$39,Personnel!$G$39="Yes"),Personnel!$D$39*Personnel!$I$39,0)+IF(AND(44&gt;=Personnel!$E$40,Personnel!$G$40="Yes"),Personnel!$D$40*Personnel!$I$40,0)+IF(AND(44&gt;=Personnel!$E$41,Personnel!$G$41="Yes"),Personnel!$D$41*Personnel!$I$41,0)+IF(AND(44&gt;=Personnel!$E$42,Personnel!$G$42="Yes"),Personnel!$D$42*Personnel!$I$42,0))+(IF(AND(44&gt;=Personnel!$E$40,Personnel!$G$40="Yes"),Personnel!$D$40*Personnel!$I$40,0)+IF(AND(44&gt;=Personnel!$E$41,Personnel!$G$41="Yes"),Personnel!$D$41*Personnel!$I$41,0)+IF(AND(44&gt;=Personnel!$E$42,Personnel!$G$42="Yes"),Personnel!$D$42*Personnel!$I$42,0))*(Assumptions!$B$20+Assumptions!$B$21+Assumptions!$B$22+Assumptions!$B$23))*Escalation!$B$45</f>
        <v>116760.515625</v>
      </c>
      <c r="AX112" s="301">
        <f>((IF(AND(45&gt;=Personnel!$E$36,Personnel!$G$36="Yes"),Personnel!$D$36*Personnel!$I$36,0)+IF(AND(45&gt;=Personnel!$E$37,Personnel!$G$37="Yes"),Personnel!$D$37*Personnel!$I$37,0)+IF(AND(45&gt;=Personnel!$E$38,Personnel!$G$38="Yes"),Personnel!$D$38*Personnel!$I$38,0)+IF(AND(45&gt;=Personnel!$E$39,Personnel!$G$39="Yes"),Personnel!$D$39*Personnel!$I$39,0)+IF(AND(45&gt;=Personnel!$E$40,Personnel!$G$40="Yes"),Personnel!$D$40*Personnel!$I$40,0)+IF(AND(45&gt;=Personnel!$E$41,Personnel!$G$41="Yes"),Personnel!$D$41*Personnel!$I$41,0)+IF(AND(45&gt;=Personnel!$E$42,Personnel!$G$42="Yes"),Personnel!$D$42*Personnel!$I$42,0))+(IF(AND(45&gt;=Personnel!$E$40,Personnel!$G$40="Yes"),Personnel!$D$40*Personnel!$I$40,0)+IF(AND(45&gt;=Personnel!$E$41,Personnel!$G$41="Yes"),Personnel!$D$41*Personnel!$I$41,0)+IF(AND(45&gt;=Personnel!$E$42,Personnel!$G$42="Yes"),Personnel!$D$42*Personnel!$I$42,0))*(Assumptions!$B$20+Assumptions!$B$21+Assumptions!$B$22+Assumptions!$B$23))*Escalation!$B$46</f>
        <v>116760.515625</v>
      </c>
      <c r="AY112" s="301">
        <f>((IF(AND(46&gt;=Personnel!$E$36,Personnel!$G$36="Yes"),Personnel!$D$36*Personnel!$I$36,0)+IF(AND(46&gt;=Personnel!$E$37,Personnel!$G$37="Yes"),Personnel!$D$37*Personnel!$I$37,0)+IF(AND(46&gt;=Personnel!$E$38,Personnel!$G$38="Yes"),Personnel!$D$38*Personnel!$I$38,0)+IF(AND(46&gt;=Personnel!$E$39,Personnel!$G$39="Yes"),Personnel!$D$39*Personnel!$I$39,0)+IF(AND(46&gt;=Personnel!$E$40,Personnel!$G$40="Yes"),Personnel!$D$40*Personnel!$I$40,0)+IF(AND(46&gt;=Personnel!$E$41,Personnel!$G$41="Yes"),Personnel!$D$41*Personnel!$I$41,0)+IF(AND(46&gt;=Personnel!$E$42,Personnel!$G$42="Yes"),Personnel!$D$42*Personnel!$I$42,0))+(IF(AND(46&gt;=Personnel!$E$40,Personnel!$G$40="Yes"),Personnel!$D$40*Personnel!$I$40,0)+IF(AND(46&gt;=Personnel!$E$41,Personnel!$G$41="Yes"),Personnel!$D$41*Personnel!$I$41,0)+IF(AND(46&gt;=Personnel!$E$42,Personnel!$G$42="Yes"),Personnel!$D$42*Personnel!$I$42,0))*(Assumptions!$B$20+Assumptions!$B$21+Assumptions!$B$22+Assumptions!$B$23))*Escalation!$B$47</f>
        <v>116760.515625</v>
      </c>
      <c r="AZ112" s="301">
        <f>((IF(AND(47&gt;=Personnel!$E$36,Personnel!$G$36="Yes"),Personnel!$D$36*Personnel!$I$36,0)+IF(AND(47&gt;=Personnel!$E$37,Personnel!$G$37="Yes"),Personnel!$D$37*Personnel!$I$37,0)+IF(AND(47&gt;=Personnel!$E$38,Personnel!$G$38="Yes"),Personnel!$D$38*Personnel!$I$38,0)+IF(AND(47&gt;=Personnel!$E$39,Personnel!$G$39="Yes"),Personnel!$D$39*Personnel!$I$39,0)+IF(AND(47&gt;=Personnel!$E$40,Personnel!$G$40="Yes"),Personnel!$D$40*Personnel!$I$40,0)+IF(AND(47&gt;=Personnel!$E$41,Personnel!$G$41="Yes"),Personnel!$D$41*Personnel!$I$41,0)+IF(AND(47&gt;=Personnel!$E$42,Personnel!$G$42="Yes"),Personnel!$D$42*Personnel!$I$42,0))+(IF(AND(47&gt;=Personnel!$E$40,Personnel!$G$40="Yes"),Personnel!$D$40*Personnel!$I$40,0)+IF(AND(47&gt;=Personnel!$E$41,Personnel!$G$41="Yes"),Personnel!$D$41*Personnel!$I$41,0)+IF(AND(47&gt;=Personnel!$E$42,Personnel!$G$42="Yes"),Personnel!$D$42*Personnel!$I$42,0))*(Assumptions!$B$20+Assumptions!$B$21+Assumptions!$B$22+Assumptions!$B$23))*Escalation!$B$48</f>
        <v>116760.515625</v>
      </c>
      <c r="BA112" s="301">
        <f>((IF(AND(48&gt;=Personnel!$E$36,Personnel!$G$36="Yes"),Personnel!$D$36*Personnel!$I$36,0)+IF(AND(48&gt;=Personnel!$E$37,Personnel!$G$37="Yes"),Personnel!$D$37*Personnel!$I$37,0)+IF(AND(48&gt;=Personnel!$E$38,Personnel!$G$38="Yes"),Personnel!$D$38*Personnel!$I$38,0)+IF(AND(48&gt;=Personnel!$E$39,Personnel!$G$39="Yes"),Personnel!$D$39*Personnel!$I$39,0)+IF(AND(48&gt;=Personnel!$E$40,Personnel!$G$40="Yes"),Personnel!$D$40*Personnel!$I$40,0)+IF(AND(48&gt;=Personnel!$E$41,Personnel!$G$41="Yes"),Personnel!$D$41*Personnel!$I$41,0)+IF(AND(48&gt;=Personnel!$E$42,Personnel!$G$42="Yes"),Personnel!$D$42*Personnel!$I$42,0))+(IF(AND(48&gt;=Personnel!$E$40,Personnel!$G$40="Yes"),Personnel!$D$40*Personnel!$I$40,0)+IF(AND(48&gt;=Personnel!$E$41,Personnel!$G$41="Yes"),Personnel!$D$41*Personnel!$I$41,0)+IF(AND(48&gt;=Personnel!$E$42,Personnel!$G$42="Yes"),Personnel!$D$42*Personnel!$I$42,0))*(Assumptions!$B$20+Assumptions!$B$21+Assumptions!$B$22+Assumptions!$B$23))*Escalation!$B$49</f>
        <v>116760.515625</v>
      </c>
      <c r="BB112" s="301">
        <f>((IF(AND(49&gt;=Personnel!$E$36,Personnel!$G$36="Yes"),Personnel!$D$36*Personnel!$I$36,0)+IF(AND(49&gt;=Personnel!$E$37,Personnel!$G$37="Yes"),Personnel!$D$37*Personnel!$I$37,0)+IF(AND(49&gt;=Personnel!$E$38,Personnel!$G$38="Yes"),Personnel!$D$38*Personnel!$I$38,0)+IF(AND(49&gt;=Personnel!$E$39,Personnel!$G$39="Yes"),Personnel!$D$39*Personnel!$I$39,0)+IF(AND(49&gt;=Personnel!$E$40,Personnel!$G$40="Yes"),Personnel!$D$40*Personnel!$I$40,0)+IF(AND(49&gt;=Personnel!$E$41,Personnel!$G$41="Yes"),Personnel!$D$41*Personnel!$I$41,0)+IF(AND(49&gt;=Personnel!$E$42,Personnel!$G$42="Yes"),Personnel!$D$42*Personnel!$I$42,0))+(IF(AND(49&gt;=Personnel!$E$40,Personnel!$G$40="Yes"),Personnel!$D$40*Personnel!$I$40,0)+IF(AND(49&gt;=Personnel!$E$41,Personnel!$G$41="Yes"),Personnel!$D$41*Personnel!$I$41,0)+IF(AND(49&gt;=Personnel!$E$42,Personnel!$G$42="Yes"),Personnel!$D$42*Personnel!$I$42,0))*(Assumptions!$B$20+Assumptions!$B$21+Assumptions!$B$22+Assumptions!$B$23))*Escalation!$B$50</f>
        <v>119095.7259375</v>
      </c>
      <c r="BC112" s="301">
        <f>((IF(AND(50&gt;=Personnel!$E$36,Personnel!$G$36="Yes"),Personnel!$D$36*Personnel!$I$36,0)+IF(AND(50&gt;=Personnel!$E$37,Personnel!$G$37="Yes"),Personnel!$D$37*Personnel!$I$37,0)+IF(AND(50&gt;=Personnel!$E$38,Personnel!$G$38="Yes"),Personnel!$D$38*Personnel!$I$38,0)+IF(AND(50&gt;=Personnel!$E$39,Personnel!$G$39="Yes"),Personnel!$D$39*Personnel!$I$39,0)+IF(AND(50&gt;=Personnel!$E$40,Personnel!$G$40="Yes"),Personnel!$D$40*Personnel!$I$40,0)+IF(AND(50&gt;=Personnel!$E$41,Personnel!$G$41="Yes"),Personnel!$D$41*Personnel!$I$41,0)+IF(AND(50&gt;=Personnel!$E$42,Personnel!$G$42="Yes"),Personnel!$D$42*Personnel!$I$42,0))+(IF(AND(50&gt;=Personnel!$E$40,Personnel!$G$40="Yes"),Personnel!$D$40*Personnel!$I$40,0)+IF(AND(50&gt;=Personnel!$E$41,Personnel!$G$41="Yes"),Personnel!$D$41*Personnel!$I$41,0)+IF(AND(50&gt;=Personnel!$E$42,Personnel!$G$42="Yes"),Personnel!$D$42*Personnel!$I$42,0))*(Assumptions!$B$20+Assumptions!$B$21+Assumptions!$B$22+Assumptions!$B$23))*Escalation!$B$51</f>
        <v>119095.7259375</v>
      </c>
      <c r="BD112" s="301">
        <f>((IF(AND(51&gt;=Personnel!$E$36,Personnel!$G$36="Yes"),Personnel!$D$36*Personnel!$I$36,0)+IF(AND(51&gt;=Personnel!$E$37,Personnel!$G$37="Yes"),Personnel!$D$37*Personnel!$I$37,0)+IF(AND(51&gt;=Personnel!$E$38,Personnel!$G$38="Yes"),Personnel!$D$38*Personnel!$I$38,0)+IF(AND(51&gt;=Personnel!$E$39,Personnel!$G$39="Yes"),Personnel!$D$39*Personnel!$I$39,0)+IF(AND(51&gt;=Personnel!$E$40,Personnel!$G$40="Yes"),Personnel!$D$40*Personnel!$I$40,0)+IF(AND(51&gt;=Personnel!$E$41,Personnel!$G$41="Yes"),Personnel!$D$41*Personnel!$I$41,0)+IF(AND(51&gt;=Personnel!$E$42,Personnel!$G$42="Yes"),Personnel!$D$42*Personnel!$I$42,0))+(IF(AND(51&gt;=Personnel!$E$40,Personnel!$G$40="Yes"),Personnel!$D$40*Personnel!$I$40,0)+IF(AND(51&gt;=Personnel!$E$41,Personnel!$G$41="Yes"),Personnel!$D$41*Personnel!$I$41,0)+IF(AND(51&gt;=Personnel!$E$42,Personnel!$G$42="Yes"),Personnel!$D$42*Personnel!$I$42,0))*(Assumptions!$B$20+Assumptions!$B$21+Assumptions!$B$22+Assumptions!$B$23))*Escalation!$B$52</f>
        <v>119095.7259375</v>
      </c>
      <c r="BE112" s="301">
        <f>((IF(AND(52&gt;=Personnel!$E$36,Personnel!$G$36="Yes"),Personnel!$D$36*Personnel!$I$36,0)+IF(AND(52&gt;=Personnel!$E$37,Personnel!$G$37="Yes"),Personnel!$D$37*Personnel!$I$37,0)+IF(AND(52&gt;=Personnel!$E$38,Personnel!$G$38="Yes"),Personnel!$D$38*Personnel!$I$38,0)+IF(AND(52&gt;=Personnel!$E$39,Personnel!$G$39="Yes"),Personnel!$D$39*Personnel!$I$39,0)+IF(AND(52&gt;=Personnel!$E$40,Personnel!$G$40="Yes"),Personnel!$D$40*Personnel!$I$40,0)+IF(AND(52&gt;=Personnel!$E$41,Personnel!$G$41="Yes"),Personnel!$D$41*Personnel!$I$41,0)+IF(AND(52&gt;=Personnel!$E$42,Personnel!$G$42="Yes"),Personnel!$D$42*Personnel!$I$42,0))+(IF(AND(52&gt;=Personnel!$E$40,Personnel!$G$40="Yes"),Personnel!$D$40*Personnel!$I$40,0)+IF(AND(52&gt;=Personnel!$E$41,Personnel!$G$41="Yes"),Personnel!$D$41*Personnel!$I$41,0)+IF(AND(52&gt;=Personnel!$E$42,Personnel!$G$42="Yes"),Personnel!$D$42*Personnel!$I$42,0))*(Assumptions!$B$20+Assumptions!$B$21+Assumptions!$B$22+Assumptions!$B$23))*Escalation!$B$53</f>
        <v>119095.7259375</v>
      </c>
      <c r="BF112" s="301">
        <f>((IF(AND(53&gt;=Personnel!$E$36,Personnel!$G$36="Yes"),Personnel!$D$36*Personnel!$I$36,0)+IF(AND(53&gt;=Personnel!$E$37,Personnel!$G$37="Yes"),Personnel!$D$37*Personnel!$I$37,0)+IF(AND(53&gt;=Personnel!$E$38,Personnel!$G$38="Yes"),Personnel!$D$38*Personnel!$I$38,0)+IF(AND(53&gt;=Personnel!$E$39,Personnel!$G$39="Yes"),Personnel!$D$39*Personnel!$I$39,0)+IF(AND(53&gt;=Personnel!$E$40,Personnel!$G$40="Yes"),Personnel!$D$40*Personnel!$I$40,0)+IF(AND(53&gt;=Personnel!$E$41,Personnel!$G$41="Yes"),Personnel!$D$41*Personnel!$I$41,0)+IF(AND(53&gt;=Personnel!$E$42,Personnel!$G$42="Yes"),Personnel!$D$42*Personnel!$I$42,0))+(IF(AND(53&gt;=Personnel!$E$40,Personnel!$G$40="Yes"),Personnel!$D$40*Personnel!$I$40,0)+IF(AND(53&gt;=Personnel!$E$41,Personnel!$G$41="Yes"),Personnel!$D$41*Personnel!$I$41,0)+IF(AND(53&gt;=Personnel!$E$42,Personnel!$G$42="Yes"),Personnel!$D$42*Personnel!$I$42,0))*(Assumptions!$B$20+Assumptions!$B$21+Assumptions!$B$22+Assumptions!$B$23))*Escalation!$B$54</f>
        <v>119095.7259375</v>
      </c>
      <c r="BG112" s="301">
        <f>((IF(AND(54&gt;=Personnel!$E$36,Personnel!$G$36="Yes"),Personnel!$D$36*Personnel!$I$36,0)+IF(AND(54&gt;=Personnel!$E$37,Personnel!$G$37="Yes"),Personnel!$D$37*Personnel!$I$37,0)+IF(AND(54&gt;=Personnel!$E$38,Personnel!$G$38="Yes"),Personnel!$D$38*Personnel!$I$38,0)+IF(AND(54&gt;=Personnel!$E$39,Personnel!$G$39="Yes"),Personnel!$D$39*Personnel!$I$39,0)+IF(AND(54&gt;=Personnel!$E$40,Personnel!$G$40="Yes"),Personnel!$D$40*Personnel!$I$40,0)+IF(AND(54&gt;=Personnel!$E$41,Personnel!$G$41="Yes"),Personnel!$D$41*Personnel!$I$41,0)+IF(AND(54&gt;=Personnel!$E$42,Personnel!$G$42="Yes"),Personnel!$D$42*Personnel!$I$42,0))+(IF(AND(54&gt;=Personnel!$E$40,Personnel!$G$40="Yes"),Personnel!$D$40*Personnel!$I$40,0)+IF(AND(54&gt;=Personnel!$E$41,Personnel!$G$41="Yes"),Personnel!$D$41*Personnel!$I$41,0)+IF(AND(54&gt;=Personnel!$E$42,Personnel!$G$42="Yes"),Personnel!$D$42*Personnel!$I$42,0))*(Assumptions!$B$20+Assumptions!$B$21+Assumptions!$B$22+Assumptions!$B$23))*Escalation!$B$55</f>
        <v>119095.7259375</v>
      </c>
      <c r="BH112" s="301">
        <f>((IF(AND(55&gt;=Personnel!$E$36,Personnel!$G$36="Yes"),Personnel!$D$36*Personnel!$I$36,0)+IF(AND(55&gt;=Personnel!$E$37,Personnel!$G$37="Yes"),Personnel!$D$37*Personnel!$I$37,0)+IF(AND(55&gt;=Personnel!$E$38,Personnel!$G$38="Yes"),Personnel!$D$38*Personnel!$I$38,0)+IF(AND(55&gt;=Personnel!$E$39,Personnel!$G$39="Yes"),Personnel!$D$39*Personnel!$I$39,0)+IF(AND(55&gt;=Personnel!$E$40,Personnel!$G$40="Yes"),Personnel!$D$40*Personnel!$I$40,0)+IF(AND(55&gt;=Personnel!$E$41,Personnel!$G$41="Yes"),Personnel!$D$41*Personnel!$I$41,0)+IF(AND(55&gt;=Personnel!$E$42,Personnel!$G$42="Yes"),Personnel!$D$42*Personnel!$I$42,0))+(IF(AND(55&gt;=Personnel!$E$40,Personnel!$G$40="Yes"),Personnel!$D$40*Personnel!$I$40,0)+IF(AND(55&gt;=Personnel!$E$41,Personnel!$G$41="Yes"),Personnel!$D$41*Personnel!$I$41,0)+IF(AND(55&gt;=Personnel!$E$42,Personnel!$G$42="Yes"),Personnel!$D$42*Personnel!$I$42,0))*(Assumptions!$B$20+Assumptions!$B$21+Assumptions!$B$22+Assumptions!$B$23))*Escalation!$B$56</f>
        <v>119095.7259375</v>
      </c>
      <c r="BI112" s="301">
        <f>((IF(AND(56&gt;=Personnel!$E$36,Personnel!$G$36="Yes"),Personnel!$D$36*Personnel!$I$36,0)+IF(AND(56&gt;=Personnel!$E$37,Personnel!$G$37="Yes"),Personnel!$D$37*Personnel!$I$37,0)+IF(AND(56&gt;=Personnel!$E$38,Personnel!$G$38="Yes"),Personnel!$D$38*Personnel!$I$38,0)+IF(AND(56&gt;=Personnel!$E$39,Personnel!$G$39="Yes"),Personnel!$D$39*Personnel!$I$39,0)+IF(AND(56&gt;=Personnel!$E$40,Personnel!$G$40="Yes"),Personnel!$D$40*Personnel!$I$40,0)+IF(AND(56&gt;=Personnel!$E$41,Personnel!$G$41="Yes"),Personnel!$D$41*Personnel!$I$41,0)+IF(AND(56&gt;=Personnel!$E$42,Personnel!$G$42="Yes"),Personnel!$D$42*Personnel!$I$42,0))+(IF(AND(56&gt;=Personnel!$E$40,Personnel!$G$40="Yes"),Personnel!$D$40*Personnel!$I$40,0)+IF(AND(56&gt;=Personnel!$E$41,Personnel!$G$41="Yes"),Personnel!$D$41*Personnel!$I$41,0)+IF(AND(56&gt;=Personnel!$E$42,Personnel!$G$42="Yes"),Personnel!$D$42*Personnel!$I$42,0))*(Assumptions!$B$20+Assumptions!$B$21+Assumptions!$B$22+Assumptions!$B$23))*Escalation!$B$57</f>
        <v>119095.7259375</v>
      </c>
      <c r="BJ112" s="301">
        <f>((IF(AND(57&gt;=Personnel!$E$36,Personnel!$G$36="Yes"),Personnel!$D$36*Personnel!$I$36,0)+IF(AND(57&gt;=Personnel!$E$37,Personnel!$G$37="Yes"),Personnel!$D$37*Personnel!$I$37,0)+IF(AND(57&gt;=Personnel!$E$38,Personnel!$G$38="Yes"),Personnel!$D$38*Personnel!$I$38,0)+IF(AND(57&gt;=Personnel!$E$39,Personnel!$G$39="Yes"),Personnel!$D$39*Personnel!$I$39,0)+IF(AND(57&gt;=Personnel!$E$40,Personnel!$G$40="Yes"),Personnel!$D$40*Personnel!$I$40,0)+IF(AND(57&gt;=Personnel!$E$41,Personnel!$G$41="Yes"),Personnel!$D$41*Personnel!$I$41,0)+IF(AND(57&gt;=Personnel!$E$42,Personnel!$G$42="Yes"),Personnel!$D$42*Personnel!$I$42,0))+(IF(AND(57&gt;=Personnel!$E$40,Personnel!$G$40="Yes"),Personnel!$D$40*Personnel!$I$40,0)+IF(AND(57&gt;=Personnel!$E$41,Personnel!$G$41="Yes"),Personnel!$D$41*Personnel!$I$41,0)+IF(AND(57&gt;=Personnel!$E$42,Personnel!$G$42="Yes"),Personnel!$D$42*Personnel!$I$42,0))*(Assumptions!$B$20+Assumptions!$B$21+Assumptions!$B$22+Assumptions!$B$23))*Escalation!$B$58</f>
        <v>119095.7259375</v>
      </c>
      <c r="BK112" s="301">
        <f>((IF(AND(58&gt;=Personnel!$E$36,Personnel!$G$36="Yes"),Personnel!$D$36*Personnel!$I$36,0)+IF(AND(58&gt;=Personnel!$E$37,Personnel!$G$37="Yes"),Personnel!$D$37*Personnel!$I$37,0)+IF(AND(58&gt;=Personnel!$E$38,Personnel!$G$38="Yes"),Personnel!$D$38*Personnel!$I$38,0)+IF(AND(58&gt;=Personnel!$E$39,Personnel!$G$39="Yes"),Personnel!$D$39*Personnel!$I$39,0)+IF(AND(58&gt;=Personnel!$E$40,Personnel!$G$40="Yes"),Personnel!$D$40*Personnel!$I$40,0)+IF(AND(58&gt;=Personnel!$E$41,Personnel!$G$41="Yes"),Personnel!$D$41*Personnel!$I$41,0)+IF(AND(58&gt;=Personnel!$E$42,Personnel!$G$42="Yes"),Personnel!$D$42*Personnel!$I$42,0))+(IF(AND(58&gt;=Personnel!$E$40,Personnel!$G$40="Yes"),Personnel!$D$40*Personnel!$I$40,0)+IF(AND(58&gt;=Personnel!$E$41,Personnel!$G$41="Yes"),Personnel!$D$41*Personnel!$I$41,0)+IF(AND(58&gt;=Personnel!$E$42,Personnel!$G$42="Yes"),Personnel!$D$42*Personnel!$I$42,0))*(Assumptions!$B$20+Assumptions!$B$21+Assumptions!$B$22+Assumptions!$B$23))*Escalation!$B$59</f>
        <v>119095.7259375</v>
      </c>
      <c r="BL112" s="301">
        <f>((IF(AND(59&gt;=Personnel!$E$36,Personnel!$G$36="Yes"),Personnel!$D$36*Personnel!$I$36,0)+IF(AND(59&gt;=Personnel!$E$37,Personnel!$G$37="Yes"),Personnel!$D$37*Personnel!$I$37,0)+IF(AND(59&gt;=Personnel!$E$38,Personnel!$G$38="Yes"),Personnel!$D$38*Personnel!$I$38,0)+IF(AND(59&gt;=Personnel!$E$39,Personnel!$G$39="Yes"),Personnel!$D$39*Personnel!$I$39,0)+IF(AND(59&gt;=Personnel!$E$40,Personnel!$G$40="Yes"),Personnel!$D$40*Personnel!$I$40,0)+IF(AND(59&gt;=Personnel!$E$41,Personnel!$G$41="Yes"),Personnel!$D$41*Personnel!$I$41,0)+IF(AND(59&gt;=Personnel!$E$42,Personnel!$G$42="Yes"),Personnel!$D$42*Personnel!$I$42,0))+(IF(AND(59&gt;=Personnel!$E$40,Personnel!$G$40="Yes"),Personnel!$D$40*Personnel!$I$40,0)+IF(AND(59&gt;=Personnel!$E$41,Personnel!$G$41="Yes"),Personnel!$D$41*Personnel!$I$41,0)+IF(AND(59&gt;=Personnel!$E$42,Personnel!$G$42="Yes"),Personnel!$D$42*Personnel!$I$42,0))*(Assumptions!$B$20+Assumptions!$B$21+Assumptions!$B$22+Assumptions!$B$23))*Escalation!$B$60</f>
        <v>119095.7259375</v>
      </c>
      <c r="BM112" s="301">
        <f>((IF(AND(60&gt;=Personnel!$E$36,Personnel!$G$36="Yes"),Personnel!$D$36*Personnel!$I$36,0)+IF(AND(60&gt;=Personnel!$E$37,Personnel!$G$37="Yes"),Personnel!$D$37*Personnel!$I$37,0)+IF(AND(60&gt;=Personnel!$E$38,Personnel!$G$38="Yes"),Personnel!$D$38*Personnel!$I$38,0)+IF(AND(60&gt;=Personnel!$E$39,Personnel!$G$39="Yes"),Personnel!$D$39*Personnel!$I$39,0)+IF(AND(60&gt;=Personnel!$E$40,Personnel!$G$40="Yes"),Personnel!$D$40*Personnel!$I$40,0)+IF(AND(60&gt;=Personnel!$E$41,Personnel!$G$41="Yes"),Personnel!$D$41*Personnel!$I$41,0)+IF(AND(60&gt;=Personnel!$E$42,Personnel!$G$42="Yes"),Personnel!$D$42*Personnel!$I$42,0))+(IF(AND(60&gt;=Personnel!$E$40,Personnel!$G$40="Yes"),Personnel!$D$40*Personnel!$I$40,0)+IF(AND(60&gt;=Personnel!$E$41,Personnel!$G$41="Yes"),Personnel!$D$41*Personnel!$I$41,0)+IF(AND(60&gt;=Personnel!$E$42,Personnel!$G$42="Yes"),Personnel!$D$42*Personnel!$I$42,0))*(Assumptions!$B$20+Assumptions!$B$21+Assumptions!$B$22+Assumptions!$B$23))*Escalation!$B$61</f>
        <v>119095.7259375</v>
      </c>
      <c r="BN112" s="301">
        <f>((IF(AND(61&gt;=Personnel!$E$36,Personnel!$G$36="Yes"),Personnel!$D$36*Personnel!$I$36,0)+IF(AND(61&gt;=Personnel!$E$37,Personnel!$G$37="Yes"),Personnel!$D$37*Personnel!$I$37,0)+IF(AND(61&gt;=Personnel!$E$38,Personnel!$G$38="Yes"),Personnel!$D$38*Personnel!$I$38,0)+IF(AND(61&gt;=Personnel!$E$39,Personnel!$G$39="Yes"),Personnel!$D$39*Personnel!$I$39,0)+IF(AND(61&gt;=Personnel!$E$40,Personnel!$G$40="Yes"),Personnel!$D$40*Personnel!$I$40,0)+IF(AND(61&gt;=Personnel!$E$41,Personnel!$G$41="Yes"),Personnel!$D$41*Personnel!$I$41,0)+IF(AND(61&gt;=Personnel!$E$42,Personnel!$G$42="Yes"),Personnel!$D$42*Personnel!$I$42,0))+(IF(AND(61&gt;=Personnel!$E$40,Personnel!$G$40="Yes"),Personnel!$D$40*Personnel!$I$40,0)+IF(AND(61&gt;=Personnel!$E$41,Personnel!$G$41="Yes"),Personnel!$D$41*Personnel!$I$41,0)+IF(AND(61&gt;=Personnel!$E$42,Personnel!$G$42="Yes"),Personnel!$D$42*Personnel!$I$42,0))*(Assumptions!$B$20+Assumptions!$B$21+Assumptions!$B$22+Assumptions!$B$23))*Escalation!$B$62</f>
        <v>121477.64045625001</v>
      </c>
      <c r="BO112" s="301">
        <f>((IF(AND(62&gt;=Personnel!$E$36,Personnel!$G$36="Yes"),Personnel!$D$36*Personnel!$I$36,0)+IF(AND(62&gt;=Personnel!$E$37,Personnel!$G$37="Yes"),Personnel!$D$37*Personnel!$I$37,0)+IF(AND(62&gt;=Personnel!$E$38,Personnel!$G$38="Yes"),Personnel!$D$38*Personnel!$I$38,0)+IF(AND(62&gt;=Personnel!$E$39,Personnel!$G$39="Yes"),Personnel!$D$39*Personnel!$I$39,0)+IF(AND(62&gt;=Personnel!$E$40,Personnel!$G$40="Yes"),Personnel!$D$40*Personnel!$I$40,0)+IF(AND(62&gt;=Personnel!$E$41,Personnel!$G$41="Yes"),Personnel!$D$41*Personnel!$I$41,0)+IF(AND(62&gt;=Personnel!$E$42,Personnel!$G$42="Yes"),Personnel!$D$42*Personnel!$I$42,0))+(IF(AND(62&gt;=Personnel!$E$40,Personnel!$G$40="Yes"),Personnel!$D$40*Personnel!$I$40,0)+IF(AND(62&gt;=Personnel!$E$41,Personnel!$G$41="Yes"),Personnel!$D$41*Personnel!$I$41,0)+IF(AND(62&gt;=Personnel!$E$42,Personnel!$G$42="Yes"),Personnel!$D$42*Personnel!$I$42,0))*(Assumptions!$B$20+Assumptions!$B$21+Assumptions!$B$22+Assumptions!$B$23))*Escalation!$B$63</f>
        <v>121477.64045625001</v>
      </c>
      <c r="BP112" s="301">
        <f>((IF(AND(63&gt;=Personnel!$E$36,Personnel!$G$36="Yes"),Personnel!$D$36*Personnel!$I$36,0)+IF(AND(63&gt;=Personnel!$E$37,Personnel!$G$37="Yes"),Personnel!$D$37*Personnel!$I$37,0)+IF(AND(63&gt;=Personnel!$E$38,Personnel!$G$38="Yes"),Personnel!$D$38*Personnel!$I$38,0)+IF(AND(63&gt;=Personnel!$E$39,Personnel!$G$39="Yes"),Personnel!$D$39*Personnel!$I$39,0)+IF(AND(63&gt;=Personnel!$E$40,Personnel!$G$40="Yes"),Personnel!$D$40*Personnel!$I$40,0)+IF(AND(63&gt;=Personnel!$E$41,Personnel!$G$41="Yes"),Personnel!$D$41*Personnel!$I$41,0)+IF(AND(63&gt;=Personnel!$E$42,Personnel!$G$42="Yes"),Personnel!$D$42*Personnel!$I$42,0))+(IF(AND(63&gt;=Personnel!$E$40,Personnel!$G$40="Yes"),Personnel!$D$40*Personnel!$I$40,0)+IF(AND(63&gt;=Personnel!$E$41,Personnel!$G$41="Yes"),Personnel!$D$41*Personnel!$I$41,0)+IF(AND(63&gt;=Personnel!$E$42,Personnel!$G$42="Yes"),Personnel!$D$42*Personnel!$I$42,0))*(Assumptions!$B$20+Assumptions!$B$21+Assumptions!$B$22+Assumptions!$B$23))*Escalation!$B$64</f>
        <v>121477.64045625001</v>
      </c>
      <c r="BQ112" s="301">
        <f>((IF(AND(64&gt;=Personnel!$E$36,Personnel!$G$36="Yes"),Personnel!$D$36*Personnel!$I$36,0)+IF(AND(64&gt;=Personnel!$E$37,Personnel!$G$37="Yes"),Personnel!$D$37*Personnel!$I$37,0)+IF(AND(64&gt;=Personnel!$E$38,Personnel!$G$38="Yes"),Personnel!$D$38*Personnel!$I$38,0)+IF(AND(64&gt;=Personnel!$E$39,Personnel!$G$39="Yes"),Personnel!$D$39*Personnel!$I$39,0)+IF(AND(64&gt;=Personnel!$E$40,Personnel!$G$40="Yes"),Personnel!$D$40*Personnel!$I$40,0)+IF(AND(64&gt;=Personnel!$E$41,Personnel!$G$41="Yes"),Personnel!$D$41*Personnel!$I$41,0)+IF(AND(64&gt;=Personnel!$E$42,Personnel!$G$42="Yes"),Personnel!$D$42*Personnel!$I$42,0))+(IF(AND(64&gt;=Personnel!$E$40,Personnel!$G$40="Yes"),Personnel!$D$40*Personnel!$I$40,0)+IF(AND(64&gt;=Personnel!$E$41,Personnel!$G$41="Yes"),Personnel!$D$41*Personnel!$I$41,0)+IF(AND(64&gt;=Personnel!$E$42,Personnel!$G$42="Yes"),Personnel!$D$42*Personnel!$I$42,0))*(Assumptions!$B$20+Assumptions!$B$21+Assumptions!$B$22+Assumptions!$B$23))*Escalation!$B$65</f>
        <v>121477.64045625001</v>
      </c>
      <c r="BR112" s="301">
        <f>((IF(AND(65&gt;=Personnel!$E$36,Personnel!$G$36="Yes"),Personnel!$D$36*Personnel!$I$36,0)+IF(AND(65&gt;=Personnel!$E$37,Personnel!$G$37="Yes"),Personnel!$D$37*Personnel!$I$37,0)+IF(AND(65&gt;=Personnel!$E$38,Personnel!$G$38="Yes"),Personnel!$D$38*Personnel!$I$38,0)+IF(AND(65&gt;=Personnel!$E$39,Personnel!$G$39="Yes"),Personnel!$D$39*Personnel!$I$39,0)+IF(AND(65&gt;=Personnel!$E$40,Personnel!$G$40="Yes"),Personnel!$D$40*Personnel!$I$40,0)+IF(AND(65&gt;=Personnel!$E$41,Personnel!$G$41="Yes"),Personnel!$D$41*Personnel!$I$41,0)+IF(AND(65&gt;=Personnel!$E$42,Personnel!$G$42="Yes"),Personnel!$D$42*Personnel!$I$42,0))+(IF(AND(65&gt;=Personnel!$E$40,Personnel!$G$40="Yes"),Personnel!$D$40*Personnel!$I$40,0)+IF(AND(65&gt;=Personnel!$E$41,Personnel!$G$41="Yes"),Personnel!$D$41*Personnel!$I$41,0)+IF(AND(65&gt;=Personnel!$E$42,Personnel!$G$42="Yes"),Personnel!$D$42*Personnel!$I$42,0))*(Assumptions!$B$20+Assumptions!$B$21+Assumptions!$B$22+Assumptions!$B$23))*Escalation!$B$66</f>
        <v>121477.64045625001</v>
      </c>
      <c r="BS112" s="301">
        <f>((IF(AND(66&gt;=Personnel!$E$36,Personnel!$G$36="Yes"),Personnel!$D$36*Personnel!$I$36,0)+IF(AND(66&gt;=Personnel!$E$37,Personnel!$G$37="Yes"),Personnel!$D$37*Personnel!$I$37,0)+IF(AND(66&gt;=Personnel!$E$38,Personnel!$G$38="Yes"),Personnel!$D$38*Personnel!$I$38,0)+IF(AND(66&gt;=Personnel!$E$39,Personnel!$G$39="Yes"),Personnel!$D$39*Personnel!$I$39,0)+IF(AND(66&gt;=Personnel!$E$40,Personnel!$G$40="Yes"),Personnel!$D$40*Personnel!$I$40,0)+IF(AND(66&gt;=Personnel!$E$41,Personnel!$G$41="Yes"),Personnel!$D$41*Personnel!$I$41,0)+IF(AND(66&gt;=Personnel!$E$42,Personnel!$G$42="Yes"),Personnel!$D$42*Personnel!$I$42,0))+(IF(AND(66&gt;=Personnel!$E$40,Personnel!$G$40="Yes"),Personnel!$D$40*Personnel!$I$40,0)+IF(AND(66&gt;=Personnel!$E$41,Personnel!$G$41="Yes"),Personnel!$D$41*Personnel!$I$41,0)+IF(AND(66&gt;=Personnel!$E$42,Personnel!$G$42="Yes"),Personnel!$D$42*Personnel!$I$42,0))*(Assumptions!$B$20+Assumptions!$B$21+Assumptions!$B$22+Assumptions!$B$23))*Escalation!$B$67</f>
        <v>121477.64045625001</v>
      </c>
      <c r="BT112" s="301">
        <f>((IF(AND(67&gt;=Personnel!$E$36,Personnel!$G$36="Yes"),Personnel!$D$36*Personnel!$I$36,0)+IF(AND(67&gt;=Personnel!$E$37,Personnel!$G$37="Yes"),Personnel!$D$37*Personnel!$I$37,0)+IF(AND(67&gt;=Personnel!$E$38,Personnel!$G$38="Yes"),Personnel!$D$38*Personnel!$I$38,0)+IF(AND(67&gt;=Personnel!$E$39,Personnel!$G$39="Yes"),Personnel!$D$39*Personnel!$I$39,0)+IF(AND(67&gt;=Personnel!$E$40,Personnel!$G$40="Yes"),Personnel!$D$40*Personnel!$I$40,0)+IF(AND(67&gt;=Personnel!$E$41,Personnel!$G$41="Yes"),Personnel!$D$41*Personnel!$I$41,0)+IF(AND(67&gt;=Personnel!$E$42,Personnel!$G$42="Yes"),Personnel!$D$42*Personnel!$I$42,0))+(IF(AND(67&gt;=Personnel!$E$40,Personnel!$G$40="Yes"),Personnel!$D$40*Personnel!$I$40,0)+IF(AND(67&gt;=Personnel!$E$41,Personnel!$G$41="Yes"),Personnel!$D$41*Personnel!$I$41,0)+IF(AND(67&gt;=Personnel!$E$42,Personnel!$G$42="Yes"),Personnel!$D$42*Personnel!$I$42,0))*(Assumptions!$B$20+Assumptions!$B$21+Assumptions!$B$22+Assumptions!$B$23))*Escalation!$B$68</f>
        <v>121477.64045625001</v>
      </c>
      <c r="BU112" s="301">
        <f>((IF(AND(68&gt;=Personnel!$E$36,Personnel!$G$36="Yes"),Personnel!$D$36*Personnel!$I$36,0)+IF(AND(68&gt;=Personnel!$E$37,Personnel!$G$37="Yes"),Personnel!$D$37*Personnel!$I$37,0)+IF(AND(68&gt;=Personnel!$E$38,Personnel!$G$38="Yes"),Personnel!$D$38*Personnel!$I$38,0)+IF(AND(68&gt;=Personnel!$E$39,Personnel!$G$39="Yes"),Personnel!$D$39*Personnel!$I$39,0)+IF(AND(68&gt;=Personnel!$E$40,Personnel!$G$40="Yes"),Personnel!$D$40*Personnel!$I$40,0)+IF(AND(68&gt;=Personnel!$E$41,Personnel!$G$41="Yes"),Personnel!$D$41*Personnel!$I$41,0)+IF(AND(68&gt;=Personnel!$E$42,Personnel!$G$42="Yes"),Personnel!$D$42*Personnel!$I$42,0))+(IF(AND(68&gt;=Personnel!$E$40,Personnel!$G$40="Yes"),Personnel!$D$40*Personnel!$I$40,0)+IF(AND(68&gt;=Personnel!$E$41,Personnel!$G$41="Yes"),Personnel!$D$41*Personnel!$I$41,0)+IF(AND(68&gt;=Personnel!$E$42,Personnel!$G$42="Yes"),Personnel!$D$42*Personnel!$I$42,0))*(Assumptions!$B$20+Assumptions!$B$21+Assumptions!$B$22+Assumptions!$B$23))*Escalation!$B$69</f>
        <v>121477.64045625001</v>
      </c>
      <c r="BV112" s="301">
        <f>((IF(AND(69&gt;=Personnel!$E$36,Personnel!$G$36="Yes"),Personnel!$D$36*Personnel!$I$36,0)+IF(AND(69&gt;=Personnel!$E$37,Personnel!$G$37="Yes"),Personnel!$D$37*Personnel!$I$37,0)+IF(AND(69&gt;=Personnel!$E$38,Personnel!$G$38="Yes"),Personnel!$D$38*Personnel!$I$38,0)+IF(AND(69&gt;=Personnel!$E$39,Personnel!$G$39="Yes"),Personnel!$D$39*Personnel!$I$39,0)+IF(AND(69&gt;=Personnel!$E$40,Personnel!$G$40="Yes"),Personnel!$D$40*Personnel!$I$40,0)+IF(AND(69&gt;=Personnel!$E$41,Personnel!$G$41="Yes"),Personnel!$D$41*Personnel!$I$41,0)+IF(AND(69&gt;=Personnel!$E$42,Personnel!$G$42="Yes"),Personnel!$D$42*Personnel!$I$42,0))+(IF(AND(69&gt;=Personnel!$E$40,Personnel!$G$40="Yes"),Personnel!$D$40*Personnel!$I$40,0)+IF(AND(69&gt;=Personnel!$E$41,Personnel!$G$41="Yes"),Personnel!$D$41*Personnel!$I$41,0)+IF(AND(69&gt;=Personnel!$E$42,Personnel!$G$42="Yes"),Personnel!$D$42*Personnel!$I$42,0))*(Assumptions!$B$20+Assumptions!$B$21+Assumptions!$B$22+Assumptions!$B$23))*Escalation!$B$70</f>
        <v>121477.64045625001</v>
      </c>
      <c r="BW112" s="301">
        <f>((IF(AND(70&gt;=Personnel!$E$36,Personnel!$G$36="Yes"),Personnel!$D$36*Personnel!$I$36,0)+IF(AND(70&gt;=Personnel!$E$37,Personnel!$G$37="Yes"),Personnel!$D$37*Personnel!$I$37,0)+IF(AND(70&gt;=Personnel!$E$38,Personnel!$G$38="Yes"),Personnel!$D$38*Personnel!$I$38,0)+IF(AND(70&gt;=Personnel!$E$39,Personnel!$G$39="Yes"),Personnel!$D$39*Personnel!$I$39,0)+IF(AND(70&gt;=Personnel!$E$40,Personnel!$G$40="Yes"),Personnel!$D$40*Personnel!$I$40,0)+IF(AND(70&gt;=Personnel!$E$41,Personnel!$G$41="Yes"),Personnel!$D$41*Personnel!$I$41,0)+IF(AND(70&gt;=Personnel!$E$42,Personnel!$G$42="Yes"),Personnel!$D$42*Personnel!$I$42,0))+(IF(AND(70&gt;=Personnel!$E$40,Personnel!$G$40="Yes"),Personnel!$D$40*Personnel!$I$40,0)+IF(AND(70&gt;=Personnel!$E$41,Personnel!$G$41="Yes"),Personnel!$D$41*Personnel!$I$41,0)+IF(AND(70&gt;=Personnel!$E$42,Personnel!$G$42="Yes"),Personnel!$D$42*Personnel!$I$42,0))*(Assumptions!$B$20+Assumptions!$B$21+Assumptions!$B$22+Assumptions!$B$23))*Escalation!$B$71</f>
        <v>121477.64045625001</v>
      </c>
      <c r="BX112" s="301">
        <f>((IF(AND(71&gt;=Personnel!$E$36,Personnel!$G$36="Yes"),Personnel!$D$36*Personnel!$I$36,0)+IF(AND(71&gt;=Personnel!$E$37,Personnel!$G$37="Yes"),Personnel!$D$37*Personnel!$I$37,0)+IF(AND(71&gt;=Personnel!$E$38,Personnel!$G$38="Yes"),Personnel!$D$38*Personnel!$I$38,0)+IF(AND(71&gt;=Personnel!$E$39,Personnel!$G$39="Yes"),Personnel!$D$39*Personnel!$I$39,0)+IF(AND(71&gt;=Personnel!$E$40,Personnel!$G$40="Yes"),Personnel!$D$40*Personnel!$I$40,0)+IF(AND(71&gt;=Personnel!$E$41,Personnel!$G$41="Yes"),Personnel!$D$41*Personnel!$I$41,0)+IF(AND(71&gt;=Personnel!$E$42,Personnel!$G$42="Yes"),Personnel!$D$42*Personnel!$I$42,0))+(IF(AND(71&gt;=Personnel!$E$40,Personnel!$G$40="Yes"),Personnel!$D$40*Personnel!$I$40,0)+IF(AND(71&gt;=Personnel!$E$41,Personnel!$G$41="Yes"),Personnel!$D$41*Personnel!$I$41,0)+IF(AND(71&gt;=Personnel!$E$42,Personnel!$G$42="Yes"),Personnel!$D$42*Personnel!$I$42,0))*(Assumptions!$B$20+Assumptions!$B$21+Assumptions!$B$22+Assumptions!$B$23))*Escalation!$B$72</f>
        <v>121477.64045625001</v>
      </c>
      <c r="BY112" s="301">
        <f>((IF(AND(72&gt;=Personnel!$E$36,Personnel!$G$36="Yes"),Personnel!$D$36*Personnel!$I$36,0)+IF(AND(72&gt;=Personnel!$E$37,Personnel!$G$37="Yes"),Personnel!$D$37*Personnel!$I$37,0)+IF(AND(72&gt;=Personnel!$E$38,Personnel!$G$38="Yes"),Personnel!$D$38*Personnel!$I$38,0)+IF(AND(72&gt;=Personnel!$E$39,Personnel!$G$39="Yes"),Personnel!$D$39*Personnel!$I$39,0)+IF(AND(72&gt;=Personnel!$E$40,Personnel!$G$40="Yes"),Personnel!$D$40*Personnel!$I$40,0)+IF(AND(72&gt;=Personnel!$E$41,Personnel!$G$41="Yes"),Personnel!$D$41*Personnel!$I$41,0)+IF(AND(72&gt;=Personnel!$E$42,Personnel!$G$42="Yes"),Personnel!$D$42*Personnel!$I$42,0))+(IF(AND(72&gt;=Personnel!$E$40,Personnel!$G$40="Yes"),Personnel!$D$40*Personnel!$I$40,0)+IF(AND(72&gt;=Personnel!$E$41,Personnel!$G$41="Yes"),Personnel!$D$41*Personnel!$I$41,0)+IF(AND(72&gt;=Personnel!$E$42,Personnel!$G$42="Yes"),Personnel!$D$42*Personnel!$I$42,0))*(Assumptions!$B$20+Assumptions!$B$21+Assumptions!$B$22+Assumptions!$B$23))*Escalation!$B$73</f>
        <v>121477.64045625001</v>
      </c>
      <c r="BZ112" s="301">
        <f>((IF(AND(73&gt;=Personnel!$E$36,Personnel!$G$36="Yes"),Personnel!$D$36*Personnel!$I$36,0)+IF(AND(73&gt;=Personnel!$E$37,Personnel!$G$37="Yes"),Personnel!$D$37*Personnel!$I$37,0)+IF(AND(73&gt;=Personnel!$E$38,Personnel!$G$38="Yes"),Personnel!$D$38*Personnel!$I$38,0)+IF(AND(73&gt;=Personnel!$E$39,Personnel!$G$39="Yes"),Personnel!$D$39*Personnel!$I$39,0)+IF(AND(73&gt;=Personnel!$E$40,Personnel!$G$40="Yes"),Personnel!$D$40*Personnel!$I$40,0)+IF(AND(73&gt;=Personnel!$E$41,Personnel!$G$41="Yes"),Personnel!$D$41*Personnel!$I$41,0)+IF(AND(73&gt;=Personnel!$E$42,Personnel!$G$42="Yes"),Personnel!$D$42*Personnel!$I$42,0))+(IF(AND(73&gt;=Personnel!$E$40,Personnel!$G$40="Yes"),Personnel!$D$40*Personnel!$I$40,0)+IF(AND(73&gt;=Personnel!$E$41,Personnel!$G$41="Yes"),Personnel!$D$41*Personnel!$I$41,0)+IF(AND(73&gt;=Personnel!$E$42,Personnel!$G$42="Yes"),Personnel!$D$42*Personnel!$I$42,0))*(Assumptions!$B$20+Assumptions!$B$21+Assumptions!$B$22+Assumptions!$B$23))*Escalation!$B$74</f>
        <v>123907.19326537501</v>
      </c>
      <c r="CA112" s="301">
        <f>((IF(AND(74&gt;=Personnel!$E$36,Personnel!$G$36="Yes"),Personnel!$D$36*Personnel!$I$36,0)+IF(AND(74&gt;=Personnel!$E$37,Personnel!$G$37="Yes"),Personnel!$D$37*Personnel!$I$37,0)+IF(AND(74&gt;=Personnel!$E$38,Personnel!$G$38="Yes"),Personnel!$D$38*Personnel!$I$38,0)+IF(AND(74&gt;=Personnel!$E$39,Personnel!$G$39="Yes"),Personnel!$D$39*Personnel!$I$39,0)+IF(AND(74&gt;=Personnel!$E$40,Personnel!$G$40="Yes"),Personnel!$D$40*Personnel!$I$40,0)+IF(AND(74&gt;=Personnel!$E$41,Personnel!$G$41="Yes"),Personnel!$D$41*Personnel!$I$41,0)+IF(AND(74&gt;=Personnel!$E$42,Personnel!$G$42="Yes"),Personnel!$D$42*Personnel!$I$42,0))+(IF(AND(74&gt;=Personnel!$E$40,Personnel!$G$40="Yes"),Personnel!$D$40*Personnel!$I$40,0)+IF(AND(74&gt;=Personnel!$E$41,Personnel!$G$41="Yes"),Personnel!$D$41*Personnel!$I$41,0)+IF(AND(74&gt;=Personnel!$E$42,Personnel!$G$42="Yes"),Personnel!$D$42*Personnel!$I$42,0))*(Assumptions!$B$20+Assumptions!$B$21+Assumptions!$B$22+Assumptions!$B$23))*Escalation!$B$75</f>
        <v>123907.19326537501</v>
      </c>
      <c r="CB112" s="301">
        <f>((IF(AND(75&gt;=Personnel!$E$36,Personnel!$G$36="Yes"),Personnel!$D$36*Personnel!$I$36,0)+IF(AND(75&gt;=Personnel!$E$37,Personnel!$G$37="Yes"),Personnel!$D$37*Personnel!$I$37,0)+IF(AND(75&gt;=Personnel!$E$38,Personnel!$G$38="Yes"),Personnel!$D$38*Personnel!$I$38,0)+IF(AND(75&gt;=Personnel!$E$39,Personnel!$G$39="Yes"),Personnel!$D$39*Personnel!$I$39,0)+IF(AND(75&gt;=Personnel!$E$40,Personnel!$G$40="Yes"),Personnel!$D$40*Personnel!$I$40,0)+IF(AND(75&gt;=Personnel!$E$41,Personnel!$G$41="Yes"),Personnel!$D$41*Personnel!$I$41,0)+IF(AND(75&gt;=Personnel!$E$42,Personnel!$G$42="Yes"),Personnel!$D$42*Personnel!$I$42,0))+(IF(AND(75&gt;=Personnel!$E$40,Personnel!$G$40="Yes"),Personnel!$D$40*Personnel!$I$40,0)+IF(AND(75&gt;=Personnel!$E$41,Personnel!$G$41="Yes"),Personnel!$D$41*Personnel!$I$41,0)+IF(AND(75&gt;=Personnel!$E$42,Personnel!$G$42="Yes"),Personnel!$D$42*Personnel!$I$42,0))*(Assumptions!$B$20+Assumptions!$B$21+Assumptions!$B$22+Assumptions!$B$23))*Escalation!$B$76</f>
        <v>123907.19326537501</v>
      </c>
      <c r="CC112" s="301">
        <f>((IF(AND(76&gt;=Personnel!$E$36,Personnel!$G$36="Yes"),Personnel!$D$36*Personnel!$I$36,0)+IF(AND(76&gt;=Personnel!$E$37,Personnel!$G$37="Yes"),Personnel!$D$37*Personnel!$I$37,0)+IF(AND(76&gt;=Personnel!$E$38,Personnel!$G$38="Yes"),Personnel!$D$38*Personnel!$I$38,0)+IF(AND(76&gt;=Personnel!$E$39,Personnel!$G$39="Yes"),Personnel!$D$39*Personnel!$I$39,0)+IF(AND(76&gt;=Personnel!$E$40,Personnel!$G$40="Yes"),Personnel!$D$40*Personnel!$I$40,0)+IF(AND(76&gt;=Personnel!$E$41,Personnel!$G$41="Yes"),Personnel!$D$41*Personnel!$I$41,0)+IF(AND(76&gt;=Personnel!$E$42,Personnel!$G$42="Yes"),Personnel!$D$42*Personnel!$I$42,0))+(IF(AND(76&gt;=Personnel!$E$40,Personnel!$G$40="Yes"),Personnel!$D$40*Personnel!$I$40,0)+IF(AND(76&gt;=Personnel!$E$41,Personnel!$G$41="Yes"),Personnel!$D$41*Personnel!$I$41,0)+IF(AND(76&gt;=Personnel!$E$42,Personnel!$G$42="Yes"),Personnel!$D$42*Personnel!$I$42,0))*(Assumptions!$B$20+Assumptions!$B$21+Assumptions!$B$22+Assumptions!$B$23))*Escalation!$B$77</f>
        <v>123907.19326537501</v>
      </c>
      <c r="CD112" s="301">
        <f>((IF(AND(77&gt;=Personnel!$E$36,Personnel!$G$36="Yes"),Personnel!$D$36*Personnel!$I$36,0)+IF(AND(77&gt;=Personnel!$E$37,Personnel!$G$37="Yes"),Personnel!$D$37*Personnel!$I$37,0)+IF(AND(77&gt;=Personnel!$E$38,Personnel!$G$38="Yes"),Personnel!$D$38*Personnel!$I$38,0)+IF(AND(77&gt;=Personnel!$E$39,Personnel!$G$39="Yes"),Personnel!$D$39*Personnel!$I$39,0)+IF(AND(77&gt;=Personnel!$E$40,Personnel!$G$40="Yes"),Personnel!$D$40*Personnel!$I$40,0)+IF(AND(77&gt;=Personnel!$E$41,Personnel!$G$41="Yes"),Personnel!$D$41*Personnel!$I$41,0)+IF(AND(77&gt;=Personnel!$E$42,Personnel!$G$42="Yes"),Personnel!$D$42*Personnel!$I$42,0))+(IF(AND(77&gt;=Personnel!$E$40,Personnel!$G$40="Yes"),Personnel!$D$40*Personnel!$I$40,0)+IF(AND(77&gt;=Personnel!$E$41,Personnel!$G$41="Yes"),Personnel!$D$41*Personnel!$I$41,0)+IF(AND(77&gt;=Personnel!$E$42,Personnel!$G$42="Yes"),Personnel!$D$42*Personnel!$I$42,0))*(Assumptions!$B$20+Assumptions!$B$21+Assumptions!$B$22+Assumptions!$B$23))*Escalation!$B$78</f>
        <v>123907.19326537501</v>
      </c>
      <c r="CE112" s="301">
        <f>((IF(AND(78&gt;=Personnel!$E$36,Personnel!$G$36="Yes"),Personnel!$D$36*Personnel!$I$36,0)+IF(AND(78&gt;=Personnel!$E$37,Personnel!$G$37="Yes"),Personnel!$D$37*Personnel!$I$37,0)+IF(AND(78&gt;=Personnel!$E$38,Personnel!$G$38="Yes"),Personnel!$D$38*Personnel!$I$38,0)+IF(AND(78&gt;=Personnel!$E$39,Personnel!$G$39="Yes"),Personnel!$D$39*Personnel!$I$39,0)+IF(AND(78&gt;=Personnel!$E$40,Personnel!$G$40="Yes"),Personnel!$D$40*Personnel!$I$40,0)+IF(AND(78&gt;=Personnel!$E$41,Personnel!$G$41="Yes"),Personnel!$D$41*Personnel!$I$41,0)+IF(AND(78&gt;=Personnel!$E$42,Personnel!$G$42="Yes"),Personnel!$D$42*Personnel!$I$42,0))+(IF(AND(78&gt;=Personnel!$E$40,Personnel!$G$40="Yes"),Personnel!$D$40*Personnel!$I$40,0)+IF(AND(78&gt;=Personnel!$E$41,Personnel!$G$41="Yes"),Personnel!$D$41*Personnel!$I$41,0)+IF(AND(78&gt;=Personnel!$E$42,Personnel!$G$42="Yes"),Personnel!$D$42*Personnel!$I$42,0))*(Assumptions!$B$20+Assumptions!$B$21+Assumptions!$B$22+Assumptions!$B$23))*Escalation!$B$79</f>
        <v>123907.19326537501</v>
      </c>
      <c r="CF112" s="301">
        <f>((IF(AND(79&gt;=Personnel!$E$36,Personnel!$G$36="Yes"),Personnel!$D$36*Personnel!$I$36,0)+IF(AND(79&gt;=Personnel!$E$37,Personnel!$G$37="Yes"),Personnel!$D$37*Personnel!$I$37,0)+IF(AND(79&gt;=Personnel!$E$38,Personnel!$G$38="Yes"),Personnel!$D$38*Personnel!$I$38,0)+IF(AND(79&gt;=Personnel!$E$39,Personnel!$G$39="Yes"),Personnel!$D$39*Personnel!$I$39,0)+IF(AND(79&gt;=Personnel!$E$40,Personnel!$G$40="Yes"),Personnel!$D$40*Personnel!$I$40,0)+IF(AND(79&gt;=Personnel!$E$41,Personnel!$G$41="Yes"),Personnel!$D$41*Personnel!$I$41,0)+IF(AND(79&gt;=Personnel!$E$42,Personnel!$G$42="Yes"),Personnel!$D$42*Personnel!$I$42,0))+(IF(AND(79&gt;=Personnel!$E$40,Personnel!$G$40="Yes"),Personnel!$D$40*Personnel!$I$40,0)+IF(AND(79&gt;=Personnel!$E$41,Personnel!$G$41="Yes"),Personnel!$D$41*Personnel!$I$41,0)+IF(AND(79&gt;=Personnel!$E$42,Personnel!$G$42="Yes"),Personnel!$D$42*Personnel!$I$42,0))*(Assumptions!$B$20+Assumptions!$B$21+Assumptions!$B$22+Assumptions!$B$23))*Escalation!$B$80</f>
        <v>123907.19326537501</v>
      </c>
      <c r="CG112" s="301">
        <f>((IF(AND(80&gt;=Personnel!$E$36,Personnel!$G$36="Yes"),Personnel!$D$36*Personnel!$I$36,0)+IF(AND(80&gt;=Personnel!$E$37,Personnel!$G$37="Yes"),Personnel!$D$37*Personnel!$I$37,0)+IF(AND(80&gt;=Personnel!$E$38,Personnel!$G$38="Yes"),Personnel!$D$38*Personnel!$I$38,0)+IF(AND(80&gt;=Personnel!$E$39,Personnel!$G$39="Yes"),Personnel!$D$39*Personnel!$I$39,0)+IF(AND(80&gt;=Personnel!$E$40,Personnel!$G$40="Yes"),Personnel!$D$40*Personnel!$I$40,0)+IF(AND(80&gt;=Personnel!$E$41,Personnel!$G$41="Yes"),Personnel!$D$41*Personnel!$I$41,0)+IF(AND(80&gt;=Personnel!$E$42,Personnel!$G$42="Yes"),Personnel!$D$42*Personnel!$I$42,0))+(IF(AND(80&gt;=Personnel!$E$40,Personnel!$G$40="Yes"),Personnel!$D$40*Personnel!$I$40,0)+IF(AND(80&gt;=Personnel!$E$41,Personnel!$G$41="Yes"),Personnel!$D$41*Personnel!$I$41,0)+IF(AND(80&gt;=Personnel!$E$42,Personnel!$G$42="Yes"),Personnel!$D$42*Personnel!$I$42,0))*(Assumptions!$B$20+Assumptions!$B$21+Assumptions!$B$22+Assumptions!$B$23))*Escalation!$B$81</f>
        <v>123907.19326537501</v>
      </c>
      <c r="CH112" s="301">
        <f>((IF(AND(81&gt;=Personnel!$E$36,Personnel!$G$36="Yes"),Personnel!$D$36*Personnel!$I$36,0)+IF(AND(81&gt;=Personnel!$E$37,Personnel!$G$37="Yes"),Personnel!$D$37*Personnel!$I$37,0)+IF(AND(81&gt;=Personnel!$E$38,Personnel!$G$38="Yes"),Personnel!$D$38*Personnel!$I$38,0)+IF(AND(81&gt;=Personnel!$E$39,Personnel!$G$39="Yes"),Personnel!$D$39*Personnel!$I$39,0)+IF(AND(81&gt;=Personnel!$E$40,Personnel!$G$40="Yes"),Personnel!$D$40*Personnel!$I$40,0)+IF(AND(81&gt;=Personnel!$E$41,Personnel!$G$41="Yes"),Personnel!$D$41*Personnel!$I$41,0)+IF(AND(81&gt;=Personnel!$E$42,Personnel!$G$42="Yes"),Personnel!$D$42*Personnel!$I$42,0))+(IF(AND(81&gt;=Personnel!$E$40,Personnel!$G$40="Yes"),Personnel!$D$40*Personnel!$I$40,0)+IF(AND(81&gt;=Personnel!$E$41,Personnel!$G$41="Yes"),Personnel!$D$41*Personnel!$I$41,0)+IF(AND(81&gt;=Personnel!$E$42,Personnel!$G$42="Yes"),Personnel!$D$42*Personnel!$I$42,0))*(Assumptions!$B$20+Assumptions!$B$21+Assumptions!$B$22+Assumptions!$B$23))*Escalation!$B$82</f>
        <v>123907.19326537501</v>
      </c>
      <c r="CI112" s="301">
        <f>((IF(AND(82&gt;=Personnel!$E$36,Personnel!$G$36="Yes"),Personnel!$D$36*Personnel!$I$36,0)+IF(AND(82&gt;=Personnel!$E$37,Personnel!$G$37="Yes"),Personnel!$D$37*Personnel!$I$37,0)+IF(AND(82&gt;=Personnel!$E$38,Personnel!$G$38="Yes"),Personnel!$D$38*Personnel!$I$38,0)+IF(AND(82&gt;=Personnel!$E$39,Personnel!$G$39="Yes"),Personnel!$D$39*Personnel!$I$39,0)+IF(AND(82&gt;=Personnel!$E$40,Personnel!$G$40="Yes"),Personnel!$D$40*Personnel!$I$40,0)+IF(AND(82&gt;=Personnel!$E$41,Personnel!$G$41="Yes"),Personnel!$D$41*Personnel!$I$41,0)+IF(AND(82&gt;=Personnel!$E$42,Personnel!$G$42="Yes"),Personnel!$D$42*Personnel!$I$42,0))+(IF(AND(82&gt;=Personnel!$E$40,Personnel!$G$40="Yes"),Personnel!$D$40*Personnel!$I$40,0)+IF(AND(82&gt;=Personnel!$E$41,Personnel!$G$41="Yes"),Personnel!$D$41*Personnel!$I$41,0)+IF(AND(82&gt;=Personnel!$E$42,Personnel!$G$42="Yes"),Personnel!$D$42*Personnel!$I$42,0))*(Assumptions!$B$20+Assumptions!$B$21+Assumptions!$B$22+Assumptions!$B$23))*Escalation!$B$83</f>
        <v>123907.19326537501</v>
      </c>
      <c r="CJ112" s="301">
        <f>((IF(AND(83&gt;=Personnel!$E$36,Personnel!$G$36="Yes"),Personnel!$D$36*Personnel!$I$36,0)+IF(AND(83&gt;=Personnel!$E$37,Personnel!$G$37="Yes"),Personnel!$D$37*Personnel!$I$37,0)+IF(AND(83&gt;=Personnel!$E$38,Personnel!$G$38="Yes"),Personnel!$D$38*Personnel!$I$38,0)+IF(AND(83&gt;=Personnel!$E$39,Personnel!$G$39="Yes"),Personnel!$D$39*Personnel!$I$39,0)+IF(AND(83&gt;=Personnel!$E$40,Personnel!$G$40="Yes"),Personnel!$D$40*Personnel!$I$40,0)+IF(AND(83&gt;=Personnel!$E$41,Personnel!$G$41="Yes"),Personnel!$D$41*Personnel!$I$41,0)+IF(AND(83&gt;=Personnel!$E$42,Personnel!$G$42="Yes"),Personnel!$D$42*Personnel!$I$42,0))+(IF(AND(83&gt;=Personnel!$E$40,Personnel!$G$40="Yes"),Personnel!$D$40*Personnel!$I$40,0)+IF(AND(83&gt;=Personnel!$E$41,Personnel!$G$41="Yes"),Personnel!$D$41*Personnel!$I$41,0)+IF(AND(83&gt;=Personnel!$E$42,Personnel!$G$42="Yes"),Personnel!$D$42*Personnel!$I$42,0))*(Assumptions!$B$20+Assumptions!$B$21+Assumptions!$B$22+Assumptions!$B$23))*Escalation!$B$84</f>
        <v>123907.19326537501</v>
      </c>
      <c r="CK112" s="301">
        <f>((IF(AND(84&gt;=Personnel!$E$36,Personnel!$G$36="Yes"),Personnel!$D$36*Personnel!$I$36,0)+IF(AND(84&gt;=Personnel!$E$37,Personnel!$G$37="Yes"),Personnel!$D$37*Personnel!$I$37,0)+IF(AND(84&gt;=Personnel!$E$38,Personnel!$G$38="Yes"),Personnel!$D$38*Personnel!$I$38,0)+IF(AND(84&gt;=Personnel!$E$39,Personnel!$G$39="Yes"),Personnel!$D$39*Personnel!$I$39,0)+IF(AND(84&gt;=Personnel!$E$40,Personnel!$G$40="Yes"),Personnel!$D$40*Personnel!$I$40,0)+IF(AND(84&gt;=Personnel!$E$41,Personnel!$G$41="Yes"),Personnel!$D$41*Personnel!$I$41,0)+IF(AND(84&gt;=Personnel!$E$42,Personnel!$G$42="Yes"),Personnel!$D$42*Personnel!$I$42,0))+(IF(AND(84&gt;=Personnel!$E$40,Personnel!$G$40="Yes"),Personnel!$D$40*Personnel!$I$40,0)+IF(AND(84&gt;=Personnel!$E$41,Personnel!$G$41="Yes"),Personnel!$D$41*Personnel!$I$41,0)+IF(AND(84&gt;=Personnel!$E$42,Personnel!$G$42="Yes"),Personnel!$D$42*Personnel!$I$42,0))*(Assumptions!$B$20+Assumptions!$B$21+Assumptions!$B$22+Assumptions!$B$23))*Escalation!$B$85</f>
        <v>123907.19326537501</v>
      </c>
      <c r="CL112" s="301">
        <f>((IF(AND(85&gt;=Personnel!$E$36,Personnel!$G$36="Yes"),Personnel!$D$36*Personnel!$I$36,0)+IF(AND(85&gt;=Personnel!$E$37,Personnel!$G$37="Yes"),Personnel!$D$37*Personnel!$I$37,0)+IF(AND(85&gt;=Personnel!$E$38,Personnel!$G$38="Yes"),Personnel!$D$38*Personnel!$I$38,0)+IF(AND(85&gt;=Personnel!$E$39,Personnel!$G$39="Yes"),Personnel!$D$39*Personnel!$I$39,0)+IF(AND(85&gt;=Personnel!$E$40,Personnel!$G$40="Yes"),Personnel!$D$40*Personnel!$I$40,0)+IF(AND(85&gt;=Personnel!$E$41,Personnel!$G$41="Yes"),Personnel!$D$41*Personnel!$I$41,0)+IF(AND(85&gt;=Personnel!$E$42,Personnel!$G$42="Yes"),Personnel!$D$42*Personnel!$I$42,0))+(IF(AND(85&gt;=Personnel!$E$40,Personnel!$G$40="Yes"),Personnel!$D$40*Personnel!$I$40,0)+IF(AND(85&gt;=Personnel!$E$41,Personnel!$G$41="Yes"),Personnel!$D$41*Personnel!$I$41,0)+IF(AND(85&gt;=Personnel!$E$42,Personnel!$G$42="Yes"),Personnel!$D$42*Personnel!$I$42,0))*(Assumptions!$B$20+Assumptions!$B$21+Assumptions!$B$22+Assumptions!$B$23))*Escalation!$B$86</f>
        <v>126385.33713068248</v>
      </c>
      <c r="CM112" s="301">
        <f>((IF(AND(86&gt;=Personnel!$E$36,Personnel!$G$36="Yes"),Personnel!$D$36*Personnel!$I$36,0)+IF(AND(86&gt;=Personnel!$E$37,Personnel!$G$37="Yes"),Personnel!$D$37*Personnel!$I$37,0)+IF(AND(86&gt;=Personnel!$E$38,Personnel!$G$38="Yes"),Personnel!$D$38*Personnel!$I$38,0)+IF(AND(86&gt;=Personnel!$E$39,Personnel!$G$39="Yes"),Personnel!$D$39*Personnel!$I$39,0)+IF(AND(86&gt;=Personnel!$E$40,Personnel!$G$40="Yes"),Personnel!$D$40*Personnel!$I$40,0)+IF(AND(86&gt;=Personnel!$E$41,Personnel!$G$41="Yes"),Personnel!$D$41*Personnel!$I$41,0)+IF(AND(86&gt;=Personnel!$E$42,Personnel!$G$42="Yes"),Personnel!$D$42*Personnel!$I$42,0))+(IF(AND(86&gt;=Personnel!$E$40,Personnel!$G$40="Yes"),Personnel!$D$40*Personnel!$I$40,0)+IF(AND(86&gt;=Personnel!$E$41,Personnel!$G$41="Yes"),Personnel!$D$41*Personnel!$I$41,0)+IF(AND(86&gt;=Personnel!$E$42,Personnel!$G$42="Yes"),Personnel!$D$42*Personnel!$I$42,0))*(Assumptions!$B$20+Assumptions!$B$21+Assumptions!$B$22+Assumptions!$B$23))*Escalation!$B$87</f>
        <v>126385.33713068248</v>
      </c>
      <c r="CN112" s="301">
        <f>((IF(AND(87&gt;=Personnel!$E$36,Personnel!$G$36="Yes"),Personnel!$D$36*Personnel!$I$36,0)+IF(AND(87&gt;=Personnel!$E$37,Personnel!$G$37="Yes"),Personnel!$D$37*Personnel!$I$37,0)+IF(AND(87&gt;=Personnel!$E$38,Personnel!$G$38="Yes"),Personnel!$D$38*Personnel!$I$38,0)+IF(AND(87&gt;=Personnel!$E$39,Personnel!$G$39="Yes"),Personnel!$D$39*Personnel!$I$39,0)+IF(AND(87&gt;=Personnel!$E$40,Personnel!$G$40="Yes"),Personnel!$D$40*Personnel!$I$40,0)+IF(AND(87&gt;=Personnel!$E$41,Personnel!$G$41="Yes"),Personnel!$D$41*Personnel!$I$41,0)+IF(AND(87&gt;=Personnel!$E$42,Personnel!$G$42="Yes"),Personnel!$D$42*Personnel!$I$42,0))+(IF(AND(87&gt;=Personnel!$E$40,Personnel!$G$40="Yes"),Personnel!$D$40*Personnel!$I$40,0)+IF(AND(87&gt;=Personnel!$E$41,Personnel!$G$41="Yes"),Personnel!$D$41*Personnel!$I$41,0)+IF(AND(87&gt;=Personnel!$E$42,Personnel!$G$42="Yes"),Personnel!$D$42*Personnel!$I$42,0))*(Assumptions!$B$20+Assumptions!$B$21+Assumptions!$B$22+Assumptions!$B$23))*Escalation!$B$88</f>
        <v>126385.33713068248</v>
      </c>
      <c r="CO112" s="301">
        <f>((IF(AND(88&gt;=Personnel!$E$36,Personnel!$G$36="Yes"),Personnel!$D$36*Personnel!$I$36,0)+IF(AND(88&gt;=Personnel!$E$37,Personnel!$G$37="Yes"),Personnel!$D$37*Personnel!$I$37,0)+IF(AND(88&gt;=Personnel!$E$38,Personnel!$G$38="Yes"),Personnel!$D$38*Personnel!$I$38,0)+IF(AND(88&gt;=Personnel!$E$39,Personnel!$G$39="Yes"),Personnel!$D$39*Personnel!$I$39,0)+IF(AND(88&gt;=Personnel!$E$40,Personnel!$G$40="Yes"),Personnel!$D$40*Personnel!$I$40,0)+IF(AND(88&gt;=Personnel!$E$41,Personnel!$G$41="Yes"),Personnel!$D$41*Personnel!$I$41,0)+IF(AND(88&gt;=Personnel!$E$42,Personnel!$G$42="Yes"),Personnel!$D$42*Personnel!$I$42,0))+(IF(AND(88&gt;=Personnel!$E$40,Personnel!$G$40="Yes"),Personnel!$D$40*Personnel!$I$40,0)+IF(AND(88&gt;=Personnel!$E$41,Personnel!$G$41="Yes"),Personnel!$D$41*Personnel!$I$41,0)+IF(AND(88&gt;=Personnel!$E$42,Personnel!$G$42="Yes"),Personnel!$D$42*Personnel!$I$42,0))*(Assumptions!$B$20+Assumptions!$B$21+Assumptions!$B$22+Assumptions!$B$23))*Escalation!$B$89</f>
        <v>126385.33713068248</v>
      </c>
      <c r="CP112" s="301">
        <f>((IF(AND(89&gt;=Personnel!$E$36,Personnel!$G$36="Yes"),Personnel!$D$36*Personnel!$I$36,0)+IF(AND(89&gt;=Personnel!$E$37,Personnel!$G$37="Yes"),Personnel!$D$37*Personnel!$I$37,0)+IF(AND(89&gt;=Personnel!$E$38,Personnel!$G$38="Yes"),Personnel!$D$38*Personnel!$I$38,0)+IF(AND(89&gt;=Personnel!$E$39,Personnel!$G$39="Yes"),Personnel!$D$39*Personnel!$I$39,0)+IF(AND(89&gt;=Personnel!$E$40,Personnel!$G$40="Yes"),Personnel!$D$40*Personnel!$I$40,0)+IF(AND(89&gt;=Personnel!$E$41,Personnel!$G$41="Yes"),Personnel!$D$41*Personnel!$I$41,0)+IF(AND(89&gt;=Personnel!$E$42,Personnel!$G$42="Yes"),Personnel!$D$42*Personnel!$I$42,0))+(IF(AND(89&gt;=Personnel!$E$40,Personnel!$G$40="Yes"),Personnel!$D$40*Personnel!$I$40,0)+IF(AND(89&gt;=Personnel!$E$41,Personnel!$G$41="Yes"),Personnel!$D$41*Personnel!$I$41,0)+IF(AND(89&gt;=Personnel!$E$42,Personnel!$G$42="Yes"),Personnel!$D$42*Personnel!$I$42,0))*(Assumptions!$B$20+Assumptions!$B$21+Assumptions!$B$22+Assumptions!$B$23))*Escalation!$B$90</f>
        <v>126385.33713068248</v>
      </c>
      <c r="CQ112" s="301">
        <f>((IF(AND(90&gt;=Personnel!$E$36,Personnel!$G$36="Yes"),Personnel!$D$36*Personnel!$I$36,0)+IF(AND(90&gt;=Personnel!$E$37,Personnel!$G$37="Yes"),Personnel!$D$37*Personnel!$I$37,0)+IF(AND(90&gt;=Personnel!$E$38,Personnel!$G$38="Yes"),Personnel!$D$38*Personnel!$I$38,0)+IF(AND(90&gt;=Personnel!$E$39,Personnel!$G$39="Yes"),Personnel!$D$39*Personnel!$I$39,0)+IF(AND(90&gt;=Personnel!$E$40,Personnel!$G$40="Yes"),Personnel!$D$40*Personnel!$I$40,0)+IF(AND(90&gt;=Personnel!$E$41,Personnel!$G$41="Yes"),Personnel!$D$41*Personnel!$I$41,0)+IF(AND(90&gt;=Personnel!$E$42,Personnel!$G$42="Yes"),Personnel!$D$42*Personnel!$I$42,0))+(IF(AND(90&gt;=Personnel!$E$40,Personnel!$G$40="Yes"),Personnel!$D$40*Personnel!$I$40,0)+IF(AND(90&gt;=Personnel!$E$41,Personnel!$G$41="Yes"),Personnel!$D$41*Personnel!$I$41,0)+IF(AND(90&gt;=Personnel!$E$42,Personnel!$G$42="Yes"),Personnel!$D$42*Personnel!$I$42,0))*(Assumptions!$B$20+Assumptions!$B$21+Assumptions!$B$22+Assumptions!$B$23))*Escalation!$B$91</f>
        <v>126385.33713068248</v>
      </c>
      <c r="CR112" s="301">
        <f>((IF(AND(91&gt;=Personnel!$E$36,Personnel!$G$36="Yes"),Personnel!$D$36*Personnel!$I$36,0)+IF(AND(91&gt;=Personnel!$E$37,Personnel!$G$37="Yes"),Personnel!$D$37*Personnel!$I$37,0)+IF(AND(91&gt;=Personnel!$E$38,Personnel!$G$38="Yes"),Personnel!$D$38*Personnel!$I$38,0)+IF(AND(91&gt;=Personnel!$E$39,Personnel!$G$39="Yes"),Personnel!$D$39*Personnel!$I$39,0)+IF(AND(91&gt;=Personnel!$E$40,Personnel!$G$40="Yes"),Personnel!$D$40*Personnel!$I$40,0)+IF(AND(91&gt;=Personnel!$E$41,Personnel!$G$41="Yes"),Personnel!$D$41*Personnel!$I$41,0)+IF(AND(91&gt;=Personnel!$E$42,Personnel!$G$42="Yes"),Personnel!$D$42*Personnel!$I$42,0))+(IF(AND(91&gt;=Personnel!$E$40,Personnel!$G$40="Yes"),Personnel!$D$40*Personnel!$I$40,0)+IF(AND(91&gt;=Personnel!$E$41,Personnel!$G$41="Yes"),Personnel!$D$41*Personnel!$I$41,0)+IF(AND(91&gt;=Personnel!$E$42,Personnel!$G$42="Yes"),Personnel!$D$42*Personnel!$I$42,0))*(Assumptions!$B$20+Assumptions!$B$21+Assumptions!$B$22+Assumptions!$B$23))*Escalation!$B$92</f>
        <v>126385.33713068248</v>
      </c>
      <c r="CS112" s="301">
        <f>((IF(AND(92&gt;=Personnel!$E$36,Personnel!$G$36="Yes"),Personnel!$D$36*Personnel!$I$36,0)+IF(AND(92&gt;=Personnel!$E$37,Personnel!$G$37="Yes"),Personnel!$D$37*Personnel!$I$37,0)+IF(AND(92&gt;=Personnel!$E$38,Personnel!$G$38="Yes"),Personnel!$D$38*Personnel!$I$38,0)+IF(AND(92&gt;=Personnel!$E$39,Personnel!$G$39="Yes"),Personnel!$D$39*Personnel!$I$39,0)+IF(AND(92&gt;=Personnel!$E$40,Personnel!$G$40="Yes"),Personnel!$D$40*Personnel!$I$40,0)+IF(AND(92&gt;=Personnel!$E$41,Personnel!$G$41="Yes"),Personnel!$D$41*Personnel!$I$41,0)+IF(AND(92&gt;=Personnel!$E$42,Personnel!$G$42="Yes"),Personnel!$D$42*Personnel!$I$42,0))+(IF(AND(92&gt;=Personnel!$E$40,Personnel!$G$40="Yes"),Personnel!$D$40*Personnel!$I$40,0)+IF(AND(92&gt;=Personnel!$E$41,Personnel!$G$41="Yes"),Personnel!$D$41*Personnel!$I$41,0)+IF(AND(92&gt;=Personnel!$E$42,Personnel!$G$42="Yes"),Personnel!$D$42*Personnel!$I$42,0))*(Assumptions!$B$20+Assumptions!$B$21+Assumptions!$B$22+Assumptions!$B$23))*Escalation!$B$93</f>
        <v>126385.33713068248</v>
      </c>
      <c r="CT112" s="301">
        <f>((IF(AND(93&gt;=Personnel!$E$36,Personnel!$G$36="Yes"),Personnel!$D$36*Personnel!$I$36,0)+IF(AND(93&gt;=Personnel!$E$37,Personnel!$G$37="Yes"),Personnel!$D$37*Personnel!$I$37,0)+IF(AND(93&gt;=Personnel!$E$38,Personnel!$G$38="Yes"),Personnel!$D$38*Personnel!$I$38,0)+IF(AND(93&gt;=Personnel!$E$39,Personnel!$G$39="Yes"),Personnel!$D$39*Personnel!$I$39,0)+IF(AND(93&gt;=Personnel!$E$40,Personnel!$G$40="Yes"),Personnel!$D$40*Personnel!$I$40,0)+IF(AND(93&gt;=Personnel!$E$41,Personnel!$G$41="Yes"),Personnel!$D$41*Personnel!$I$41,0)+IF(AND(93&gt;=Personnel!$E$42,Personnel!$G$42="Yes"),Personnel!$D$42*Personnel!$I$42,0))+(IF(AND(93&gt;=Personnel!$E$40,Personnel!$G$40="Yes"),Personnel!$D$40*Personnel!$I$40,0)+IF(AND(93&gt;=Personnel!$E$41,Personnel!$G$41="Yes"),Personnel!$D$41*Personnel!$I$41,0)+IF(AND(93&gt;=Personnel!$E$42,Personnel!$G$42="Yes"),Personnel!$D$42*Personnel!$I$42,0))*(Assumptions!$B$20+Assumptions!$B$21+Assumptions!$B$22+Assumptions!$B$23))*Escalation!$B$94</f>
        <v>126385.33713068248</v>
      </c>
      <c r="CU112" s="301">
        <f>((IF(AND(94&gt;=Personnel!$E$36,Personnel!$G$36="Yes"),Personnel!$D$36*Personnel!$I$36,0)+IF(AND(94&gt;=Personnel!$E$37,Personnel!$G$37="Yes"),Personnel!$D$37*Personnel!$I$37,0)+IF(AND(94&gt;=Personnel!$E$38,Personnel!$G$38="Yes"),Personnel!$D$38*Personnel!$I$38,0)+IF(AND(94&gt;=Personnel!$E$39,Personnel!$G$39="Yes"),Personnel!$D$39*Personnel!$I$39,0)+IF(AND(94&gt;=Personnel!$E$40,Personnel!$G$40="Yes"),Personnel!$D$40*Personnel!$I$40,0)+IF(AND(94&gt;=Personnel!$E$41,Personnel!$G$41="Yes"),Personnel!$D$41*Personnel!$I$41,0)+IF(AND(94&gt;=Personnel!$E$42,Personnel!$G$42="Yes"),Personnel!$D$42*Personnel!$I$42,0))+(IF(AND(94&gt;=Personnel!$E$40,Personnel!$G$40="Yes"),Personnel!$D$40*Personnel!$I$40,0)+IF(AND(94&gt;=Personnel!$E$41,Personnel!$G$41="Yes"),Personnel!$D$41*Personnel!$I$41,0)+IF(AND(94&gt;=Personnel!$E$42,Personnel!$G$42="Yes"),Personnel!$D$42*Personnel!$I$42,0))*(Assumptions!$B$20+Assumptions!$B$21+Assumptions!$B$22+Assumptions!$B$23))*Escalation!$B$95</f>
        <v>126385.33713068248</v>
      </c>
      <c r="CV112" s="301">
        <f>((IF(AND(95&gt;=Personnel!$E$36,Personnel!$G$36="Yes"),Personnel!$D$36*Personnel!$I$36,0)+IF(AND(95&gt;=Personnel!$E$37,Personnel!$G$37="Yes"),Personnel!$D$37*Personnel!$I$37,0)+IF(AND(95&gt;=Personnel!$E$38,Personnel!$G$38="Yes"),Personnel!$D$38*Personnel!$I$38,0)+IF(AND(95&gt;=Personnel!$E$39,Personnel!$G$39="Yes"),Personnel!$D$39*Personnel!$I$39,0)+IF(AND(95&gt;=Personnel!$E$40,Personnel!$G$40="Yes"),Personnel!$D$40*Personnel!$I$40,0)+IF(AND(95&gt;=Personnel!$E$41,Personnel!$G$41="Yes"),Personnel!$D$41*Personnel!$I$41,0)+IF(AND(95&gt;=Personnel!$E$42,Personnel!$G$42="Yes"),Personnel!$D$42*Personnel!$I$42,0))+(IF(AND(95&gt;=Personnel!$E$40,Personnel!$G$40="Yes"),Personnel!$D$40*Personnel!$I$40,0)+IF(AND(95&gt;=Personnel!$E$41,Personnel!$G$41="Yes"),Personnel!$D$41*Personnel!$I$41,0)+IF(AND(95&gt;=Personnel!$E$42,Personnel!$G$42="Yes"),Personnel!$D$42*Personnel!$I$42,0))*(Assumptions!$B$20+Assumptions!$B$21+Assumptions!$B$22+Assumptions!$B$23))*Escalation!$B$96</f>
        <v>126385.33713068248</v>
      </c>
      <c r="CW112" s="301">
        <f>((IF(AND(96&gt;=Personnel!$E$36,Personnel!$G$36="Yes"),Personnel!$D$36*Personnel!$I$36,0)+IF(AND(96&gt;=Personnel!$E$37,Personnel!$G$37="Yes"),Personnel!$D$37*Personnel!$I$37,0)+IF(AND(96&gt;=Personnel!$E$38,Personnel!$G$38="Yes"),Personnel!$D$38*Personnel!$I$38,0)+IF(AND(96&gt;=Personnel!$E$39,Personnel!$G$39="Yes"),Personnel!$D$39*Personnel!$I$39,0)+IF(AND(96&gt;=Personnel!$E$40,Personnel!$G$40="Yes"),Personnel!$D$40*Personnel!$I$40,0)+IF(AND(96&gt;=Personnel!$E$41,Personnel!$G$41="Yes"),Personnel!$D$41*Personnel!$I$41,0)+IF(AND(96&gt;=Personnel!$E$42,Personnel!$G$42="Yes"),Personnel!$D$42*Personnel!$I$42,0))+(IF(AND(96&gt;=Personnel!$E$40,Personnel!$G$40="Yes"),Personnel!$D$40*Personnel!$I$40,0)+IF(AND(96&gt;=Personnel!$E$41,Personnel!$G$41="Yes"),Personnel!$D$41*Personnel!$I$41,0)+IF(AND(96&gt;=Personnel!$E$42,Personnel!$G$42="Yes"),Personnel!$D$42*Personnel!$I$42,0))*(Assumptions!$B$20+Assumptions!$B$21+Assumptions!$B$22+Assumptions!$B$23))*Escalation!$B$97</f>
        <v>126385.33713068248</v>
      </c>
      <c r="CX112" s="301">
        <f>((IF(AND(97&gt;=Personnel!$E$36,Personnel!$G$36="Yes"),Personnel!$D$36*Personnel!$I$36,0)+IF(AND(97&gt;=Personnel!$E$37,Personnel!$G$37="Yes"),Personnel!$D$37*Personnel!$I$37,0)+IF(AND(97&gt;=Personnel!$E$38,Personnel!$G$38="Yes"),Personnel!$D$38*Personnel!$I$38,0)+IF(AND(97&gt;=Personnel!$E$39,Personnel!$G$39="Yes"),Personnel!$D$39*Personnel!$I$39,0)+IF(AND(97&gt;=Personnel!$E$40,Personnel!$G$40="Yes"),Personnel!$D$40*Personnel!$I$40,0)+IF(AND(97&gt;=Personnel!$E$41,Personnel!$G$41="Yes"),Personnel!$D$41*Personnel!$I$41,0)+IF(AND(97&gt;=Personnel!$E$42,Personnel!$G$42="Yes"),Personnel!$D$42*Personnel!$I$42,0))+(IF(AND(97&gt;=Personnel!$E$40,Personnel!$G$40="Yes"),Personnel!$D$40*Personnel!$I$40,0)+IF(AND(97&gt;=Personnel!$E$41,Personnel!$G$41="Yes"),Personnel!$D$41*Personnel!$I$41,0)+IF(AND(97&gt;=Personnel!$E$42,Personnel!$G$42="Yes"),Personnel!$D$42*Personnel!$I$42,0))*(Assumptions!$B$20+Assumptions!$B$21+Assumptions!$B$22+Assumptions!$B$23))*Escalation!$B$98</f>
        <v>128913.04387329615</v>
      </c>
      <c r="CY112" s="301">
        <f>((IF(AND(98&gt;=Personnel!$E$36,Personnel!$G$36="Yes"),Personnel!$D$36*Personnel!$I$36,0)+IF(AND(98&gt;=Personnel!$E$37,Personnel!$G$37="Yes"),Personnel!$D$37*Personnel!$I$37,0)+IF(AND(98&gt;=Personnel!$E$38,Personnel!$G$38="Yes"),Personnel!$D$38*Personnel!$I$38,0)+IF(AND(98&gt;=Personnel!$E$39,Personnel!$G$39="Yes"),Personnel!$D$39*Personnel!$I$39,0)+IF(AND(98&gt;=Personnel!$E$40,Personnel!$G$40="Yes"),Personnel!$D$40*Personnel!$I$40,0)+IF(AND(98&gt;=Personnel!$E$41,Personnel!$G$41="Yes"),Personnel!$D$41*Personnel!$I$41,0)+IF(AND(98&gt;=Personnel!$E$42,Personnel!$G$42="Yes"),Personnel!$D$42*Personnel!$I$42,0))+(IF(AND(98&gt;=Personnel!$E$40,Personnel!$G$40="Yes"),Personnel!$D$40*Personnel!$I$40,0)+IF(AND(98&gt;=Personnel!$E$41,Personnel!$G$41="Yes"),Personnel!$D$41*Personnel!$I$41,0)+IF(AND(98&gt;=Personnel!$E$42,Personnel!$G$42="Yes"),Personnel!$D$42*Personnel!$I$42,0))*(Assumptions!$B$20+Assumptions!$B$21+Assumptions!$B$22+Assumptions!$B$23))*Escalation!$B$99</f>
        <v>128913.04387329615</v>
      </c>
      <c r="CZ112" s="301">
        <f>((IF(AND(99&gt;=Personnel!$E$36,Personnel!$G$36="Yes"),Personnel!$D$36*Personnel!$I$36,0)+IF(AND(99&gt;=Personnel!$E$37,Personnel!$G$37="Yes"),Personnel!$D$37*Personnel!$I$37,0)+IF(AND(99&gt;=Personnel!$E$38,Personnel!$G$38="Yes"),Personnel!$D$38*Personnel!$I$38,0)+IF(AND(99&gt;=Personnel!$E$39,Personnel!$G$39="Yes"),Personnel!$D$39*Personnel!$I$39,0)+IF(AND(99&gt;=Personnel!$E$40,Personnel!$G$40="Yes"),Personnel!$D$40*Personnel!$I$40,0)+IF(AND(99&gt;=Personnel!$E$41,Personnel!$G$41="Yes"),Personnel!$D$41*Personnel!$I$41,0)+IF(AND(99&gt;=Personnel!$E$42,Personnel!$G$42="Yes"),Personnel!$D$42*Personnel!$I$42,0))+(IF(AND(99&gt;=Personnel!$E$40,Personnel!$G$40="Yes"),Personnel!$D$40*Personnel!$I$40,0)+IF(AND(99&gt;=Personnel!$E$41,Personnel!$G$41="Yes"),Personnel!$D$41*Personnel!$I$41,0)+IF(AND(99&gt;=Personnel!$E$42,Personnel!$G$42="Yes"),Personnel!$D$42*Personnel!$I$42,0))*(Assumptions!$B$20+Assumptions!$B$21+Assumptions!$B$22+Assumptions!$B$23))*Escalation!$B$100</f>
        <v>128913.04387329615</v>
      </c>
      <c r="DA112" s="301">
        <f>((IF(AND(100&gt;=Personnel!$E$36,Personnel!$G$36="Yes"),Personnel!$D$36*Personnel!$I$36,0)+IF(AND(100&gt;=Personnel!$E$37,Personnel!$G$37="Yes"),Personnel!$D$37*Personnel!$I$37,0)+IF(AND(100&gt;=Personnel!$E$38,Personnel!$G$38="Yes"),Personnel!$D$38*Personnel!$I$38,0)+IF(AND(100&gt;=Personnel!$E$39,Personnel!$G$39="Yes"),Personnel!$D$39*Personnel!$I$39,0)+IF(AND(100&gt;=Personnel!$E$40,Personnel!$G$40="Yes"),Personnel!$D$40*Personnel!$I$40,0)+IF(AND(100&gt;=Personnel!$E$41,Personnel!$G$41="Yes"),Personnel!$D$41*Personnel!$I$41,0)+IF(AND(100&gt;=Personnel!$E$42,Personnel!$G$42="Yes"),Personnel!$D$42*Personnel!$I$42,0))+(IF(AND(100&gt;=Personnel!$E$40,Personnel!$G$40="Yes"),Personnel!$D$40*Personnel!$I$40,0)+IF(AND(100&gt;=Personnel!$E$41,Personnel!$G$41="Yes"),Personnel!$D$41*Personnel!$I$41,0)+IF(AND(100&gt;=Personnel!$E$42,Personnel!$G$42="Yes"),Personnel!$D$42*Personnel!$I$42,0))*(Assumptions!$B$20+Assumptions!$B$21+Assumptions!$B$22+Assumptions!$B$23))*Escalation!$B$101</f>
        <v>128913.04387329615</v>
      </c>
      <c r="DB112" s="301">
        <f>((IF(AND(101&gt;=Personnel!$E$36,Personnel!$G$36="Yes"),Personnel!$D$36*Personnel!$I$36,0)+IF(AND(101&gt;=Personnel!$E$37,Personnel!$G$37="Yes"),Personnel!$D$37*Personnel!$I$37,0)+IF(AND(101&gt;=Personnel!$E$38,Personnel!$G$38="Yes"),Personnel!$D$38*Personnel!$I$38,0)+IF(AND(101&gt;=Personnel!$E$39,Personnel!$G$39="Yes"),Personnel!$D$39*Personnel!$I$39,0)+IF(AND(101&gt;=Personnel!$E$40,Personnel!$G$40="Yes"),Personnel!$D$40*Personnel!$I$40,0)+IF(AND(101&gt;=Personnel!$E$41,Personnel!$G$41="Yes"),Personnel!$D$41*Personnel!$I$41,0)+IF(AND(101&gt;=Personnel!$E$42,Personnel!$G$42="Yes"),Personnel!$D$42*Personnel!$I$42,0))+(IF(AND(101&gt;=Personnel!$E$40,Personnel!$G$40="Yes"),Personnel!$D$40*Personnel!$I$40,0)+IF(AND(101&gt;=Personnel!$E$41,Personnel!$G$41="Yes"),Personnel!$D$41*Personnel!$I$41,0)+IF(AND(101&gt;=Personnel!$E$42,Personnel!$G$42="Yes"),Personnel!$D$42*Personnel!$I$42,0))*(Assumptions!$B$20+Assumptions!$B$21+Assumptions!$B$22+Assumptions!$B$23))*Escalation!$B$102</f>
        <v>128913.04387329615</v>
      </c>
      <c r="DC112" s="301">
        <f>((IF(AND(102&gt;=Personnel!$E$36,Personnel!$G$36="Yes"),Personnel!$D$36*Personnel!$I$36,0)+IF(AND(102&gt;=Personnel!$E$37,Personnel!$G$37="Yes"),Personnel!$D$37*Personnel!$I$37,0)+IF(AND(102&gt;=Personnel!$E$38,Personnel!$G$38="Yes"),Personnel!$D$38*Personnel!$I$38,0)+IF(AND(102&gt;=Personnel!$E$39,Personnel!$G$39="Yes"),Personnel!$D$39*Personnel!$I$39,0)+IF(AND(102&gt;=Personnel!$E$40,Personnel!$G$40="Yes"),Personnel!$D$40*Personnel!$I$40,0)+IF(AND(102&gt;=Personnel!$E$41,Personnel!$G$41="Yes"),Personnel!$D$41*Personnel!$I$41,0)+IF(AND(102&gt;=Personnel!$E$42,Personnel!$G$42="Yes"),Personnel!$D$42*Personnel!$I$42,0))+(IF(AND(102&gt;=Personnel!$E$40,Personnel!$G$40="Yes"),Personnel!$D$40*Personnel!$I$40,0)+IF(AND(102&gt;=Personnel!$E$41,Personnel!$G$41="Yes"),Personnel!$D$41*Personnel!$I$41,0)+IF(AND(102&gt;=Personnel!$E$42,Personnel!$G$42="Yes"),Personnel!$D$42*Personnel!$I$42,0))*(Assumptions!$B$20+Assumptions!$B$21+Assumptions!$B$22+Assumptions!$B$23))*Escalation!$B$103</f>
        <v>128913.04387329615</v>
      </c>
      <c r="DD112" s="301">
        <f>((IF(AND(103&gt;=Personnel!$E$36,Personnel!$G$36="Yes"),Personnel!$D$36*Personnel!$I$36,0)+IF(AND(103&gt;=Personnel!$E$37,Personnel!$G$37="Yes"),Personnel!$D$37*Personnel!$I$37,0)+IF(AND(103&gt;=Personnel!$E$38,Personnel!$G$38="Yes"),Personnel!$D$38*Personnel!$I$38,0)+IF(AND(103&gt;=Personnel!$E$39,Personnel!$G$39="Yes"),Personnel!$D$39*Personnel!$I$39,0)+IF(AND(103&gt;=Personnel!$E$40,Personnel!$G$40="Yes"),Personnel!$D$40*Personnel!$I$40,0)+IF(AND(103&gt;=Personnel!$E$41,Personnel!$G$41="Yes"),Personnel!$D$41*Personnel!$I$41,0)+IF(AND(103&gt;=Personnel!$E$42,Personnel!$G$42="Yes"),Personnel!$D$42*Personnel!$I$42,0))+(IF(AND(103&gt;=Personnel!$E$40,Personnel!$G$40="Yes"),Personnel!$D$40*Personnel!$I$40,0)+IF(AND(103&gt;=Personnel!$E$41,Personnel!$G$41="Yes"),Personnel!$D$41*Personnel!$I$41,0)+IF(AND(103&gt;=Personnel!$E$42,Personnel!$G$42="Yes"),Personnel!$D$42*Personnel!$I$42,0))*(Assumptions!$B$20+Assumptions!$B$21+Assumptions!$B$22+Assumptions!$B$23))*Escalation!$B$104</f>
        <v>128913.04387329615</v>
      </c>
      <c r="DE112" s="301">
        <f>((IF(AND(104&gt;=Personnel!$E$36,Personnel!$G$36="Yes"),Personnel!$D$36*Personnel!$I$36,0)+IF(AND(104&gt;=Personnel!$E$37,Personnel!$G$37="Yes"),Personnel!$D$37*Personnel!$I$37,0)+IF(AND(104&gt;=Personnel!$E$38,Personnel!$G$38="Yes"),Personnel!$D$38*Personnel!$I$38,0)+IF(AND(104&gt;=Personnel!$E$39,Personnel!$G$39="Yes"),Personnel!$D$39*Personnel!$I$39,0)+IF(AND(104&gt;=Personnel!$E$40,Personnel!$G$40="Yes"),Personnel!$D$40*Personnel!$I$40,0)+IF(AND(104&gt;=Personnel!$E$41,Personnel!$G$41="Yes"),Personnel!$D$41*Personnel!$I$41,0)+IF(AND(104&gt;=Personnel!$E$42,Personnel!$G$42="Yes"),Personnel!$D$42*Personnel!$I$42,0))+(IF(AND(104&gt;=Personnel!$E$40,Personnel!$G$40="Yes"),Personnel!$D$40*Personnel!$I$40,0)+IF(AND(104&gt;=Personnel!$E$41,Personnel!$G$41="Yes"),Personnel!$D$41*Personnel!$I$41,0)+IF(AND(104&gt;=Personnel!$E$42,Personnel!$G$42="Yes"),Personnel!$D$42*Personnel!$I$42,0))*(Assumptions!$B$20+Assumptions!$B$21+Assumptions!$B$22+Assumptions!$B$23))*Escalation!$B$105</f>
        <v>128913.04387329615</v>
      </c>
      <c r="DF112" s="301">
        <f>((IF(AND(105&gt;=Personnel!$E$36,Personnel!$G$36="Yes"),Personnel!$D$36*Personnel!$I$36,0)+IF(AND(105&gt;=Personnel!$E$37,Personnel!$G$37="Yes"),Personnel!$D$37*Personnel!$I$37,0)+IF(AND(105&gt;=Personnel!$E$38,Personnel!$G$38="Yes"),Personnel!$D$38*Personnel!$I$38,0)+IF(AND(105&gt;=Personnel!$E$39,Personnel!$G$39="Yes"),Personnel!$D$39*Personnel!$I$39,0)+IF(AND(105&gt;=Personnel!$E$40,Personnel!$G$40="Yes"),Personnel!$D$40*Personnel!$I$40,0)+IF(AND(105&gt;=Personnel!$E$41,Personnel!$G$41="Yes"),Personnel!$D$41*Personnel!$I$41,0)+IF(AND(105&gt;=Personnel!$E$42,Personnel!$G$42="Yes"),Personnel!$D$42*Personnel!$I$42,0))+(IF(AND(105&gt;=Personnel!$E$40,Personnel!$G$40="Yes"),Personnel!$D$40*Personnel!$I$40,0)+IF(AND(105&gt;=Personnel!$E$41,Personnel!$G$41="Yes"),Personnel!$D$41*Personnel!$I$41,0)+IF(AND(105&gt;=Personnel!$E$42,Personnel!$G$42="Yes"),Personnel!$D$42*Personnel!$I$42,0))*(Assumptions!$B$20+Assumptions!$B$21+Assumptions!$B$22+Assumptions!$B$23))*Escalation!$B$106</f>
        <v>128913.04387329615</v>
      </c>
    </row>
    <row r="113" spans="1:110" ht="19.5" customHeight="1" x14ac:dyDescent="0.25">
      <c r="A113" s="24" t="s">
        <v>32</v>
      </c>
      <c r="B113" s="317"/>
      <c r="C113" s="25">
        <f t="shared" ref="C113:AH113" si="32">C80+C111</f>
        <v>-162509.26</v>
      </c>
      <c r="D113" s="25">
        <f t="shared" si="32"/>
        <v>-155592.53999999998</v>
      </c>
      <c r="E113" s="25">
        <f t="shared" si="32"/>
        <v>-208014.64</v>
      </c>
      <c r="F113" s="25">
        <f t="shared" si="32"/>
        <v>-149362.25999999995</v>
      </c>
      <c r="G113" s="25">
        <f t="shared" si="32"/>
        <v>-34475.511666666658</v>
      </c>
      <c r="H113" s="25">
        <f t="shared" si="32"/>
        <v>-34475.511666666658</v>
      </c>
      <c r="I113" s="25">
        <f t="shared" si="32"/>
        <v>-34475.511666666658</v>
      </c>
      <c r="J113" s="25">
        <f t="shared" si="32"/>
        <v>-34475.511666666658</v>
      </c>
      <c r="K113" s="25">
        <f t="shared" si="32"/>
        <v>-35308.84166666666</v>
      </c>
      <c r="L113" s="25">
        <f t="shared" si="32"/>
        <v>-35308.84166666666</v>
      </c>
      <c r="M113" s="25">
        <f t="shared" si="32"/>
        <v>-44683.84166666666</v>
      </c>
      <c r="N113" s="25">
        <f t="shared" si="32"/>
        <v>-44683.84166666666</v>
      </c>
      <c r="O113" s="25">
        <f t="shared" si="32"/>
        <v>-21551.61126666666</v>
      </c>
      <c r="P113" s="25">
        <f t="shared" si="32"/>
        <v>-27801.811266666657</v>
      </c>
      <c r="Q113" s="25">
        <f t="shared" si="32"/>
        <v>-27801.811266666657</v>
      </c>
      <c r="R113" s="25">
        <f t="shared" si="32"/>
        <v>-29363.613100000002</v>
      </c>
      <c r="S113" s="25">
        <f t="shared" si="32"/>
        <v>-33863.613100000002</v>
      </c>
      <c r="T113" s="25">
        <f t="shared" si="32"/>
        <v>-33863.613100000002</v>
      </c>
      <c r="U113" s="25">
        <f t="shared" si="32"/>
        <v>-41197.60070000001</v>
      </c>
      <c r="V113" s="25">
        <f t="shared" si="32"/>
        <v>-24625.33830000001</v>
      </c>
      <c r="W113" s="25">
        <f t="shared" si="32"/>
        <v>-8053.0759000000107</v>
      </c>
      <c r="X113" s="25">
        <f t="shared" si="32"/>
        <v>2073.9004999999888</v>
      </c>
      <c r="Y113" s="25">
        <f t="shared" si="32"/>
        <v>17610.402499999997</v>
      </c>
      <c r="Z113" s="25">
        <f t="shared" si="32"/>
        <v>90521.892499999987</v>
      </c>
      <c r="AA113" s="25">
        <f t="shared" si="32"/>
        <v>48683.382499999992</v>
      </c>
      <c r="AB113" s="25">
        <f t="shared" si="32"/>
        <v>64219.878499999992</v>
      </c>
      <c r="AC113" s="25">
        <f t="shared" si="32"/>
        <v>137131.38049999997</v>
      </c>
      <c r="AD113" s="25">
        <f t="shared" si="32"/>
        <v>80954.435629999993</v>
      </c>
      <c r="AE113" s="25">
        <f t="shared" si="32"/>
        <v>95196.229129999992</v>
      </c>
      <c r="AF113" s="25">
        <f t="shared" si="32"/>
        <v>185861.35412999999</v>
      </c>
      <c r="AG113" s="25">
        <f t="shared" si="32"/>
        <v>79361.124130000011</v>
      </c>
      <c r="AH113" s="25">
        <f t="shared" si="32"/>
        <v>79791.290129999979</v>
      </c>
      <c r="AI113" s="25">
        <f t="shared" ref="AI113:BN113" si="33">AI80+AI111</f>
        <v>80221.445129999978</v>
      </c>
      <c r="AJ113" s="25">
        <f t="shared" si="33"/>
        <v>71151.605630000005</v>
      </c>
      <c r="AK113" s="25">
        <f t="shared" si="33"/>
        <v>71581.760629999975</v>
      </c>
      <c r="AL113" s="25">
        <f t="shared" si="33"/>
        <v>86253.709130000003</v>
      </c>
      <c r="AM113" s="25">
        <f t="shared" si="33"/>
        <v>72442.08713</v>
      </c>
      <c r="AN113" s="25">
        <f t="shared" si="33"/>
        <v>58630.459629999998</v>
      </c>
      <c r="AO113" s="25">
        <f t="shared" si="33"/>
        <v>44818.832129999995</v>
      </c>
      <c r="AP113" s="25">
        <f t="shared" si="33"/>
        <v>29382.300502600017</v>
      </c>
      <c r="AQ113" s="25">
        <f t="shared" si="33"/>
        <v>7757.9050026000186</v>
      </c>
      <c r="AR113" s="25">
        <f t="shared" si="33"/>
        <v>-4798.1199973999755</v>
      </c>
      <c r="AS113" s="25">
        <f t="shared" si="33"/>
        <v>-17354.149997399989</v>
      </c>
      <c r="AT113" s="25">
        <f t="shared" si="33"/>
        <v>-29910.169997399978</v>
      </c>
      <c r="AU113" s="25">
        <f t="shared" si="33"/>
        <v>-42950.781497399992</v>
      </c>
      <c r="AV113" s="25">
        <f t="shared" si="33"/>
        <v>-2072.779997399979</v>
      </c>
      <c r="AW113" s="25">
        <f t="shared" si="33"/>
        <v>-15019.854997399976</v>
      </c>
      <c r="AX113" s="25">
        <f t="shared" si="33"/>
        <v>-40813.217497399994</v>
      </c>
      <c r="AY113" s="25">
        <f t="shared" si="33"/>
        <v>-41243.377997399984</v>
      </c>
      <c r="AZ113" s="25">
        <f t="shared" si="33"/>
        <v>-41673.543997399982</v>
      </c>
      <c r="BA113" s="25">
        <f t="shared" si="33"/>
        <v>-42103.698997400003</v>
      </c>
      <c r="BB113" s="25">
        <f t="shared" si="33"/>
        <v>-44191.256097347999</v>
      </c>
      <c r="BC113" s="25">
        <f t="shared" si="33"/>
        <v>-44621.416597347998</v>
      </c>
      <c r="BD113" s="25">
        <f t="shared" si="33"/>
        <v>-45051.577097347938</v>
      </c>
      <c r="BE113" s="25">
        <f t="shared" si="33"/>
        <v>-45481.737597347994</v>
      </c>
      <c r="BF113" s="25">
        <f t="shared" si="33"/>
        <v>-45911.898097347992</v>
      </c>
      <c r="BG113" s="25">
        <f t="shared" si="33"/>
        <v>-46342.05859734799</v>
      </c>
      <c r="BH113" s="25">
        <f t="shared" si="33"/>
        <v>-46772.219097347996</v>
      </c>
      <c r="BI113" s="25">
        <f t="shared" si="33"/>
        <v>-47202.379597348001</v>
      </c>
      <c r="BJ113" s="25">
        <f t="shared" si="33"/>
        <v>-47632.534597347985</v>
      </c>
      <c r="BK113" s="25">
        <f t="shared" si="33"/>
        <v>-24562.20059734799</v>
      </c>
      <c r="BL113" s="25">
        <f t="shared" si="33"/>
        <v>-24992.361097347988</v>
      </c>
      <c r="BM113" s="25">
        <f t="shared" si="33"/>
        <v>28403.768402652</v>
      </c>
      <c r="BN113" s="25">
        <f t="shared" si="33"/>
        <v>-86217.771129294968</v>
      </c>
      <c r="BO113" s="25">
        <f t="shared" ref="BO113:CT113" si="34">BO80+BO111</f>
        <v>-86217.771129294968</v>
      </c>
      <c r="BP113" s="25">
        <f t="shared" si="34"/>
        <v>-86217.771129294968</v>
      </c>
      <c r="BQ113" s="25">
        <f t="shared" si="34"/>
        <v>-86217.771129294968</v>
      </c>
      <c r="BR113" s="25">
        <f t="shared" si="34"/>
        <v>-86217.771129294968</v>
      </c>
      <c r="BS113" s="25">
        <f t="shared" si="34"/>
        <v>-34704.251129294949</v>
      </c>
      <c r="BT113" s="25">
        <f t="shared" si="34"/>
        <v>-86217.771129294968</v>
      </c>
      <c r="BU113" s="25">
        <f t="shared" si="34"/>
        <v>-86217.771129294968</v>
      </c>
      <c r="BV113" s="25">
        <f t="shared" si="34"/>
        <v>-18455.771129294968</v>
      </c>
      <c r="BW113" s="25">
        <f t="shared" si="34"/>
        <v>-86217.771129294968</v>
      </c>
      <c r="BX113" s="25">
        <f t="shared" si="34"/>
        <v>-86217.771129294968</v>
      </c>
      <c r="BY113" s="25">
        <f t="shared" si="34"/>
        <v>-18455.771129294968</v>
      </c>
      <c r="BZ113" s="25">
        <f t="shared" si="34"/>
        <v>-87942.126551880865</v>
      </c>
      <c r="CA113" s="25">
        <f t="shared" si="34"/>
        <v>-87942.126551880865</v>
      </c>
      <c r="CB113" s="25">
        <f t="shared" si="34"/>
        <v>-20180.12655188085</v>
      </c>
      <c r="CC113" s="25">
        <f t="shared" si="34"/>
        <v>-87942.126551880865</v>
      </c>
      <c r="CD113" s="25">
        <f t="shared" si="34"/>
        <v>-87942.126551880865</v>
      </c>
      <c r="CE113" s="25">
        <f t="shared" si="34"/>
        <v>-11443.12655188085</v>
      </c>
      <c r="CF113" s="25">
        <f t="shared" si="34"/>
        <v>-87942.126551880865</v>
      </c>
      <c r="CG113" s="25">
        <f t="shared" si="34"/>
        <v>-87942.126551880865</v>
      </c>
      <c r="CH113" s="25">
        <f t="shared" si="34"/>
        <v>-11443.12655188085</v>
      </c>
      <c r="CI113" s="25">
        <f t="shared" si="34"/>
        <v>-87942.126551880865</v>
      </c>
      <c r="CJ113" s="25">
        <f t="shared" si="34"/>
        <v>-87942.126551880865</v>
      </c>
      <c r="CK113" s="25">
        <f t="shared" si="34"/>
        <v>-4835.0999454016564</v>
      </c>
      <c r="CL113" s="25">
        <f t="shared" si="34"/>
        <v>68160.030917081516</v>
      </c>
      <c r="CM113" s="25">
        <f t="shared" si="34"/>
        <v>68160.030917081516</v>
      </c>
      <c r="CN113" s="25">
        <f t="shared" si="34"/>
        <v>68160.030917081516</v>
      </c>
      <c r="CO113" s="25">
        <f t="shared" si="34"/>
        <v>68160.030917081516</v>
      </c>
      <c r="CP113" s="25">
        <f t="shared" si="34"/>
        <v>68160.030917081516</v>
      </c>
      <c r="CQ113" s="25">
        <f t="shared" si="34"/>
        <v>68160.030917081516</v>
      </c>
      <c r="CR113" s="25">
        <f t="shared" si="34"/>
        <v>68160.030917081516</v>
      </c>
      <c r="CS113" s="25">
        <f t="shared" si="34"/>
        <v>68160.030917081516</v>
      </c>
      <c r="CT113" s="25">
        <f t="shared" si="34"/>
        <v>68160.030917081516</v>
      </c>
      <c r="CU113" s="25">
        <f t="shared" ref="CU113:DF113" si="35">CU80+CU111</f>
        <v>70068.524291977985</v>
      </c>
      <c r="CV113" s="25">
        <f t="shared" si="35"/>
        <v>70068.524291977985</v>
      </c>
      <c r="CW113" s="25">
        <f t="shared" si="35"/>
        <v>70068.524291977985</v>
      </c>
      <c r="CX113" s="25">
        <f t="shared" si="35"/>
        <v>124020.82584141038</v>
      </c>
      <c r="CY113" s="25">
        <f t="shared" si="35"/>
        <v>141467.67477781756</v>
      </c>
      <c r="CZ113" s="25">
        <f t="shared" si="35"/>
        <v>141467.67477781756</v>
      </c>
      <c r="DA113" s="25">
        <f t="shared" si="35"/>
        <v>141467.67477781756</v>
      </c>
      <c r="DB113" s="25">
        <f t="shared" si="35"/>
        <v>141467.67477781756</v>
      </c>
      <c r="DC113" s="25">
        <f t="shared" si="35"/>
        <v>141467.67477781756</v>
      </c>
      <c r="DD113" s="25">
        <f t="shared" si="35"/>
        <v>141467.67477781756</v>
      </c>
      <c r="DE113" s="25">
        <f t="shared" si="35"/>
        <v>141467.67477781756</v>
      </c>
      <c r="DF113" s="25">
        <f t="shared" si="35"/>
        <v>141467.67477781756</v>
      </c>
    </row>
    <row r="114" spans="1:110" ht="15" customHeight="1" x14ac:dyDescent="0.25">
      <c r="A114" s="79"/>
      <c r="B114" s="30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</row>
    <row r="115" spans="1:110" ht="15" customHeight="1" x14ac:dyDescent="0.25">
      <c r="A115" s="320" t="s">
        <v>131</v>
      </c>
      <c r="B115" s="318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  <c r="M115" s="319"/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  <c r="AD115" s="319"/>
      <c r="AE115" s="319"/>
      <c r="AF115" s="319"/>
      <c r="AG115" s="319"/>
      <c r="AH115" s="319"/>
      <c r="AI115" s="319"/>
      <c r="AJ115" s="319"/>
      <c r="AK115" s="319"/>
      <c r="AL115" s="319"/>
      <c r="AM115" s="319"/>
      <c r="AN115" s="319"/>
      <c r="AO115" s="319"/>
      <c r="AP115" s="319"/>
      <c r="AQ115" s="319"/>
      <c r="AR115" s="319"/>
      <c r="AS115" s="319"/>
      <c r="AT115" s="319"/>
      <c r="AU115" s="319"/>
      <c r="AV115" s="319"/>
      <c r="AW115" s="319"/>
      <c r="AX115" s="319"/>
      <c r="AY115" s="319"/>
      <c r="AZ115" s="319"/>
      <c r="BA115" s="319"/>
      <c r="BB115" s="319"/>
      <c r="BC115" s="319"/>
      <c r="BD115" s="319"/>
      <c r="BE115" s="319"/>
      <c r="BF115" s="319"/>
      <c r="BG115" s="319"/>
      <c r="BH115" s="319"/>
      <c r="BI115" s="319"/>
      <c r="BJ115" s="319"/>
      <c r="BK115" s="319"/>
      <c r="BL115" s="319"/>
      <c r="BM115" s="319"/>
      <c r="BN115" s="319"/>
      <c r="BO115" s="319"/>
      <c r="BP115" s="319"/>
      <c r="BQ115" s="319"/>
      <c r="BR115" s="319"/>
      <c r="BS115" s="319"/>
      <c r="BT115" s="319"/>
      <c r="BU115" s="319"/>
      <c r="BV115" s="319"/>
      <c r="BW115" s="319"/>
      <c r="BX115" s="319"/>
      <c r="BY115" s="319"/>
      <c r="BZ115" s="319"/>
      <c r="CA115" s="319"/>
      <c r="CB115" s="319"/>
      <c r="CC115" s="319"/>
      <c r="CD115" s="319"/>
      <c r="CE115" s="319"/>
      <c r="CF115" s="319"/>
      <c r="CG115" s="319"/>
      <c r="CH115" s="319"/>
      <c r="CI115" s="319"/>
      <c r="CJ115" s="319"/>
      <c r="CK115" s="319"/>
      <c r="CL115" s="319"/>
      <c r="CM115" s="319"/>
      <c r="CN115" s="319"/>
      <c r="CO115" s="319"/>
      <c r="CP115" s="319"/>
      <c r="CQ115" s="319"/>
      <c r="CR115" s="319"/>
      <c r="CS115" s="319"/>
      <c r="CT115" s="319"/>
      <c r="CU115" s="319"/>
      <c r="CV115" s="319"/>
      <c r="CW115" s="319"/>
      <c r="CX115" s="319"/>
      <c r="CY115" s="319"/>
      <c r="CZ115" s="319"/>
      <c r="DA115" s="319"/>
      <c r="DB115" s="319"/>
      <c r="DC115" s="319"/>
      <c r="DD115" s="319"/>
      <c r="DE115" s="319"/>
      <c r="DF115" s="319"/>
    </row>
    <row r="116" spans="1:110" ht="15" customHeight="1" x14ac:dyDescent="0.25">
      <c r="A116" s="29" t="s">
        <v>55</v>
      </c>
      <c r="B116" s="302"/>
      <c r="C116" s="3">
        <f t="shared" ref="C116:AH116" si="36">C20</f>
        <v>218752.81000000006</v>
      </c>
      <c r="D116" s="3">
        <f t="shared" si="36"/>
        <v>-51003.469999999739</v>
      </c>
      <c r="E116" s="3">
        <f t="shared" si="36"/>
        <v>594184.52000000025</v>
      </c>
      <c r="F116" s="3">
        <f t="shared" si="36"/>
        <v>447358.24999999953</v>
      </c>
      <c r="G116" s="3">
        <f t="shared" si="36"/>
        <v>468885.06625426281</v>
      </c>
      <c r="H116" s="3">
        <f t="shared" si="36"/>
        <v>468885.06625426281</v>
      </c>
      <c r="I116" s="3">
        <f t="shared" si="36"/>
        <v>959257.39445458306</v>
      </c>
      <c r="J116" s="3">
        <f t="shared" si="36"/>
        <v>632697.18965458311</v>
      </c>
      <c r="K116" s="3">
        <f t="shared" si="36"/>
        <v>632697.18965458311</v>
      </c>
      <c r="L116" s="3">
        <f t="shared" si="36"/>
        <v>999101.92495686072</v>
      </c>
      <c r="M116" s="3">
        <f t="shared" si="36"/>
        <v>1080952.8589642462</v>
      </c>
      <c r="N116" s="3">
        <f t="shared" si="36"/>
        <v>774577.77487815265</v>
      </c>
      <c r="O116" s="3">
        <f t="shared" si="36"/>
        <v>774577.77487815265</v>
      </c>
      <c r="P116" s="3">
        <f t="shared" si="36"/>
        <v>774577.77487815265</v>
      </c>
      <c r="Q116" s="3">
        <f t="shared" si="36"/>
        <v>774577.77487815265</v>
      </c>
      <c r="R116" s="3">
        <f t="shared" si="36"/>
        <v>154983.50393536896</v>
      </c>
      <c r="S116" s="3">
        <f t="shared" si="36"/>
        <v>947151.97893536929</v>
      </c>
      <c r="T116" s="3">
        <f t="shared" si="36"/>
        <v>1105813.8572215699</v>
      </c>
      <c r="U116" s="3">
        <f t="shared" si="36"/>
        <v>867633.41001746617</v>
      </c>
      <c r="V116" s="3">
        <f t="shared" si="36"/>
        <v>601954.65844070073</v>
      </c>
      <c r="W116" s="3">
        <f t="shared" si="36"/>
        <v>601954.65844070073</v>
      </c>
      <c r="X116" s="3">
        <f t="shared" si="36"/>
        <v>623764.9628804503</v>
      </c>
      <c r="Y116" s="3">
        <f t="shared" si="36"/>
        <v>580144.35400095023</v>
      </c>
      <c r="Z116" s="3">
        <f t="shared" si="36"/>
        <v>580144.35400095023</v>
      </c>
      <c r="AA116" s="3">
        <f t="shared" si="36"/>
        <v>580144.35400095023</v>
      </c>
      <c r="AB116" s="3">
        <f t="shared" si="36"/>
        <v>580144.35400095023</v>
      </c>
      <c r="AC116" s="3">
        <f t="shared" si="36"/>
        <v>580144.35400095023</v>
      </c>
      <c r="AD116" s="3">
        <f t="shared" si="36"/>
        <v>662165.36984355003</v>
      </c>
      <c r="AE116" s="3">
        <f t="shared" si="36"/>
        <v>498123.33815835044</v>
      </c>
      <c r="AF116" s="3">
        <f t="shared" si="36"/>
        <v>-67923.080973103177</v>
      </c>
      <c r="AG116" s="3">
        <f t="shared" si="36"/>
        <v>655782.97902689688</v>
      </c>
      <c r="AH116" s="3">
        <f t="shared" si="36"/>
        <v>655782.97902689688</v>
      </c>
      <c r="AI116" s="3">
        <f t="shared" ref="AI116:BN116" si="37">AI20</f>
        <v>655782.97902689734</v>
      </c>
      <c r="AJ116" s="3">
        <f t="shared" si="37"/>
        <v>874072.35859464714</v>
      </c>
      <c r="AK116" s="3">
        <f t="shared" si="37"/>
        <v>644745.95978576178</v>
      </c>
      <c r="AL116" s="3">
        <f t="shared" si="37"/>
        <v>903396.68094416196</v>
      </c>
      <c r="AM116" s="3">
        <f t="shared" si="37"/>
        <v>571227.08638544194</v>
      </c>
      <c r="AN116" s="3">
        <f t="shared" si="37"/>
        <v>571227.08638544194</v>
      </c>
      <c r="AO116" s="3">
        <f t="shared" si="37"/>
        <v>666606.15184809128</v>
      </c>
      <c r="AP116" s="3">
        <f t="shared" si="37"/>
        <v>619172.24492576346</v>
      </c>
      <c r="AQ116" s="3">
        <f t="shared" si="37"/>
        <v>619172.24492576346</v>
      </c>
      <c r="AR116" s="3">
        <f t="shared" si="37"/>
        <v>619172.24492576346</v>
      </c>
      <c r="AS116" s="3">
        <f t="shared" si="37"/>
        <v>727524.1449257629</v>
      </c>
      <c r="AT116" s="3">
        <f t="shared" si="37"/>
        <v>727524.1449257629</v>
      </c>
      <c r="AU116" s="3">
        <f t="shared" si="37"/>
        <v>1000009.7302792631</v>
      </c>
      <c r="AV116" s="3">
        <f t="shared" si="37"/>
        <v>554949.94086854625</v>
      </c>
      <c r="AW116" s="3">
        <f t="shared" si="37"/>
        <v>554949.94086854625</v>
      </c>
      <c r="AX116" s="3">
        <f t="shared" si="37"/>
        <v>554949.94086854719</v>
      </c>
      <c r="AY116" s="3">
        <f t="shared" si="37"/>
        <v>554949.94086854625</v>
      </c>
      <c r="AZ116" s="3">
        <f t="shared" si="37"/>
        <v>554949.94086854625</v>
      </c>
      <c r="BA116" s="3">
        <f t="shared" si="37"/>
        <v>645243.19086854625</v>
      </c>
      <c r="BB116" s="3">
        <f t="shared" si="37"/>
        <v>735536.44086854625</v>
      </c>
      <c r="BC116" s="3">
        <f t="shared" si="37"/>
        <v>554949.94086854625</v>
      </c>
      <c r="BD116" s="3">
        <f t="shared" si="37"/>
        <v>554949.94086854719</v>
      </c>
      <c r="BE116" s="3">
        <f t="shared" si="37"/>
        <v>753595.09086854663</v>
      </c>
      <c r="BF116" s="3">
        <f t="shared" si="37"/>
        <v>573008.59086854663</v>
      </c>
      <c r="BG116" s="3">
        <f t="shared" si="37"/>
        <v>663301.84086854663</v>
      </c>
      <c r="BH116" s="3">
        <f t="shared" si="37"/>
        <v>771653.74086854653</v>
      </c>
      <c r="BI116" s="3">
        <f t="shared" si="37"/>
        <v>894179.46592414659</v>
      </c>
      <c r="BJ116" s="3">
        <f t="shared" si="37"/>
        <v>487583.54999999981</v>
      </c>
      <c r="BK116" s="3">
        <f t="shared" si="37"/>
        <v>704287.35000000009</v>
      </c>
      <c r="BL116" s="3">
        <f t="shared" si="37"/>
        <v>487583.54999999981</v>
      </c>
      <c r="BM116" s="3">
        <f t="shared" si="37"/>
        <v>577876.79999999981</v>
      </c>
      <c r="BN116" s="3">
        <f t="shared" si="37"/>
        <v>577876.79999999981</v>
      </c>
      <c r="BO116" s="3">
        <f t="shared" ref="BO116:CT116" si="38">BO20</f>
        <v>686228.70000000019</v>
      </c>
      <c r="BP116" s="3">
        <f t="shared" si="38"/>
        <v>686228.70000000019</v>
      </c>
      <c r="BQ116" s="3">
        <f t="shared" si="38"/>
        <v>686228.70000000019</v>
      </c>
      <c r="BR116" s="3">
        <f t="shared" si="38"/>
        <v>686228.70000000019</v>
      </c>
      <c r="BS116" s="3">
        <f t="shared" si="38"/>
        <v>776521.95000000019</v>
      </c>
      <c r="BT116" s="3">
        <f t="shared" si="38"/>
        <v>595935.45000000019</v>
      </c>
      <c r="BU116" s="3">
        <f t="shared" si="38"/>
        <v>704287.34999999963</v>
      </c>
      <c r="BV116" s="3">
        <f t="shared" si="38"/>
        <v>704287.34999999963</v>
      </c>
      <c r="BW116" s="3">
        <f t="shared" si="38"/>
        <v>812639.25</v>
      </c>
      <c r="BX116" s="3">
        <f t="shared" si="38"/>
        <v>595935.45000000019</v>
      </c>
      <c r="BY116" s="3">
        <f t="shared" si="38"/>
        <v>686228.70000000019</v>
      </c>
      <c r="BZ116" s="3">
        <f t="shared" si="38"/>
        <v>505642.20000000019</v>
      </c>
      <c r="CA116" s="3">
        <f t="shared" si="38"/>
        <v>704287.35000000009</v>
      </c>
      <c r="CB116" s="3">
        <f t="shared" si="38"/>
        <v>523700.85000000009</v>
      </c>
      <c r="CC116" s="3">
        <f t="shared" si="38"/>
        <v>722346</v>
      </c>
      <c r="CD116" s="3">
        <f t="shared" si="38"/>
        <v>505642.20000000019</v>
      </c>
      <c r="CE116" s="3">
        <f t="shared" si="38"/>
        <v>686228.70000000019</v>
      </c>
      <c r="CF116" s="3">
        <f t="shared" si="38"/>
        <v>505642.20000000019</v>
      </c>
      <c r="CG116" s="3">
        <f t="shared" si="38"/>
        <v>722346</v>
      </c>
      <c r="CH116" s="3">
        <f t="shared" si="38"/>
        <v>505642.20000000019</v>
      </c>
      <c r="CI116" s="3">
        <f t="shared" si="38"/>
        <v>595935.45000000019</v>
      </c>
      <c r="CJ116" s="3">
        <f t="shared" si="38"/>
        <v>595935.45000000019</v>
      </c>
      <c r="CK116" s="3">
        <f t="shared" si="38"/>
        <v>595935.45000000019</v>
      </c>
      <c r="CL116" s="3">
        <f t="shared" si="38"/>
        <v>595935.45000000019</v>
      </c>
      <c r="CM116" s="3">
        <f t="shared" si="38"/>
        <v>704287.34999999963</v>
      </c>
      <c r="CN116" s="3">
        <f t="shared" si="38"/>
        <v>487583.54999999981</v>
      </c>
      <c r="CO116" s="3">
        <f t="shared" si="38"/>
        <v>487583.54999999981</v>
      </c>
      <c r="CP116" s="3">
        <f t="shared" si="38"/>
        <v>487583.54999999981</v>
      </c>
      <c r="CQ116" s="3">
        <f t="shared" si="38"/>
        <v>487583.54999999981</v>
      </c>
      <c r="CR116" s="3">
        <f t="shared" si="38"/>
        <v>487583.54999999981</v>
      </c>
      <c r="CS116" s="3">
        <f t="shared" si="38"/>
        <v>595935.45000000019</v>
      </c>
      <c r="CT116" s="3">
        <f t="shared" si="38"/>
        <v>379231.64999999991</v>
      </c>
      <c r="CU116" s="3">
        <f t="shared" ref="CU116:DF116" si="39">CU20</f>
        <v>469524.89999999991</v>
      </c>
      <c r="CV116" s="3">
        <f t="shared" si="39"/>
        <v>288938.39999999991</v>
      </c>
      <c r="CW116" s="3">
        <f t="shared" si="39"/>
        <v>379231.64999999991</v>
      </c>
      <c r="CX116" s="3">
        <f t="shared" si="39"/>
        <v>198645.14999999991</v>
      </c>
      <c r="CY116" s="3">
        <f t="shared" si="39"/>
        <v>306997.05000000005</v>
      </c>
      <c r="CZ116" s="3">
        <f t="shared" si="39"/>
        <v>90293.25</v>
      </c>
      <c r="DA116" s="3">
        <f t="shared" si="39"/>
        <v>180586.5</v>
      </c>
      <c r="DB116" s="3">
        <f t="shared" si="39"/>
        <v>0</v>
      </c>
      <c r="DC116" s="3">
        <f t="shared" si="39"/>
        <v>0</v>
      </c>
      <c r="DD116" s="3">
        <f t="shared" si="39"/>
        <v>0</v>
      </c>
      <c r="DE116" s="3">
        <f t="shared" si="39"/>
        <v>0</v>
      </c>
      <c r="DF116" s="3">
        <f t="shared" si="39"/>
        <v>0</v>
      </c>
    </row>
    <row r="117" spans="1:110" ht="15" customHeight="1" x14ac:dyDescent="0.25">
      <c r="A117" s="29" t="s">
        <v>30</v>
      </c>
      <c r="B117" s="302"/>
      <c r="C117" s="3">
        <f t="shared" ref="C117:AH117" si="40">C80</f>
        <v>34114.58</v>
      </c>
      <c r="D117" s="3">
        <f t="shared" si="40"/>
        <v>34114.58</v>
      </c>
      <c r="E117" s="3">
        <f t="shared" si="40"/>
        <v>34114.58</v>
      </c>
      <c r="F117" s="3">
        <f t="shared" si="40"/>
        <v>43614.58</v>
      </c>
      <c r="G117" s="3">
        <f t="shared" si="40"/>
        <v>43614.58</v>
      </c>
      <c r="H117" s="3">
        <f t="shared" si="40"/>
        <v>43614.58</v>
      </c>
      <c r="I117" s="3">
        <f t="shared" si="40"/>
        <v>43614.58</v>
      </c>
      <c r="J117" s="3">
        <f t="shared" si="40"/>
        <v>43614.58</v>
      </c>
      <c r="K117" s="3">
        <f t="shared" si="40"/>
        <v>42781.25</v>
      </c>
      <c r="L117" s="3">
        <f t="shared" si="40"/>
        <v>42781.25</v>
      </c>
      <c r="M117" s="3">
        <f t="shared" si="40"/>
        <v>33406.25</v>
      </c>
      <c r="N117" s="3">
        <f t="shared" si="40"/>
        <v>33406.25</v>
      </c>
      <c r="O117" s="3">
        <f t="shared" si="40"/>
        <v>56538.4804</v>
      </c>
      <c r="P117" s="3">
        <f t="shared" si="40"/>
        <v>50288.280400000003</v>
      </c>
      <c r="Q117" s="3">
        <f t="shared" si="40"/>
        <v>50288.280400000003</v>
      </c>
      <c r="R117" s="3">
        <f t="shared" si="40"/>
        <v>50288.280400000003</v>
      </c>
      <c r="S117" s="3">
        <f t="shared" si="40"/>
        <v>45788.280400000003</v>
      </c>
      <c r="T117" s="3">
        <f t="shared" si="40"/>
        <v>45788.280400000003</v>
      </c>
      <c r="U117" s="3">
        <f t="shared" si="40"/>
        <v>38454.292799999996</v>
      </c>
      <c r="V117" s="3">
        <f t="shared" si="40"/>
        <v>55026.555199999995</v>
      </c>
      <c r="W117" s="3">
        <f t="shared" si="40"/>
        <v>71598.817599999995</v>
      </c>
      <c r="X117" s="3">
        <f t="shared" si="40"/>
        <v>81725.793999999994</v>
      </c>
      <c r="Y117" s="3">
        <f t="shared" si="40"/>
        <v>97262.296000000002</v>
      </c>
      <c r="Z117" s="3">
        <f t="shared" si="40"/>
        <v>170173.78599999999</v>
      </c>
      <c r="AA117" s="3">
        <f t="shared" si="40"/>
        <v>128335.276</v>
      </c>
      <c r="AB117" s="3">
        <f t="shared" si="40"/>
        <v>143871.772</v>
      </c>
      <c r="AC117" s="3">
        <f t="shared" si="40"/>
        <v>216783.27399999998</v>
      </c>
      <c r="AD117" s="3">
        <f t="shared" si="40"/>
        <v>162199.367</v>
      </c>
      <c r="AE117" s="3">
        <f t="shared" si="40"/>
        <v>176441.1605</v>
      </c>
      <c r="AF117" s="3">
        <f t="shared" si="40"/>
        <v>267106.2855</v>
      </c>
      <c r="AG117" s="3">
        <f t="shared" si="40"/>
        <v>160606.05550000002</v>
      </c>
      <c r="AH117" s="3">
        <f t="shared" si="40"/>
        <v>161036.22149999999</v>
      </c>
      <c r="AI117" s="3">
        <f t="shared" ref="AI117:BN117" si="41">AI80</f>
        <v>161466.37649999998</v>
      </c>
      <c r="AJ117" s="3">
        <f t="shared" si="41"/>
        <v>152396.53700000001</v>
      </c>
      <c r="AK117" s="3">
        <f t="shared" si="41"/>
        <v>152826.69199999998</v>
      </c>
      <c r="AL117" s="3">
        <f t="shared" si="41"/>
        <v>167498.64050000001</v>
      </c>
      <c r="AM117" s="3">
        <f t="shared" si="41"/>
        <v>153687.01850000001</v>
      </c>
      <c r="AN117" s="3">
        <f t="shared" si="41"/>
        <v>139875.391</v>
      </c>
      <c r="AO117" s="3">
        <f t="shared" si="41"/>
        <v>126063.7635</v>
      </c>
      <c r="AP117" s="3">
        <f t="shared" si="41"/>
        <v>112252.1305</v>
      </c>
      <c r="AQ117" s="3">
        <f t="shared" si="41"/>
        <v>90627.735000000001</v>
      </c>
      <c r="AR117" s="3">
        <f t="shared" si="41"/>
        <v>78071.710000000006</v>
      </c>
      <c r="AS117" s="3">
        <f t="shared" si="41"/>
        <v>65515.679999999993</v>
      </c>
      <c r="AT117" s="3">
        <f t="shared" si="41"/>
        <v>52959.66</v>
      </c>
      <c r="AU117" s="3">
        <f t="shared" si="41"/>
        <v>121602.0485</v>
      </c>
      <c r="AV117" s="3">
        <f t="shared" si="41"/>
        <v>80797.05</v>
      </c>
      <c r="AW117" s="3">
        <f t="shared" si="41"/>
        <v>67849.975000000006</v>
      </c>
      <c r="AX117" s="3">
        <f t="shared" si="41"/>
        <v>123738.6125</v>
      </c>
      <c r="AY117" s="3">
        <f t="shared" si="41"/>
        <v>41626.451999999997</v>
      </c>
      <c r="AZ117" s="3">
        <f t="shared" si="41"/>
        <v>41196.286</v>
      </c>
      <c r="BA117" s="3">
        <f t="shared" si="41"/>
        <v>122448.13099999999</v>
      </c>
      <c r="BB117" s="3">
        <f t="shared" si="41"/>
        <v>40335.970499999996</v>
      </c>
      <c r="BC117" s="3">
        <f t="shared" si="41"/>
        <v>39905.81</v>
      </c>
      <c r="BD117" s="3">
        <f t="shared" si="41"/>
        <v>972996.64950000006</v>
      </c>
      <c r="BE117" s="3">
        <f t="shared" si="41"/>
        <v>39045.489000000001</v>
      </c>
      <c r="BF117" s="3">
        <f t="shared" si="41"/>
        <v>38615.328500000003</v>
      </c>
      <c r="BG117" s="3">
        <f t="shared" si="41"/>
        <v>169063.16800000001</v>
      </c>
      <c r="BH117" s="3">
        <f t="shared" si="41"/>
        <v>37755.0075</v>
      </c>
      <c r="BI117" s="3">
        <f t="shared" si="41"/>
        <v>37324.846999999994</v>
      </c>
      <c r="BJ117" s="3">
        <f t="shared" si="41"/>
        <v>167770.69200000001</v>
      </c>
      <c r="BK117" s="3">
        <f t="shared" si="41"/>
        <v>59965.026000000005</v>
      </c>
      <c r="BL117" s="3">
        <f t="shared" si="41"/>
        <v>59534.865500000007</v>
      </c>
      <c r="BM117" s="3">
        <f t="shared" si="41"/>
        <v>243806.995</v>
      </c>
      <c r="BN117" s="3">
        <f t="shared" si="41"/>
        <v>0</v>
      </c>
      <c r="BO117" s="3">
        <f t="shared" ref="BO117:CT117" si="42">BO80</f>
        <v>0</v>
      </c>
      <c r="BP117" s="3">
        <f t="shared" si="42"/>
        <v>130876</v>
      </c>
      <c r="BQ117" s="3">
        <f t="shared" si="42"/>
        <v>0</v>
      </c>
      <c r="BR117" s="3">
        <f t="shared" si="42"/>
        <v>0</v>
      </c>
      <c r="BS117" s="3">
        <f t="shared" si="42"/>
        <v>142406</v>
      </c>
      <c r="BT117" s="3">
        <f t="shared" si="42"/>
        <v>0</v>
      </c>
      <c r="BU117" s="3">
        <f t="shared" si="42"/>
        <v>0</v>
      </c>
      <c r="BV117" s="3">
        <f t="shared" si="42"/>
        <v>142402</v>
      </c>
      <c r="BW117" s="3">
        <f t="shared" si="42"/>
        <v>0</v>
      </c>
      <c r="BX117" s="3">
        <f t="shared" si="42"/>
        <v>0</v>
      </c>
      <c r="BY117" s="3">
        <f t="shared" si="42"/>
        <v>142402</v>
      </c>
      <c r="BZ117" s="3">
        <f t="shared" si="42"/>
        <v>0</v>
      </c>
      <c r="CA117" s="3">
        <f t="shared" si="42"/>
        <v>0</v>
      </c>
      <c r="CB117" s="3">
        <f t="shared" si="42"/>
        <v>215558</v>
      </c>
      <c r="CC117" s="3">
        <f t="shared" si="42"/>
        <v>0</v>
      </c>
      <c r="CD117" s="3">
        <f t="shared" si="42"/>
        <v>0</v>
      </c>
      <c r="CE117" s="3">
        <f t="shared" si="42"/>
        <v>231017</v>
      </c>
      <c r="CF117" s="3">
        <f t="shared" si="42"/>
        <v>0</v>
      </c>
      <c r="CG117" s="3">
        <f t="shared" si="42"/>
        <v>0</v>
      </c>
      <c r="CH117" s="3">
        <f t="shared" si="42"/>
        <v>231016</v>
      </c>
      <c r="CI117" s="3">
        <f t="shared" si="42"/>
        <v>0</v>
      </c>
      <c r="CJ117" s="3">
        <f t="shared" si="42"/>
        <v>0</v>
      </c>
      <c r="CK117" s="3">
        <f t="shared" si="42"/>
        <v>231016</v>
      </c>
      <c r="CL117" s="3">
        <f t="shared" si="42"/>
        <v>231016</v>
      </c>
      <c r="CM117" s="3">
        <f t="shared" si="42"/>
        <v>231016</v>
      </c>
      <c r="CN117" s="3">
        <f t="shared" si="42"/>
        <v>231016</v>
      </c>
      <c r="CO117" s="3">
        <f t="shared" si="42"/>
        <v>231016</v>
      </c>
      <c r="CP117" s="3">
        <f t="shared" si="42"/>
        <v>231016</v>
      </c>
      <c r="CQ117" s="3">
        <f t="shared" si="42"/>
        <v>231016</v>
      </c>
      <c r="CR117" s="3">
        <f t="shared" si="42"/>
        <v>231016</v>
      </c>
      <c r="CS117" s="3">
        <f t="shared" si="42"/>
        <v>231016</v>
      </c>
      <c r="CT117" s="3">
        <f t="shared" si="42"/>
        <v>231016</v>
      </c>
      <c r="CU117" s="3">
        <f t="shared" ref="CU117:DF117" si="43">CU80</f>
        <v>231016</v>
      </c>
      <c r="CV117" s="3">
        <f t="shared" si="43"/>
        <v>231016</v>
      </c>
      <c r="CW117" s="3">
        <f t="shared" si="43"/>
        <v>231016</v>
      </c>
      <c r="CX117" s="3">
        <f t="shared" si="43"/>
        <v>231016</v>
      </c>
      <c r="CY117" s="3">
        <f t="shared" si="43"/>
        <v>231016</v>
      </c>
      <c r="CZ117" s="3">
        <f t="shared" si="43"/>
        <v>231016</v>
      </c>
      <c r="DA117" s="3">
        <f t="shared" si="43"/>
        <v>231016</v>
      </c>
      <c r="DB117" s="3">
        <f t="shared" si="43"/>
        <v>231016</v>
      </c>
      <c r="DC117" s="3">
        <f t="shared" si="43"/>
        <v>231016</v>
      </c>
      <c r="DD117" s="3">
        <f t="shared" si="43"/>
        <v>231016</v>
      </c>
      <c r="DE117" s="3">
        <f t="shared" si="43"/>
        <v>231016</v>
      </c>
      <c r="DF117" s="3">
        <f t="shared" si="43"/>
        <v>231016</v>
      </c>
    </row>
    <row r="118" spans="1:110" ht="15" customHeight="1" x14ac:dyDescent="0.25">
      <c r="A118" s="30" t="s">
        <v>132</v>
      </c>
      <c r="B118" s="19"/>
      <c r="C118" s="20">
        <f t="shared" ref="C118:AH118" si="44">C116+C117</f>
        <v>252867.39000000007</v>
      </c>
      <c r="D118" s="20">
        <f t="shared" si="44"/>
        <v>-16888.889999999737</v>
      </c>
      <c r="E118" s="20">
        <f t="shared" si="44"/>
        <v>628299.10000000021</v>
      </c>
      <c r="F118" s="20">
        <f t="shared" si="44"/>
        <v>490972.82999999955</v>
      </c>
      <c r="G118" s="20">
        <f t="shared" si="44"/>
        <v>512499.64625426283</v>
      </c>
      <c r="H118" s="20">
        <f t="shared" si="44"/>
        <v>512499.64625426283</v>
      </c>
      <c r="I118" s="20">
        <f t="shared" si="44"/>
        <v>1002871.974454583</v>
      </c>
      <c r="J118" s="20">
        <f t="shared" si="44"/>
        <v>676311.76965458307</v>
      </c>
      <c r="K118" s="20">
        <f t="shared" si="44"/>
        <v>675478.43965458311</v>
      </c>
      <c r="L118" s="20">
        <f t="shared" si="44"/>
        <v>1041883.1749568607</v>
      </c>
      <c r="M118" s="20">
        <f t="shared" si="44"/>
        <v>1114359.1089642462</v>
      </c>
      <c r="N118" s="20">
        <f t="shared" si="44"/>
        <v>807984.02487815265</v>
      </c>
      <c r="O118" s="20">
        <f t="shared" si="44"/>
        <v>831116.25527815265</v>
      </c>
      <c r="P118" s="20">
        <f t="shared" si="44"/>
        <v>824866.05527815269</v>
      </c>
      <c r="Q118" s="20">
        <f t="shared" si="44"/>
        <v>824866.05527815269</v>
      </c>
      <c r="R118" s="20">
        <f t="shared" si="44"/>
        <v>205271.78433536895</v>
      </c>
      <c r="S118" s="20">
        <f t="shared" si="44"/>
        <v>992940.25933536934</v>
      </c>
      <c r="T118" s="20">
        <f t="shared" si="44"/>
        <v>1151602.1376215699</v>
      </c>
      <c r="U118" s="20">
        <f t="shared" si="44"/>
        <v>906087.70281746611</v>
      </c>
      <c r="V118" s="20">
        <f t="shared" si="44"/>
        <v>656981.21364070068</v>
      </c>
      <c r="W118" s="20">
        <f t="shared" si="44"/>
        <v>673553.47604070068</v>
      </c>
      <c r="X118" s="20">
        <f t="shared" si="44"/>
        <v>705490.7568804503</v>
      </c>
      <c r="Y118" s="20">
        <f t="shared" si="44"/>
        <v>677406.65000095021</v>
      </c>
      <c r="Z118" s="20">
        <f t="shared" si="44"/>
        <v>750318.1400009502</v>
      </c>
      <c r="AA118" s="20">
        <f t="shared" si="44"/>
        <v>708479.63000095019</v>
      </c>
      <c r="AB118" s="20">
        <f t="shared" si="44"/>
        <v>724016.12600095023</v>
      </c>
      <c r="AC118" s="20">
        <f t="shared" si="44"/>
        <v>796927.62800095021</v>
      </c>
      <c r="AD118" s="20">
        <f t="shared" si="44"/>
        <v>824364.73684355</v>
      </c>
      <c r="AE118" s="20">
        <f t="shared" si="44"/>
        <v>674564.49865835044</v>
      </c>
      <c r="AF118" s="20">
        <f t="shared" si="44"/>
        <v>199183.20452689682</v>
      </c>
      <c r="AG118" s="20">
        <f t="shared" si="44"/>
        <v>816389.0345268969</v>
      </c>
      <c r="AH118" s="20">
        <f t="shared" si="44"/>
        <v>816819.20052689686</v>
      </c>
      <c r="AI118" s="20">
        <f t="shared" ref="AI118:BN118" si="45">AI116+AI117</f>
        <v>817249.35552689736</v>
      </c>
      <c r="AJ118" s="20">
        <f t="shared" si="45"/>
        <v>1026468.8955946472</v>
      </c>
      <c r="AK118" s="20">
        <f t="shared" si="45"/>
        <v>797572.65178576182</v>
      </c>
      <c r="AL118" s="20">
        <f t="shared" si="45"/>
        <v>1070895.3214441619</v>
      </c>
      <c r="AM118" s="20">
        <f t="shared" si="45"/>
        <v>724914.10488544195</v>
      </c>
      <c r="AN118" s="20">
        <f t="shared" si="45"/>
        <v>711102.47738544201</v>
      </c>
      <c r="AO118" s="20">
        <f t="shared" si="45"/>
        <v>792669.91534809128</v>
      </c>
      <c r="AP118" s="20">
        <f t="shared" si="45"/>
        <v>731424.37542576343</v>
      </c>
      <c r="AQ118" s="20">
        <f t="shared" si="45"/>
        <v>709799.97992576344</v>
      </c>
      <c r="AR118" s="20">
        <f t="shared" si="45"/>
        <v>697243.95492576342</v>
      </c>
      <c r="AS118" s="20">
        <f t="shared" si="45"/>
        <v>793039.82492576283</v>
      </c>
      <c r="AT118" s="20">
        <f t="shared" si="45"/>
        <v>780483.80492576293</v>
      </c>
      <c r="AU118" s="20">
        <f t="shared" si="45"/>
        <v>1121611.7787792631</v>
      </c>
      <c r="AV118" s="20">
        <f t="shared" si="45"/>
        <v>635746.9908685463</v>
      </c>
      <c r="AW118" s="20">
        <f t="shared" si="45"/>
        <v>622799.91586854623</v>
      </c>
      <c r="AX118" s="20">
        <f t="shared" si="45"/>
        <v>678688.55336854723</v>
      </c>
      <c r="AY118" s="20">
        <f t="shared" si="45"/>
        <v>596576.3928685463</v>
      </c>
      <c r="AZ118" s="20">
        <f t="shared" si="45"/>
        <v>596146.22686854622</v>
      </c>
      <c r="BA118" s="20">
        <f t="shared" si="45"/>
        <v>767691.32186854631</v>
      </c>
      <c r="BB118" s="20">
        <f t="shared" si="45"/>
        <v>775872.41136854631</v>
      </c>
      <c r="BC118" s="20">
        <f t="shared" si="45"/>
        <v>594855.75086854631</v>
      </c>
      <c r="BD118" s="20">
        <f t="shared" si="45"/>
        <v>1527946.5903685472</v>
      </c>
      <c r="BE118" s="20">
        <f t="shared" si="45"/>
        <v>792640.57986854669</v>
      </c>
      <c r="BF118" s="20">
        <f t="shared" si="45"/>
        <v>611623.91936854669</v>
      </c>
      <c r="BG118" s="20">
        <f t="shared" si="45"/>
        <v>832365.00886854669</v>
      </c>
      <c r="BH118" s="20">
        <f t="shared" si="45"/>
        <v>809408.74836854648</v>
      </c>
      <c r="BI118" s="20">
        <f t="shared" si="45"/>
        <v>931504.31292414654</v>
      </c>
      <c r="BJ118" s="20">
        <f t="shared" si="45"/>
        <v>655354.24199999985</v>
      </c>
      <c r="BK118" s="20">
        <f t="shared" si="45"/>
        <v>764252.37600000005</v>
      </c>
      <c r="BL118" s="20">
        <f t="shared" si="45"/>
        <v>547118.41549999977</v>
      </c>
      <c r="BM118" s="20">
        <f t="shared" si="45"/>
        <v>821683.79499999981</v>
      </c>
      <c r="BN118" s="20">
        <f t="shared" si="45"/>
        <v>577876.79999999981</v>
      </c>
      <c r="BO118" s="20">
        <f t="shared" ref="BO118:CT118" si="46">BO116+BO117</f>
        <v>686228.70000000019</v>
      </c>
      <c r="BP118" s="20">
        <f t="shared" si="46"/>
        <v>817104.70000000019</v>
      </c>
      <c r="BQ118" s="20">
        <f t="shared" si="46"/>
        <v>686228.70000000019</v>
      </c>
      <c r="BR118" s="20">
        <f t="shared" si="46"/>
        <v>686228.70000000019</v>
      </c>
      <c r="BS118" s="20">
        <f t="shared" si="46"/>
        <v>918927.95000000019</v>
      </c>
      <c r="BT118" s="20">
        <f t="shared" si="46"/>
        <v>595935.45000000019</v>
      </c>
      <c r="BU118" s="20">
        <f t="shared" si="46"/>
        <v>704287.34999999963</v>
      </c>
      <c r="BV118" s="20">
        <f t="shared" si="46"/>
        <v>846689.34999999963</v>
      </c>
      <c r="BW118" s="20">
        <f t="shared" si="46"/>
        <v>812639.25</v>
      </c>
      <c r="BX118" s="20">
        <f t="shared" si="46"/>
        <v>595935.45000000019</v>
      </c>
      <c r="BY118" s="20">
        <f t="shared" si="46"/>
        <v>828630.70000000019</v>
      </c>
      <c r="BZ118" s="20">
        <f t="shared" si="46"/>
        <v>505642.20000000019</v>
      </c>
      <c r="CA118" s="20">
        <f t="shared" si="46"/>
        <v>704287.35000000009</v>
      </c>
      <c r="CB118" s="20">
        <f t="shared" si="46"/>
        <v>739258.85000000009</v>
      </c>
      <c r="CC118" s="20">
        <f t="shared" si="46"/>
        <v>722346</v>
      </c>
      <c r="CD118" s="20">
        <f t="shared" si="46"/>
        <v>505642.20000000019</v>
      </c>
      <c r="CE118" s="20">
        <f t="shared" si="46"/>
        <v>917245.70000000019</v>
      </c>
      <c r="CF118" s="20">
        <f t="shared" si="46"/>
        <v>505642.20000000019</v>
      </c>
      <c r="CG118" s="20">
        <f t="shared" si="46"/>
        <v>722346</v>
      </c>
      <c r="CH118" s="20">
        <f t="shared" si="46"/>
        <v>736658.20000000019</v>
      </c>
      <c r="CI118" s="20">
        <f t="shared" si="46"/>
        <v>595935.45000000019</v>
      </c>
      <c r="CJ118" s="20">
        <f t="shared" si="46"/>
        <v>595935.45000000019</v>
      </c>
      <c r="CK118" s="20">
        <f t="shared" si="46"/>
        <v>826951.45000000019</v>
      </c>
      <c r="CL118" s="20">
        <f t="shared" si="46"/>
        <v>826951.45000000019</v>
      </c>
      <c r="CM118" s="20">
        <f t="shared" si="46"/>
        <v>935303.34999999963</v>
      </c>
      <c r="CN118" s="20">
        <f t="shared" si="46"/>
        <v>718599.54999999981</v>
      </c>
      <c r="CO118" s="20">
        <f t="shared" si="46"/>
        <v>718599.54999999981</v>
      </c>
      <c r="CP118" s="20">
        <f t="shared" si="46"/>
        <v>718599.54999999981</v>
      </c>
      <c r="CQ118" s="20">
        <f t="shared" si="46"/>
        <v>718599.54999999981</v>
      </c>
      <c r="CR118" s="20">
        <f t="shared" si="46"/>
        <v>718599.54999999981</v>
      </c>
      <c r="CS118" s="20">
        <f t="shared" si="46"/>
        <v>826951.45000000019</v>
      </c>
      <c r="CT118" s="20">
        <f t="shared" si="46"/>
        <v>610247.64999999991</v>
      </c>
      <c r="CU118" s="20">
        <f t="shared" ref="CU118:DZ118" si="47">CU116+CU117</f>
        <v>700540.89999999991</v>
      </c>
      <c r="CV118" s="20">
        <f t="shared" si="47"/>
        <v>519954.39999999991</v>
      </c>
      <c r="CW118" s="20">
        <f t="shared" si="47"/>
        <v>610247.64999999991</v>
      </c>
      <c r="CX118" s="20">
        <f t="shared" si="47"/>
        <v>429661.14999999991</v>
      </c>
      <c r="CY118" s="20">
        <f t="shared" si="47"/>
        <v>538013.05000000005</v>
      </c>
      <c r="CZ118" s="20">
        <f t="shared" si="47"/>
        <v>321309.25</v>
      </c>
      <c r="DA118" s="20">
        <f t="shared" si="47"/>
        <v>411602.5</v>
      </c>
      <c r="DB118" s="20">
        <f t="shared" si="47"/>
        <v>231016</v>
      </c>
      <c r="DC118" s="20">
        <f t="shared" si="47"/>
        <v>231016</v>
      </c>
      <c r="DD118" s="20">
        <f t="shared" si="47"/>
        <v>231016</v>
      </c>
      <c r="DE118" s="20">
        <f t="shared" si="47"/>
        <v>231016</v>
      </c>
      <c r="DF118" s="20">
        <f t="shared" si="47"/>
        <v>231016</v>
      </c>
    </row>
    <row r="119" spans="1:110" ht="15" customHeight="1" x14ac:dyDescent="0.25">
      <c r="A119" s="29" t="s">
        <v>22</v>
      </c>
      <c r="B119" s="302"/>
      <c r="C119" s="3">
        <f t="shared" ref="C119:AH119" ca="1" si="48">C56</f>
        <v>-258991.59</v>
      </c>
      <c r="D119" s="3">
        <f t="shared" ca="1" si="48"/>
        <v>-258698.63000000003</v>
      </c>
      <c r="E119" s="3">
        <f t="shared" ca="1" si="48"/>
        <v>-350327.83</v>
      </c>
      <c r="F119" s="3">
        <f t="shared" ca="1" si="48"/>
        <v>-71821.649999999994</v>
      </c>
      <c r="G119" s="3">
        <f t="shared" ca="1" si="48"/>
        <v>-464089.47499999998</v>
      </c>
      <c r="H119" s="3">
        <f t="shared" ca="1" si="48"/>
        <v>-493464.47499999998</v>
      </c>
      <c r="I119" s="3">
        <f t="shared" ca="1" si="48"/>
        <v>-480368.64166666666</v>
      </c>
      <c r="J119" s="3">
        <f t="shared" ca="1" si="48"/>
        <v>-460868.64166666666</v>
      </c>
      <c r="K119" s="3">
        <f t="shared" ca="1" si="48"/>
        <v>-460868.64166666666</v>
      </c>
      <c r="L119" s="3">
        <f t="shared" ca="1" si="48"/>
        <v>-522222.80833333335</v>
      </c>
      <c r="M119" s="3">
        <f t="shared" ca="1" si="48"/>
        <v>-573072.80833333335</v>
      </c>
      <c r="N119" s="3">
        <f t="shared" ca="1" si="48"/>
        <v>-519072.80833333335</v>
      </c>
      <c r="O119" s="3">
        <f t="shared" ca="1" si="48"/>
        <v>-519072.80833333335</v>
      </c>
      <c r="P119" s="3">
        <f t="shared" ca="1" si="48"/>
        <v>-519072.80833333335</v>
      </c>
      <c r="Q119" s="3">
        <f t="shared" ca="1" si="48"/>
        <v>-519072.80833333335</v>
      </c>
      <c r="R119" s="3">
        <f t="shared" ca="1" si="48"/>
        <v>-566949.59783333342</v>
      </c>
      <c r="S119" s="3">
        <f t="shared" ca="1" si="48"/>
        <v>-542949.5978333333</v>
      </c>
      <c r="T119" s="3">
        <f t="shared" ca="1" si="48"/>
        <v>-542949.5978333333</v>
      </c>
      <c r="U119" s="3">
        <f t="shared" ca="1" si="48"/>
        <v>-542949.5978333333</v>
      </c>
      <c r="V119" s="3">
        <f t="shared" ca="1" si="48"/>
        <v>-542949.5978333333</v>
      </c>
      <c r="W119" s="3">
        <f t="shared" ca="1" si="48"/>
        <v>-542949.5978333333</v>
      </c>
      <c r="X119" s="3">
        <f t="shared" ca="1" si="48"/>
        <v>-542949.5978333333</v>
      </c>
      <c r="Y119" s="3">
        <f t="shared" ca="1" si="48"/>
        <v>-542949.5978333333</v>
      </c>
      <c r="Z119" s="3">
        <f t="shared" ca="1" si="48"/>
        <v>-542949.5978333333</v>
      </c>
      <c r="AA119" s="3">
        <f t="shared" ca="1" si="48"/>
        <v>-542949.5978333333</v>
      </c>
      <c r="AB119" s="3">
        <f t="shared" ca="1" si="48"/>
        <v>-542949.5978333333</v>
      </c>
      <c r="AC119" s="3">
        <f t="shared" ca="1" si="48"/>
        <v>-542949.5978333333</v>
      </c>
      <c r="AD119" s="3">
        <f t="shared" ca="1" si="48"/>
        <v>-551731.92312333314</v>
      </c>
      <c r="AE119" s="3">
        <f t="shared" ca="1" si="48"/>
        <v>-551731.92312333314</v>
      </c>
      <c r="AF119" s="3">
        <f t="shared" ca="1" si="48"/>
        <v>-551731.92312333314</v>
      </c>
      <c r="AG119" s="3">
        <f t="shared" ca="1" si="48"/>
        <v>-551731.92312333314</v>
      </c>
      <c r="AH119" s="3">
        <f t="shared" ca="1" si="48"/>
        <v>-551731.92312333314</v>
      </c>
      <c r="AI119" s="3">
        <f t="shared" ref="AI119:BN119" ca="1" si="49">AI56</f>
        <v>-551731.92312333314</v>
      </c>
      <c r="AJ119" s="3">
        <f t="shared" ca="1" si="49"/>
        <v>-551731.92312333314</v>
      </c>
      <c r="AK119" s="3">
        <f t="shared" ca="1" si="49"/>
        <v>-589231.92312333314</v>
      </c>
      <c r="AL119" s="3">
        <f t="shared" ca="1" si="49"/>
        <v>-551731.92312333314</v>
      </c>
      <c r="AM119" s="3">
        <f t="shared" ca="1" si="49"/>
        <v>-551731.92312333314</v>
      </c>
      <c r="AN119" s="3">
        <f t="shared" ca="1" si="49"/>
        <v>-589231.92312333314</v>
      </c>
      <c r="AO119" s="3">
        <f t="shared" ca="1" si="49"/>
        <v>-551731.92312333314</v>
      </c>
      <c r="AP119" s="3">
        <f t="shared" ca="1" si="49"/>
        <v>-560689.8949191334</v>
      </c>
      <c r="AQ119" s="3">
        <f t="shared" ca="1" si="49"/>
        <v>-605689.8949191334</v>
      </c>
      <c r="AR119" s="3">
        <f t="shared" ca="1" si="49"/>
        <v>-560689.8949191334</v>
      </c>
      <c r="AS119" s="3">
        <f t="shared" ca="1" si="49"/>
        <v>-560689.8949191334</v>
      </c>
      <c r="AT119" s="3">
        <f t="shared" ca="1" si="49"/>
        <v>-605689.8949191334</v>
      </c>
      <c r="AU119" s="3">
        <f t="shared" ca="1" si="49"/>
        <v>-560689.8949191334</v>
      </c>
      <c r="AV119" s="3">
        <f t="shared" ca="1" si="49"/>
        <v>-560689.8949191334</v>
      </c>
      <c r="AW119" s="3">
        <f t="shared" ca="1" si="49"/>
        <v>-560689.8949191334</v>
      </c>
      <c r="AX119" s="3">
        <f t="shared" ca="1" si="49"/>
        <v>-560689.8949191334</v>
      </c>
      <c r="AY119" s="3">
        <f t="shared" ca="1" si="49"/>
        <v>-560689.8949191334</v>
      </c>
      <c r="AZ119" s="3">
        <f t="shared" ca="1" si="49"/>
        <v>-560689.8949191334</v>
      </c>
      <c r="BA119" s="3">
        <f t="shared" ca="1" si="49"/>
        <v>-560689.8949191334</v>
      </c>
      <c r="BB119" s="3">
        <f t="shared" ca="1" si="49"/>
        <v>-607327.02615084907</v>
      </c>
      <c r="BC119" s="3">
        <f t="shared" ca="1" si="49"/>
        <v>-569827.02615084907</v>
      </c>
      <c r="BD119" s="3">
        <f t="shared" ca="1" si="49"/>
        <v>-569827.02615084907</v>
      </c>
      <c r="BE119" s="3">
        <f t="shared" ca="1" si="49"/>
        <v>-532327.02615084907</v>
      </c>
      <c r="BF119" s="3">
        <f t="shared" ca="1" si="49"/>
        <v>-614827.02615084907</v>
      </c>
      <c r="BG119" s="3">
        <f t="shared" ca="1" si="49"/>
        <v>-569827.02615084907</v>
      </c>
      <c r="BH119" s="3">
        <f t="shared" ca="1" si="49"/>
        <v>-607327.02615084907</v>
      </c>
      <c r="BI119" s="3">
        <f t="shared" ca="1" si="49"/>
        <v>-569827.02615084907</v>
      </c>
      <c r="BJ119" s="3">
        <f t="shared" ca="1" si="49"/>
        <v>-607327.02615084907</v>
      </c>
      <c r="BK119" s="3">
        <f t="shared" ca="1" si="49"/>
        <v>-569827.02615084907</v>
      </c>
      <c r="BL119" s="3">
        <f t="shared" ca="1" si="49"/>
        <v>-614827.02615084907</v>
      </c>
      <c r="BM119" s="3">
        <f t="shared" ca="1" si="49"/>
        <v>-569827.02615084907</v>
      </c>
      <c r="BN119" s="3">
        <f t="shared" ca="1" si="49"/>
        <v>-616646.90000719961</v>
      </c>
      <c r="BO119" s="3">
        <f t="shared" ref="BO119:CT119" ca="1" si="50">BO56</f>
        <v>-579146.90000719961</v>
      </c>
      <c r="BP119" s="3">
        <f t="shared" ca="1" si="50"/>
        <v>-624146.90000719961</v>
      </c>
      <c r="BQ119" s="3">
        <f t="shared" ca="1" si="50"/>
        <v>-579146.90000719961</v>
      </c>
      <c r="BR119" s="3">
        <f t="shared" ca="1" si="50"/>
        <v>-579146.90000719961</v>
      </c>
      <c r="BS119" s="3">
        <f t="shared" ca="1" si="50"/>
        <v>-579146.90000719961</v>
      </c>
      <c r="BT119" s="3">
        <f t="shared" ca="1" si="50"/>
        <v>-579146.90000719961</v>
      </c>
      <c r="BU119" s="3">
        <f t="shared" ca="1" si="50"/>
        <v>-579146.90000719961</v>
      </c>
      <c r="BV119" s="3">
        <f t="shared" ca="1" si="50"/>
        <v>-624146.90000719961</v>
      </c>
      <c r="BW119" s="3">
        <f t="shared" ca="1" si="50"/>
        <v>-579146.90000719961</v>
      </c>
      <c r="BX119" s="3">
        <f t="shared" ca="1" si="50"/>
        <v>-579146.90000719961</v>
      </c>
      <c r="BY119" s="3">
        <f t="shared" ca="1" si="50"/>
        <v>-579146.90000719961</v>
      </c>
      <c r="BZ119" s="3">
        <f t="shared" ca="1" si="50"/>
        <v>-588653.17134067661</v>
      </c>
      <c r="CA119" s="3">
        <f t="shared" ca="1" si="50"/>
        <v>-588653.17134067661</v>
      </c>
      <c r="CB119" s="3">
        <f t="shared" ca="1" si="50"/>
        <v>-633653.17134067661</v>
      </c>
      <c r="CC119" s="3">
        <f t="shared" ca="1" si="50"/>
        <v>-569865.32043482293</v>
      </c>
      <c r="CD119" s="3">
        <f t="shared" ca="1" si="50"/>
        <v>-626153.17134067661</v>
      </c>
      <c r="CE119" s="3">
        <f t="shared" ca="1" si="50"/>
        <v>-588653.17134067661</v>
      </c>
      <c r="CF119" s="3">
        <f t="shared" ca="1" si="50"/>
        <v>-626153.17134067661</v>
      </c>
      <c r="CG119" s="3">
        <f t="shared" ca="1" si="50"/>
        <v>-588653.17134067661</v>
      </c>
      <c r="CH119" s="3">
        <f t="shared" ca="1" si="50"/>
        <v>-633653.17134067661</v>
      </c>
      <c r="CI119" s="3">
        <f t="shared" ca="1" si="50"/>
        <v>-588653.17134067661</v>
      </c>
      <c r="CJ119" s="3">
        <f t="shared" ca="1" si="50"/>
        <v>-626153.17134067661</v>
      </c>
      <c r="CK119" s="3">
        <f t="shared" ca="1" si="50"/>
        <v>-588653.17134067661</v>
      </c>
      <c r="CL119" s="3">
        <f t="shared" ca="1" si="50"/>
        <v>-598349.56810082402</v>
      </c>
      <c r="CM119" s="3">
        <f t="shared" ca="1" si="50"/>
        <v>-598349.56810082402</v>
      </c>
      <c r="CN119" s="3">
        <f t="shared" ca="1" si="50"/>
        <v>-598349.56810082402</v>
      </c>
      <c r="CO119" s="3">
        <f t="shared" ca="1" si="50"/>
        <v>-598349.56810082402</v>
      </c>
      <c r="CP119" s="3">
        <f t="shared" ca="1" si="50"/>
        <v>-598349.56810082402</v>
      </c>
      <c r="CQ119" s="3">
        <f t="shared" ca="1" si="50"/>
        <v>-598349.56810082402</v>
      </c>
      <c r="CR119" s="3">
        <f t="shared" ca="1" si="50"/>
        <v>-598349.56810082402</v>
      </c>
      <c r="CS119" s="3">
        <f t="shared" ca="1" si="50"/>
        <v>-598349.56810082402</v>
      </c>
      <c r="CT119" s="3">
        <f t="shared" ca="1" si="50"/>
        <v>-598349.56810082402</v>
      </c>
      <c r="CU119" s="3">
        <f t="shared" ref="CU119:DF119" ca="1" si="51">CU56</f>
        <v>-541129.46673347347</v>
      </c>
      <c r="CV119" s="3">
        <f t="shared" ca="1" si="51"/>
        <v>-541129.46673347347</v>
      </c>
      <c r="CW119" s="3">
        <f t="shared" ca="1" si="51"/>
        <v>-541129.46673347347</v>
      </c>
      <c r="CX119" s="3">
        <f t="shared" ca="1" si="51"/>
        <v>-549875.38940147625</v>
      </c>
      <c r="CY119" s="3">
        <f t="shared" ca="1" si="51"/>
        <v>-549875.38940147625</v>
      </c>
      <c r="CZ119" s="3">
        <f t="shared" ca="1" si="51"/>
        <v>-549875.38940147625</v>
      </c>
      <c r="DA119" s="3">
        <f t="shared" ca="1" si="51"/>
        <v>-512375.38940147631</v>
      </c>
      <c r="DB119" s="3">
        <f t="shared" ca="1" si="51"/>
        <v>-549875.38940147625</v>
      </c>
      <c r="DC119" s="3">
        <f t="shared" ca="1" si="51"/>
        <v>-549875.38940147625</v>
      </c>
      <c r="DD119" s="3">
        <f t="shared" ca="1" si="51"/>
        <v>-549875.38940147625</v>
      </c>
      <c r="DE119" s="3">
        <f t="shared" ca="1" si="51"/>
        <v>-549875.38940147625</v>
      </c>
      <c r="DF119" s="3">
        <f t="shared" ca="1" si="51"/>
        <v>-549875.38940147625</v>
      </c>
    </row>
    <row r="120" spans="1:110" ht="15" customHeight="1" x14ac:dyDescent="0.25">
      <c r="A120" s="29" t="s">
        <v>31</v>
      </c>
      <c r="B120" s="302"/>
      <c r="C120" s="3">
        <f t="shared" ref="C120:AH120" si="52">C111</f>
        <v>-196623.84</v>
      </c>
      <c r="D120" s="3">
        <f t="shared" si="52"/>
        <v>-189707.12</v>
      </c>
      <c r="E120" s="3">
        <f t="shared" si="52"/>
        <v>-242129.22</v>
      </c>
      <c r="F120" s="3">
        <f t="shared" si="52"/>
        <v>-192976.83999999997</v>
      </c>
      <c r="G120" s="3">
        <f t="shared" si="52"/>
        <v>-78090.09166666666</v>
      </c>
      <c r="H120" s="3">
        <f t="shared" si="52"/>
        <v>-78090.09166666666</v>
      </c>
      <c r="I120" s="3">
        <f t="shared" si="52"/>
        <v>-78090.09166666666</v>
      </c>
      <c r="J120" s="3">
        <f t="shared" si="52"/>
        <v>-78090.09166666666</v>
      </c>
      <c r="K120" s="3">
        <f t="shared" si="52"/>
        <v>-78090.09166666666</v>
      </c>
      <c r="L120" s="3">
        <f t="shared" si="52"/>
        <v>-78090.09166666666</v>
      </c>
      <c r="M120" s="3">
        <f t="shared" si="52"/>
        <v>-78090.09166666666</v>
      </c>
      <c r="N120" s="3">
        <f t="shared" si="52"/>
        <v>-78090.09166666666</v>
      </c>
      <c r="O120" s="3">
        <f t="shared" si="52"/>
        <v>-78090.09166666666</v>
      </c>
      <c r="P120" s="3">
        <f t="shared" si="52"/>
        <v>-78090.09166666666</v>
      </c>
      <c r="Q120" s="3">
        <f t="shared" si="52"/>
        <v>-78090.09166666666</v>
      </c>
      <c r="R120" s="3">
        <f t="shared" si="52"/>
        <v>-79651.893500000006</v>
      </c>
      <c r="S120" s="3">
        <f t="shared" si="52"/>
        <v>-79651.893500000006</v>
      </c>
      <c r="T120" s="3">
        <f t="shared" si="52"/>
        <v>-79651.893500000006</v>
      </c>
      <c r="U120" s="3">
        <f t="shared" si="52"/>
        <v>-79651.893500000006</v>
      </c>
      <c r="V120" s="3">
        <f t="shared" si="52"/>
        <v>-79651.893500000006</v>
      </c>
      <c r="W120" s="3">
        <f t="shared" si="52"/>
        <v>-79651.893500000006</v>
      </c>
      <c r="X120" s="3">
        <f t="shared" si="52"/>
        <v>-79651.893500000006</v>
      </c>
      <c r="Y120" s="3">
        <f t="shared" si="52"/>
        <v>-79651.893500000006</v>
      </c>
      <c r="Z120" s="3">
        <f t="shared" si="52"/>
        <v>-79651.893500000006</v>
      </c>
      <c r="AA120" s="3">
        <f t="shared" si="52"/>
        <v>-79651.893500000006</v>
      </c>
      <c r="AB120" s="3">
        <f t="shared" si="52"/>
        <v>-79651.893500000006</v>
      </c>
      <c r="AC120" s="3">
        <f t="shared" si="52"/>
        <v>-79651.893500000006</v>
      </c>
      <c r="AD120" s="3">
        <f t="shared" si="52"/>
        <v>-81244.931370000006</v>
      </c>
      <c r="AE120" s="3">
        <f t="shared" si="52"/>
        <v>-81244.931370000006</v>
      </c>
      <c r="AF120" s="3">
        <f t="shared" si="52"/>
        <v>-81244.931370000006</v>
      </c>
      <c r="AG120" s="3">
        <f t="shared" si="52"/>
        <v>-81244.931370000006</v>
      </c>
      <c r="AH120" s="3">
        <f t="shared" si="52"/>
        <v>-81244.931370000006</v>
      </c>
      <c r="AI120" s="3">
        <f t="shared" ref="AI120:BN120" si="53">AI111</f>
        <v>-81244.931370000006</v>
      </c>
      <c r="AJ120" s="3">
        <f t="shared" si="53"/>
        <v>-81244.931370000006</v>
      </c>
      <c r="AK120" s="3">
        <f t="shared" si="53"/>
        <v>-81244.931370000006</v>
      </c>
      <c r="AL120" s="3">
        <f t="shared" si="53"/>
        <v>-81244.931370000006</v>
      </c>
      <c r="AM120" s="3">
        <f t="shared" si="53"/>
        <v>-81244.931370000006</v>
      </c>
      <c r="AN120" s="3">
        <f t="shared" si="53"/>
        <v>-81244.931370000006</v>
      </c>
      <c r="AO120" s="3">
        <f t="shared" si="53"/>
        <v>-81244.931370000006</v>
      </c>
      <c r="AP120" s="3">
        <f t="shared" si="53"/>
        <v>-82869.829997399982</v>
      </c>
      <c r="AQ120" s="3">
        <f t="shared" si="53"/>
        <v>-82869.829997399982</v>
      </c>
      <c r="AR120" s="3">
        <f t="shared" si="53"/>
        <v>-82869.829997399982</v>
      </c>
      <c r="AS120" s="3">
        <f t="shared" si="53"/>
        <v>-82869.829997399982</v>
      </c>
      <c r="AT120" s="3">
        <f t="shared" si="53"/>
        <v>-82869.829997399982</v>
      </c>
      <c r="AU120" s="3">
        <f t="shared" si="53"/>
        <v>-164552.8299974</v>
      </c>
      <c r="AV120" s="3">
        <f t="shared" si="53"/>
        <v>-82869.829997399982</v>
      </c>
      <c r="AW120" s="3">
        <f t="shared" si="53"/>
        <v>-82869.829997399982</v>
      </c>
      <c r="AX120" s="3">
        <f t="shared" si="53"/>
        <v>-164551.8299974</v>
      </c>
      <c r="AY120" s="3">
        <f t="shared" si="53"/>
        <v>-82869.829997399982</v>
      </c>
      <c r="AZ120" s="3">
        <f t="shared" si="53"/>
        <v>-82869.829997399982</v>
      </c>
      <c r="BA120" s="3">
        <f t="shared" si="53"/>
        <v>-164551.8299974</v>
      </c>
      <c r="BB120" s="3">
        <f t="shared" si="53"/>
        <v>-84527.226597347995</v>
      </c>
      <c r="BC120" s="3">
        <f t="shared" si="53"/>
        <v>-84527.226597347995</v>
      </c>
      <c r="BD120" s="3">
        <f t="shared" si="53"/>
        <v>-1018048.226597348</v>
      </c>
      <c r="BE120" s="3">
        <f t="shared" si="53"/>
        <v>-84527.226597347995</v>
      </c>
      <c r="BF120" s="3">
        <f t="shared" si="53"/>
        <v>-84527.226597347995</v>
      </c>
      <c r="BG120" s="3">
        <f t="shared" si="53"/>
        <v>-215405.226597348</v>
      </c>
      <c r="BH120" s="3">
        <f t="shared" si="53"/>
        <v>-84527.226597347995</v>
      </c>
      <c r="BI120" s="3">
        <f t="shared" si="53"/>
        <v>-84527.226597347995</v>
      </c>
      <c r="BJ120" s="3">
        <f t="shared" si="53"/>
        <v>-215403.226597348</v>
      </c>
      <c r="BK120" s="3">
        <f t="shared" si="53"/>
        <v>-84527.226597347995</v>
      </c>
      <c r="BL120" s="3">
        <f t="shared" si="53"/>
        <v>-84527.226597347995</v>
      </c>
      <c r="BM120" s="3">
        <f t="shared" si="53"/>
        <v>-215403.226597348</v>
      </c>
      <c r="BN120" s="3">
        <f t="shared" si="53"/>
        <v>-86217.771129294968</v>
      </c>
      <c r="BO120" s="3">
        <f t="shared" ref="BO120:CT120" si="54">BO111</f>
        <v>-86217.771129294968</v>
      </c>
      <c r="BP120" s="3">
        <f t="shared" si="54"/>
        <v>-217093.77112929497</v>
      </c>
      <c r="BQ120" s="3">
        <f t="shared" si="54"/>
        <v>-86217.771129294968</v>
      </c>
      <c r="BR120" s="3">
        <f t="shared" si="54"/>
        <v>-86217.771129294968</v>
      </c>
      <c r="BS120" s="3">
        <f t="shared" si="54"/>
        <v>-177110.25112929495</v>
      </c>
      <c r="BT120" s="3">
        <f t="shared" si="54"/>
        <v>-86217.771129294968</v>
      </c>
      <c r="BU120" s="3">
        <f t="shared" si="54"/>
        <v>-86217.771129294968</v>
      </c>
      <c r="BV120" s="3">
        <f t="shared" si="54"/>
        <v>-160857.77112929497</v>
      </c>
      <c r="BW120" s="3">
        <f t="shared" si="54"/>
        <v>-86217.771129294968</v>
      </c>
      <c r="BX120" s="3">
        <f t="shared" si="54"/>
        <v>-86217.771129294968</v>
      </c>
      <c r="BY120" s="3">
        <f t="shared" si="54"/>
        <v>-160857.77112929497</v>
      </c>
      <c r="BZ120" s="3">
        <f t="shared" si="54"/>
        <v>-87942.126551880865</v>
      </c>
      <c r="CA120" s="3">
        <f t="shared" si="54"/>
        <v>-87942.126551880865</v>
      </c>
      <c r="CB120" s="3">
        <f t="shared" si="54"/>
        <v>-235738.12655188085</v>
      </c>
      <c r="CC120" s="3">
        <f t="shared" si="54"/>
        <v>-87942.126551880865</v>
      </c>
      <c r="CD120" s="3">
        <f t="shared" si="54"/>
        <v>-87942.126551880865</v>
      </c>
      <c r="CE120" s="3">
        <f t="shared" si="54"/>
        <v>-242460.12655188085</v>
      </c>
      <c r="CF120" s="3">
        <f t="shared" si="54"/>
        <v>-87942.126551880865</v>
      </c>
      <c r="CG120" s="3">
        <f t="shared" si="54"/>
        <v>-87942.126551880865</v>
      </c>
      <c r="CH120" s="3">
        <f t="shared" si="54"/>
        <v>-242459.12655188085</v>
      </c>
      <c r="CI120" s="3">
        <f t="shared" si="54"/>
        <v>-87942.126551880865</v>
      </c>
      <c r="CJ120" s="3">
        <f t="shared" si="54"/>
        <v>-87942.126551880865</v>
      </c>
      <c r="CK120" s="3">
        <f t="shared" si="54"/>
        <v>-235851.09994540166</v>
      </c>
      <c r="CL120" s="3">
        <f t="shared" si="54"/>
        <v>-162855.96908291848</v>
      </c>
      <c r="CM120" s="3">
        <f t="shared" si="54"/>
        <v>-162855.96908291848</v>
      </c>
      <c r="CN120" s="3">
        <f t="shared" si="54"/>
        <v>-162855.96908291848</v>
      </c>
      <c r="CO120" s="3">
        <f t="shared" si="54"/>
        <v>-162855.96908291848</v>
      </c>
      <c r="CP120" s="3">
        <f t="shared" si="54"/>
        <v>-162855.96908291848</v>
      </c>
      <c r="CQ120" s="3">
        <f t="shared" si="54"/>
        <v>-162855.96908291848</v>
      </c>
      <c r="CR120" s="3">
        <f t="shared" si="54"/>
        <v>-162855.96908291848</v>
      </c>
      <c r="CS120" s="3">
        <f t="shared" si="54"/>
        <v>-162855.96908291848</v>
      </c>
      <c r="CT120" s="3">
        <f t="shared" si="54"/>
        <v>-162855.96908291848</v>
      </c>
      <c r="CU120" s="3">
        <f t="shared" ref="CU120:DF120" si="55">CU111</f>
        <v>-160947.47570802202</v>
      </c>
      <c r="CV120" s="3">
        <f t="shared" si="55"/>
        <v>-160947.47570802202</v>
      </c>
      <c r="CW120" s="3">
        <f t="shared" si="55"/>
        <v>-160947.47570802202</v>
      </c>
      <c r="CX120" s="3">
        <f t="shared" si="55"/>
        <v>-106995.17415858962</v>
      </c>
      <c r="CY120" s="3">
        <f t="shared" si="55"/>
        <v>-89548.325222182451</v>
      </c>
      <c r="CZ120" s="3">
        <f t="shared" si="55"/>
        <v>-89548.325222182451</v>
      </c>
      <c r="DA120" s="3">
        <f t="shared" si="55"/>
        <v>-89548.325222182451</v>
      </c>
      <c r="DB120" s="3">
        <f t="shared" si="55"/>
        <v>-89548.325222182451</v>
      </c>
      <c r="DC120" s="3">
        <f t="shared" si="55"/>
        <v>-89548.325222182451</v>
      </c>
      <c r="DD120" s="3">
        <f t="shared" si="55"/>
        <v>-89548.325222182451</v>
      </c>
      <c r="DE120" s="3">
        <f t="shared" si="55"/>
        <v>-89548.325222182451</v>
      </c>
      <c r="DF120" s="3">
        <f t="shared" si="55"/>
        <v>-89548.325222182451</v>
      </c>
    </row>
    <row r="121" spans="1:110" ht="15" customHeight="1" x14ac:dyDescent="0.25">
      <c r="A121" s="30" t="s">
        <v>133</v>
      </c>
      <c r="B121" s="19"/>
      <c r="C121" s="20">
        <f t="shared" ref="C121:AH121" ca="1" si="56">C119+C120</f>
        <v>-455615.43</v>
      </c>
      <c r="D121" s="20">
        <f t="shared" ca="1" si="56"/>
        <v>-448405.75</v>
      </c>
      <c r="E121" s="20">
        <f t="shared" ca="1" si="56"/>
        <v>-592457.05000000005</v>
      </c>
      <c r="F121" s="20">
        <f t="shared" ca="1" si="56"/>
        <v>-264798.49</v>
      </c>
      <c r="G121" s="20">
        <f t="shared" ca="1" si="56"/>
        <v>-542179.56666666665</v>
      </c>
      <c r="H121" s="20">
        <f t="shared" ca="1" si="56"/>
        <v>-571554.56666666665</v>
      </c>
      <c r="I121" s="20">
        <f t="shared" ca="1" si="56"/>
        <v>-558458.73333333328</v>
      </c>
      <c r="J121" s="20">
        <f t="shared" ca="1" si="56"/>
        <v>-538958.73333333328</v>
      </c>
      <c r="K121" s="20">
        <f t="shared" ca="1" si="56"/>
        <v>-538958.73333333328</v>
      </c>
      <c r="L121" s="20">
        <f t="shared" ca="1" si="56"/>
        <v>-600312.9</v>
      </c>
      <c r="M121" s="20">
        <f t="shared" ca="1" si="56"/>
        <v>-651162.9</v>
      </c>
      <c r="N121" s="20">
        <f t="shared" ca="1" si="56"/>
        <v>-597162.9</v>
      </c>
      <c r="O121" s="20">
        <f t="shared" ca="1" si="56"/>
        <v>-597162.9</v>
      </c>
      <c r="P121" s="20">
        <f t="shared" ca="1" si="56"/>
        <v>-597162.9</v>
      </c>
      <c r="Q121" s="20">
        <f t="shared" ca="1" si="56"/>
        <v>-597162.9</v>
      </c>
      <c r="R121" s="20">
        <f t="shared" ca="1" si="56"/>
        <v>-646601.49133333343</v>
      </c>
      <c r="S121" s="20">
        <f t="shared" ca="1" si="56"/>
        <v>-622601.49133333331</v>
      </c>
      <c r="T121" s="20">
        <f t="shared" ca="1" si="56"/>
        <v>-622601.49133333331</v>
      </c>
      <c r="U121" s="20">
        <f t="shared" ca="1" si="56"/>
        <v>-622601.49133333331</v>
      </c>
      <c r="V121" s="20">
        <f t="shared" ca="1" si="56"/>
        <v>-622601.49133333331</v>
      </c>
      <c r="W121" s="20">
        <f t="shared" ca="1" si="56"/>
        <v>-622601.49133333331</v>
      </c>
      <c r="X121" s="20">
        <f t="shared" ca="1" si="56"/>
        <v>-622601.49133333331</v>
      </c>
      <c r="Y121" s="20">
        <f t="shared" ca="1" si="56"/>
        <v>-622601.49133333331</v>
      </c>
      <c r="Z121" s="20">
        <f t="shared" ca="1" si="56"/>
        <v>-622601.49133333331</v>
      </c>
      <c r="AA121" s="20">
        <f t="shared" ca="1" si="56"/>
        <v>-622601.49133333331</v>
      </c>
      <c r="AB121" s="20">
        <f t="shared" ca="1" si="56"/>
        <v>-622601.49133333331</v>
      </c>
      <c r="AC121" s="20">
        <f t="shared" ca="1" si="56"/>
        <v>-622601.49133333331</v>
      </c>
      <c r="AD121" s="20">
        <f t="shared" ca="1" si="56"/>
        <v>-632976.85449333314</v>
      </c>
      <c r="AE121" s="20">
        <f t="shared" ca="1" si="56"/>
        <v>-632976.85449333314</v>
      </c>
      <c r="AF121" s="20">
        <f t="shared" ca="1" si="56"/>
        <v>-632976.85449333314</v>
      </c>
      <c r="AG121" s="20">
        <f t="shared" ca="1" si="56"/>
        <v>-632976.85449333314</v>
      </c>
      <c r="AH121" s="20">
        <f t="shared" ca="1" si="56"/>
        <v>-632976.85449333314</v>
      </c>
      <c r="AI121" s="20">
        <f t="shared" ref="AI121:BN121" ca="1" si="57">AI119+AI120</f>
        <v>-632976.85449333314</v>
      </c>
      <c r="AJ121" s="20">
        <f t="shared" ca="1" si="57"/>
        <v>-632976.85449333314</v>
      </c>
      <c r="AK121" s="20">
        <f t="shared" ca="1" si="57"/>
        <v>-670476.85449333314</v>
      </c>
      <c r="AL121" s="20">
        <f t="shared" ca="1" si="57"/>
        <v>-632976.85449333314</v>
      </c>
      <c r="AM121" s="20">
        <f t="shared" ca="1" si="57"/>
        <v>-632976.85449333314</v>
      </c>
      <c r="AN121" s="20">
        <f t="shared" ca="1" si="57"/>
        <v>-670476.85449333314</v>
      </c>
      <c r="AO121" s="20">
        <f t="shared" ca="1" si="57"/>
        <v>-632976.85449333314</v>
      </c>
      <c r="AP121" s="20">
        <f t="shared" ca="1" si="57"/>
        <v>-643559.72491653333</v>
      </c>
      <c r="AQ121" s="20">
        <f t="shared" ca="1" si="57"/>
        <v>-688559.72491653333</v>
      </c>
      <c r="AR121" s="20">
        <f t="shared" ca="1" si="57"/>
        <v>-643559.72491653333</v>
      </c>
      <c r="AS121" s="20">
        <f t="shared" ca="1" si="57"/>
        <v>-643559.72491653333</v>
      </c>
      <c r="AT121" s="20">
        <f t="shared" ca="1" si="57"/>
        <v>-688559.72491653333</v>
      </c>
      <c r="AU121" s="20">
        <f t="shared" ca="1" si="57"/>
        <v>-725242.72491653333</v>
      </c>
      <c r="AV121" s="20">
        <f t="shared" ca="1" si="57"/>
        <v>-643559.72491653333</v>
      </c>
      <c r="AW121" s="20">
        <f t="shared" ca="1" si="57"/>
        <v>-643559.72491653333</v>
      </c>
      <c r="AX121" s="20">
        <f t="shared" ca="1" si="57"/>
        <v>-725241.72491653333</v>
      </c>
      <c r="AY121" s="20">
        <f t="shared" ca="1" si="57"/>
        <v>-643559.72491653333</v>
      </c>
      <c r="AZ121" s="20">
        <f t="shared" ca="1" si="57"/>
        <v>-643559.72491653333</v>
      </c>
      <c r="BA121" s="20">
        <f t="shared" ca="1" si="57"/>
        <v>-725241.72491653333</v>
      </c>
      <c r="BB121" s="20">
        <f t="shared" ca="1" si="57"/>
        <v>-691854.25274819706</v>
      </c>
      <c r="BC121" s="20">
        <f t="shared" ca="1" si="57"/>
        <v>-654354.25274819706</v>
      </c>
      <c r="BD121" s="20">
        <f t="shared" ca="1" si="57"/>
        <v>-1587875.2527481969</v>
      </c>
      <c r="BE121" s="20">
        <f t="shared" ca="1" si="57"/>
        <v>-616854.25274819706</v>
      </c>
      <c r="BF121" s="20">
        <f t="shared" ca="1" si="57"/>
        <v>-699354.25274819706</v>
      </c>
      <c r="BG121" s="20">
        <f t="shared" ca="1" si="57"/>
        <v>-785232.25274819706</v>
      </c>
      <c r="BH121" s="20">
        <f t="shared" ca="1" si="57"/>
        <v>-691854.25274819706</v>
      </c>
      <c r="BI121" s="20">
        <f t="shared" ca="1" si="57"/>
        <v>-654354.25274819706</v>
      </c>
      <c r="BJ121" s="20">
        <f t="shared" ca="1" si="57"/>
        <v>-822730.25274819706</v>
      </c>
      <c r="BK121" s="20">
        <f t="shared" ca="1" si="57"/>
        <v>-654354.25274819706</v>
      </c>
      <c r="BL121" s="20">
        <f t="shared" ca="1" si="57"/>
        <v>-699354.25274819706</v>
      </c>
      <c r="BM121" s="20">
        <f t="shared" ca="1" si="57"/>
        <v>-785230.25274819706</v>
      </c>
      <c r="BN121" s="20">
        <f t="shared" ca="1" si="57"/>
        <v>-702864.67113649461</v>
      </c>
      <c r="BO121" s="20">
        <f t="shared" ref="BO121:CT121" ca="1" si="58">BO119+BO120</f>
        <v>-665364.67113649461</v>
      </c>
      <c r="BP121" s="20">
        <f t="shared" ca="1" si="58"/>
        <v>-841240.67113649461</v>
      </c>
      <c r="BQ121" s="20">
        <f t="shared" ca="1" si="58"/>
        <v>-665364.67113649461</v>
      </c>
      <c r="BR121" s="20">
        <f t="shared" ca="1" si="58"/>
        <v>-665364.67113649461</v>
      </c>
      <c r="BS121" s="20">
        <f t="shared" ca="1" si="58"/>
        <v>-756257.15113649459</v>
      </c>
      <c r="BT121" s="20">
        <f t="shared" ca="1" si="58"/>
        <v>-665364.67113649461</v>
      </c>
      <c r="BU121" s="20">
        <f t="shared" ca="1" si="58"/>
        <v>-665364.67113649461</v>
      </c>
      <c r="BV121" s="20">
        <f t="shared" ca="1" si="58"/>
        <v>-785004.67113649461</v>
      </c>
      <c r="BW121" s="20">
        <f t="shared" ca="1" si="58"/>
        <v>-665364.67113649461</v>
      </c>
      <c r="BX121" s="20">
        <f t="shared" ca="1" si="58"/>
        <v>-665364.67113649461</v>
      </c>
      <c r="BY121" s="20">
        <f t="shared" ca="1" si="58"/>
        <v>-740004.67113649461</v>
      </c>
      <c r="BZ121" s="20">
        <f t="shared" ca="1" si="58"/>
        <v>-676595.29789255746</v>
      </c>
      <c r="CA121" s="20">
        <f t="shared" ca="1" si="58"/>
        <v>-676595.29789255746</v>
      </c>
      <c r="CB121" s="20">
        <f t="shared" ca="1" si="58"/>
        <v>-869391.29789255746</v>
      </c>
      <c r="CC121" s="20">
        <f t="shared" ca="1" si="58"/>
        <v>-657807.44698670378</v>
      </c>
      <c r="CD121" s="20">
        <f t="shared" ca="1" si="58"/>
        <v>-714095.29789255746</v>
      </c>
      <c r="CE121" s="20">
        <f t="shared" ca="1" si="58"/>
        <v>-831113.29789255746</v>
      </c>
      <c r="CF121" s="20">
        <f t="shared" ca="1" si="58"/>
        <v>-714095.29789255746</v>
      </c>
      <c r="CG121" s="20">
        <f t="shared" ca="1" si="58"/>
        <v>-676595.29789255746</v>
      </c>
      <c r="CH121" s="20">
        <f t="shared" ca="1" si="58"/>
        <v>-876112.29789255746</v>
      </c>
      <c r="CI121" s="20">
        <f t="shared" ca="1" si="58"/>
        <v>-676595.29789255746</v>
      </c>
      <c r="CJ121" s="20">
        <f t="shared" ca="1" si="58"/>
        <v>-714095.29789255746</v>
      </c>
      <c r="CK121" s="20">
        <f t="shared" ca="1" si="58"/>
        <v>-824504.27128607826</v>
      </c>
      <c r="CL121" s="20">
        <f t="shared" ca="1" si="58"/>
        <v>-761205.5371837425</v>
      </c>
      <c r="CM121" s="20">
        <f t="shared" ca="1" si="58"/>
        <v>-761205.5371837425</v>
      </c>
      <c r="CN121" s="20">
        <f t="shared" ca="1" si="58"/>
        <v>-761205.5371837425</v>
      </c>
      <c r="CO121" s="20">
        <f t="shared" ca="1" si="58"/>
        <v>-761205.5371837425</v>
      </c>
      <c r="CP121" s="20">
        <f t="shared" ca="1" si="58"/>
        <v>-761205.5371837425</v>
      </c>
      <c r="CQ121" s="20">
        <f t="shared" ca="1" si="58"/>
        <v>-761205.5371837425</v>
      </c>
      <c r="CR121" s="20">
        <f t="shared" ca="1" si="58"/>
        <v>-761205.5371837425</v>
      </c>
      <c r="CS121" s="20">
        <f t="shared" ca="1" si="58"/>
        <v>-761205.5371837425</v>
      </c>
      <c r="CT121" s="20">
        <f t="shared" ca="1" si="58"/>
        <v>-761205.5371837425</v>
      </c>
      <c r="CU121" s="20">
        <f t="shared" ref="CU121:DZ121" ca="1" si="59">CU119+CU120</f>
        <v>-702076.94244149548</v>
      </c>
      <c r="CV121" s="20">
        <f t="shared" ca="1" si="59"/>
        <v>-702076.94244149548</v>
      </c>
      <c r="CW121" s="20">
        <f t="shared" ca="1" si="59"/>
        <v>-702076.94244149548</v>
      </c>
      <c r="CX121" s="20">
        <f t="shared" ca="1" si="59"/>
        <v>-656870.56356006581</v>
      </c>
      <c r="CY121" s="20">
        <f t="shared" ca="1" si="59"/>
        <v>-639423.71462365869</v>
      </c>
      <c r="CZ121" s="20">
        <f t="shared" ca="1" si="59"/>
        <v>-639423.71462365869</v>
      </c>
      <c r="DA121" s="20">
        <f t="shared" ca="1" si="59"/>
        <v>-601923.7146236588</v>
      </c>
      <c r="DB121" s="20">
        <f t="shared" ca="1" si="59"/>
        <v>-639423.71462365869</v>
      </c>
      <c r="DC121" s="20">
        <f t="shared" ca="1" si="59"/>
        <v>-639423.71462365869</v>
      </c>
      <c r="DD121" s="20">
        <f t="shared" ca="1" si="59"/>
        <v>-639423.71462365869</v>
      </c>
      <c r="DE121" s="20">
        <f t="shared" ca="1" si="59"/>
        <v>-639423.71462365869</v>
      </c>
      <c r="DF121" s="20">
        <f t="shared" ca="1" si="59"/>
        <v>-639423.71462365869</v>
      </c>
    </row>
    <row r="122" spans="1:110" ht="19.5" customHeight="1" x14ac:dyDescent="0.25">
      <c r="A122" s="31" t="s">
        <v>134</v>
      </c>
      <c r="B122" s="317"/>
      <c r="C122" s="25">
        <f t="shared" ref="C122:AH122" ca="1" si="60">C118+C121</f>
        <v>-202748.03999999992</v>
      </c>
      <c r="D122" s="25">
        <f t="shared" ca="1" si="60"/>
        <v>-465294.63999999972</v>
      </c>
      <c r="E122" s="25">
        <f t="shared" ca="1" si="60"/>
        <v>35842.050000000163</v>
      </c>
      <c r="F122" s="25">
        <f t="shared" ca="1" si="60"/>
        <v>226174.33999999956</v>
      </c>
      <c r="G122" s="25">
        <f t="shared" ca="1" si="60"/>
        <v>-29679.920412403822</v>
      </c>
      <c r="H122" s="25">
        <f t="shared" ca="1" si="60"/>
        <v>-59054.920412403822</v>
      </c>
      <c r="I122" s="25">
        <f t="shared" ca="1" si="60"/>
        <v>444413.24112124974</v>
      </c>
      <c r="J122" s="25">
        <f t="shared" ca="1" si="60"/>
        <v>137353.03632124979</v>
      </c>
      <c r="K122" s="25">
        <f t="shared" ca="1" si="60"/>
        <v>136519.70632124983</v>
      </c>
      <c r="L122" s="25">
        <f t="shared" ca="1" si="60"/>
        <v>441570.2749568607</v>
      </c>
      <c r="M122" s="25">
        <f t="shared" ca="1" si="60"/>
        <v>463196.20896424621</v>
      </c>
      <c r="N122" s="25">
        <f t="shared" ca="1" si="60"/>
        <v>210821.12487815262</v>
      </c>
      <c r="O122" s="25">
        <f t="shared" ca="1" si="60"/>
        <v>233953.35527815262</v>
      </c>
      <c r="P122" s="25">
        <f t="shared" ca="1" si="60"/>
        <v>227703.15527815267</v>
      </c>
      <c r="Q122" s="25">
        <f t="shared" ca="1" si="60"/>
        <v>227703.15527815267</v>
      </c>
      <c r="R122" s="25">
        <f t="shared" ca="1" si="60"/>
        <v>-441329.70699796447</v>
      </c>
      <c r="S122" s="25">
        <f t="shared" ca="1" si="60"/>
        <v>370338.76800203603</v>
      </c>
      <c r="T122" s="25">
        <f t="shared" ca="1" si="60"/>
        <v>529000.6462882366</v>
      </c>
      <c r="U122" s="25">
        <f t="shared" ca="1" si="60"/>
        <v>283486.2114841328</v>
      </c>
      <c r="V122" s="25">
        <f t="shared" ca="1" si="60"/>
        <v>34379.722307367367</v>
      </c>
      <c r="W122" s="25">
        <f t="shared" ca="1" si="60"/>
        <v>50951.984707367374</v>
      </c>
      <c r="X122" s="25">
        <f t="shared" ca="1" si="60"/>
        <v>82889.265547116986</v>
      </c>
      <c r="Y122" s="25">
        <f t="shared" ca="1" si="60"/>
        <v>54805.158667616895</v>
      </c>
      <c r="Z122" s="25">
        <f t="shared" ca="1" si="60"/>
        <v>127716.64866761689</v>
      </c>
      <c r="AA122" s="25">
        <f t="shared" ca="1" si="60"/>
        <v>85878.138667616877</v>
      </c>
      <c r="AB122" s="25">
        <f t="shared" ca="1" si="60"/>
        <v>101414.63466761692</v>
      </c>
      <c r="AC122" s="25">
        <f t="shared" ca="1" si="60"/>
        <v>174326.1366676169</v>
      </c>
      <c r="AD122" s="25">
        <f t="shared" ca="1" si="60"/>
        <v>191387.88235021685</v>
      </c>
      <c r="AE122" s="25">
        <f t="shared" ca="1" si="60"/>
        <v>41587.644165017293</v>
      </c>
      <c r="AF122" s="25">
        <f t="shared" ca="1" si="60"/>
        <v>-433793.64996643632</v>
      </c>
      <c r="AG122" s="25">
        <f t="shared" ca="1" si="60"/>
        <v>183412.18003356375</v>
      </c>
      <c r="AH122" s="25">
        <f t="shared" ca="1" si="60"/>
        <v>183842.34603356372</v>
      </c>
      <c r="AI122" s="25">
        <f t="shared" ref="AI122:BN122" ca="1" si="61">AI118+AI121</f>
        <v>184272.50103356421</v>
      </c>
      <c r="AJ122" s="25">
        <f t="shared" ca="1" si="61"/>
        <v>393492.04110131401</v>
      </c>
      <c r="AK122" s="25">
        <f t="shared" ca="1" si="61"/>
        <v>127095.79729242867</v>
      </c>
      <c r="AL122" s="25">
        <f t="shared" ca="1" si="61"/>
        <v>437918.46695082879</v>
      </c>
      <c r="AM122" s="25">
        <f t="shared" ca="1" si="61"/>
        <v>91937.250392108806</v>
      </c>
      <c r="AN122" s="25">
        <f t="shared" ca="1" si="61"/>
        <v>40625.622892108862</v>
      </c>
      <c r="AO122" s="25">
        <f t="shared" ca="1" si="61"/>
        <v>159693.06085475814</v>
      </c>
      <c r="AP122" s="25">
        <f t="shared" ca="1" si="61"/>
        <v>87864.650509230094</v>
      </c>
      <c r="AQ122" s="25">
        <f t="shared" ca="1" si="61"/>
        <v>21240.25500923011</v>
      </c>
      <c r="AR122" s="25">
        <f t="shared" ca="1" si="61"/>
        <v>53684.230009230087</v>
      </c>
      <c r="AS122" s="25">
        <f t="shared" ca="1" si="61"/>
        <v>149480.1000092295</v>
      </c>
      <c r="AT122" s="25">
        <f t="shared" ca="1" si="61"/>
        <v>91924.080009229598</v>
      </c>
      <c r="AU122" s="25">
        <f t="shared" ca="1" si="61"/>
        <v>396369.05386272981</v>
      </c>
      <c r="AV122" s="25">
        <f t="shared" ca="1" si="61"/>
        <v>-7812.7340479870327</v>
      </c>
      <c r="AW122" s="25">
        <f t="shared" ca="1" si="61"/>
        <v>-20759.809047987103</v>
      </c>
      <c r="AX122" s="25">
        <f t="shared" ca="1" si="61"/>
        <v>-46553.171547986101</v>
      </c>
      <c r="AY122" s="25">
        <f t="shared" ca="1" si="61"/>
        <v>-46983.332047987031</v>
      </c>
      <c r="AZ122" s="25">
        <f t="shared" ca="1" si="61"/>
        <v>-47413.498047987116</v>
      </c>
      <c r="BA122" s="25">
        <f t="shared" ca="1" si="61"/>
        <v>42449.596952012973</v>
      </c>
      <c r="BB122" s="25">
        <f t="shared" ca="1" si="61"/>
        <v>84018.158620349248</v>
      </c>
      <c r="BC122" s="25">
        <f t="shared" ca="1" si="61"/>
        <v>-59498.50187965075</v>
      </c>
      <c r="BD122" s="25">
        <f t="shared" ca="1" si="61"/>
        <v>-59928.662379649701</v>
      </c>
      <c r="BE122" s="25">
        <f t="shared" ca="1" si="61"/>
        <v>175786.32712034963</v>
      </c>
      <c r="BF122" s="25">
        <f t="shared" ca="1" si="61"/>
        <v>-87730.333379650372</v>
      </c>
      <c r="BG122" s="25">
        <f t="shared" ca="1" si="61"/>
        <v>47132.75612034963</v>
      </c>
      <c r="BH122" s="25">
        <f t="shared" ca="1" si="61"/>
        <v>117554.49562034942</v>
      </c>
      <c r="BI122" s="25">
        <f t="shared" ca="1" si="61"/>
        <v>277150.06017594947</v>
      </c>
      <c r="BJ122" s="25">
        <f t="shared" ca="1" si="61"/>
        <v>-167376.01074819721</v>
      </c>
      <c r="BK122" s="25">
        <f t="shared" ca="1" si="61"/>
        <v>109898.12325180299</v>
      </c>
      <c r="BL122" s="25">
        <f t="shared" ca="1" si="61"/>
        <v>-152235.83724819729</v>
      </c>
      <c r="BM122" s="25">
        <f t="shared" ca="1" si="61"/>
        <v>36453.542251802748</v>
      </c>
      <c r="BN122" s="25">
        <f t="shared" ca="1" si="61"/>
        <v>-124987.8711364948</v>
      </c>
      <c r="BO122" s="25">
        <f t="shared" ref="BO122:CT122" ca="1" si="62">BO118+BO121</f>
        <v>20864.028863505577</v>
      </c>
      <c r="BP122" s="25">
        <f t="shared" ca="1" si="62"/>
        <v>-24135.971136494423</v>
      </c>
      <c r="BQ122" s="25">
        <f t="shared" ca="1" si="62"/>
        <v>20864.028863505577</v>
      </c>
      <c r="BR122" s="25">
        <f t="shared" ca="1" si="62"/>
        <v>20864.028863505577</v>
      </c>
      <c r="BS122" s="25">
        <f t="shared" ca="1" si="62"/>
        <v>162670.7988635056</v>
      </c>
      <c r="BT122" s="25">
        <f t="shared" ca="1" si="62"/>
        <v>-69429.221136494423</v>
      </c>
      <c r="BU122" s="25">
        <f t="shared" ca="1" si="62"/>
        <v>38922.678863505018</v>
      </c>
      <c r="BV122" s="25">
        <f t="shared" ca="1" si="62"/>
        <v>61684.678863505018</v>
      </c>
      <c r="BW122" s="25">
        <f t="shared" ca="1" si="62"/>
        <v>147274.57886350539</v>
      </c>
      <c r="BX122" s="25">
        <f t="shared" ca="1" si="62"/>
        <v>-69429.221136494423</v>
      </c>
      <c r="BY122" s="25">
        <f t="shared" ca="1" si="62"/>
        <v>88626.028863505577</v>
      </c>
      <c r="BZ122" s="25">
        <f t="shared" ca="1" si="62"/>
        <v>-170953.09789255727</v>
      </c>
      <c r="CA122" s="25">
        <f t="shared" ca="1" si="62"/>
        <v>27692.052107442636</v>
      </c>
      <c r="CB122" s="25">
        <f t="shared" ca="1" si="62"/>
        <v>-130132.44789255736</v>
      </c>
      <c r="CC122" s="25">
        <f t="shared" ca="1" si="62"/>
        <v>64538.553013296216</v>
      </c>
      <c r="CD122" s="25">
        <f t="shared" ca="1" si="62"/>
        <v>-208453.09789255727</v>
      </c>
      <c r="CE122" s="25">
        <f t="shared" ca="1" si="62"/>
        <v>86132.402107442729</v>
      </c>
      <c r="CF122" s="25">
        <f t="shared" ca="1" si="62"/>
        <v>-208453.09789255727</v>
      </c>
      <c r="CG122" s="25">
        <f t="shared" ca="1" si="62"/>
        <v>45750.702107442543</v>
      </c>
      <c r="CH122" s="25">
        <f t="shared" ca="1" si="62"/>
        <v>-139454.09789255727</v>
      </c>
      <c r="CI122" s="25">
        <f t="shared" ca="1" si="62"/>
        <v>-80659.847892557271</v>
      </c>
      <c r="CJ122" s="25">
        <f t="shared" ca="1" si="62"/>
        <v>-118159.84789255727</v>
      </c>
      <c r="CK122" s="25">
        <f t="shared" ca="1" si="62"/>
        <v>2447.1787139219232</v>
      </c>
      <c r="CL122" s="25">
        <f t="shared" ca="1" si="62"/>
        <v>65745.912816257682</v>
      </c>
      <c r="CM122" s="25">
        <f t="shared" ca="1" si="62"/>
        <v>174097.81281625712</v>
      </c>
      <c r="CN122" s="25">
        <f t="shared" ca="1" si="62"/>
        <v>-42605.987183742691</v>
      </c>
      <c r="CO122" s="25">
        <f t="shared" ca="1" si="62"/>
        <v>-42605.987183742691</v>
      </c>
      <c r="CP122" s="25">
        <f t="shared" ca="1" si="62"/>
        <v>-42605.987183742691</v>
      </c>
      <c r="CQ122" s="25">
        <f t="shared" ca="1" si="62"/>
        <v>-42605.987183742691</v>
      </c>
      <c r="CR122" s="25">
        <f t="shared" ca="1" si="62"/>
        <v>-42605.987183742691</v>
      </c>
      <c r="CS122" s="25">
        <f t="shared" ca="1" si="62"/>
        <v>65745.912816257682</v>
      </c>
      <c r="CT122" s="25">
        <f t="shared" ca="1" si="62"/>
        <v>-150957.8871837426</v>
      </c>
      <c r="CU122" s="25">
        <f t="shared" ref="CU122:DZ122" ca="1" si="63">CU118+CU121</f>
        <v>-1536.0424414955778</v>
      </c>
      <c r="CV122" s="25">
        <f t="shared" ca="1" si="63"/>
        <v>-182122.54244149558</v>
      </c>
      <c r="CW122" s="25">
        <f t="shared" ca="1" si="63"/>
        <v>-91829.292441495578</v>
      </c>
      <c r="CX122" s="25">
        <f t="shared" ca="1" si="63"/>
        <v>-227209.41356006591</v>
      </c>
      <c r="CY122" s="25">
        <f t="shared" ca="1" si="63"/>
        <v>-101410.66462365864</v>
      </c>
      <c r="CZ122" s="25">
        <f t="shared" ca="1" si="63"/>
        <v>-318114.46462365869</v>
      </c>
      <c r="DA122" s="25">
        <f t="shared" ca="1" si="63"/>
        <v>-190321.2146236588</v>
      </c>
      <c r="DB122" s="25">
        <f t="shared" ca="1" si="63"/>
        <v>-408407.71462365869</v>
      </c>
      <c r="DC122" s="25">
        <f t="shared" ca="1" si="63"/>
        <v>-408407.71462365869</v>
      </c>
      <c r="DD122" s="25">
        <f t="shared" ca="1" si="63"/>
        <v>-408407.71462365869</v>
      </c>
      <c r="DE122" s="25">
        <f t="shared" ca="1" si="63"/>
        <v>-408407.71462365869</v>
      </c>
      <c r="DF122" s="25">
        <f t="shared" ca="1" si="63"/>
        <v>-408407.71462365869</v>
      </c>
    </row>
    <row r="123" spans="1:110" ht="19.5" customHeight="1" x14ac:dyDescent="0.25">
      <c r="A123" s="32" t="s">
        <v>135</v>
      </c>
      <c r="B123" s="302"/>
      <c r="C123" s="26">
        <f t="shared" ref="C123:AH123" ca="1" si="64">IFERROR(IF(OR(C118&lt;=0,C122/C118&lt;0,C122/C118&gt;1),0,C122/C118),0)</f>
        <v>0</v>
      </c>
      <c r="D123" s="26">
        <f t="shared" ca="1" si="64"/>
        <v>0</v>
      </c>
      <c r="E123" s="26">
        <f t="shared" ca="1" si="64"/>
        <v>5.7046158429958201E-2</v>
      </c>
      <c r="F123" s="26">
        <f t="shared" ca="1" si="64"/>
        <v>0.46066569508540783</v>
      </c>
      <c r="G123" s="26">
        <f t="shared" ca="1" si="64"/>
        <v>0</v>
      </c>
      <c r="H123" s="26">
        <f t="shared" ca="1" si="64"/>
        <v>0</v>
      </c>
      <c r="I123" s="26">
        <f t="shared" ca="1" si="64"/>
        <v>0.4431405527738933</v>
      </c>
      <c r="J123" s="26">
        <f t="shared" ca="1" si="64"/>
        <v>0.20309129972911896</v>
      </c>
      <c r="K123" s="26">
        <f t="shared" ca="1" si="64"/>
        <v>0.20210816260998857</v>
      </c>
      <c r="L123" s="26">
        <f t="shared" ca="1" si="64"/>
        <v>0.42381937396689795</v>
      </c>
      <c r="M123" s="26">
        <f t="shared" ca="1" si="64"/>
        <v>0.41566152709494986</v>
      </c>
      <c r="N123" s="26">
        <f t="shared" ca="1" si="64"/>
        <v>0.2609223925063931</v>
      </c>
      <c r="O123" s="26">
        <f t="shared" ca="1" si="64"/>
        <v>0.28149293650844864</v>
      </c>
      <c r="P123" s="26">
        <f t="shared" ca="1" si="64"/>
        <v>0.27604864307498872</v>
      </c>
      <c r="Q123" s="26">
        <f t="shared" ca="1" si="64"/>
        <v>0.27604864307498872</v>
      </c>
      <c r="R123" s="26">
        <f t="shared" ca="1" si="64"/>
        <v>0</v>
      </c>
      <c r="S123" s="26">
        <f t="shared" ca="1" si="64"/>
        <v>0.37297185255629028</v>
      </c>
      <c r="T123" s="26">
        <f t="shared" ca="1" si="64"/>
        <v>0.45936059773281912</v>
      </c>
      <c r="U123" s="26">
        <f t="shared" ca="1" si="64"/>
        <v>0.31286840181434611</v>
      </c>
      <c r="V123" s="26">
        <f t="shared" ca="1" si="64"/>
        <v>5.2329840783193908E-2</v>
      </c>
      <c r="W123" s="26">
        <f t="shared" ca="1" si="64"/>
        <v>7.5646532190546525E-2</v>
      </c>
      <c r="X123" s="26">
        <f t="shared" ca="1" si="64"/>
        <v>0.1174916393145078</v>
      </c>
      <c r="Y123" s="26">
        <f t="shared" ca="1" si="64"/>
        <v>8.0904370613338411E-2</v>
      </c>
      <c r="Z123" s="26">
        <f t="shared" ca="1" si="64"/>
        <v>0.17021666125179266</v>
      </c>
      <c r="AA123" s="26">
        <f t="shared" ca="1" si="64"/>
        <v>0.12121468992340922</v>
      </c>
      <c r="AB123" s="26">
        <f t="shared" ca="1" si="64"/>
        <v>0.14007234234929708</v>
      </c>
      <c r="AC123" s="26">
        <f t="shared" ca="1" si="64"/>
        <v>0.21874776396559945</v>
      </c>
      <c r="AD123" s="26">
        <f t="shared" ca="1" si="64"/>
        <v>0.23216408198515523</v>
      </c>
      <c r="AE123" s="26">
        <f t="shared" ca="1" si="64"/>
        <v>6.1651101188591254E-2</v>
      </c>
      <c r="AF123" s="26">
        <f t="shared" ca="1" si="64"/>
        <v>0</v>
      </c>
      <c r="AG123" s="26">
        <f t="shared" ca="1" si="64"/>
        <v>0.22466271872435473</v>
      </c>
      <c r="AH123" s="26">
        <f t="shared" ca="1" si="64"/>
        <v>0.22507103887246344</v>
      </c>
      <c r="AI123" s="26">
        <f t="shared" ref="AI123:BN123" ca="1" si="65">IFERROR(IF(OR(AI118&lt;=0,AI122/AI118&lt;0,AI122/AI118&gt;1),0,AI122/AI118),0)</f>
        <v>0.2254789187502754</v>
      </c>
      <c r="AJ123" s="26">
        <f t="shared" ca="1" si="65"/>
        <v>0.38334531400813543</v>
      </c>
      <c r="AK123" s="26">
        <f t="shared" ca="1" si="65"/>
        <v>0.159353253910928</v>
      </c>
      <c r="AL123" s="26">
        <f t="shared" ca="1" si="65"/>
        <v>0.40892742566124146</v>
      </c>
      <c r="AM123" s="26">
        <f t="shared" ca="1" si="65"/>
        <v>0.12682502626519818</v>
      </c>
      <c r="AN123" s="26">
        <f t="shared" ca="1" si="65"/>
        <v>5.7130475823231282E-2</v>
      </c>
      <c r="AO123" s="26">
        <f t="shared" ca="1" si="65"/>
        <v>0.20146224520786926</v>
      </c>
      <c r="AP123" s="26">
        <f t="shared" ca="1" si="65"/>
        <v>0.12012814100990814</v>
      </c>
      <c r="AQ123" s="26">
        <f t="shared" ca="1" si="65"/>
        <v>2.992428234705161E-2</v>
      </c>
      <c r="AR123" s="26">
        <f t="shared" ca="1" si="65"/>
        <v>7.6994902042493762E-2</v>
      </c>
      <c r="AS123" s="26">
        <f t="shared" ca="1" si="65"/>
        <v>0.1884900295180289</v>
      </c>
      <c r="AT123" s="26">
        <f t="shared" ca="1" si="65"/>
        <v>0.11777833111857217</v>
      </c>
      <c r="AU123" s="26">
        <f t="shared" ca="1" si="65"/>
        <v>0.35339237814899638</v>
      </c>
      <c r="AV123" s="26">
        <f t="shared" ca="1" si="65"/>
        <v>0</v>
      </c>
      <c r="AW123" s="26">
        <f t="shared" ca="1" si="65"/>
        <v>0</v>
      </c>
      <c r="AX123" s="26">
        <f t="shared" ca="1" si="65"/>
        <v>0</v>
      </c>
      <c r="AY123" s="26">
        <f t="shared" ca="1" si="65"/>
        <v>0</v>
      </c>
      <c r="AZ123" s="26">
        <f t="shared" ca="1" si="65"/>
        <v>0</v>
      </c>
      <c r="BA123" s="26">
        <f t="shared" ca="1" si="65"/>
        <v>5.5295137176608236E-2</v>
      </c>
      <c r="BB123" s="26">
        <f t="shared" ca="1" si="65"/>
        <v>0.10828862760070466</v>
      </c>
      <c r="BC123" s="26">
        <f t="shared" ca="1" si="65"/>
        <v>0</v>
      </c>
      <c r="BD123" s="26">
        <f t="shared" ca="1" si="65"/>
        <v>0</v>
      </c>
      <c r="BE123" s="26">
        <f t="shared" ca="1" si="65"/>
        <v>0.22177306030622659</v>
      </c>
      <c r="BF123" s="26">
        <f t="shared" ca="1" si="65"/>
        <v>0</v>
      </c>
      <c r="BG123" s="26">
        <f t="shared" ca="1" si="65"/>
        <v>5.6625105113943093E-2</v>
      </c>
      <c r="BH123" s="26">
        <f t="shared" ca="1" si="65"/>
        <v>0.14523501983057832</v>
      </c>
      <c r="BI123" s="26">
        <f t="shared" ca="1" si="65"/>
        <v>0.29752955121155528</v>
      </c>
      <c r="BJ123" s="26">
        <f t="shared" ca="1" si="65"/>
        <v>0</v>
      </c>
      <c r="BK123" s="26">
        <f t="shared" ca="1" si="65"/>
        <v>0.14379820946975111</v>
      </c>
      <c r="BL123" s="26">
        <f t="shared" ca="1" si="65"/>
        <v>0</v>
      </c>
      <c r="BM123" s="26">
        <f t="shared" ca="1" si="65"/>
        <v>4.4364441009576872E-2</v>
      </c>
      <c r="BN123" s="26">
        <f t="shared" ca="1" si="65"/>
        <v>0</v>
      </c>
      <c r="BO123" s="26">
        <f t="shared" ref="BO123:CT123" ca="1" si="66">IFERROR(IF(OR(BO118&lt;=0,BO122/BO118&lt;0,BO122/BO118&gt;1),0,BO122/BO118),0)</f>
        <v>3.0403900133447598E-2</v>
      </c>
      <c r="BP123" s="26">
        <f t="shared" ca="1" si="66"/>
        <v>0</v>
      </c>
      <c r="BQ123" s="26">
        <f t="shared" ca="1" si="66"/>
        <v>3.0403900133447598E-2</v>
      </c>
      <c r="BR123" s="26">
        <f t="shared" ca="1" si="66"/>
        <v>3.0403900133447598E-2</v>
      </c>
      <c r="BS123" s="26">
        <f t="shared" ca="1" si="66"/>
        <v>0.17702236488019063</v>
      </c>
      <c r="BT123" s="26">
        <f t="shared" ca="1" si="66"/>
        <v>0</v>
      </c>
      <c r="BU123" s="26">
        <f t="shared" ca="1" si="66"/>
        <v>5.5265338591563566E-2</v>
      </c>
      <c r="BV123" s="26">
        <f t="shared" ca="1" si="66"/>
        <v>7.2853968062200194E-2</v>
      </c>
      <c r="BW123" s="26">
        <f t="shared" ca="1" si="66"/>
        <v>0.18122996011268885</v>
      </c>
      <c r="BX123" s="26">
        <f t="shared" ca="1" si="66"/>
        <v>0</v>
      </c>
      <c r="BY123" s="26">
        <f t="shared" ca="1" si="66"/>
        <v>0.10695479767223874</v>
      </c>
      <c r="BZ123" s="26">
        <f t="shared" ca="1" si="66"/>
        <v>0</v>
      </c>
      <c r="CA123" s="26">
        <f t="shared" ca="1" si="66"/>
        <v>3.9319252443541168E-2</v>
      </c>
      <c r="CB123" s="26">
        <f t="shared" ca="1" si="66"/>
        <v>0</v>
      </c>
      <c r="CC123" s="26">
        <f t="shared" ca="1" si="66"/>
        <v>8.9345760914155012E-2</v>
      </c>
      <c r="CD123" s="26">
        <f t="shared" ca="1" si="66"/>
        <v>0</v>
      </c>
      <c r="CE123" s="26">
        <f t="shared" ca="1" si="66"/>
        <v>9.3903304324504014E-2</v>
      </c>
      <c r="CF123" s="26">
        <f t="shared" ca="1" si="66"/>
        <v>0</v>
      </c>
      <c r="CG123" s="26">
        <f t="shared" ca="1" si="66"/>
        <v>6.3336271132452507E-2</v>
      </c>
      <c r="CH123" s="26">
        <f t="shared" ca="1" si="66"/>
        <v>0</v>
      </c>
      <c r="CI123" s="26">
        <f t="shared" ca="1" si="66"/>
        <v>0</v>
      </c>
      <c r="CJ123" s="26">
        <f t="shared" ca="1" si="66"/>
        <v>0</v>
      </c>
      <c r="CK123" s="26">
        <f t="shared" ca="1" si="66"/>
        <v>2.9592773722349995E-3</v>
      </c>
      <c r="CL123" s="26">
        <f t="shared" ca="1" si="66"/>
        <v>7.9503957355970128E-2</v>
      </c>
      <c r="CM123" s="26">
        <f t="shared" ca="1" si="66"/>
        <v>0.18614047818417115</v>
      </c>
      <c r="CN123" s="26">
        <f t="shared" ca="1" si="66"/>
        <v>0</v>
      </c>
      <c r="CO123" s="26">
        <f t="shared" ca="1" si="66"/>
        <v>0</v>
      </c>
      <c r="CP123" s="26">
        <f t="shared" ca="1" si="66"/>
        <v>0</v>
      </c>
      <c r="CQ123" s="26">
        <f t="shared" ca="1" si="66"/>
        <v>0</v>
      </c>
      <c r="CR123" s="26">
        <f t="shared" ca="1" si="66"/>
        <v>0</v>
      </c>
      <c r="CS123" s="26">
        <f t="shared" ca="1" si="66"/>
        <v>7.9503957355970128E-2</v>
      </c>
      <c r="CT123" s="26">
        <f t="shared" ca="1" si="66"/>
        <v>0</v>
      </c>
      <c r="CU123" s="26">
        <f t="shared" ref="CU123:DZ123" ca="1" si="67">IFERROR(IF(OR(CU118&lt;=0,CU122/CU118&lt;0,CU122/CU118&gt;1),0,CU122/CU118),0)</f>
        <v>0</v>
      </c>
      <c r="CV123" s="26">
        <f t="shared" ca="1" si="67"/>
        <v>0</v>
      </c>
      <c r="CW123" s="26">
        <f t="shared" ca="1" si="67"/>
        <v>0</v>
      </c>
      <c r="CX123" s="26">
        <f t="shared" ca="1" si="67"/>
        <v>0</v>
      </c>
      <c r="CY123" s="26">
        <f t="shared" ca="1" si="67"/>
        <v>0</v>
      </c>
      <c r="CZ123" s="26">
        <f t="shared" ca="1" si="67"/>
        <v>0</v>
      </c>
      <c r="DA123" s="26">
        <f t="shared" ca="1" si="67"/>
        <v>0</v>
      </c>
      <c r="DB123" s="26">
        <f t="shared" ca="1" si="67"/>
        <v>0</v>
      </c>
      <c r="DC123" s="26">
        <f t="shared" ca="1" si="67"/>
        <v>0</v>
      </c>
      <c r="DD123" s="26">
        <f t="shared" ca="1" si="67"/>
        <v>0</v>
      </c>
      <c r="DE123" s="26">
        <f t="shared" ca="1" si="67"/>
        <v>0</v>
      </c>
      <c r="DF123" s="26">
        <f t="shared" ca="1" si="67"/>
        <v>0</v>
      </c>
    </row>
    <row r="124" spans="1:110" ht="15" customHeight="1" x14ac:dyDescent="0.25">
      <c r="A124" s="354"/>
      <c r="B124" s="354"/>
      <c r="C124" s="354"/>
      <c r="D124" s="354"/>
      <c r="E124" s="354"/>
      <c r="F124" s="354"/>
      <c r="G124" s="354"/>
      <c r="H124" s="354"/>
      <c r="I124" s="354"/>
      <c r="J124" s="354"/>
      <c r="K124" s="354"/>
      <c r="L124" s="354"/>
      <c r="M124" s="354"/>
      <c r="N124" s="354"/>
      <c r="O124" s="354"/>
      <c r="P124" s="354"/>
      <c r="Q124" s="354"/>
      <c r="R124" s="354"/>
      <c r="S124" s="354"/>
      <c r="T124" s="354"/>
      <c r="U124" s="354"/>
      <c r="V124" s="354"/>
      <c r="W124" s="354"/>
      <c r="X124" s="354"/>
      <c r="Y124" s="354"/>
      <c r="Z124" s="354"/>
      <c r="AA124" s="354"/>
      <c r="AB124" s="354"/>
      <c r="AC124" s="354"/>
      <c r="AD124" s="354"/>
      <c r="AE124" s="354"/>
      <c r="AF124" s="354"/>
      <c r="AG124" s="354"/>
      <c r="AH124" s="354"/>
      <c r="AI124" s="354"/>
      <c r="AJ124" s="354"/>
      <c r="AK124" s="354"/>
      <c r="AL124" s="354"/>
      <c r="AM124" s="354"/>
      <c r="AN124" s="354"/>
      <c r="AO124" s="354"/>
      <c r="AP124" s="354"/>
      <c r="AQ124" s="354"/>
      <c r="AR124" s="354"/>
      <c r="AS124" s="354"/>
      <c r="AT124" s="354"/>
      <c r="AU124" s="354"/>
      <c r="AV124" s="354"/>
      <c r="AW124" s="354"/>
      <c r="AX124" s="354"/>
      <c r="AY124" s="354"/>
      <c r="AZ124" s="354"/>
      <c r="BA124" s="354"/>
      <c r="BB124" s="354"/>
      <c r="BC124" s="354"/>
      <c r="BD124" s="354"/>
      <c r="BE124" s="354"/>
      <c r="BF124" s="354"/>
      <c r="BG124" s="354"/>
      <c r="BH124" s="354"/>
      <c r="BI124" s="354"/>
      <c r="BJ124" s="354"/>
      <c r="BK124" s="354"/>
      <c r="BL124" s="354"/>
      <c r="BM124" s="354"/>
      <c r="BN124" s="354"/>
      <c r="BO124" s="354"/>
      <c r="BP124" s="354"/>
      <c r="BQ124" s="354"/>
      <c r="BR124" s="354"/>
      <c r="BS124" s="354"/>
      <c r="BT124" s="354"/>
      <c r="BU124" s="354"/>
      <c r="BV124" s="354"/>
      <c r="BW124" s="354"/>
      <c r="BX124" s="354"/>
      <c r="BY124" s="354"/>
      <c r="BZ124" s="354"/>
      <c r="CA124" s="354"/>
      <c r="CB124" s="354"/>
      <c r="CC124" s="354"/>
      <c r="CD124" s="354"/>
      <c r="CE124" s="354"/>
      <c r="CF124" s="354"/>
      <c r="CG124" s="354"/>
      <c r="CH124" s="354"/>
      <c r="CI124" s="354"/>
      <c r="CJ124" s="354"/>
      <c r="CK124" s="354"/>
      <c r="CL124" s="354"/>
      <c r="CM124" s="354"/>
      <c r="CN124" s="354"/>
      <c r="CO124" s="354"/>
      <c r="CP124" s="354"/>
      <c r="CQ124" s="354"/>
      <c r="CR124" s="354"/>
      <c r="CS124" s="354"/>
      <c r="CT124" s="354"/>
      <c r="CU124" s="354"/>
      <c r="CV124" s="354"/>
      <c r="CW124" s="354"/>
      <c r="CX124" s="354"/>
      <c r="CY124" s="354"/>
      <c r="CZ124" s="354"/>
      <c r="DA124" s="354"/>
      <c r="DB124" s="354"/>
      <c r="DC124" s="354"/>
      <c r="DD124" s="354"/>
      <c r="DE124" s="354"/>
      <c r="DF124" s="354"/>
    </row>
    <row r="125" spans="1:110" ht="15" customHeight="1" x14ac:dyDescent="0.25">
      <c r="A125" s="29" t="s">
        <v>136</v>
      </c>
      <c r="B125" s="354"/>
      <c r="C125" s="3">
        <f ca="1">ROUND(C122-('Original Budget'!C56+'Original Budget'!C112),2)</f>
        <v>0</v>
      </c>
      <c r="D125" s="3">
        <f ca="1">ROUND(D122-('Original Budget'!D56+'Original Budget'!D112),2)</f>
        <v>0</v>
      </c>
      <c r="E125" s="3">
        <f ca="1">ROUND(E122-('Original Budget'!E56+'Original Budget'!E112),2)</f>
        <v>0</v>
      </c>
      <c r="F125" s="3">
        <f ca="1">ROUND(F122-('Original Budget'!F56+'Original Budget'!F112),2)</f>
        <v>183456.34</v>
      </c>
      <c r="G125" s="3">
        <f ca="1">ROUND(G122-('Original Budget'!G56+'Original Budget'!G112),2)</f>
        <v>0</v>
      </c>
      <c r="H125" s="3">
        <f ca="1">ROUND(H122-('Original Budget'!H56+'Original Budget'!H112),2)</f>
        <v>0</v>
      </c>
      <c r="I125" s="3">
        <f ca="1">ROUND(I122-('Original Budget'!I56+'Original Budget'!I112),2)</f>
        <v>0</v>
      </c>
      <c r="J125" s="3">
        <f ca="1">ROUND(J122-('Original Budget'!J56+'Original Budget'!J112),2)</f>
        <v>0</v>
      </c>
      <c r="K125" s="3">
        <f ca="1">ROUND(K122-('Original Budget'!K56+'Original Budget'!K112),2)</f>
        <v>0</v>
      </c>
      <c r="L125" s="3">
        <f ca="1">ROUND(L122-('Original Budget'!L56+'Original Budget'!L112),2)</f>
        <v>0</v>
      </c>
      <c r="M125" s="3">
        <f ca="1">ROUND(M122-('Original Budget'!M56+'Original Budget'!M112),2)</f>
        <v>0</v>
      </c>
      <c r="N125" s="3">
        <f ca="1">ROUND(N122-('Original Budget'!N56+'Original Budget'!N112),2)</f>
        <v>0</v>
      </c>
      <c r="O125" s="3">
        <f ca="1">ROUND(O122-('Original Budget'!O56+'Original Budget'!O112),2)</f>
        <v>23132.23</v>
      </c>
      <c r="P125" s="3">
        <f ca="1">ROUND(P122-('Original Budget'!P56+'Original Budget'!P112),2)</f>
        <v>16882.03</v>
      </c>
      <c r="Q125" s="3">
        <f ca="1">ROUND(Q122-('Original Budget'!Q56+'Original Budget'!Q112),2)</f>
        <v>16882.03</v>
      </c>
      <c r="R125" s="3">
        <f ca="1">ROUND(R122-('Original Budget'!R56+'Original Budget'!R112),2)</f>
        <v>16882.03</v>
      </c>
      <c r="S125" s="3">
        <f ca="1">ROUND(S122-('Original Budget'!S56+'Original Budget'!S112),2)</f>
        <v>12382.03</v>
      </c>
      <c r="T125" s="3">
        <f ca="1">ROUND(T122-('Original Budget'!T56+'Original Budget'!T112),2)</f>
        <v>12382.03</v>
      </c>
      <c r="U125" s="3">
        <f ca="1">ROUND(U122-('Original Budget'!U56+'Original Budget'!U112),2)</f>
        <v>28954.29</v>
      </c>
      <c r="V125" s="3">
        <f ca="1">ROUND(V122-('Original Budget'!V56+'Original Budget'!V112),2)</f>
        <v>45526.559999999998</v>
      </c>
      <c r="W125" s="3">
        <f ca="1">ROUND(W122-('Original Budget'!W56+'Original Budget'!W112),2)</f>
        <v>62098.82</v>
      </c>
      <c r="X125" s="3">
        <f ca="1">ROUND(X122-('Original Budget'!X56+'Original Budget'!X112),2)</f>
        <v>72225.789999999994</v>
      </c>
      <c r="Y125" s="3">
        <f ca="1">ROUND(Y122-('Original Budget'!Y56+'Original Budget'!Y112),2)</f>
        <v>87762.3</v>
      </c>
      <c r="Z125" s="3">
        <f ca="1">ROUND(Z122-('Original Budget'!Z56+'Original Budget'!Z112),2)</f>
        <v>103298.79</v>
      </c>
      <c r="AA125" s="3">
        <f ca="1">ROUND(AA122-('Original Budget'!AA56+'Original Budget'!AA112),2)</f>
        <v>118835.28</v>
      </c>
      <c r="AB125" s="3">
        <f ca="1">ROUND(AB122-('Original Budget'!AB56+'Original Budget'!AB112),2)</f>
        <v>134371.76999999999</v>
      </c>
      <c r="AC125" s="3">
        <f ca="1">ROUND(AC122-('Original Budget'!AC56+'Original Budget'!AC112),2)</f>
        <v>149908.26999999999</v>
      </c>
      <c r="AD125" s="3">
        <f ca="1">ROUND(AD122-('Original Budget'!AD56+'Original Budget'!AD112),2)</f>
        <v>152699.37</v>
      </c>
      <c r="AE125" s="3">
        <f ca="1">ROUND(AE122-('Original Budget'!AE56+'Original Budget'!AE112),2)</f>
        <v>166941.16</v>
      </c>
      <c r="AF125" s="3">
        <f ca="1">ROUND(AF122-('Original Budget'!AF56+'Original Budget'!AF112),2)</f>
        <v>200231.29</v>
      </c>
      <c r="AG125" s="3">
        <f ca="1">ROUND(AG122-('Original Budget'!AG56+'Original Budget'!AG112),2)</f>
        <v>151106.06</v>
      </c>
      <c r="AH125" s="3">
        <f ca="1">ROUND(AH122-('Original Budget'!AH56+'Original Budget'!AH112),2)</f>
        <v>151536.22</v>
      </c>
      <c r="AI125" s="3">
        <f ca="1">ROUND(AI122-('Original Budget'!AI56+'Original Budget'!AI112),2)</f>
        <v>151966.38</v>
      </c>
      <c r="AJ125" s="3">
        <f ca="1">ROUND(AJ122-('Original Budget'!AJ56+'Original Budget'!AJ112),2)</f>
        <v>242689.79</v>
      </c>
      <c r="AK125" s="3">
        <f ca="1">ROUND(AK122-('Original Budget'!AK56+'Original Budget'!AK112),2)</f>
        <v>205619.94</v>
      </c>
      <c r="AL125" s="3">
        <f ca="1">ROUND(AL122-('Original Budget'!AL56+'Original Budget'!AL112),2)</f>
        <v>257791.89</v>
      </c>
      <c r="AM125" s="3">
        <f ca="1">ROUND(AM122-('Original Budget'!AM56+'Original Budget'!AM112),2)</f>
        <v>334273.52</v>
      </c>
      <c r="AN125" s="3">
        <f ca="1">ROUND(AN122-('Original Budget'!AN56+'Original Budget'!AN112),2)</f>
        <v>282961.89</v>
      </c>
      <c r="AO125" s="3">
        <f ca="1">ROUND(AO122-('Original Budget'!AO56+'Original Budget'!AO112),2)</f>
        <v>306650.26</v>
      </c>
      <c r="AP125" s="3">
        <f ca="1">ROUND(AP122-('Original Budget'!AP56+'Original Budget'!AP112),2)</f>
        <v>401190.53</v>
      </c>
      <c r="AQ125" s="3">
        <f ca="1">ROUND(AQ122-('Original Budget'!AQ56+'Original Budget'!AQ112),2)</f>
        <v>334566.14</v>
      </c>
      <c r="AR125" s="3">
        <f ca="1">ROUND(AR122-('Original Budget'!AR56+'Original Budget'!AR112),2)</f>
        <v>367010.11</v>
      </c>
      <c r="AS125" s="3">
        <f ca="1">ROUND(AS122-('Original Budget'!AS56+'Original Budget'!AS112),2)</f>
        <v>462805.98</v>
      </c>
      <c r="AT125" s="3">
        <f ca="1">ROUND(AT122-('Original Budget'!AT56+'Original Budget'!AT112),2)</f>
        <v>405249.96</v>
      </c>
      <c r="AU125" s="3">
        <f ca="1">ROUND(AU122-('Original Budget'!AU56+'Original Budget'!AU112),2)</f>
        <v>437209.35</v>
      </c>
      <c r="AV125" s="3">
        <f ca="1">ROUND(AV122-('Original Budget'!AV56+'Original Budget'!AV112),2)</f>
        <v>478087.35</v>
      </c>
      <c r="AW125" s="3">
        <f ca="1">ROUND(AW122-('Original Budget'!AW56+'Original Budget'!AW112),2)</f>
        <v>465140.27</v>
      </c>
      <c r="AX125" s="3">
        <f ca="1">ROUND(AX122-('Original Budget'!AX56+'Original Budget'!AX112),2)</f>
        <v>439346.91</v>
      </c>
      <c r="AY125" s="3">
        <f ca="1">ROUND(AY122-('Original Budget'!AY56+'Original Budget'!AY112),2)</f>
        <v>438916.75</v>
      </c>
      <c r="AZ125" s="3">
        <f ca="1">ROUND(AZ122-('Original Budget'!AZ56+'Original Budget'!AZ112),2)</f>
        <v>438486.59</v>
      </c>
      <c r="BA125" s="3">
        <f ca="1">ROUND(BA122-('Original Budget'!BA56+'Original Budget'!BA112),2)</f>
        <v>528349.68000000005</v>
      </c>
      <c r="BB125" s="3">
        <f ca="1">ROUND(BB122-('Original Budget'!BB56+'Original Budget'!BB112),2)</f>
        <v>580712.77</v>
      </c>
      <c r="BC125" s="3">
        <f ca="1">ROUND(BC122-('Original Budget'!BC56+'Original Budget'!BC112),2)</f>
        <v>437196.11</v>
      </c>
      <c r="BD125" s="3">
        <f ca="1">ROUND(BD122-('Original Budget'!BD56+'Original Budget'!BD112),2)</f>
        <v>436765.95</v>
      </c>
      <c r="BE125" s="3">
        <f ca="1">ROUND(BE122-('Original Budget'!BE56+'Original Budget'!BE112),2)</f>
        <v>672480.94</v>
      </c>
      <c r="BF125" s="3">
        <f ca="1">ROUND(BF122-('Original Budget'!BF56+'Original Budget'!BF112),2)</f>
        <v>408964.28</v>
      </c>
      <c r="BG125" s="3">
        <f ca="1">ROUND(BG122-('Original Budget'!BG56+'Original Budget'!BG112),2)</f>
        <v>543827.37</v>
      </c>
      <c r="BH125" s="3">
        <f ca="1">ROUND(BH122-('Original Budget'!BH56+'Original Budget'!BH112),2)</f>
        <v>614249.11</v>
      </c>
      <c r="BI125" s="3">
        <f ca="1">ROUND(BI122-('Original Budget'!BI56+'Original Budget'!BI112),2)</f>
        <v>524908.4</v>
      </c>
      <c r="BJ125" s="3">
        <f ca="1">ROUND(BJ122-('Original Budget'!BJ56+'Original Budget'!BJ112),2)</f>
        <v>486978.24</v>
      </c>
      <c r="BK125" s="3">
        <f ca="1">ROUND(BK122-('Original Budget'!BK56+'Original Budget'!BK112),2)</f>
        <v>764252.38</v>
      </c>
      <c r="BL125" s="3">
        <f ca="1">ROUND(BL122-('Original Budget'!BL56+'Original Budget'!BL112),2)</f>
        <v>502118.42</v>
      </c>
      <c r="BM125" s="3">
        <f ca="1">ROUND(BM122-('Original Budget'!BM56+'Original Budget'!BM112),2)</f>
        <v>690807.8</v>
      </c>
      <c r="BN125" s="3">
        <f ca="1">ROUND(BN122-('Original Budget'!BN56+'Original Budget'!BN112),2)</f>
        <v>540376.80000000005</v>
      </c>
      <c r="BO125" s="3">
        <f ca="1">ROUND(BO122-('Original Budget'!BO56+'Original Budget'!BO112),2)</f>
        <v>686228.7</v>
      </c>
      <c r="BP125" s="3">
        <f ca="1">ROUND(BP122-('Original Budget'!BP56+'Original Budget'!BP112),2)</f>
        <v>641228.69999999995</v>
      </c>
      <c r="BQ125" s="3">
        <f ca="1">ROUND(BQ122-('Original Budget'!BQ56+'Original Budget'!BQ112),2)</f>
        <v>686228.7</v>
      </c>
      <c r="BR125" s="3">
        <f ca="1">ROUND(BR122-('Original Budget'!BR56+'Original Budget'!BR112),2)</f>
        <v>686228.7</v>
      </c>
      <c r="BS125" s="3">
        <f ca="1">ROUND(BS122-('Original Budget'!BS56+'Original Budget'!BS112),2)</f>
        <v>776521.95</v>
      </c>
      <c r="BT125" s="3">
        <f ca="1">ROUND(BT122-('Original Budget'!BT56+'Original Budget'!BT112),2)</f>
        <v>595935.44999999995</v>
      </c>
      <c r="BU125" s="3">
        <f ca="1">ROUND(BU122-('Original Budget'!BU56+'Original Budget'!BU112),2)</f>
        <v>704287.35</v>
      </c>
      <c r="BV125" s="3">
        <f ca="1">ROUND(BV122-('Original Budget'!BV56+'Original Budget'!BV112),2)</f>
        <v>659287.35</v>
      </c>
      <c r="BW125" s="3">
        <f ca="1">ROUND(BW122-('Original Budget'!BW56+'Original Budget'!BW112),2)</f>
        <v>812639.25</v>
      </c>
      <c r="BX125" s="3">
        <f ca="1">ROUND(BX122-('Original Budget'!BX56+'Original Budget'!BX112),2)</f>
        <v>595935.44999999995</v>
      </c>
      <c r="BY125" s="3">
        <f ca="1">ROUND(BY122-('Original Budget'!BY56+'Original Budget'!BY112),2)</f>
        <v>686228.7</v>
      </c>
      <c r="BZ125" s="3">
        <f ca="1">ROUND(BZ122-('Original Budget'!BZ56+'Original Budget'!BZ112),2)</f>
        <v>505642.2</v>
      </c>
      <c r="CA125" s="3">
        <f ca="1">ROUND(CA122-('Original Budget'!CA56+'Original Budget'!CA112),2)</f>
        <v>704287.35</v>
      </c>
      <c r="CB125" s="3">
        <f ca="1">ROUND(CB122-('Original Budget'!CB56+'Original Budget'!CB112),2)</f>
        <v>478700.85</v>
      </c>
      <c r="CC125" s="3">
        <f ca="1">ROUND(CC122-('Original Budget'!CC56+'Original Budget'!CC112),2)</f>
        <v>741133.85</v>
      </c>
      <c r="CD125" s="3">
        <f ca="1">ROUND(CD122-('Original Budget'!CD56+'Original Budget'!CD112),2)</f>
        <v>468142.2</v>
      </c>
      <c r="CE125" s="3">
        <f ca="1">ROUND(CE122-('Original Budget'!CE56+'Original Budget'!CE112),2)</f>
        <v>686228.7</v>
      </c>
      <c r="CF125" s="3">
        <f ca="1">ROUND(CF122-('Original Budget'!CF56+'Original Budget'!CF112),2)</f>
        <v>468142.2</v>
      </c>
      <c r="CG125" s="3">
        <f ca="1">ROUND(CG122-('Original Budget'!CG56+'Original Budget'!CG112),2)</f>
        <v>722346</v>
      </c>
      <c r="CH125" s="3">
        <f ca="1">ROUND(CH122-('Original Budget'!CH56+'Original Budget'!CH112),2)</f>
        <v>460642.2</v>
      </c>
      <c r="CI125" s="3">
        <f ca="1">ROUND(CI122-('Original Budget'!CI56+'Original Budget'!CI112),2)</f>
        <v>595935.44999999995</v>
      </c>
      <c r="CJ125" s="3">
        <f ca="1">ROUND(CJ122-('Original Budget'!CJ56+'Original Budget'!CJ112),2)</f>
        <v>558435.44999999995</v>
      </c>
      <c r="CK125" s="3">
        <f ca="1">ROUND(CK122-('Original Budget'!CK56+'Original Budget'!CK112),2)</f>
        <v>595935.44999999995</v>
      </c>
      <c r="CL125" s="3">
        <f ca="1">ROUND(CL122-('Original Budget'!CL56+'Original Budget'!CL112),2)</f>
        <v>595935.44999999995</v>
      </c>
      <c r="CM125" s="3">
        <f ca="1">ROUND(CM122-('Original Budget'!CM56+'Original Budget'!CM112),2)</f>
        <v>704287.35</v>
      </c>
      <c r="CN125" s="3">
        <f ca="1">ROUND(CN122-('Original Budget'!CN56+'Original Budget'!CN112),2)</f>
        <v>487583.55</v>
      </c>
      <c r="CO125" s="3">
        <f ca="1">ROUND(CO122-('Original Budget'!CO56+'Original Budget'!CO112),2)</f>
        <v>487583.55</v>
      </c>
      <c r="CP125" s="3">
        <f ca="1">ROUND(CP122-('Original Budget'!CP56+'Original Budget'!CP112),2)</f>
        <v>487583.55</v>
      </c>
      <c r="CQ125" s="3">
        <f ca="1">ROUND(CQ122-('Original Budget'!CQ56+'Original Budget'!CQ112),2)</f>
        <v>487583.55</v>
      </c>
      <c r="CR125" s="3">
        <f ca="1">ROUND(CR122-('Original Budget'!CR56+'Original Budget'!CR112),2)</f>
        <v>487583.55</v>
      </c>
      <c r="CS125" s="3">
        <f ca="1">ROUND(CS122-('Original Budget'!CS56+'Original Budget'!CS112),2)</f>
        <v>595935.44999999995</v>
      </c>
      <c r="CT125" s="3">
        <f ca="1">ROUND(CT122-('Original Budget'!CT56+'Original Budget'!CT112),2)</f>
        <v>379231.65</v>
      </c>
      <c r="CU125" s="3">
        <f ca="1">ROUND(CU122-('Original Budget'!CU56+'Original Budget'!CU112),2)</f>
        <v>469524.9</v>
      </c>
      <c r="CV125" s="3">
        <f ca="1">ROUND(CV122-('Original Budget'!CV56+'Original Budget'!CV112),2)</f>
        <v>288938.40000000002</v>
      </c>
      <c r="CW125" s="3">
        <f ca="1">ROUND(CW122-('Original Budget'!CW56+'Original Budget'!CW112),2)</f>
        <v>379231.65</v>
      </c>
      <c r="CX125" s="3">
        <f ca="1">ROUND(CX122-('Original Budget'!CX56+'Original Budget'!CX112),2)</f>
        <v>198645.15</v>
      </c>
      <c r="CY125" s="3">
        <f ca="1">ROUND(CY122-('Original Budget'!CY56+'Original Budget'!CY112),2)</f>
        <v>306997.05</v>
      </c>
      <c r="CZ125" s="3">
        <f ca="1">ROUND(CZ122-('Original Budget'!CZ56+'Original Budget'!CZ112),2)</f>
        <v>90293.25</v>
      </c>
      <c r="DA125" s="3">
        <f ca="1">ROUND(DA122-('Original Budget'!DA56+'Original Budget'!DA112),2)</f>
        <v>218086.5</v>
      </c>
      <c r="DB125" s="3">
        <f ca="1">ROUND(DB122-('Original Budget'!DB56+'Original Budget'!DB112),2)</f>
        <v>0</v>
      </c>
      <c r="DC125" s="3">
        <f ca="1">ROUND(DC122-('Original Budget'!DC56+'Original Budget'!DC112),2)</f>
        <v>0</v>
      </c>
      <c r="DD125" s="3">
        <f ca="1">ROUND(DD122-('Original Budget'!DD56+'Original Budget'!DD112),2)</f>
        <v>0</v>
      </c>
      <c r="DE125" s="3">
        <f ca="1">ROUND(DE122-('Original Budget'!DE56+'Original Budget'!DE112),2)</f>
        <v>0</v>
      </c>
      <c r="DF125" s="3">
        <f ca="1">ROUND(DF122-('Original Budget'!DF56+'Original Budget'!DF112),2)</f>
        <v>0</v>
      </c>
    </row>
    <row r="126" spans="1:110" ht="15" customHeight="1" x14ac:dyDescent="0.25">
      <c r="A126" s="354"/>
      <c r="B126" s="354"/>
      <c r="C126" s="354"/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  <c r="BC126" s="354"/>
      <c r="BD126" s="354"/>
      <c r="BE126" s="354"/>
      <c r="BF126" s="354"/>
      <c r="BG126" s="354"/>
      <c r="BH126" s="354"/>
      <c r="BI126" s="354"/>
      <c r="BJ126" s="354"/>
      <c r="BK126" s="354"/>
      <c r="BL126" s="354"/>
      <c r="BM126" s="354"/>
      <c r="BN126" s="354"/>
      <c r="BO126" s="354"/>
      <c r="BP126" s="354"/>
      <c r="BQ126" s="354"/>
      <c r="BR126" s="354"/>
      <c r="BS126" s="354"/>
      <c r="BT126" s="354"/>
      <c r="BU126" s="354"/>
      <c r="BV126" s="354"/>
      <c r="BW126" s="354"/>
      <c r="BX126" s="354"/>
      <c r="BY126" s="354"/>
      <c r="BZ126" s="354"/>
      <c r="CA126" s="354"/>
      <c r="CB126" s="354"/>
      <c r="CC126" s="354"/>
      <c r="CD126" s="354"/>
      <c r="CE126" s="354"/>
      <c r="CF126" s="354"/>
      <c r="CG126" s="354"/>
      <c r="CH126" s="354"/>
      <c r="CI126" s="354"/>
      <c r="CJ126" s="354"/>
      <c r="CK126" s="354"/>
      <c r="CL126" s="354"/>
      <c r="CM126" s="354"/>
      <c r="CN126" s="354"/>
      <c r="CO126" s="354"/>
      <c r="CP126" s="354"/>
      <c r="CQ126" s="354"/>
      <c r="CR126" s="354"/>
      <c r="CS126" s="354"/>
      <c r="CT126" s="354"/>
      <c r="CU126" s="354"/>
      <c r="CV126" s="354"/>
      <c r="CW126" s="354"/>
      <c r="CX126" s="354"/>
      <c r="CY126" s="354"/>
      <c r="CZ126" s="354"/>
      <c r="DA126" s="354"/>
      <c r="DB126" s="354"/>
      <c r="DC126" s="354"/>
      <c r="DD126" s="354"/>
      <c r="DE126" s="354"/>
      <c r="DF126" s="354"/>
    </row>
    <row r="127" spans="1:110" ht="15" customHeight="1" x14ac:dyDescent="0.25">
      <c r="A127" s="318" t="s">
        <v>137</v>
      </c>
      <c r="B127" s="318"/>
      <c r="C127" s="319"/>
      <c r="D127" s="319"/>
      <c r="E127" s="319"/>
      <c r="F127" s="319"/>
      <c r="G127" s="319"/>
      <c r="H127" s="319"/>
      <c r="I127" s="319"/>
      <c r="J127" s="319"/>
      <c r="K127" s="319"/>
      <c r="L127" s="319"/>
      <c r="M127" s="319"/>
      <c r="N127" s="319"/>
      <c r="O127" s="319"/>
      <c r="P127" s="319"/>
      <c r="Q127" s="319"/>
      <c r="R127" s="319"/>
      <c r="S127" s="319"/>
      <c r="T127" s="319"/>
      <c r="U127" s="319"/>
      <c r="V127" s="319"/>
      <c r="W127" s="319"/>
      <c r="X127" s="319"/>
      <c r="Y127" s="319"/>
      <c r="Z127" s="319"/>
      <c r="AA127" s="319"/>
      <c r="AB127" s="319"/>
      <c r="AC127" s="319"/>
      <c r="AD127" s="319"/>
      <c r="AE127" s="319"/>
      <c r="AF127" s="319"/>
      <c r="AG127" s="319"/>
      <c r="AH127" s="319"/>
      <c r="AI127" s="319"/>
      <c r="AJ127" s="319"/>
      <c r="AK127" s="319"/>
      <c r="AL127" s="319"/>
      <c r="AM127" s="319"/>
      <c r="AN127" s="319"/>
      <c r="AO127" s="319"/>
      <c r="AP127" s="319"/>
      <c r="AQ127" s="319"/>
      <c r="AR127" s="319"/>
      <c r="AS127" s="319"/>
      <c r="AT127" s="319"/>
      <c r="AU127" s="319"/>
      <c r="AV127" s="319"/>
      <c r="AW127" s="319"/>
      <c r="AX127" s="319"/>
      <c r="AY127" s="319"/>
      <c r="AZ127" s="319"/>
      <c r="BA127" s="319"/>
      <c r="BB127" s="319"/>
      <c r="BC127" s="319"/>
      <c r="BD127" s="319"/>
      <c r="BE127" s="319"/>
      <c r="BF127" s="319"/>
      <c r="BG127" s="319"/>
      <c r="BH127" s="319"/>
      <c r="BI127" s="319"/>
      <c r="BJ127" s="319"/>
      <c r="BK127" s="319"/>
      <c r="BL127" s="319"/>
      <c r="BM127" s="319"/>
      <c r="BN127" s="319"/>
      <c r="BO127" s="319"/>
      <c r="BP127" s="319"/>
      <c r="BQ127" s="319"/>
      <c r="BR127" s="319"/>
      <c r="BS127" s="319"/>
      <c r="BT127" s="319"/>
      <c r="BU127" s="319"/>
      <c r="BV127" s="319"/>
      <c r="BW127" s="319"/>
      <c r="BX127" s="319"/>
      <c r="BY127" s="319"/>
      <c r="BZ127" s="319"/>
      <c r="CA127" s="319"/>
      <c r="CB127" s="319"/>
      <c r="CC127" s="319"/>
      <c r="CD127" s="319"/>
      <c r="CE127" s="319"/>
      <c r="CF127" s="319"/>
      <c r="CG127" s="319"/>
      <c r="CH127" s="319"/>
      <c r="CI127" s="319"/>
      <c r="CJ127" s="319"/>
      <c r="CK127" s="319"/>
      <c r="CL127" s="319"/>
      <c r="CM127" s="319"/>
      <c r="CN127" s="319"/>
      <c r="CO127" s="319"/>
      <c r="CP127" s="319"/>
      <c r="CQ127" s="319"/>
      <c r="CR127" s="319"/>
      <c r="CS127" s="319"/>
      <c r="CT127" s="319"/>
      <c r="CU127" s="319"/>
      <c r="CV127" s="319"/>
      <c r="CW127" s="319"/>
      <c r="CX127" s="319"/>
      <c r="CY127" s="319"/>
      <c r="CZ127" s="319"/>
      <c r="DA127" s="319"/>
      <c r="DB127" s="319"/>
      <c r="DC127" s="319"/>
      <c r="DD127" s="319"/>
      <c r="DE127" s="319"/>
      <c r="DF127" s="319"/>
    </row>
    <row r="128" spans="1:110" ht="19.5" customHeight="1" x14ac:dyDescent="0.25">
      <c r="A128" s="13" t="s">
        <v>138</v>
      </c>
      <c r="B128" s="302"/>
      <c r="C128" s="3"/>
      <c r="D128" s="3"/>
      <c r="E128" s="3"/>
      <c r="F128" s="3">
        <f>Assumptions!$B$33</f>
        <v>1615485</v>
      </c>
      <c r="G128" s="3">
        <f t="shared" ref="G128:AL128" si="68">F131</f>
        <v>1615485</v>
      </c>
      <c r="H128" s="3">
        <f t="shared" si="68"/>
        <v>1615485</v>
      </c>
      <c r="I128" s="3">
        <f t="shared" si="68"/>
        <v>1676065.6875</v>
      </c>
      <c r="J128" s="3">
        <f t="shared" si="68"/>
        <v>1676065.6875</v>
      </c>
      <c r="K128" s="3">
        <f t="shared" si="68"/>
        <v>1676065.6875</v>
      </c>
      <c r="L128" s="3">
        <f t="shared" si="68"/>
        <v>1738918.1507812501</v>
      </c>
      <c r="M128" s="3">
        <f t="shared" si="68"/>
        <v>1608918.1507812501</v>
      </c>
      <c r="N128" s="3">
        <f t="shared" si="68"/>
        <v>1478918.1507812501</v>
      </c>
      <c r="O128" s="3">
        <f t="shared" si="68"/>
        <v>1404377.581435547</v>
      </c>
      <c r="P128" s="3">
        <f t="shared" si="68"/>
        <v>1274377.581435547</v>
      </c>
      <c r="Q128" s="3">
        <f t="shared" si="68"/>
        <v>1144377.581435547</v>
      </c>
      <c r="R128" s="3">
        <f t="shared" si="68"/>
        <v>1057291.74073938</v>
      </c>
      <c r="S128" s="3">
        <f t="shared" si="68"/>
        <v>927291.74073938001</v>
      </c>
      <c r="T128" s="3">
        <f t="shared" si="68"/>
        <v>797291.74073938001</v>
      </c>
      <c r="U128" s="3">
        <f t="shared" si="68"/>
        <v>697190.18101710675</v>
      </c>
      <c r="V128" s="3">
        <f t="shared" si="68"/>
        <v>567190.18101710675</v>
      </c>
      <c r="W128" s="3">
        <f t="shared" si="68"/>
        <v>437190.18101710675</v>
      </c>
      <c r="X128" s="3">
        <f t="shared" si="68"/>
        <v>323584.81280524825</v>
      </c>
      <c r="Y128" s="3">
        <f t="shared" si="68"/>
        <v>193584.81280524825</v>
      </c>
      <c r="Z128" s="3">
        <f t="shared" si="68"/>
        <v>63584.81280524825</v>
      </c>
      <c r="AA128" s="3">
        <f t="shared" si="68"/>
        <v>0</v>
      </c>
      <c r="AB128" s="3">
        <f t="shared" si="68"/>
        <v>0</v>
      </c>
      <c r="AC128" s="3">
        <f t="shared" si="68"/>
        <v>0</v>
      </c>
      <c r="AD128" s="3">
        <f t="shared" si="68"/>
        <v>0</v>
      </c>
      <c r="AE128" s="3">
        <f t="shared" si="68"/>
        <v>0</v>
      </c>
      <c r="AF128" s="3">
        <f t="shared" si="68"/>
        <v>0</v>
      </c>
      <c r="AG128" s="3">
        <f t="shared" si="68"/>
        <v>0</v>
      </c>
      <c r="AH128" s="3">
        <f t="shared" si="68"/>
        <v>0</v>
      </c>
      <c r="AI128" s="3">
        <f t="shared" si="68"/>
        <v>0</v>
      </c>
      <c r="AJ128" s="3">
        <f t="shared" si="68"/>
        <v>0</v>
      </c>
      <c r="AK128" s="3">
        <f t="shared" si="68"/>
        <v>0</v>
      </c>
      <c r="AL128" s="3">
        <f t="shared" si="68"/>
        <v>0</v>
      </c>
      <c r="AM128" s="3">
        <f t="shared" ref="AM128:BR128" si="69">AL131</f>
        <v>0</v>
      </c>
      <c r="AN128" s="3">
        <f t="shared" si="69"/>
        <v>0</v>
      </c>
      <c r="AO128" s="3">
        <f t="shared" si="69"/>
        <v>0</v>
      </c>
      <c r="AP128" s="3">
        <f t="shared" si="69"/>
        <v>0</v>
      </c>
      <c r="AQ128" s="3">
        <f t="shared" si="69"/>
        <v>0</v>
      </c>
      <c r="AR128" s="3">
        <f t="shared" si="69"/>
        <v>0</v>
      </c>
      <c r="AS128" s="3">
        <f t="shared" si="69"/>
        <v>0</v>
      </c>
      <c r="AT128" s="3">
        <f t="shared" si="69"/>
        <v>0</v>
      </c>
      <c r="AU128" s="3">
        <f t="shared" si="69"/>
        <v>0</v>
      </c>
      <c r="AV128" s="3">
        <f t="shared" si="69"/>
        <v>0</v>
      </c>
      <c r="AW128" s="3">
        <f t="shared" si="69"/>
        <v>0</v>
      </c>
      <c r="AX128" s="3">
        <f t="shared" si="69"/>
        <v>0</v>
      </c>
      <c r="AY128" s="3">
        <f t="shared" si="69"/>
        <v>0</v>
      </c>
      <c r="AZ128" s="3">
        <f t="shared" si="69"/>
        <v>0</v>
      </c>
      <c r="BA128" s="3">
        <f t="shared" si="69"/>
        <v>0</v>
      </c>
      <c r="BB128" s="3">
        <f t="shared" si="69"/>
        <v>0</v>
      </c>
      <c r="BC128" s="3">
        <f t="shared" si="69"/>
        <v>0</v>
      </c>
      <c r="BD128" s="3">
        <f t="shared" si="69"/>
        <v>0</v>
      </c>
      <c r="BE128" s="3">
        <f t="shared" si="69"/>
        <v>0</v>
      </c>
      <c r="BF128" s="3">
        <f t="shared" si="69"/>
        <v>0</v>
      </c>
      <c r="BG128" s="3">
        <f t="shared" si="69"/>
        <v>0</v>
      </c>
      <c r="BH128" s="3">
        <f t="shared" si="69"/>
        <v>0</v>
      </c>
      <c r="BI128" s="3">
        <f t="shared" si="69"/>
        <v>0</v>
      </c>
      <c r="BJ128" s="3">
        <f t="shared" si="69"/>
        <v>0</v>
      </c>
      <c r="BK128" s="3">
        <f t="shared" si="69"/>
        <v>0</v>
      </c>
      <c r="BL128" s="3">
        <f t="shared" si="69"/>
        <v>0</v>
      </c>
      <c r="BM128" s="3">
        <f t="shared" si="69"/>
        <v>0</v>
      </c>
      <c r="BN128" s="3">
        <f t="shared" si="69"/>
        <v>0</v>
      </c>
      <c r="BO128" s="3">
        <f t="shared" si="69"/>
        <v>0</v>
      </c>
      <c r="BP128" s="3">
        <f t="shared" si="69"/>
        <v>0</v>
      </c>
      <c r="BQ128" s="3">
        <f t="shared" si="69"/>
        <v>0</v>
      </c>
      <c r="BR128" s="3">
        <f t="shared" si="69"/>
        <v>0</v>
      </c>
      <c r="BS128" s="3">
        <f t="shared" ref="BS128:CX128" si="70">BR131</f>
        <v>0</v>
      </c>
      <c r="BT128" s="3">
        <f t="shared" si="70"/>
        <v>0</v>
      </c>
      <c r="BU128" s="3">
        <f t="shared" si="70"/>
        <v>0</v>
      </c>
      <c r="BV128" s="3">
        <f t="shared" si="70"/>
        <v>0</v>
      </c>
      <c r="BW128" s="3">
        <f t="shared" si="70"/>
        <v>0</v>
      </c>
      <c r="BX128" s="3">
        <f t="shared" si="70"/>
        <v>0</v>
      </c>
      <c r="BY128" s="3">
        <f t="shared" si="70"/>
        <v>0</v>
      </c>
      <c r="BZ128" s="3">
        <f t="shared" si="70"/>
        <v>0</v>
      </c>
      <c r="CA128" s="3">
        <f t="shared" si="70"/>
        <v>0</v>
      </c>
      <c r="CB128" s="3">
        <f t="shared" si="70"/>
        <v>0</v>
      </c>
      <c r="CC128" s="3">
        <f t="shared" si="70"/>
        <v>0</v>
      </c>
      <c r="CD128" s="3">
        <f t="shared" si="70"/>
        <v>0</v>
      </c>
      <c r="CE128" s="3">
        <f t="shared" si="70"/>
        <v>0</v>
      </c>
      <c r="CF128" s="3">
        <f t="shared" si="70"/>
        <v>0</v>
      </c>
      <c r="CG128" s="3">
        <f t="shared" si="70"/>
        <v>0</v>
      </c>
      <c r="CH128" s="3">
        <f t="shared" si="70"/>
        <v>0</v>
      </c>
      <c r="CI128" s="3">
        <f t="shared" si="70"/>
        <v>0</v>
      </c>
      <c r="CJ128" s="3">
        <f t="shared" si="70"/>
        <v>0</v>
      </c>
      <c r="CK128" s="3">
        <f t="shared" si="70"/>
        <v>0</v>
      </c>
      <c r="CL128" s="3">
        <f t="shared" si="70"/>
        <v>0</v>
      </c>
      <c r="CM128" s="3">
        <f t="shared" si="70"/>
        <v>0</v>
      </c>
      <c r="CN128" s="3">
        <f t="shared" si="70"/>
        <v>0</v>
      </c>
      <c r="CO128" s="3">
        <f t="shared" si="70"/>
        <v>0</v>
      </c>
      <c r="CP128" s="3">
        <f t="shared" si="70"/>
        <v>0</v>
      </c>
      <c r="CQ128" s="3">
        <f t="shared" si="70"/>
        <v>0</v>
      </c>
      <c r="CR128" s="3">
        <f t="shared" si="70"/>
        <v>0</v>
      </c>
      <c r="CS128" s="3">
        <f t="shared" si="70"/>
        <v>0</v>
      </c>
      <c r="CT128" s="3">
        <f t="shared" si="70"/>
        <v>0</v>
      </c>
      <c r="CU128" s="3">
        <f t="shared" si="70"/>
        <v>0</v>
      </c>
      <c r="CV128" s="3">
        <f t="shared" si="70"/>
        <v>0</v>
      </c>
      <c r="CW128" s="3">
        <f t="shared" si="70"/>
        <v>0</v>
      </c>
      <c r="CX128" s="3">
        <f t="shared" si="70"/>
        <v>0</v>
      </c>
      <c r="CY128" s="3">
        <f t="shared" ref="CY128:DF128" si="71">CX131</f>
        <v>0</v>
      </c>
      <c r="CZ128" s="3">
        <f t="shared" si="71"/>
        <v>0</v>
      </c>
      <c r="DA128" s="3">
        <f t="shared" si="71"/>
        <v>0</v>
      </c>
      <c r="DB128" s="3">
        <f t="shared" si="71"/>
        <v>0</v>
      </c>
      <c r="DC128" s="3">
        <f t="shared" si="71"/>
        <v>0</v>
      </c>
      <c r="DD128" s="3">
        <f t="shared" si="71"/>
        <v>0</v>
      </c>
      <c r="DE128" s="3">
        <f t="shared" si="71"/>
        <v>0</v>
      </c>
      <c r="DF128" s="3">
        <f t="shared" si="71"/>
        <v>0</v>
      </c>
    </row>
    <row r="129" spans="1:110" ht="15" customHeight="1" x14ac:dyDescent="0.25">
      <c r="A129" s="13" t="s">
        <v>139</v>
      </c>
      <c r="B129" s="302"/>
      <c r="C129" s="3"/>
      <c r="D129" s="3"/>
      <c r="E129" s="3"/>
      <c r="F129" s="3">
        <f>IF(AND(MOD(1,3)=0,F128&gt;0),F128*Assumptions!$B$35,0)</f>
        <v>0</v>
      </c>
      <c r="G129" s="3">
        <f>IF(AND(MOD(2,3)=0,G128&gt;0),G128*Assumptions!$B$35,0)</f>
        <v>0</v>
      </c>
      <c r="H129" s="3">
        <f>IF(AND(MOD(3,3)=0,H128&gt;0),H128*Assumptions!$B$35,0)</f>
        <v>60580.6875</v>
      </c>
      <c r="I129" s="3">
        <f>IF(AND(MOD(4,3)=0,I128&gt;0),I128*Assumptions!$B$35,0)</f>
        <v>0</v>
      </c>
      <c r="J129" s="3">
        <f>IF(AND(MOD(5,3)=0,J128&gt;0),J128*Assumptions!$B$35,0)</f>
        <v>0</v>
      </c>
      <c r="K129" s="3">
        <f>IF(AND(MOD(6,3)=0,K128&gt;0),K128*Assumptions!$B$35,0)</f>
        <v>62852.463281249999</v>
      </c>
      <c r="L129" s="3">
        <f>IF(AND(MOD(7,3)=0,L128&gt;0),L128*Assumptions!$B$35,0)</f>
        <v>0</v>
      </c>
      <c r="M129" s="3">
        <f>IF(AND(MOD(8,3)=0,M128&gt;0),M128*Assumptions!$B$35,0)</f>
        <v>0</v>
      </c>
      <c r="N129" s="3">
        <f>IF(AND(MOD(9,3)=0,N128&gt;0),N128*Assumptions!$B$35,0)</f>
        <v>55459.430654296877</v>
      </c>
      <c r="O129" s="3">
        <f>IF(AND(MOD(10,3)=0,O128&gt;0),O128*Assumptions!$B$35,0)</f>
        <v>0</v>
      </c>
      <c r="P129" s="3">
        <f>IF(AND(MOD(11,3)=0,P128&gt;0),P128*Assumptions!$B$35,0)</f>
        <v>0</v>
      </c>
      <c r="Q129" s="3">
        <f>IF(AND(MOD(12,3)=0,Q128&gt;0),Q128*Assumptions!$B$35,0)</f>
        <v>42914.15930383301</v>
      </c>
      <c r="R129" s="3">
        <f>IF(AND(MOD(13,3)=0,R128&gt;0),R128*Assumptions!$B$35,0)</f>
        <v>0</v>
      </c>
      <c r="S129" s="3">
        <f>IF(AND(MOD(14,3)=0,S128&gt;0),S128*Assumptions!$B$35,0)</f>
        <v>0</v>
      </c>
      <c r="T129" s="3">
        <f>IF(AND(MOD(15,3)=0,T128&gt;0),T128*Assumptions!$B$35,0)</f>
        <v>29898.44027772675</v>
      </c>
      <c r="U129" s="3">
        <f>IF(AND(MOD(16,3)=0,U128&gt;0),U128*Assumptions!$B$35,0)</f>
        <v>0</v>
      </c>
      <c r="V129" s="3">
        <f>IF(AND(MOD(17,3)=0,V128&gt;0),V128*Assumptions!$B$35,0)</f>
        <v>0</v>
      </c>
      <c r="W129" s="3">
        <f>IF(AND(MOD(18,3)=0,W128&gt;0),W128*Assumptions!$B$35,0)</f>
        <v>16394.631788141502</v>
      </c>
      <c r="X129" s="3">
        <f>IF(AND(MOD(19,3)=0,X128&gt;0),X128*Assumptions!$B$35,0)</f>
        <v>0</v>
      </c>
      <c r="Y129" s="3">
        <f>IF(AND(MOD(20,3)=0,Y128&gt;0),Y128*Assumptions!$B$35,0)</f>
        <v>0</v>
      </c>
      <c r="Z129" s="3">
        <f>IF(AND(MOD(21,3)=0,Z128&gt;0),Z128*Assumptions!$B$35,0)</f>
        <v>2384.4304801968092</v>
      </c>
      <c r="AA129" s="3">
        <f>IF(AND(MOD(22,3)=0,AA128&gt;0),AA128*Assumptions!$B$35,0)</f>
        <v>0</v>
      </c>
      <c r="AB129" s="3">
        <f>IF(AND(MOD(23,3)=0,AB128&gt;0),AB128*Assumptions!$B$35,0)</f>
        <v>0</v>
      </c>
      <c r="AC129" s="3">
        <f>IF(AND(MOD(24,3)=0,AC128&gt;0),AC128*Assumptions!$B$35,0)</f>
        <v>0</v>
      </c>
      <c r="AD129" s="3">
        <f>IF(AND(MOD(25,3)=0,AD128&gt;0),AD128*Assumptions!$B$35,0)</f>
        <v>0</v>
      </c>
      <c r="AE129" s="3">
        <f>IF(AND(MOD(26,3)=0,AE128&gt;0),AE128*Assumptions!$B$35,0)</f>
        <v>0</v>
      </c>
      <c r="AF129" s="3">
        <f>IF(AND(MOD(27,3)=0,AF128&gt;0),AF128*Assumptions!$B$35,0)</f>
        <v>0</v>
      </c>
      <c r="AG129" s="3">
        <f>IF(AND(MOD(28,3)=0,AG128&gt;0),AG128*Assumptions!$B$35,0)</f>
        <v>0</v>
      </c>
      <c r="AH129" s="3">
        <f>IF(AND(MOD(29,3)=0,AH128&gt;0),AH128*Assumptions!$B$35,0)</f>
        <v>0</v>
      </c>
      <c r="AI129" s="3">
        <f>IF(AND(MOD(30,3)=0,AI128&gt;0),AI128*Assumptions!$B$35,0)</f>
        <v>0</v>
      </c>
      <c r="AJ129" s="3">
        <f>IF(AND(MOD(31,3)=0,AJ128&gt;0),AJ128*Assumptions!$B$35,0)</f>
        <v>0</v>
      </c>
      <c r="AK129" s="3">
        <f>IF(AND(MOD(32,3)=0,AK128&gt;0),AK128*Assumptions!$B$35,0)</f>
        <v>0</v>
      </c>
      <c r="AL129" s="3">
        <f>IF(AND(MOD(33,3)=0,AL128&gt;0),AL128*Assumptions!$B$35,0)</f>
        <v>0</v>
      </c>
      <c r="AM129" s="3">
        <f>IF(AND(MOD(34,3)=0,AM128&gt;0),AM128*Assumptions!$B$35,0)</f>
        <v>0</v>
      </c>
      <c r="AN129" s="3">
        <f>IF(AND(MOD(35,3)=0,AN128&gt;0),AN128*Assumptions!$B$35,0)</f>
        <v>0</v>
      </c>
      <c r="AO129" s="3">
        <f>IF(AND(MOD(36,3)=0,AO128&gt;0),AO128*Assumptions!$B$35,0)</f>
        <v>0</v>
      </c>
      <c r="AP129" s="3">
        <f>IF(AND(MOD(37,3)=0,AP128&gt;0),AP128*Assumptions!$B$35,0)</f>
        <v>0</v>
      </c>
      <c r="AQ129" s="3">
        <f>IF(AND(MOD(38,3)=0,AQ128&gt;0),AQ128*Assumptions!$B$35,0)</f>
        <v>0</v>
      </c>
      <c r="AR129" s="3">
        <f>IF(AND(MOD(39,3)=0,AR128&gt;0),AR128*Assumptions!$B$35,0)</f>
        <v>0</v>
      </c>
      <c r="AS129" s="3">
        <f>IF(AND(MOD(40,3)=0,AS128&gt;0),AS128*Assumptions!$B$35,0)</f>
        <v>0</v>
      </c>
      <c r="AT129" s="3">
        <f>IF(AND(MOD(41,3)=0,AT128&gt;0),AT128*Assumptions!$B$35,0)</f>
        <v>0</v>
      </c>
      <c r="AU129" s="3">
        <f>IF(AND(MOD(42,3)=0,AU128&gt;0),AU128*Assumptions!$B$35,0)</f>
        <v>0</v>
      </c>
      <c r="AV129" s="3">
        <f>IF(AND(MOD(43,3)=0,AV128&gt;0),AV128*Assumptions!$B$35,0)</f>
        <v>0</v>
      </c>
      <c r="AW129" s="3">
        <f>IF(AND(MOD(44,3)=0,AW128&gt;0),AW128*Assumptions!$B$35,0)</f>
        <v>0</v>
      </c>
      <c r="AX129" s="3">
        <f>IF(AND(MOD(45,3)=0,AX128&gt;0),AX128*Assumptions!$B$35,0)</f>
        <v>0</v>
      </c>
      <c r="AY129" s="3">
        <f>IF(AND(MOD(46,3)=0,AY128&gt;0),AY128*Assumptions!$B$35,0)</f>
        <v>0</v>
      </c>
      <c r="AZ129" s="3">
        <f>IF(AND(MOD(47,3)=0,AZ128&gt;0),AZ128*Assumptions!$B$35,0)</f>
        <v>0</v>
      </c>
      <c r="BA129" s="3">
        <f>IF(AND(MOD(48,3)=0,BA128&gt;0),BA128*Assumptions!$B$35,0)</f>
        <v>0</v>
      </c>
      <c r="BB129" s="3">
        <f>IF(AND(MOD(49,3)=0,BB128&gt;0),BB128*Assumptions!$B$35,0)</f>
        <v>0</v>
      </c>
      <c r="BC129" s="3">
        <f>IF(AND(MOD(50,3)=0,BC128&gt;0),BC128*Assumptions!$B$35,0)</f>
        <v>0</v>
      </c>
      <c r="BD129" s="3">
        <f>IF(AND(MOD(51,3)=0,BD128&gt;0),BD128*Assumptions!$B$35,0)</f>
        <v>0</v>
      </c>
      <c r="BE129" s="3">
        <f>IF(AND(MOD(52,3)=0,BE128&gt;0),BE128*Assumptions!$B$35,0)</f>
        <v>0</v>
      </c>
      <c r="BF129" s="3">
        <f>IF(AND(MOD(53,3)=0,BF128&gt;0),BF128*Assumptions!$B$35,0)</f>
        <v>0</v>
      </c>
      <c r="BG129" s="3">
        <f>IF(AND(MOD(54,3)=0,BG128&gt;0),BG128*Assumptions!$B$35,0)</f>
        <v>0</v>
      </c>
      <c r="BH129" s="3">
        <f>IF(AND(MOD(55,3)=0,BH128&gt;0),BH128*Assumptions!$B$35,0)</f>
        <v>0</v>
      </c>
      <c r="BI129" s="3">
        <f>IF(AND(MOD(56,3)=0,BI128&gt;0),BI128*Assumptions!$B$35,0)</f>
        <v>0</v>
      </c>
      <c r="BJ129" s="3">
        <f>IF(AND(MOD(57,3)=0,BJ128&gt;0),BJ128*Assumptions!$B$35,0)</f>
        <v>0</v>
      </c>
      <c r="BK129" s="3">
        <f>IF(AND(MOD(58,3)=0,BK128&gt;0),BK128*Assumptions!$B$35,0)</f>
        <v>0</v>
      </c>
      <c r="BL129" s="3">
        <f>IF(AND(MOD(59,3)=0,BL128&gt;0),BL128*Assumptions!$B$35,0)</f>
        <v>0</v>
      </c>
      <c r="BM129" s="3">
        <f>IF(AND(MOD(60,3)=0,BM128&gt;0),BM128*Assumptions!$B$35,0)</f>
        <v>0</v>
      </c>
      <c r="BN129" s="3">
        <f>IF(AND(MOD(61,3)=0,BN128&gt;0),BN128*Assumptions!$B$35,0)</f>
        <v>0</v>
      </c>
      <c r="BO129" s="3">
        <f>IF(AND(MOD(62,3)=0,BO128&gt;0),BO128*Assumptions!$B$35,0)</f>
        <v>0</v>
      </c>
      <c r="BP129" s="3">
        <f>IF(AND(MOD(63,3)=0,BP128&gt;0),BP128*Assumptions!$B$35,0)</f>
        <v>0</v>
      </c>
      <c r="BQ129" s="3">
        <f>IF(AND(MOD(64,3)=0,BQ128&gt;0),BQ128*Assumptions!$B$35,0)</f>
        <v>0</v>
      </c>
      <c r="BR129" s="3">
        <f>IF(AND(MOD(65,3)=0,BR128&gt;0),BR128*Assumptions!$B$35,0)</f>
        <v>0</v>
      </c>
      <c r="BS129" s="3">
        <f>IF(AND(MOD(66,3)=0,BS128&gt;0),BS128*Assumptions!$B$35,0)</f>
        <v>0</v>
      </c>
      <c r="BT129" s="3">
        <f>IF(AND(MOD(67,3)=0,BT128&gt;0),BT128*Assumptions!$B$35,0)</f>
        <v>0</v>
      </c>
      <c r="BU129" s="3">
        <f>IF(AND(MOD(68,3)=0,BU128&gt;0),BU128*Assumptions!$B$35,0)</f>
        <v>0</v>
      </c>
      <c r="BV129" s="3">
        <f>IF(AND(MOD(69,3)=0,BV128&gt;0),BV128*Assumptions!$B$35,0)</f>
        <v>0</v>
      </c>
      <c r="BW129" s="3">
        <f>IF(AND(MOD(70,3)=0,BW128&gt;0),BW128*Assumptions!$B$35,0)</f>
        <v>0</v>
      </c>
      <c r="BX129" s="3">
        <f>IF(AND(MOD(71,3)=0,BX128&gt;0),BX128*Assumptions!$B$35,0)</f>
        <v>0</v>
      </c>
      <c r="BY129" s="3">
        <f>IF(AND(MOD(72,3)=0,BY128&gt;0),BY128*Assumptions!$B$35,0)</f>
        <v>0</v>
      </c>
      <c r="BZ129" s="3">
        <f>IF(AND(MOD(73,3)=0,BZ128&gt;0),BZ128*Assumptions!$B$35,0)</f>
        <v>0</v>
      </c>
      <c r="CA129" s="3">
        <f>IF(AND(MOD(74,3)=0,CA128&gt;0),CA128*Assumptions!$B$35,0)</f>
        <v>0</v>
      </c>
      <c r="CB129" s="3">
        <f>IF(AND(MOD(75,3)=0,CB128&gt;0),CB128*Assumptions!$B$35,0)</f>
        <v>0</v>
      </c>
      <c r="CC129" s="3">
        <f>IF(AND(MOD(76,3)=0,CC128&gt;0),CC128*Assumptions!$B$35,0)</f>
        <v>0</v>
      </c>
      <c r="CD129" s="3">
        <f>IF(AND(MOD(77,3)=0,CD128&gt;0),CD128*Assumptions!$B$35,0)</f>
        <v>0</v>
      </c>
      <c r="CE129" s="3">
        <f>IF(AND(MOD(78,3)=0,CE128&gt;0),CE128*Assumptions!$B$35,0)</f>
        <v>0</v>
      </c>
      <c r="CF129" s="3">
        <f>IF(AND(MOD(79,3)=0,CF128&gt;0),CF128*Assumptions!$B$35,0)</f>
        <v>0</v>
      </c>
      <c r="CG129" s="3">
        <f>IF(AND(MOD(80,3)=0,CG128&gt;0),CG128*Assumptions!$B$35,0)</f>
        <v>0</v>
      </c>
      <c r="CH129" s="3">
        <f>IF(AND(MOD(81,3)=0,CH128&gt;0),CH128*Assumptions!$B$35,0)</f>
        <v>0</v>
      </c>
      <c r="CI129" s="3">
        <f>IF(AND(MOD(82,3)=0,CI128&gt;0),CI128*Assumptions!$B$35,0)</f>
        <v>0</v>
      </c>
      <c r="CJ129" s="3">
        <f>IF(AND(MOD(83,3)=0,CJ128&gt;0),CJ128*Assumptions!$B$35,0)</f>
        <v>0</v>
      </c>
      <c r="CK129" s="3">
        <f>IF(AND(MOD(84,3)=0,CK128&gt;0),CK128*Assumptions!$B$35,0)</f>
        <v>0</v>
      </c>
      <c r="CL129" s="3">
        <f>IF(AND(MOD(85,3)=0,CL128&gt;0),CL128*Assumptions!$B$35,0)</f>
        <v>0</v>
      </c>
      <c r="CM129" s="3">
        <f>IF(AND(MOD(86,3)=0,CM128&gt;0),CM128*Assumptions!$B$35,0)</f>
        <v>0</v>
      </c>
      <c r="CN129" s="3">
        <f>IF(AND(MOD(87,3)=0,CN128&gt;0),CN128*Assumptions!$B$35,0)</f>
        <v>0</v>
      </c>
      <c r="CO129" s="3">
        <f>IF(AND(MOD(88,3)=0,CO128&gt;0),CO128*Assumptions!$B$35,0)</f>
        <v>0</v>
      </c>
      <c r="CP129" s="3">
        <f>IF(AND(MOD(89,3)=0,CP128&gt;0),CP128*Assumptions!$B$35,0)</f>
        <v>0</v>
      </c>
      <c r="CQ129" s="3">
        <f>IF(AND(MOD(90,3)=0,CQ128&gt;0),CQ128*Assumptions!$B$35,0)</f>
        <v>0</v>
      </c>
      <c r="CR129" s="3">
        <f>IF(AND(MOD(91,3)=0,CR128&gt;0),CR128*Assumptions!$B$35,0)</f>
        <v>0</v>
      </c>
      <c r="CS129" s="3">
        <f>IF(AND(MOD(92,3)=0,CS128&gt;0),CS128*Assumptions!$B$35,0)</f>
        <v>0</v>
      </c>
      <c r="CT129" s="3">
        <f>IF(AND(MOD(93,3)=0,CT128&gt;0),CT128*Assumptions!$B$35,0)</f>
        <v>0</v>
      </c>
      <c r="CU129" s="3">
        <f>IF(AND(MOD(94,3)=0,CU128&gt;0),CU128*Assumptions!$B$35,0)</f>
        <v>0</v>
      </c>
      <c r="CV129" s="3">
        <f>IF(AND(MOD(95,3)=0,CV128&gt;0),CV128*Assumptions!$B$35,0)</f>
        <v>0</v>
      </c>
      <c r="CW129" s="3">
        <f>IF(AND(MOD(96,3)=0,CW128&gt;0),CW128*Assumptions!$B$35,0)</f>
        <v>0</v>
      </c>
      <c r="CX129" s="3">
        <f>IF(AND(MOD(97,3)=0,CX128&gt;0),CX128*Assumptions!$B$35,0)</f>
        <v>0</v>
      </c>
      <c r="CY129" s="3">
        <f>IF(AND(MOD(98,3)=0,CY128&gt;0),CY128*Assumptions!$B$35,0)</f>
        <v>0</v>
      </c>
      <c r="CZ129" s="3">
        <f>IF(AND(MOD(99,3)=0,CZ128&gt;0),CZ128*Assumptions!$B$35,0)</f>
        <v>0</v>
      </c>
      <c r="DA129" s="3">
        <f>IF(AND(MOD(100,3)=0,DA128&gt;0),DA128*Assumptions!$B$35,0)</f>
        <v>0</v>
      </c>
      <c r="DB129" s="3">
        <f>IF(AND(MOD(101,3)=0,DB128&gt;0),DB128*Assumptions!$B$35,0)</f>
        <v>0</v>
      </c>
      <c r="DC129" s="3">
        <f>IF(AND(MOD(102,3)=0,DC128&gt;0),DC128*Assumptions!$B$35,0)</f>
        <v>0</v>
      </c>
      <c r="DD129" s="3">
        <f>IF(AND(MOD(103,3)=0,DD128&gt;0),DD128*Assumptions!$B$35,0)</f>
        <v>0</v>
      </c>
      <c r="DE129" s="3">
        <f>IF(AND(MOD(104,3)=0,DE128&gt;0),DE128*Assumptions!$B$35,0)</f>
        <v>0</v>
      </c>
      <c r="DF129" s="3">
        <f>IF(AND(MOD(105,3)=0,DF128&gt;0),DF128*Assumptions!$B$35,0)</f>
        <v>0</v>
      </c>
    </row>
    <row r="130" spans="1:110" ht="15" customHeight="1" x14ac:dyDescent="0.25">
      <c r="A130" s="13" t="s">
        <v>140</v>
      </c>
      <c r="B130" s="302"/>
      <c r="C130" s="3"/>
      <c r="D130" s="3"/>
      <c r="E130" s="3"/>
      <c r="F130" s="3">
        <f>IF(AND(1&gt;=Assumptions!$B$37,F128+F129&gt;0),-MIN(Assumptions!$B$36,F128+F129),0)</f>
        <v>0</v>
      </c>
      <c r="G130" s="3">
        <f>IF(AND(2&gt;=Assumptions!$B$37,G128+G129&gt;0),-MIN(Assumptions!$B$36,G128+G129),0)</f>
        <v>0</v>
      </c>
      <c r="H130" s="3">
        <f>IF(AND(3&gt;=Assumptions!$B$37,H128+H129&gt;0),-MIN(Assumptions!$B$36,H128+H129),0)</f>
        <v>0</v>
      </c>
      <c r="I130" s="3">
        <f>IF(AND(4&gt;=Assumptions!$B$37,I128+I129&gt;0),-MIN(Assumptions!$B$36,I128+I129),0)</f>
        <v>0</v>
      </c>
      <c r="J130" s="3">
        <f>IF(AND(5&gt;=Assumptions!$B$37,J128+J129&gt;0),-MIN(Assumptions!$B$36,J128+J129),0)</f>
        <v>0</v>
      </c>
      <c r="K130" s="3">
        <f>IF(AND(6&gt;=Assumptions!$B$37,K128+K129&gt;0),-MIN(Assumptions!$B$36,K128+K129),0)</f>
        <v>0</v>
      </c>
      <c r="L130" s="3">
        <f>IF(AND(7&gt;=Assumptions!$B$37,L128+L129&gt;0),-MIN(Assumptions!$B$36,L128+L129),0)</f>
        <v>-130000</v>
      </c>
      <c r="M130" s="3">
        <f>IF(AND(8&gt;=Assumptions!$B$37,M128+M129&gt;0),-MIN(Assumptions!$B$36,M128+M129),0)</f>
        <v>-130000</v>
      </c>
      <c r="N130" s="3">
        <f>IF(AND(9&gt;=Assumptions!$B$37,N128+N129&gt;0),-MIN(Assumptions!$B$36,N128+N129),0)</f>
        <v>-130000</v>
      </c>
      <c r="O130" s="3">
        <f>IF(AND(10&gt;=Assumptions!$B$37,O128+O129&gt;0),-MIN(Assumptions!$B$36,O128+O129),0)</f>
        <v>-130000</v>
      </c>
      <c r="P130" s="3">
        <f>IF(AND(11&gt;=Assumptions!$B$37,P128+P129&gt;0),-MIN(Assumptions!$B$36,P128+P129),0)</f>
        <v>-130000</v>
      </c>
      <c r="Q130" s="3">
        <f>IF(AND(12&gt;=Assumptions!$B$37,Q128+Q129&gt;0),-MIN(Assumptions!$B$36,Q128+Q129),0)</f>
        <v>-130000</v>
      </c>
      <c r="R130" s="3">
        <f>IF(AND(13&gt;=Assumptions!$B$37,R128+R129&gt;0),-MIN(Assumptions!$B$36,R128+R129),0)</f>
        <v>-130000</v>
      </c>
      <c r="S130" s="3">
        <f>IF(AND(14&gt;=Assumptions!$B$37,S128+S129&gt;0),-MIN(Assumptions!$B$36,S128+S129),0)</f>
        <v>-130000</v>
      </c>
      <c r="T130" s="3">
        <f>IF(AND(15&gt;=Assumptions!$B$37,T128+T129&gt;0),-MIN(Assumptions!$B$36,T128+T129),0)</f>
        <v>-130000</v>
      </c>
      <c r="U130" s="3">
        <f>IF(AND(16&gt;=Assumptions!$B$37,U128+U129&gt;0),-MIN(Assumptions!$B$36,U128+U129),0)</f>
        <v>-130000</v>
      </c>
      <c r="V130" s="3">
        <f>IF(AND(17&gt;=Assumptions!$B$37,V128+V129&gt;0),-MIN(Assumptions!$B$36,V128+V129),0)</f>
        <v>-130000</v>
      </c>
      <c r="W130" s="3">
        <f>IF(AND(18&gt;=Assumptions!$B$37,W128+W129&gt;0),-MIN(Assumptions!$B$36,W128+W129),0)</f>
        <v>-130000</v>
      </c>
      <c r="X130" s="3">
        <f>IF(AND(19&gt;=Assumptions!$B$37,X128+X129&gt;0),-MIN(Assumptions!$B$36,X128+X129),0)</f>
        <v>-130000</v>
      </c>
      <c r="Y130" s="3">
        <f>IF(AND(20&gt;=Assumptions!$B$37,Y128+Y129&gt;0),-MIN(Assumptions!$B$36,Y128+Y129),0)</f>
        <v>-130000</v>
      </c>
      <c r="Z130" s="3">
        <f>IF(AND(21&gt;=Assumptions!$B$37,Z128+Z129&gt;0),-MIN(Assumptions!$B$36,Z128+Z129),0)</f>
        <v>-65969.24328544506</v>
      </c>
      <c r="AA130" s="3">
        <f>IF(AND(22&gt;=Assumptions!$B$37,AA128+AA129&gt;0),-MIN(Assumptions!$B$36,AA128+AA129),0)</f>
        <v>0</v>
      </c>
      <c r="AB130" s="3">
        <f>IF(AND(23&gt;=Assumptions!$B$37,AB128+AB129&gt;0),-MIN(Assumptions!$B$36,AB128+AB129),0)</f>
        <v>0</v>
      </c>
      <c r="AC130" s="3">
        <f>IF(AND(24&gt;=Assumptions!$B$37,AC128+AC129&gt;0),-MIN(Assumptions!$B$36,AC128+AC129),0)</f>
        <v>0</v>
      </c>
      <c r="AD130" s="3">
        <f>IF(AND(25&gt;=Assumptions!$B$37,AD128+AD129&gt;0),-MIN(Assumptions!$B$36,AD128+AD129),0)</f>
        <v>0</v>
      </c>
      <c r="AE130" s="3">
        <f>IF(AND(26&gt;=Assumptions!$B$37,AE128+AE129&gt;0),-MIN(Assumptions!$B$36,AE128+AE129),0)</f>
        <v>0</v>
      </c>
      <c r="AF130" s="3">
        <f>IF(AND(27&gt;=Assumptions!$B$37,AF128+AF129&gt;0),-MIN(Assumptions!$B$36,AF128+AF129),0)</f>
        <v>0</v>
      </c>
      <c r="AG130" s="3">
        <f>IF(AND(28&gt;=Assumptions!$B$37,AG128+AG129&gt;0),-MIN(Assumptions!$B$36,AG128+AG129),0)</f>
        <v>0</v>
      </c>
      <c r="AH130" s="3">
        <f>IF(AND(29&gt;=Assumptions!$B$37,AH128+AH129&gt;0),-MIN(Assumptions!$B$36,AH128+AH129),0)</f>
        <v>0</v>
      </c>
      <c r="AI130" s="3">
        <f>IF(AND(30&gt;=Assumptions!$B$37,AI128+AI129&gt;0),-MIN(Assumptions!$B$36,AI128+AI129),0)</f>
        <v>0</v>
      </c>
      <c r="AJ130" s="3">
        <f>IF(AND(31&gt;=Assumptions!$B$37,AJ128+AJ129&gt;0),-MIN(Assumptions!$B$36,AJ128+AJ129),0)</f>
        <v>0</v>
      </c>
      <c r="AK130" s="3">
        <f>IF(AND(32&gt;=Assumptions!$B$37,AK128+AK129&gt;0),-MIN(Assumptions!$B$36,AK128+AK129),0)</f>
        <v>0</v>
      </c>
      <c r="AL130" s="3">
        <f>IF(AND(33&gt;=Assumptions!$B$37,AL128+AL129&gt;0),-MIN(Assumptions!$B$36,AL128+AL129),0)</f>
        <v>0</v>
      </c>
      <c r="AM130" s="3">
        <f>IF(AND(34&gt;=Assumptions!$B$37,AM128+AM129&gt;0),-MIN(Assumptions!$B$36,AM128+AM129),0)</f>
        <v>0</v>
      </c>
      <c r="AN130" s="3">
        <f>IF(AND(35&gt;=Assumptions!$B$37,AN128+AN129&gt;0),-MIN(Assumptions!$B$36,AN128+AN129),0)</f>
        <v>0</v>
      </c>
      <c r="AO130" s="3">
        <f>IF(AND(36&gt;=Assumptions!$B$37,AO128+AO129&gt;0),-MIN(Assumptions!$B$36,AO128+AO129),0)</f>
        <v>0</v>
      </c>
      <c r="AP130" s="3">
        <f>IF(AND(37&gt;=Assumptions!$B$37,AP128+AP129&gt;0),-MIN(Assumptions!$B$36,AP128+AP129),0)</f>
        <v>0</v>
      </c>
      <c r="AQ130" s="3">
        <f>IF(AND(38&gt;=Assumptions!$B$37,AQ128+AQ129&gt;0),-MIN(Assumptions!$B$36,AQ128+AQ129),0)</f>
        <v>0</v>
      </c>
      <c r="AR130" s="3">
        <f>IF(AND(39&gt;=Assumptions!$B$37,AR128+AR129&gt;0),-MIN(Assumptions!$B$36,AR128+AR129),0)</f>
        <v>0</v>
      </c>
      <c r="AS130" s="3">
        <f>IF(AND(40&gt;=Assumptions!$B$37,AS128+AS129&gt;0),-MIN(Assumptions!$B$36,AS128+AS129),0)</f>
        <v>0</v>
      </c>
      <c r="AT130" s="3">
        <f>IF(AND(41&gt;=Assumptions!$B$37,AT128+AT129&gt;0),-MIN(Assumptions!$B$36,AT128+AT129),0)</f>
        <v>0</v>
      </c>
      <c r="AU130" s="3">
        <f>IF(AND(42&gt;=Assumptions!$B$37,AU128+AU129&gt;0),-MIN(Assumptions!$B$36,AU128+AU129),0)</f>
        <v>0</v>
      </c>
      <c r="AV130" s="3">
        <f>IF(AND(43&gt;=Assumptions!$B$37,AV128+AV129&gt;0),-MIN(Assumptions!$B$36,AV128+AV129),0)</f>
        <v>0</v>
      </c>
      <c r="AW130" s="3">
        <f>IF(AND(44&gt;=Assumptions!$B$37,AW128+AW129&gt;0),-MIN(Assumptions!$B$36,AW128+AW129),0)</f>
        <v>0</v>
      </c>
      <c r="AX130" s="3">
        <f>IF(AND(45&gt;=Assumptions!$B$37,AX128+AX129&gt;0),-MIN(Assumptions!$B$36,AX128+AX129),0)</f>
        <v>0</v>
      </c>
      <c r="AY130" s="3">
        <f>IF(AND(46&gt;=Assumptions!$B$37,AY128+AY129&gt;0),-MIN(Assumptions!$B$36,AY128+AY129),0)</f>
        <v>0</v>
      </c>
      <c r="AZ130" s="3">
        <f>IF(AND(47&gt;=Assumptions!$B$37,AZ128+AZ129&gt;0),-MIN(Assumptions!$B$36,AZ128+AZ129),0)</f>
        <v>0</v>
      </c>
      <c r="BA130" s="3">
        <f>IF(AND(48&gt;=Assumptions!$B$37,BA128+BA129&gt;0),-MIN(Assumptions!$B$36,BA128+BA129),0)</f>
        <v>0</v>
      </c>
      <c r="BB130" s="3">
        <f>IF(AND(49&gt;=Assumptions!$B$37,BB128+BB129&gt;0),-MIN(Assumptions!$B$36,BB128+BB129),0)</f>
        <v>0</v>
      </c>
      <c r="BC130" s="3">
        <f>IF(AND(50&gt;=Assumptions!$B$37,BC128+BC129&gt;0),-MIN(Assumptions!$B$36,BC128+BC129),0)</f>
        <v>0</v>
      </c>
      <c r="BD130" s="3">
        <f>IF(AND(51&gt;=Assumptions!$B$37,BD128+BD129&gt;0),-MIN(Assumptions!$B$36,BD128+BD129),0)</f>
        <v>0</v>
      </c>
      <c r="BE130" s="3">
        <f>IF(AND(52&gt;=Assumptions!$B$37,BE128+BE129&gt;0),-MIN(Assumptions!$B$36,BE128+BE129),0)</f>
        <v>0</v>
      </c>
      <c r="BF130" s="3">
        <f>IF(AND(53&gt;=Assumptions!$B$37,BF128+BF129&gt;0),-MIN(Assumptions!$B$36,BF128+BF129),0)</f>
        <v>0</v>
      </c>
      <c r="BG130" s="3">
        <f>IF(AND(54&gt;=Assumptions!$B$37,BG128+BG129&gt;0),-MIN(Assumptions!$B$36,BG128+BG129),0)</f>
        <v>0</v>
      </c>
      <c r="BH130" s="3">
        <f>IF(AND(55&gt;=Assumptions!$B$37,BH128+BH129&gt;0),-MIN(Assumptions!$B$36,BH128+BH129),0)</f>
        <v>0</v>
      </c>
      <c r="BI130" s="3">
        <f>IF(AND(56&gt;=Assumptions!$B$37,BI128+BI129&gt;0),-MIN(Assumptions!$B$36,BI128+BI129),0)</f>
        <v>0</v>
      </c>
      <c r="BJ130" s="3">
        <f>IF(AND(57&gt;=Assumptions!$B$37,BJ128+BJ129&gt;0),-MIN(Assumptions!$B$36,BJ128+BJ129),0)</f>
        <v>0</v>
      </c>
      <c r="BK130" s="3">
        <f>IF(AND(58&gt;=Assumptions!$B$37,BK128+BK129&gt;0),-MIN(Assumptions!$B$36,BK128+BK129),0)</f>
        <v>0</v>
      </c>
      <c r="BL130" s="3">
        <f>IF(AND(59&gt;=Assumptions!$B$37,BL128+BL129&gt;0),-MIN(Assumptions!$B$36,BL128+BL129),0)</f>
        <v>0</v>
      </c>
      <c r="BM130" s="3">
        <f>IF(AND(60&gt;=Assumptions!$B$37,BM128+BM129&gt;0),-MIN(Assumptions!$B$36,BM128+BM129),0)</f>
        <v>0</v>
      </c>
      <c r="BN130" s="3">
        <f>IF(AND(61&gt;=Assumptions!$B$37,BN128+BN129&gt;0),-MIN(Assumptions!$B$36,BN128+BN129),0)</f>
        <v>0</v>
      </c>
      <c r="BO130" s="3">
        <f>IF(AND(62&gt;=Assumptions!$B$37,BO128+BO129&gt;0),-MIN(Assumptions!$B$36,BO128+BO129),0)</f>
        <v>0</v>
      </c>
      <c r="BP130" s="3">
        <f>IF(AND(63&gt;=Assumptions!$B$37,BP128+BP129&gt;0),-MIN(Assumptions!$B$36,BP128+BP129),0)</f>
        <v>0</v>
      </c>
      <c r="BQ130" s="3">
        <f>IF(AND(64&gt;=Assumptions!$B$37,BQ128+BQ129&gt;0),-MIN(Assumptions!$B$36,BQ128+BQ129),0)</f>
        <v>0</v>
      </c>
      <c r="BR130" s="3">
        <f>IF(AND(65&gt;=Assumptions!$B$37,BR128+BR129&gt;0),-MIN(Assumptions!$B$36,BR128+BR129),0)</f>
        <v>0</v>
      </c>
      <c r="BS130" s="3">
        <f>IF(AND(66&gt;=Assumptions!$B$37,BS128+BS129&gt;0),-MIN(Assumptions!$B$36,BS128+BS129),0)</f>
        <v>0</v>
      </c>
      <c r="BT130" s="3">
        <f>IF(AND(67&gt;=Assumptions!$B$37,BT128+BT129&gt;0),-MIN(Assumptions!$B$36,BT128+BT129),0)</f>
        <v>0</v>
      </c>
      <c r="BU130" s="3">
        <f>IF(AND(68&gt;=Assumptions!$B$37,BU128+BU129&gt;0),-MIN(Assumptions!$B$36,BU128+BU129),0)</f>
        <v>0</v>
      </c>
      <c r="BV130" s="3">
        <f>IF(AND(69&gt;=Assumptions!$B$37,BV128+BV129&gt;0),-MIN(Assumptions!$B$36,BV128+BV129),0)</f>
        <v>0</v>
      </c>
      <c r="BW130" s="3">
        <f>IF(AND(70&gt;=Assumptions!$B$37,BW128+BW129&gt;0),-MIN(Assumptions!$B$36,BW128+BW129),0)</f>
        <v>0</v>
      </c>
      <c r="BX130" s="3">
        <f>IF(AND(71&gt;=Assumptions!$B$37,BX128+BX129&gt;0),-MIN(Assumptions!$B$36,BX128+BX129),0)</f>
        <v>0</v>
      </c>
      <c r="BY130" s="3">
        <f>IF(AND(72&gt;=Assumptions!$B$37,BY128+BY129&gt;0),-MIN(Assumptions!$B$36,BY128+BY129),0)</f>
        <v>0</v>
      </c>
      <c r="BZ130" s="3">
        <f>IF(AND(73&gt;=Assumptions!$B$37,BZ128+BZ129&gt;0),-MIN(Assumptions!$B$36,BZ128+BZ129),0)</f>
        <v>0</v>
      </c>
      <c r="CA130" s="3">
        <f>IF(AND(74&gt;=Assumptions!$B$37,CA128+CA129&gt;0),-MIN(Assumptions!$B$36,CA128+CA129),0)</f>
        <v>0</v>
      </c>
      <c r="CB130" s="3">
        <f>IF(AND(75&gt;=Assumptions!$B$37,CB128+CB129&gt;0),-MIN(Assumptions!$B$36,CB128+CB129),0)</f>
        <v>0</v>
      </c>
      <c r="CC130" s="3">
        <f>IF(AND(76&gt;=Assumptions!$B$37,CC128+CC129&gt;0),-MIN(Assumptions!$B$36,CC128+CC129),0)</f>
        <v>0</v>
      </c>
      <c r="CD130" s="3">
        <f>IF(AND(77&gt;=Assumptions!$B$37,CD128+CD129&gt;0),-MIN(Assumptions!$B$36,CD128+CD129),0)</f>
        <v>0</v>
      </c>
      <c r="CE130" s="3">
        <f>IF(AND(78&gt;=Assumptions!$B$37,CE128+CE129&gt;0),-MIN(Assumptions!$B$36,CE128+CE129),0)</f>
        <v>0</v>
      </c>
      <c r="CF130" s="3">
        <f>IF(AND(79&gt;=Assumptions!$B$37,CF128+CF129&gt;0),-MIN(Assumptions!$B$36,CF128+CF129),0)</f>
        <v>0</v>
      </c>
      <c r="CG130" s="3">
        <f>IF(AND(80&gt;=Assumptions!$B$37,CG128+CG129&gt;0),-MIN(Assumptions!$B$36,CG128+CG129),0)</f>
        <v>0</v>
      </c>
      <c r="CH130" s="3">
        <f>IF(AND(81&gt;=Assumptions!$B$37,CH128+CH129&gt;0),-MIN(Assumptions!$B$36,CH128+CH129),0)</f>
        <v>0</v>
      </c>
      <c r="CI130" s="3">
        <f>IF(AND(82&gt;=Assumptions!$B$37,CI128+CI129&gt;0),-MIN(Assumptions!$B$36,CI128+CI129),0)</f>
        <v>0</v>
      </c>
      <c r="CJ130" s="3">
        <f>IF(AND(83&gt;=Assumptions!$B$37,CJ128+CJ129&gt;0),-MIN(Assumptions!$B$36,CJ128+CJ129),0)</f>
        <v>0</v>
      </c>
      <c r="CK130" s="3">
        <f>IF(AND(84&gt;=Assumptions!$B$37,CK128+CK129&gt;0),-MIN(Assumptions!$B$36,CK128+CK129),0)</f>
        <v>0</v>
      </c>
      <c r="CL130" s="3">
        <f>IF(AND(85&gt;=Assumptions!$B$37,CL128+CL129&gt;0),-MIN(Assumptions!$B$36,CL128+CL129),0)</f>
        <v>0</v>
      </c>
      <c r="CM130" s="3">
        <f>IF(AND(86&gt;=Assumptions!$B$37,CM128+CM129&gt;0),-MIN(Assumptions!$B$36,CM128+CM129),0)</f>
        <v>0</v>
      </c>
      <c r="CN130" s="3">
        <f>IF(AND(87&gt;=Assumptions!$B$37,CN128+CN129&gt;0),-MIN(Assumptions!$B$36,CN128+CN129),0)</f>
        <v>0</v>
      </c>
      <c r="CO130" s="3">
        <f>IF(AND(88&gt;=Assumptions!$B$37,CO128+CO129&gt;0),-MIN(Assumptions!$B$36,CO128+CO129),0)</f>
        <v>0</v>
      </c>
      <c r="CP130" s="3">
        <f>IF(AND(89&gt;=Assumptions!$B$37,CP128+CP129&gt;0),-MIN(Assumptions!$B$36,CP128+CP129),0)</f>
        <v>0</v>
      </c>
      <c r="CQ130" s="3">
        <f>IF(AND(90&gt;=Assumptions!$B$37,CQ128+CQ129&gt;0),-MIN(Assumptions!$B$36,CQ128+CQ129),0)</f>
        <v>0</v>
      </c>
      <c r="CR130" s="3">
        <f>IF(AND(91&gt;=Assumptions!$B$37,CR128+CR129&gt;0),-MIN(Assumptions!$B$36,CR128+CR129),0)</f>
        <v>0</v>
      </c>
      <c r="CS130" s="3">
        <f>IF(AND(92&gt;=Assumptions!$B$37,CS128+CS129&gt;0),-MIN(Assumptions!$B$36,CS128+CS129),0)</f>
        <v>0</v>
      </c>
      <c r="CT130" s="3">
        <f>IF(AND(93&gt;=Assumptions!$B$37,CT128+CT129&gt;0),-MIN(Assumptions!$B$36,CT128+CT129),0)</f>
        <v>0</v>
      </c>
      <c r="CU130" s="3">
        <f>IF(AND(94&gt;=Assumptions!$B$37,CU128+CU129&gt;0),-MIN(Assumptions!$B$36,CU128+CU129),0)</f>
        <v>0</v>
      </c>
      <c r="CV130" s="3">
        <f>IF(AND(95&gt;=Assumptions!$B$37,CV128+CV129&gt;0),-MIN(Assumptions!$B$36,CV128+CV129),0)</f>
        <v>0</v>
      </c>
      <c r="CW130" s="3">
        <f>IF(AND(96&gt;=Assumptions!$B$37,CW128+CW129&gt;0),-MIN(Assumptions!$B$36,CW128+CW129),0)</f>
        <v>0</v>
      </c>
      <c r="CX130" s="3">
        <f>IF(AND(97&gt;=Assumptions!$B$37,CX128+CX129&gt;0),-MIN(Assumptions!$B$36,CX128+CX129),0)</f>
        <v>0</v>
      </c>
      <c r="CY130" s="3">
        <f>IF(AND(98&gt;=Assumptions!$B$37,CY128+CY129&gt;0),-MIN(Assumptions!$B$36,CY128+CY129),0)</f>
        <v>0</v>
      </c>
      <c r="CZ130" s="3">
        <f>IF(AND(99&gt;=Assumptions!$B$37,CZ128+CZ129&gt;0),-MIN(Assumptions!$B$36,CZ128+CZ129),0)</f>
        <v>0</v>
      </c>
      <c r="DA130" s="3">
        <f>IF(AND(100&gt;=Assumptions!$B$37,DA128+DA129&gt;0),-MIN(Assumptions!$B$36,DA128+DA129),0)</f>
        <v>0</v>
      </c>
      <c r="DB130" s="3">
        <f>IF(AND(101&gt;=Assumptions!$B$37,DB128+DB129&gt;0),-MIN(Assumptions!$B$36,DB128+DB129),0)</f>
        <v>0</v>
      </c>
      <c r="DC130" s="3">
        <f>IF(AND(102&gt;=Assumptions!$B$37,DC128+DC129&gt;0),-MIN(Assumptions!$B$36,DC128+DC129),0)</f>
        <v>0</v>
      </c>
      <c r="DD130" s="3">
        <f>IF(AND(103&gt;=Assumptions!$B$37,DD128+DD129&gt;0),-MIN(Assumptions!$B$36,DD128+DD129),0)</f>
        <v>0</v>
      </c>
      <c r="DE130" s="3">
        <f>IF(AND(104&gt;=Assumptions!$B$37,DE128+DE129&gt;0),-MIN(Assumptions!$B$36,DE128+DE129),0)</f>
        <v>0</v>
      </c>
      <c r="DF130" s="3">
        <f>IF(AND(105&gt;=Assumptions!$B$37,DF128+DF129&gt;0),-MIN(Assumptions!$B$36,DF128+DF129),0)</f>
        <v>0</v>
      </c>
    </row>
    <row r="131" spans="1:110" ht="15" customHeight="1" x14ac:dyDescent="0.25">
      <c r="A131" s="33" t="s">
        <v>141</v>
      </c>
      <c r="B131" s="19"/>
      <c r="C131" s="34"/>
      <c r="D131" s="34"/>
      <c r="E131" s="34"/>
      <c r="F131" s="34">
        <f t="shared" ref="F131:AK131" si="72">MAX(0,F128+F129+F130)</f>
        <v>1615485</v>
      </c>
      <c r="G131" s="34">
        <f t="shared" si="72"/>
        <v>1615485</v>
      </c>
      <c r="H131" s="34">
        <f t="shared" si="72"/>
        <v>1676065.6875</v>
      </c>
      <c r="I131" s="34">
        <f t="shared" si="72"/>
        <v>1676065.6875</v>
      </c>
      <c r="J131" s="34">
        <f t="shared" si="72"/>
        <v>1676065.6875</v>
      </c>
      <c r="K131" s="34">
        <f t="shared" si="72"/>
        <v>1738918.1507812501</v>
      </c>
      <c r="L131" s="34">
        <f t="shared" si="72"/>
        <v>1608918.1507812501</v>
      </c>
      <c r="M131" s="34">
        <f t="shared" si="72"/>
        <v>1478918.1507812501</v>
      </c>
      <c r="N131" s="34">
        <f t="shared" si="72"/>
        <v>1404377.581435547</v>
      </c>
      <c r="O131" s="34">
        <f t="shared" si="72"/>
        <v>1274377.581435547</v>
      </c>
      <c r="P131" s="34">
        <f t="shared" si="72"/>
        <v>1144377.581435547</v>
      </c>
      <c r="Q131" s="34">
        <f t="shared" si="72"/>
        <v>1057291.74073938</v>
      </c>
      <c r="R131" s="34">
        <f t="shared" si="72"/>
        <v>927291.74073938001</v>
      </c>
      <c r="S131" s="34">
        <f t="shared" si="72"/>
        <v>797291.74073938001</v>
      </c>
      <c r="T131" s="34">
        <f t="shared" si="72"/>
        <v>697190.18101710675</v>
      </c>
      <c r="U131" s="34">
        <f t="shared" si="72"/>
        <v>567190.18101710675</v>
      </c>
      <c r="V131" s="34">
        <f t="shared" si="72"/>
        <v>437190.18101710675</v>
      </c>
      <c r="W131" s="34">
        <f t="shared" si="72"/>
        <v>323584.81280524825</v>
      </c>
      <c r="X131" s="34">
        <f t="shared" si="72"/>
        <v>193584.81280524825</v>
      </c>
      <c r="Y131" s="34">
        <f t="shared" si="72"/>
        <v>63584.81280524825</v>
      </c>
      <c r="Z131" s="34">
        <f t="shared" si="72"/>
        <v>0</v>
      </c>
      <c r="AA131" s="34">
        <f t="shared" si="72"/>
        <v>0</v>
      </c>
      <c r="AB131" s="34">
        <f t="shared" si="72"/>
        <v>0</v>
      </c>
      <c r="AC131" s="34">
        <f t="shared" si="72"/>
        <v>0</v>
      </c>
      <c r="AD131" s="34">
        <f t="shared" si="72"/>
        <v>0</v>
      </c>
      <c r="AE131" s="34">
        <f t="shared" si="72"/>
        <v>0</v>
      </c>
      <c r="AF131" s="34">
        <f t="shared" si="72"/>
        <v>0</v>
      </c>
      <c r="AG131" s="34">
        <f t="shared" si="72"/>
        <v>0</v>
      </c>
      <c r="AH131" s="34">
        <f t="shared" si="72"/>
        <v>0</v>
      </c>
      <c r="AI131" s="34">
        <f t="shared" si="72"/>
        <v>0</v>
      </c>
      <c r="AJ131" s="34">
        <f t="shared" si="72"/>
        <v>0</v>
      </c>
      <c r="AK131" s="34">
        <f t="shared" si="72"/>
        <v>0</v>
      </c>
      <c r="AL131" s="34">
        <f t="shared" ref="AL131:BQ131" si="73">MAX(0,AL128+AL129+AL130)</f>
        <v>0</v>
      </c>
      <c r="AM131" s="34">
        <f t="shared" si="73"/>
        <v>0</v>
      </c>
      <c r="AN131" s="34">
        <f t="shared" si="73"/>
        <v>0</v>
      </c>
      <c r="AO131" s="34">
        <f t="shared" si="73"/>
        <v>0</v>
      </c>
      <c r="AP131" s="34">
        <f t="shared" si="73"/>
        <v>0</v>
      </c>
      <c r="AQ131" s="34">
        <f t="shared" si="73"/>
        <v>0</v>
      </c>
      <c r="AR131" s="34">
        <f t="shared" si="73"/>
        <v>0</v>
      </c>
      <c r="AS131" s="34">
        <f t="shared" si="73"/>
        <v>0</v>
      </c>
      <c r="AT131" s="34">
        <f t="shared" si="73"/>
        <v>0</v>
      </c>
      <c r="AU131" s="34">
        <f t="shared" si="73"/>
        <v>0</v>
      </c>
      <c r="AV131" s="34">
        <f t="shared" si="73"/>
        <v>0</v>
      </c>
      <c r="AW131" s="34">
        <f t="shared" si="73"/>
        <v>0</v>
      </c>
      <c r="AX131" s="34">
        <f t="shared" si="73"/>
        <v>0</v>
      </c>
      <c r="AY131" s="34">
        <f t="shared" si="73"/>
        <v>0</v>
      </c>
      <c r="AZ131" s="34">
        <f t="shared" si="73"/>
        <v>0</v>
      </c>
      <c r="BA131" s="34">
        <f t="shared" si="73"/>
        <v>0</v>
      </c>
      <c r="BB131" s="34">
        <f t="shared" si="73"/>
        <v>0</v>
      </c>
      <c r="BC131" s="34">
        <f t="shared" si="73"/>
        <v>0</v>
      </c>
      <c r="BD131" s="34">
        <f t="shared" si="73"/>
        <v>0</v>
      </c>
      <c r="BE131" s="34">
        <f t="shared" si="73"/>
        <v>0</v>
      </c>
      <c r="BF131" s="34">
        <f t="shared" si="73"/>
        <v>0</v>
      </c>
      <c r="BG131" s="34">
        <f t="shared" si="73"/>
        <v>0</v>
      </c>
      <c r="BH131" s="34">
        <f t="shared" si="73"/>
        <v>0</v>
      </c>
      <c r="BI131" s="34">
        <f t="shared" si="73"/>
        <v>0</v>
      </c>
      <c r="BJ131" s="34">
        <f t="shared" si="73"/>
        <v>0</v>
      </c>
      <c r="BK131" s="34">
        <f t="shared" si="73"/>
        <v>0</v>
      </c>
      <c r="BL131" s="34">
        <f t="shared" si="73"/>
        <v>0</v>
      </c>
      <c r="BM131" s="34">
        <f t="shared" si="73"/>
        <v>0</v>
      </c>
      <c r="BN131" s="34">
        <f t="shared" si="73"/>
        <v>0</v>
      </c>
      <c r="BO131" s="34">
        <f t="shared" si="73"/>
        <v>0</v>
      </c>
      <c r="BP131" s="34">
        <f t="shared" si="73"/>
        <v>0</v>
      </c>
      <c r="BQ131" s="34">
        <f t="shared" si="73"/>
        <v>0</v>
      </c>
      <c r="BR131" s="34">
        <f t="shared" ref="BR131:CW131" si="74">MAX(0,BR128+BR129+BR130)</f>
        <v>0</v>
      </c>
      <c r="BS131" s="34">
        <f t="shared" si="74"/>
        <v>0</v>
      </c>
      <c r="BT131" s="34">
        <f t="shared" si="74"/>
        <v>0</v>
      </c>
      <c r="BU131" s="34">
        <f t="shared" si="74"/>
        <v>0</v>
      </c>
      <c r="BV131" s="34">
        <f t="shared" si="74"/>
        <v>0</v>
      </c>
      <c r="BW131" s="34">
        <f t="shared" si="74"/>
        <v>0</v>
      </c>
      <c r="BX131" s="34">
        <f t="shared" si="74"/>
        <v>0</v>
      </c>
      <c r="BY131" s="34">
        <f t="shared" si="74"/>
        <v>0</v>
      </c>
      <c r="BZ131" s="34">
        <f t="shared" si="74"/>
        <v>0</v>
      </c>
      <c r="CA131" s="34">
        <f t="shared" si="74"/>
        <v>0</v>
      </c>
      <c r="CB131" s="34">
        <f t="shared" si="74"/>
        <v>0</v>
      </c>
      <c r="CC131" s="34">
        <f t="shared" si="74"/>
        <v>0</v>
      </c>
      <c r="CD131" s="34">
        <f t="shared" si="74"/>
        <v>0</v>
      </c>
      <c r="CE131" s="34">
        <f t="shared" si="74"/>
        <v>0</v>
      </c>
      <c r="CF131" s="34">
        <f t="shared" si="74"/>
        <v>0</v>
      </c>
      <c r="CG131" s="34">
        <f t="shared" si="74"/>
        <v>0</v>
      </c>
      <c r="CH131" s="34">
        <f t="shared" si="74"/>
        <v>0</v>
      </c>
      <c r="CI131" s="34">
        <f t="shared" si="74"/>
        <v>0</v>
      </c>
      <c r="CJ131" s="34">
        <f t="shared" si="74"/>
        <v>0</v>
      </c>
      <c r="CK131" s="34">
        <f t="shared" si="74"/>
        <v>0</v>
      </c>
      <c r="CL131" s="34">
        <f t="shared" si="74"/>
        <v>0</v>
      </c>
      <c r="CM131" s="34">
        <f t="shared" si="74"/>
        <v>0</v>
      </c>
      <c r="CN131" s="34">
        <f t="shared" si="74"/>
        <v>0</v>
      </c>
      <c r="CO131" s="34">
        <f t="shared" si="74"/>
        <v>0</v>
      </c>
      <c r="CP131" s="34">
        <f t="shared" si="74"/>
        <v>0</v>
      </c>
      <c r="CQ131" s="34">
        <f t="shared" si="74"/>
        <v>0</v>
      </c>
      <c r="CR131" s="34">
        <f t="shared" si="74"/>
        <v>0</v>
      </c>
      <c r="CS131" s="34">
        <f t="shared" si="74"/>
        <v>0</v>
      </c>
      <c r="CT131" s="34">
        <f t="shared" si="74"/>
        <v>0</v>
      </c>
      <c r="CU131" s="34">
        <f t="shared" si="74"/>
        <v>0</v>
      </c>
      <c r="CV131" s="34">
        <f t="shared" si="74"/>
        <v>0</v>
      </c>
      <c r="CW131" s="34">
        <f t="shared" si="74"/>
        <v>0</v>
      </c>
      <c r="CX131" s="34">
        <f t="shared" ref="CX131:EC131" si="75">MAX(0,CX128+CX129+CX130)</f>
        <v>0</v>
      </c>
      <c r="CY131" s="34">
        <f t="shared" si="75"/>
        <v>0</v>
      </c>
      <c r="CZ131" s="34">
        <f t="shared" si="75"/>
        <v>0</v>
      </c>
      <c r="DA131" s="34">
        <f t="shared" si="75"/>
        <v>0</v>
      </c>
      <c r="DB131" s="34">
        <f t="shared" si="75"/>
        <v>0</v>
      </c>
      <c r="DC131" s="34">
        <f t="shared" si="75"/>
        <v>0</v>
      </c>
      <c r="DD131" s="34">
        <f t="shared" si="75"/>
        <v>0</v>
      </c>
      <c r="DE131" s="34">
        <f t="shared" si="75"/>
        <v>0</v>
      </c>
      <c r="DF131" s="34">
        <f t="shared" si="75"/>
        <v>0</v>
      </c>
    </row>
    <row r="132" spans="1:110" ht="13.5" customHeight="1" x14ac:dyDescent="0.25">
      <c r="A132" s="302"/>
      <c r="B132" s="30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</row>
    <row r="133" spans="1:110" ht="16.5" customHeight="1" x14ac:dyDescent="0.25">
      <c r="A133" s="302"/>
      <c r="B133" s="30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</row>
    <row r="134" spans="1:110" ht="15" customHeight="1" x14ac:dyDescent="0.25">
      <c r="A134" s="318" t="s">
        <v>142</v>
      </c>
      <c r="B134" s="318"/>
      <c r="C134" s="319"/>
      <c r="D134" s="319"/>
      <c r="E134" s="319"/>
      <c r="F134" s="319"/>
      <c r="G134" s="319"/>
      <c r="H134" s="319"/>
      <c r="I134" s="319"/>
      <c r="J134" s="319"/>
      <c r="K134" s="319"/>
      <c r="L134" s="319"/>
      <c r="M134" s="319"/>
      <c r="N134" s="319"/>
      <c r="O134" s="319"/>
      <c r="P134" s="319"/>
      <c r="Q134" s="319"/>
      <c r="R134" s="319"/>
      <c r="S134" s="319"/>
      <c r="T134" s="319"/>
      <c r="U134" s="319"/>
      <c r="V134" s="319"/>
      <c r="W134" s="319"/>
      <c r="X134" s="319"/>
      <c r="Y134" s="319"/>
      <c r="Z134" s="319"/>
      <c r="AA134" s="319"/>
      <c r="AB134" s="319"/>
      <c r="AC134" s="319"/>
      <c r="AD134" s="319"/>
      <c r="AE134" s="319"/>
      <c r="AF134" s="319"/>
      <c r="AG134" s="319"/>
      <c r="AH134" s="319"/>
      <c r="AI134" s="319"/>
      <c r="AJ134" s="319"/>
      <c r="AK134" s="319"/>
      <c r="AL134" s="319"/>
      <c r="AM134" s="319"/>
      <c r="AN134" s="319"/>
      <c r="AO134" s="319"/>
      <c r="AP134" s="319"/>
      <c r="AQ134" s="319"/>
      <c r="AR134" s="319"/>
      <c r="AS134" s="319"/>
      <c r="AT134" s="319"/>
      <c r="AU134" s="319"/>
      <c r="AV134" s="319"/>
      <c r="AW134" s="319"/>
      <c r="AX134" s="319"/>
      <c r="AY134" s="319"/>
      <c r="AZ134" s="319"/>
      <c r="BA134" s="319"/>
      <c r="BB134" s="319"/>
      <c r="BC134" s="319"/>
      <c r="BD134" s="319"/>
      <c r="BE134" s="319"/>
      <c r="BF134" s="319"/>
      <c r="BG134" s="319"/>
      <c r="BH134" s="319"/>
      <c r="BI134" s="319"/>
      <c r="BJ134" s="319"/>
      <c r="BK134" s="319"/>
      <c r="BL134" s="319"/>
      <c r="BM134" s="319"/>
      <c r="BN134" s="319"/>
      <c r="BO134" s="319"/>
      <c r="BP134" s="319"/>
      <c r="BQ134" s="319"/>
      <c r="BR134" s="319"/>
      <c r="BS134" s="319"/>
      <c r="BT134" s="319"/>
      <c r="BU134" s="319"/>
      <c r="BV134" s="319"/>
      <c r="BW134" s="319"/>
      <c r="BX134" s="319"/>
      <c r="BY134" s="319"/>
      <c r="BZ134" s="319"/>
      <c r="CA134" s="319"/>
      <c r="CB134" s="319"/>
      <c r="CC134" s="319"/>
      <c r="CD134" s="319"/>
      <c r="CE134" s="319"/>
      <c r="CF134" s="319"/>
      <c r="CG134" s="319"/>
      <c r="CH134" s="319"/>
      <c r="CI134" s="319"/>
      <c r="CJ134" s="319"/>
      <c r="CK134" s="319"/>
      <c r="CL134" s="319"/>
      <c r="CM134" s="319"/>
      <c r="CN134" s="319"/>
      <c r="CO134" s="319"/>
      <c r="CP134" s="319"/>
      <c r="CQ134" s="319"/>
      <c r="CR134" s="319"/>
      <c r="CS134" s="319"/>
      <c r="CT134" s="319"/>
      <c r="CU134" s="319"/>
      <c r="CV134" s="319"/>
      <c r="CW134" s="319"/>
      <c r="CX134" s="319"/>
      <c r="CY134" s="319"/>
      <c r="CZ134" s="319"/>
      <c r="DA134" s="319"/>
      <c r="DB134" s="319"/>
      <c r="DC134" s="319"/>
      <c r="DD134" s="319"/>
      <c r="DE134" s="319"/>
      <c r="DF134" s="319"/>
    </row>
    <row r="135" spans="1:110" ht="15" customHeight="1" x14ac:dyDescent="0.25">
      <c r="A135" s="13" t="s">
        <v>138</v>
      </c>
      <c r="B135" s="302"/>
      <c r="C135" s="3"/>
      <c r="D135" s="3"/>
      <c r="E135" s="3"/>
      <c r="F135" s="3">
        <f>Assumptions!$B$41</f>
        <v>1000000</v>
      </c>
      <c r="G135" s="3">
        <f t="shared" ref="G135:AL135" si="76">F137</f>
        <v>1000000</v>
      </c>
      <c r="H135" s="3">
        <f t="shared" si="76"/>
        <v>1000000</v>
      </c>
      <c r="I135" s="3">
        <f t="shared" si="76"/>
        <v>1000000</v>
      </c>
      <c r="J135" s="3">
        <f t="shared" si="76"/>
        <v>1000000</v>
      </c>
      <c r="K135" s="3">
        <f t="shared" si="76"/>
        <v>1000000</v>
      </c>
      <c r="L135" s="3">
        <f t="shared" si="76"/>
        <v>1000000</v>
      </c>
      <c r="M135" s="3">
        <f t="shared" si="76"/>
        <v>1000000</v>
      </c>
      <c r="N135" s="3">
        <f t="shared" si="76"/>
        <v>1000000</v>
      </c>
      <c r="O135" s="3">
        <f t="shared" si="76"/>
        <v>1000000</v>
      </c>
      <c r="P135" s="3">
        <f t="shared" si="76"/>
        <v>1000000</v>
      </c>
      <c r="Q135" s="3">
        <f t="shared" ca="1" si="76"/>
        <v>750000</v>
      </c>
      <c r="R135" s="3">
        <f t="shared" ca="1" si="76"/>
        <v>750000</v>
      </c>
      <c r="S135" s="3">
        <f t="shared" ca="1" si="76"/>
        <v>750000</v>
      </c>
      <c r="T135" s="3">
        <f t="shared" ca="1" si="76"/>
        <v>750000</v>
      </c>
      <c r="U135" s="3">
        <f t="shared" ca="1" si="76"/>
        <v>750000</v>
      </c>
      <c r="V135" s="3">
        <f t="shared" ca="1" si="76"/>
        <v>750000</v>
      </c>
      <c r="W135" s="3">
        <f t="shared" ca="1" si="76"/>
        <v>750000</v>
      </c>
      <c r="X135" s="3">
        <f t="shared" ca="1" si="76"/>
        <v>750000</v>
      </c>
      <c r="Y135" s="3">
        <f t="shared" ca="1" si="76"/>
        <v>750000</v>
      </c>
      <c r="Z135" s="3">
        <f t="shared" ca="1" si="76"/>
        <v>750000</v>
      </c>
      <c r="AA135" s="3">
        <f t="shared" ca="1" si="76"/>
        <v>750000</v>
      </c>
      <c r="AB135" s="3">
        <f t="shared" ca="1" si="76"/>
        <v>750000</v>
      </c>
      <c r="AC135" s="3">
        <f t="shared" ca="1" si="76"/>
        <v>500000</v>
      </c>
      <c r="AD135" s="3">
        <f t="shared" ca="1" si="76"/>
        <v>500000</v>
      </c>
      <c r="AE135" s="3">
        <f t="shared" ca="1" si="76"/>
        <v>500000</v>
      </c>
      <c r="AF135" s="3">
        <f t="shared" ca="1" si="76"/>
        <v>500000</v>
      </c>
      <c r="AG135" s="3">
        <f t="shared" ca="1" si="76"/>
        <v>500000</v>
      </c>
      <c r="AH135" s="3">
        <f t="shared" ca="1" si="76"/>
        <v>500000</v>
      </c>
      <c r="AI135" s="3">
        <f t="shared" ca="1" si="76"/>
        <v>500000</v>
      </c>
      <c r="AJ135" s="3">
        <f t="shared" ca="1" si="76"/>
        <v>500000</v>
      </c>
      <c r="AK135" s="3">
        <f t="shared" ca="1" si="76"/>
        <v>500000</v>
      </c>
      <c r="AL135" s="3">
        <f t="shared" ca="1" si="76"/>
        <v>500000</v>
      </c>
      <c r="AM135" s="3">
        <f t="shared" ref="AM135:BR135" ca="1" si="77">AL137</f>
        <v>500000</v>
      </c>
      <c r="AN135" s="3">
        <f t="shared" ca="1" si="77"/>
        <v>500000</v>
      </c>
      <c r="AO135" s="3">
        <f t="shared" ca="1" si="77"/>
        <v>250000</v>
      </c>
      <c r="AP135" s="3">
        <f t="shared" ca="1" si="77"/>
        <v>250000</v>
      </c>
      <c r="AQ135" s="3">
        <f t="shared" ca="1" si="77"/>
        <v>250000</v>
      </c>
      <c r="AR135" s="3">
        <f t="shared" ca="1" si="77"/>
        <v>250000</v>
      </c>
      <c r="AS135" s="3">
        <f t="shared" ca="1" si="77"/>
        <v>250000</v>
      </c>
      <c r="AT135" s="3">
        <f t="shared" ca="1" si="77"/>
        <v>250000</v>
      </c>
      <c r="AU135" s="3">
        <f t="shared" ca="1" si="77"/>
        <v>250000</v>
      </c>
      <c r="AV135" s="3">
        <f t="shared" ca="1" si="77"/>
        <v>250000</v>
      </c>
      <c r="AW135" s="3">
        <f t="shared" ca="1" si="77"/>
        <v>250000</v>
      </c>
      <c r="AX135" s="3">
        <f t="shared" ca="1" si="77"/>
        <v>250000</v>
      </c>
      <c r="AY135" s="3">
        <f t="shared" ca="1" si="77"/>
        <v>250000</v>
      </c>
      <c r="AZ135" s="3">
        <f t="shared" ca="1" si="77"/>
        <v>250000</v>
      </c>
      <c r="BA135" s="3">
        <f t="shared" ca="1" si="77"/>
        <v>0</v>
      </c>
      <c r="BB135" s="3">
        <f t="shared" ca="1" si="77"/>
        <v>0</v>
      </c>
      <c r="BC135" s="3">
        <f t="shared" ca="1" si="77"/>
        <v>0</v>
      </c>
      <c r="BD135" s="3">
        <f t="shared" ca="1" si="77"/>
        <v>0</v>
      </c>
      <c r="BE135" s="3">
        <f t="shared" ca="1" si="77"/>
        <v>0</v>
      </c>
      <c r="BF135" s="3">
        <f t="shared" ca="1" si="77"/>
        <v>0</v>
      </c>
      <c r="BG135" s="3">
        <f t="shared" ca="1" si="77"/>
        <v>0</v>
      </c>
      <c r="BH135" s="3">
        <f t="shared" ca="1" si="77"/>
        <v>0</v>
      </c>
      <c r="BI135" s="3">
        <f t="shared" ca="1" si="77"/>
        <v>0</v>
      </c>
      <c r="BJ135" s="3">
        <f t="shared" ca="1" si="77"/>
        <v>0</v>
      </c>
      <c r="BK135" s="3">
        <f t="shared" ca="1" si="77"/>
        <v>0</v>
      </c>
      <c r="BL135" s="3">
        <f t="shared" ca="1" si="77"/>
        <v>0</v>
      </c>
      <c r="BM135" s="3">
        <f t="shared" ca="1" si="77"/>
        <v>0</v>
      </c>
      <c r="BN135" s="3">
        <f t="shared" ca="1" si="77"/>
        <v>0</v>
      </c>
      <c r="BO135" s="3">
        <f t="shared" ca="1" si="77"/>
        <v>0</v>
      </c>
      <c r="BP135" s="3">
        <f t="shared" ca="1" si="77"/>
        <v>0</v>
      </c>
      <c r="BQ135" s="3">
        <f t="shared" ca="1" si="77"/>
        <v>0</v>
      </c>
      <c r="BR135" s="3">
        <f t="shared" ca="1" si="77"/>
        <v>0</v>
      </c>
      <c r="BS135" s="3">
        <f t="shared" ref="BS135:CX135" ca="1" si="78">BR137</f>
        <v>0</v>
      </c>
      <c r="BT135" s="3">
        <f t="shared" ca="1" si="78"/>
        <v>0</v>
      </c>
      <c r="BU135" s="3">
        <f t="shared" ca="1" si="78"/>
        <v>0</v>
      </c>
      <c r="BV135" s="3">
        <f t="shared" ca="1" si="78"/>
        <v>0</v>
      </c>
      <c r="BW135" s="3">
        <f t="shared" ca="1" si="78"/>
        <v>0</v>
      </c>
      <c r="BX135" s="3">
        <f t="shared" ca="1" si="78"/>
        <v>0</v>
      </c>
      <c r="BY135" s="3">
        <f t="shared" ca="1" si="78"/>
        <v>0</v>
      </c>
      <c r="BZ135" s="3">
        <f t="shared" ca="1" si="78"/>
        <v>0</v>
      </c>
      <c r="CA135" s="3">
        <f t="shared" ca="1" si="78"/>
        <v>0</v>
      </c>
      <c r="CB135" s="3">
        <f t="shared" ca="1" si="78"/>
        <v>0</v>
      </c>
      <c r="CC135" s="3">
        <f t="shared" ca="1" si="78"/>
        <v>0</v>
      </c>
      <c r="CD135" s="3">
        <f t="shared" ca="1" si="78"/>
        <v>0</v>
      </c>
      <c r="CE135" s="3">
        <f t="shared" ca="1" si="78"/>
        <v>0</v>
      </c>
      <c r="CF135" s="3">
        <f t="shared" ca="1" si="78"/>
        <v>0</v>
      </c>
      <c r="CG135" s="3">
        <f t="shared" ca="1" si="78"/>
        <v>0</v>
      </c>
      <c r="CH135" s="3">
        <f t="shared" ca="1" si="78"/>
        <v>0</v>
      </c>
      <c r="CI135" s="3">
        <f t="shared" ca="1" si="78"/>
        <v>0</v>
      </c>
      <c r="CJ135" s="3">
        <f t="shared" ca="1" si="78"/>
        <v>0</v>
      </c>
      <c r="CK135" s="3">
        <f t="shared" ca="1" si="78"/>
        <v>0</v>
      </c>
      <c r="CL135" s="3">
        <f t="shared" ca="1" si="78"/>
        <v>0</v>
      </c>
      <c r="CM135" s="3">
        <f t="shared" ca="1" si="78"/>
        <v>0</v>
      </c>
      <c r="CN135" s="3">
        <f t="shared" ca="1" si="78"/>
        <v>0</v>
      </c>
      <c r="CO135" s="3">
        <f t="shared" ca="1" si="78"/>
        <v>0</v>
      </c>
      <c r="CP135" s="3">
        <f t="shared" ca="1" si="78"/>
        <v>0</v>
      </c>
      <c r="CQ135" s="3">
        <f t="shared" ca="1" si="78"/>
        <v>0</v>
      </c>
      <c r="CR135" s="3">
        <f t="shared" ca="1" si="78"/>
        <v>0</v>
      </c>
      <c r="CS135" s="3">
        <f t="shared" ca="1" si="78"/>
        <v>0</v>
      </c>
      <c r="CT135" s="3">
        <f t="shared" ca="1" si="78"/>
        <v>0</v>
      </c>
      <c r="CU135" s="3">
        <f t="shared" ca="1" si="78"/>
        <v>0</v>
      </c>
      <c r="CV135" s="3">
        <f t="shared" ca="1" si="78"/>
        <v>0</v>
      </c>
      <c r="CW135" s="3">
        <f t="shared" ca="1" si="78"/>
        <v>0</v>
      </c>
      <c r="CX135" s="3">
        <f t="shared" ca="1" si="78"/>
        <v>0</v>
      </c>
      <c r="CY135" s="3">
        <f t="shared" ref="CY135:DF135" ca="1" si="79">CX137</f>
        <v>0</v>
      </c>
      <c r="CZ135" s="3">
        <f t="shared" ca="1" si="79"/>
        <v>0</v>
      </c>
      <c r="DA135" s="3">
        <f t="shared" ca="1" si="79"/>
        <v>0</v>
      </c>
      <c r="DB135" s="3">
        <f t="shared" ca="1" si="79"/>
        <v>0</v>
      </c>
      <c r="DC135" s="3">
        <f t="shared" ca="1" si="79"/>
        <v>0</v>
      </c>
      <c r="DD135" s="3">
        <f t="shared" ca="1" si="79"/>
        <v>0</v>
      </c>
      <c r="DE135" s="3">
        <f t="shared" ca="1" si="79"/>
        <v>0</v>
      </c>
      <c r="DF135" s="3">
        <f t="shared" ca="1" si="79"/>
        <v>0</v>
      </c>
    </row>
    <row r="136" spans="1:110" ht="15" customHeight="1" x14ac:dyDescent="0.25">
      <c r="A136" s="13" t="s">
        <v>143</v>
      </c>
      <c r="B136" s="302"/>
      <c r="C136" s="3"/>
      <c r="D136" s="3"/>
      <c r="E136" s="3"/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f ca="1">IF(AND(P135&gt;0,SUM(F122:N122)&gt;=Assumptions!$B$43),-MIN(Assumptions!$B$42,P135),0)</f>
        <v>-250000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f ca="1">IF(AND(AB135&gt;0,SUM(O122:Z122)&gt;=Assumptions!$B$43),-MIN(Assumptions!$B$42,AB135),0)</f>
        <v>-250000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f ca="1">IF(AND(AN135&gt;0,SUM(AA122:AL122)&gt;=Assumptions!$B$43),-MIN(Assumptions!$B$42,AN135),0)</f>
        <v>-250000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f ca="1">IF(AND(AZ135&gt;0,SUM(AM122:AX122)&gt;=Assumptions!$B$43),-MIN(Assumptions!$B$42,AZ135),0)</f>
        <v>-250000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f ca="1">IF(AND(BL135&gt;0,SUM(AY122:BJ122)&gt;=Assumptions!$B$43),-MIN(Assumptions!$B$42,BL135),0)</f>
        <v>0</v>
      </c>
      <c r="BM136" s="3">
        <v>0</v>
      </c>
      <c r="BN136" s="3">
        <v>0</v>
      </c>
      <c r="BO136" s="3">
        <v>0</v>
      </c>
      <c r="BP136" s="3">
        <v>0</v>
      </c>
      <c r="BQ136" s="3">
        <v>0</v>
      </c>
      <c r="BR136" s="3">
        <v>0</v>
      </c>
      <c r="BS136" s="3">
        <v>0</v>
      </c>
      <c r="BT136" s="3">
        <v>0</v>
      </c>
      <c r="BU136" s="3">
        <v>0</v>
      </c>
      <c r="BV136" s="3">
        <v>0</v>
      </c>
      <c r="BW136" s="3">
        <v>0</v>
      </c>
      <c r="BX136" s="3">
        <f ca="1">IF(AND(BX135&gt;0,SUM(BK122:BV122)&gt;=Assumptions!$B$43),-MIN(Assumptions!$B$42,BX135),0)</f>
        <v>0</v>
      </c>
      <c r="BY136" s="3">
        <v>0</v>
      </c>
      <c r="BZ136" s="3">
        <v>0</v>
      </c>
      <c r="CA136" s="3">
        <v>0</v>
      </c>
      <c r="CB136" s="3">
        <v>0</v>
      </c>
      <c r="CC136" s="3">
        <v>0</v>
      </c>
      <c r="CD136" s="3">
        <v>0</v>
      </c>
      <c r="CE136" s="3">
        <v>0</v>
      </c>
      <c r="CF136" s="3">
        <v>0</v>
      </c>
      <c r="CG136" s="3">
        <v>0</v>
      </c>
      <c r="CH136" s="3">
        <v>0</v>
      </c>
      <c r="CI136" s="3">
        <v>0</v>
      </c>
      <c r="CJ136" s="3">
        <f ca="1">IF(AND(CJ135&gt;0,SUM(BW122:CH122)&gt;=Assumptions!$B$43),-MIN(Assumptions!$B$42,CJ135),0)</f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0</v>
      </c>
      <c r="CS136" s="3">
        <v>0</v>
      </c>
      <c r="CT136" s="3">
        <v>0</v>
      </c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</row>
    <row r="137" spans="1:110" ht="15" customHeight="1" x14ac:dyDescent="0.25">
      <c r="A137" s="33" t="s">
        <v>141</v>
      </c>
      <c r="B137" s="19"/>
      <c r="C137" s="34"/>
      <c r="D137" s="34"/>
      <c r="E137" s="34"/>
      <c r="F137" s="34">
        <f t="shared" ref="F137:AK137" si="80">MAX(0,F135+F136)</f>
        <v>1000000</v>
      </c>
      <c r="G137" s="34">
        <f t="shared" si="80"/>
        <v>1000000</v>
      </c>
      <c r="H137" s="34">
        <f t="shared" si="80"/>
        <v>1000000</v>
      </c>
      <c r="I137" s="34">
        <f t="shared" si="80"/>
        <v>1000000</v>
      </c>
      <c r="J137" s="34">
        <f t="shared" si="80"/>
        <v>1000000</v>
      </c>
      <c r="K137" s="34">
        <f t="shared" si="80"/>
        <v>1000000</v>
      </c>
      <c r="L137" s="34">
        <f t="shared" si="80"/>
        <v>1000000</v>
      </c>
      <c r="M137" s="34">
        <f t="shared" si="80"/>
        <v>1000000</v>
      </c>
      <c r="N137" s="34">
        <f t="shared" si="80"/>
        <v>1000000</v>
      </c>
      <c r="O137" s="34">
        <f t="shared" si="80"/>
        <v>1000000</v>
      </c>
      <c r="P137" s="34">
        <f t="shared" ca="1" si="80"/>
        <v>750000</v>
      </c>
      <c r="Q137" s="34">
        <f t="shared" ca="1" si="80"/>
        <v>750000</v>
      </c>
      <c r="R137" s="34">
        <f t="shared" ca="1" si="80"/>
        <v>750000</v>
      </c>
      <c r="S137" s="34">
        <f t="shared" ca="1" si="80"/>
        <v>750000</v>
      </c>
      <c r="T137" s="34">
        <f t="shared" ca="1" si="80"/>
        <v>750000</v>
      </c>
      <c r="U137" s="34">
        <f t="shared" ca="1" si="80"/>
        <v>750000</v>
      </c>
      <c r="V137" s="34">
        <f t="shared" ca="1" si="80"/>
        <v>750000</v>
      </c>
      <c r="W137" s="34">
        <f t="shared" ca="1" si="80"/>
        <v>750000</v>
      </c>
      <c r="X137" s="34">
        <f t="shared" ca="1" si="80"/>
        <v>750000</v>
      </c>
      <c r="Y137" s="34">
        <f t="shared" ca="1" si="80"/>
        <v>750000</v>
      </c>
      <c r="Z137" s="34">
        <f t="shared" ca="1" si="80"/>
        <v>750000</v>
      </c>
      <c r="AA137" s="34">
        <f t="shared" ca="1" si="80"/>
        <v>750000</v>
      </c>
      <c r="AB137" s="34">
        <f t="shared" ca="1" si="80"/>
        <v>500000</v>
      </c>
      <c r="AC137" s="34">
        <f t="shared" ca="1" si="80"/>
        <v>500000</v>
      </c>
      <c r="AD137" s="34">
        <f t="shared" ca="1" si="80"/>
        <v>500000</v>
      </c>
      <c r="AE137" s="34">
        <f t="shared" ca="1" si="80"/>
        <v>500000</v>
      </c>
      <c r="AF137" s="34">
        <f t="shared" ca="1" si="80"/>
        <v>500000</v>
      </c>
      <c r="AG137" s="34">
        <f t="shared" ca="1" si="80"/>
        <v>500000</v>
      </c>
      <c r="AH137" s="34">
        <f t="shared" ca="1" si="80"/>
        <v>500000</v>
      </c>
      <c r="AI137" s="34">
        <f t="shared" ca="1" si="80"/>
        <v>500000</v>
      </c>
      <c r="AJ137" s="34">
        <f t="shared" ca="1" si="80"/>
        <v>500000</v>
      </c>
      <c r="AK137" s="34">
        <f t="shared" ca="1" si="80"/>
        <v>500000</v>
      </c>
      <c r="AL137" s="34">
        <f t="shared" ref="AL137:BQ137" ca="1" si="81">MAX(0,AL135+AL136)</f>
        <v>500000</v>
      </c>
      <c r="AM137" s="34">
        <f t="shared" ca="1" si="81"/>
        <v>500000</v>
      </c>
      <c r="AN137" s="34">
        <f t="shared" ca="1" si="81"/>
        <v>250000</v>
      </c>
      <c r="AO137" s="34">
        <f t="shared" ca="1" si="81"/>
        <v>250000</v>
      </c>
      <c r="AP137" s="34">
        <f t="shared" ca="1" si="81"/>
        <v>250000</v>
      </c>
      <c r="AQ137" s="34">
        <f t="shared" ca="1" si="81"/>
        <v>250000</v>
      </c>
      <c r="AR137" s="34">
        <f t="shared" ca="1" si="81"/>
        <v>250000</v>
      </c>
      <c r="AS137" s="34">
        <f t="shared" ca="1" si="81"/>
        <v>250000</v>
      </c>
      <c r="AT137" s="34">
        <f t="shared" ca="1" si="81"/>
        <v>250000</v>
      </c>
      <c r="AU137" s="34">
        <f t="shared" ca="1" si="81"/>
        <v>250000</v>
      </c>
      <c r="AV137" s="34">
        <f t="shared" ca="1" si="81"/>
        <v>250000</v>
      </c>
      <c r="AW137" s="34">
        <f t="shared" ca="1" si="81"/>
        <v>250000</v>
      </c>
      <c r="AX137" s="34">
        <f t="shared" ca="1" si="81"/>
        <v>250000</v>
      </c>
      <c r="AY137" s="34">
        <f t="shared" ca="1" si="81"/>
        <v>250000</v>
      </c>
      <c r="AZ137" s="34">
        <f t="shared" ca="1" si="81"/>
        <v>0</v>
      </c>
      <c r="BA137" s="34">
        <f t="shared" ca="1" si="81"/>
        <v>0</v>
      </c>
      <c r="BB137" s="34">
        <f t="shared" ca="1" si="81"/>
        <v>0</v>
      </c>
      <c r="BC137" s="34">
        <f t="shared" ca="1" si="81"/>
        <v>0</v>
      </c>
      <c r="BD137" s="34">
        <f t="shared" ca="1" si="81"/>
        <v>0</v>
      </c>
      <c r="BE137" s="34">
        <f t="shared" ca="1" si="81"/>
        <v>0</v>
      </c>
      <c r="BF137" s="34">
        <f t="shared" ca="1" si="81"/>
        <v>0</v>
      </c>
      <c r="BG137" s="34">
        <f t="shared" ca="1" si="81"/>
        <v>0</v>
      </c>
      <c r="BH137" s="34">
        <f t="shared" ca="1" si="81"/>
        <v>0</v>
      </c>
      <c r="BI137" s="34">
        <f t="shared" ca="1" si="81"/>
        <v>0</v>
      </c>
      <c r="BJ137" s="34">
        <f t="shared" ca="1" si="81"/>
        <v>0</v>
      </c>
      <c r="BK137" s="34">
        <f t="shared" ca="1" si="81"/>
        <v>0</v>
      </c>
      <c r="BL137" s="34">
        <f t="shared" ca="1" si="81"/>
        <v>0</v>
      </c>
      <c r="BM137" s="34">
        <f t="shared" ca="1" si="81"/>
        <v>0</v>
      </c>
      <c r="BN137" s="34">
        <f t="shared" ca="1" si="81"/>
        <v>0</v>
      </c>
      <c r="BO137" s="34">
        <f t="shared" ca="1" si="81"/>
        <v>0</v>
      </c>
      <c r="BP137" s="34">
        <f t="shared" ca="1" si="81"/>
        <v>0</v>
      </c>
      <c r="BQ137" s="34">
        <f t="shared" ca="1" si="81"/>
        <v>0</v>
      </c>
      <c r="BR137" s="34">
        <f t="shared" ref="BR137:CW137" ca="1" si="82">MAX(0,BR135+BR136)</f>
        <v>0</v>
      </c>
      <c r="BS137" s="34">
        <f t="shared" ca="1" si="82"/>
        <v>0</v>
      </c>
      <c r="BT137" s="34">
        <f t="shared" ca="1" si="82"/>
        <v>0</v>
      </c>
      <c r="BU137" s="34">
        <f t="shared" ca="1" si="82"/>
        <v>0</v>
      </c>
      <c r="BV137" s="34">
        <f t="shared" ca="1" si="82"/>
        <v>0</v>
      </c>
      <c r="BW137" s="34">
        <f t="shared" ca="1" si="82"/>
        <v>0</v>
      </c>
      <c r="BX137" s="34">
        <f t="shared" ca="1" si="82"/>
        <v>0</v>
      </c>
      <c r="BY137" s="34">
        <f t="shared" ca="1" si="82"/>
        <v>0</v>
      </c>
      <c r="BZ137" s="34">
        <f t="shared" ca="1" si="82"/>
        <v>0</v>
      </c>
      <c r="CA137" s="34">
        <f t="shared" ca="1" si="82"/>
        <v>0</v>
      </c>
      <c r="CB137" s="34">
        <f t="shared" ca="1" si="82"/>
        <v>0</v>
      </c>
      <c r="CC137" s="34">
        <f t="shared" ca="1" si="82"/>
        <v>0</v>
      </c>
      <c r="CD137" s="34">
        <f t="shared" ca="1" si="82"/>
        <v>0</v>
      </c>
      <c r="CE137" s="34">
        <f t="shared" ca="1" si="82"/>
        <v>0</v>
      </c>
      <c r="CF137" s="34">
        <f t="shared" ca="1" si="82"/>
        <v>0</v>
      </c>
      <c r="CG137" s="34">
        <f t="shared" ca="1" si="82"/>
        <v>0</v>
      </c>
      <c r="CH137" s="34">
        <f t="shared" ca="1" si="82"/>
        <v>0</v>
      </c>
      <c r="CI137" s="34">
        <f t="shared" ca="1" si="82"/>
        <v>0</v>
      </c>
      <c r="CJ137" s="34">
        <f t="shared" ca="1" si="82"/>
        <v>0</v>
      </c>
      <c r="CK137" s="34">
        <f t="shared" ca="1" si="82"/>
        <v>0</v>
      </c>
      <c r="CL137" s="34">
        <f t="shared" ca="1" si="82"/>
        <v>0</v>
      </c>
      <c r="CM137" s="34">
        <f t="shared" ca="1" si="82"/>
        <v>0</v>
      </c>
      <c r="CN137" s="34">
        <f t="shared" ca="1" si="82"/>
        <v>0</v>
      </c>
      <c r="CO137" s="34">
        <f t="shared" ca="1" si="82"/>
        <v>0</v>
      </c>
      <c r="CP137" s="34">
        <f t="shared" ca="1" si="82"/>
        <v>0</v>
      </c>
      <c r="CQ137" s="34">
        <f t="shared" ca="1" si="82"/>
        <v>0</v>
      </c>
      <c r="CR137" s="34">
        <f t="shared" ca="1" si="82"/>
        <v>0</v>
      </c>
      <c r="CS137" s="34">
        <f t="shared" ca="1" si="82"/>
        <v>0</v>
      </c>
      <c r="CT137" s="34">
        <f t="shared" ca="1" si="82"/>
        <v>0</v>
      </c>
      <c r="CU137" s="34">
        <f t="shared" ca="1" si="82"/>
        <v>0</v>
      </c>
      <c r="CV137" s="34">
        <f t="shared" ca="1" si="82"/>
        <v>0</v>
      </c>
      <c r="CW137" s="34">
        <f t="shared" ca="1" si="82"/>
        <v>0</v>
      </c>
      <c r="CX137" s="34">
        <f t="shared" ref="CX137:EC137" ca="1" si="83">MAX(0,CX135+CX136)</f>
        <v>0</v>
      </c>
      <c r="CY137" s="34">
        <f t="shared" ca="1" si="83"/>
        <v>0</v>
      </c>
      <c r="CZ137" s="34">
        <f t="shared" ca="1" si="83"/>
        <v>0</v>
      </c>
      <c r="DA137" s="34">
        <f t="shared" ca="1" si="83"/>
        <v>0</v>
      </c>
      <c r="DB137" s="34">
        <f t="shared" ca="1" si="83"/>
        <v>0</v>
      </c>
      <c r="DC137" s="34">
        <f t="shared" ca="1" si="83"/>
        <v>0</v>
      </c>
      <c r="DD137" s="34">
        <f t="shared" ca="1" si="83"/>
        <v>0</v>
      </c>
      <c r="DE137" s="34">
        <f t="shared" ca="1" si="83"/>
        <v>0</v>
      </c>
      <c r="DF137" s="34">
        <f t="shared" ca="1" si="83"/>
        <v>0</v>
      </c>
    </row>
    <row r="138" spans="1:110" ht="15" customHeight="1" x14ac:dyDescent="0.25">
      <c r="A138" s="35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1:110" ht="15" customHeight="1" x14ac:dyDescent="0.25">
      <c r="A139" s="303" t="s">
        <v>144</v>
      </c>
      <c r="B139" s="303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  <c r="AA139" s="321"/>
      <c r="AB139" s="321"/>
      <c r="AC139" s="321"/>
      <c r="AD139" s="321"/>
      <c r="AE139" s="321"/>
      <c r="AF139" s="321"/>
      <c r="AG139" s="321"/>
      <c r="AH139" s="321"/>
      <c r="AI139" s="321"/>
      <c r="AJ139" s="321"/>
      <c r="AK139" s="321"/>
      <c r="AL139" s="321"/>
      <c r="AM139" s="321"/>
      <c r="AN139" s="321"/>
      <c r="AO139" s="321"/>
      <c r="AP139" s="321"/>
      <c r="AQ139" s="321"/>
      <c r="AR139" s="321"/>
      <c r="AS139" s="321"/>
      <c r="AT139" s="321"/>
      <c r="AU139" s="321"/>
      <c r="AV139" s="321"/>
      <c r="AW139" s="321"/>
      <c r="AX139" s="321"/>
      <c r="AY139" s="321"/>
      <c r="AZ139" s="321"/>
      <c r="BA139" s="321"/>
      <c r="BB139" s="321"/>
      <c r="BC139" s="321"/>
      <c r="BD139" s="321"/>
      <c r="BE139" s="321"/>
      <c r="BF139" s="321"/>
      <c r="BG139" s="321"/>
      <c r="BH139" s="321"/>
      <c r="BI139" s="321"/>
      <c r="BJ139" s="321"/>
      <c r="BK139" s="321"/>
      <c r="BL139" s="321"/>
      <c r="BM139" s="321"/>
      <c r="BN139" s="321"/>
      <c r="BO139" s="321"/>
      <c r="BP139" s="321"/>
      <c r="BQ139" s="321"/>
      <c r="BR139" s="321"/>
      <c r="BS139" s="321"/>
      <c r="BT139" s="321"/>
      <c r="BU139" s="321"/>
      <c r="BV139" s="321"/>
      <c r="BW139" s="321"/>
      <c r="BX139" s="321"/>
      <c r="BY139" s="321"/>
      <c r="BZ139" s="321"/>
      <c r="CA139" s="321"/>
      <c r="CB139" s="321"/>
      <c r="CC139" s="321"/>
      <c r="CD139" s="321"/>
      <c r="CE139" s="321"/>
      <c r="CF139" s="321"/>
      <c r="CG139" s="321"/>
      <c r="CH139" s="321"/>
      <c r="CI139" s="321"/>
      <c r="CJ139" s="321"/>
      <c r="CK139" s="321"/>
      <c r="CL139" s="321"/>
      <c r="CM139" s="321"/>
      <c r="CN139" s="321"/>
      <c r="CO139" s="321"/>
      <c r="CP139" s="321"/>
      <c r="CQ139" s="321"/>
      <c r="CR139" s="321"/>
      <c r="CS139" s="321"/>
      <c r="CT139" s="321"/>
      <c r="CU139" s="321"/>
      <c r="CV139" s="321"/>
      <c r="CW139" s="321"/>
      <c r="CX139" s="321"/>
      <c r="CY139" s="321"/>
      <c r="CZ139" s="321"/>
      <c r="DA139" s="321"/>
      <c r="DB139" s="321"/>
      <c r="DC139" s="321"/>
      <c r="DD139" s="321"/>
      <c r="DE139" s="321"/>
      <c r="DF139" s="321"/>
    </row>
    <row r="140" spans="1:110" ht="15" customHeight="1" x14ac:dyDescent="0.25">
      <c r="A140" s="13" t="s">
        <v>145</v>
      </c>
      <c r="B140" s="13"/>
      <c r="C140" s="22"/>
      <c r="D140" s="22"/>
      <c r="E140" s="22"/>
      <c r="F140" s="22">
        <f>IF(AND(Projects!$G$11="Yes",Projects!$C$11&lt;=1),Assumptions!$B$60,0)</f>
        <v>0</v>
      </c>
      <c r="G140" s="22">
        <f>IF(AND(Projects!$G$11="Yes",2=Projects!$C$11),Assumptions!$B$60,F144)</f>
        <v>0</v>
      </c>
      <c r="H140" s="22">
        <f>IF(AND(Projects!$G$11="Yes",3=Projects!$C$11),Assumptions!$B$60,G144)</f>
        <v>0</v>
      </c>
      <c r="I140" s="22">
        <f>IF(AND(Projects!$G$11="Yes",4=Projects!$C$11),Assumptions!$B$60,H144)</f>
        <v>0</v>
      </c>
      <c r="J140" s="22">
        <f>IF(AND(Projects!$G$11="Yes",5=Projects!$C$11),Assumptions!$B$60,I144)</f>
        <v>0</v>
      </c>
      <c r="K140" s="22">
        <f>IF(AND(Projects!$G$11="Yes",6=Projects!$C$11),Assumptions!$B$60,J144)</f>
        <v>0</v>
      </c>
      <c r="L140" s="22">
        <f>IF(AND(Projects!$G$11="Yes",7=Projects!$C$11),Assumptions!$B$60,K144)</f>
        <v>0</v>
      </c>
      <c r="M140" s="22">
        <f>IF(AND(Projects!$G$11="Yes",8=Projects!$C$11),Assumptions!$B$60,L144)</f>
        <v>0</v>
      </c>
      <c r="N140" s="22">
        <f>IF(AND(Projects!$G$11="Yes",9=Projects!$C$11),Assumptions!$B$60,M144)</f>
        <v>0</v>
      </c>
      <c r="O140" s="22">
        <f>IF(AND(Projects!$G$11="Yes",10=Projects!$C$11),Assumptions!$B$60,N144)</f>
        <v>0</v>
      </c>
      <c r="P140" s="22">
        <f>IF(AND(Projects!$G$11="Yes",11=Projects!$C$11),Assumptions!$B$60,O144)</f>
        <v>0</v>
      </c>
      <c r="Q140" s="22">
        <f>IF(AND(Projects!$G$11="Yes",12=Projects!$C$11),Assumptions!$B$60,P144)</f>
        <v>0</v>
      </c>
      <c r="R140" s="22">
        <f>IF(AND(Projects!$G$11="Yes",13=Projects!$C$11),Assumptions!$B$60,Q144)</f>
        <v>0</v>
      </c>
      <c r="S140" s="22">
        <f>IF(AND(Projects!$G$11="Yes",14=Projects!$C$11),Assumptions!$B$60,R144)</f>
        <v>0</v>
      </c>
      <c r="T140" s="22">
        <f>IF(AND(Projects!$G$11="Yes",15=Projects!$C$11),Assumptions!$B$60,S144)</f>
        <v>0</v>
      </c>
      <c r="U140" s="22">
        <f>IF(AND(Projects!$G$11="Yes",16=Projects!$C$11),Assumptions!$B$60,T144)</f>
        <v>0</v>
      </c>
      <c r="V140" s="22">
        <f>IF(AND(Projects!$G$11="Yes",17=Projects!$C$11),Assumptions!$B$60,U144)</f>
        <v>0</v>
      </c>
      <c r="W140" s="22">
        <f>IF(AND(Projects!$G$11="Yes",18=Projects!$C$11),Assumptions!$B$60,V144)</f>
        <v>0</v>
      </c>
      <c r="X140" s="22">
        <f>IF(AND(Projects!$G$11="Yes",19=Projects!$C$11),Assumptions!$B$60,W144)</f>
        <v>0</v>
      </c>
      <c r="Y140" s="22">
        <f>IF(AND(Projects!$G$11="Yes",20=Projects!$C$11),Assumptions!$B$60,X144)</f>
        <v>0</v>
      </c>
      <c r="Z140" s="22">
        <f>IF(AND(Projects!$G$11="Yes",21=Projects!$C$11),Assumptions!$B$60,Y144)</f>
        <v>0</v>
      </c>
      <c r="AA140" s="22">
        <f>IF(AND(Projects!$G$11="Yes",22=Projects!$C$11),Assumptions!$B$60,Z144)</f>
        <v>0</v>
      </c>
      <c r="AB140" s="22">
        <f>IF(AND(Projects!$G$11="Yes",23=Projects!$C$11),Assumptions!$B$60,AA144)</f>
        <v>0</v>
      </c>
      <c r="AC140" s="22">
        <f>IF(AND(Projects!$G$11="Yes",24=Projects!$C$11),Assumptions!$B$60,AB144)</f>
        <v>0</v>
      </c>
      <c r="AD140" s="22">
        <f>IF(AND(Projects!$G$11="Yes",25=Projects!$C$11),Assumptions!$B$60,AC144)</f>
        <v>0</v>
      </c>
      <c r="AE140" s="22">
        <f>IF(AND(Projects!$G$11="Yes",26=Projects!$C$11),Assumptions!$B$60,AD144)</f>
        <v>0</v>
      </c>
      <c r="AF140" s="22">
        <f>IF(AND(Projects!$G$11="Yes",27=Projects!$C$11),Assumptions!$B$60,AE144)</f>
        <v>0</v>
      </c>
      <c r="AG140" s="22">
        <f>IF(AND(Projects!$G$11="Yes",28=Projects!$C$11),Assumptions!$B$60,AF144)</f>
        <v>0</v>
      </c>
      <c r="AH140" s="22">
        <f>IF(AND(Projects!$G$11="Yes",29=Projects!$C$11),Assumptions!$B$60,AG144)</f>
        <v>0</v>
      </c>
      <c r="AI140" s="22">
        <f>IF(AND(Projects!$G$11="Yes",30=Projects!$C$11),Assumptions!$B$60,AH144)</f>
        <v>0</v>
      </c>
      <c r="AJ140" s="22">
        <f>IF(AND(Projects!$G$11="Yes",31=Projects!$C$11),Assumptions!$B$60,AI144)</f>
        <v>0</v>
      </c>
      <c r="AK140" s="22">
        <f>IF(AND(Projects!$G$11="Yes",32=Projects!$C$11),Assumptions!$B$60,AJ144)</f>
        <v>0</v>
      </c>
      <c r="AL140" s="22">
        <f>IF(AND(Projects!$G$11="Yes",33=Projects!$C$11),Assumptions!$B$60,AK144)</f>
        <v>0</v>
      </c>
      <c r="AM140" s="22">
        <f>IF(AND(Projects!$G$11="Yes",34=Projects!$C$11),Assumptions!$B$60,AL144)</f>
        <v>0</v>
      </c>
      <c r="AN140" s="22">
        <f>IF(AND(Projects!$G$11="Yes",35=Projects!$C$11),Assumptions!$B$60,AM144)</f>
        <v>0</v>
      </c>
      <c r="AO140" s="22">
        <f>IF(AND(Projects!$G$11="Yes",36=Projects!$C$11),Assumptions!$B$60,AN144)</f>
        <v>0</v>
      </c>
      <c r="AP140" s="22">
        <f>IF(AND(Projects!$G$11="Yes",37=Projects!$C$11),Assumptions!$B$60,AO144)</f>
        <v>0</v>
      </c>
      <c r="AQ140" s="22">
        <f>IF(AND(Projects!$G$11="Yes",38=Projects!$C$11),Assumptions!$B$60,AP144)</f>
        <v>0</v>
      </c>
      <c r="AR140" s="22">
        <f>IF(AND(Projects!$G$11="Yes",39=Projects!$C$11),Assumptions!$B$60,AQ144)</f>
        <v>0</v>
      </c>
      <c r="AS140" s="22">
        <f>IF(AND(Projects!$G$11="Yes",40=Projects!$C$11),Assumptions!$B$60,AR144)</f>
        <v>0</v>
      </c>
      <c r="AT140" s="22">
        <f>IF(AND(Projects!$G$11="Yes",41=Projects!$C$11),Assumptions!$B$60,AS144)</f>
        <v>0</v>
      </c>
      <c r="AU140" s="22">
        <f>IF(AND(Projects!$G$11="Yes",42=Projects!$C$11),Assumptions!$B$60,AT144)</f>
        <v>0</v>
      </c>
      <c r="AV140" s="22">
        <f>IF(AND(Projects!$G$11="Yes",43=Projects!$C$11),Assumptions!$B$60,AU144)</f>
        <v>0</v>
      </c>
      <c r="AW140" s="22">
        <f>IF(AND(Projects!$G$11="Yes",44=Projects!$C$11),Assumptions!$B$60,AV144)</f>
        <v>0</v>
      </c>
      <c r="AX140" s="22">
        <f>IF(AND(Projects!$G$11="Yes",45=Projects!$C$11),Assumptions!$B$60,AW144)</f>
        <v>0</v>
      </c>
      <c r="AY140" s="22">
        <f>IF(AND(Projects!$G$11="Yes",46=Projects!$C$11),Assumptions!$B$60,AX144)</f>
        <v>0</v>
      </c>
      <c r="AZ140" s="22">
        <f>IF(AND(Projects!$G$11="Yes",47=Projects!$C$11),Assumptions!$B$60,AY144)</f>
        <v>0</v>
      </c>
      <c r="BA140" s="22">
        <f>IF(AND(Projects!$G$11="Yes",48=Projects!$C$11),Assumptions!$B$60,AZ144)</f>
        <v>0</v>
      </c>
      <c r="BB140" s="22">
        <f>IF(AND(Projects!$G$11="Yes",49=Projects!$C$11),Assumptions!$B$60,BA144)</f>
        <v>0</v>
      </c>
      <c r="BC140" s="22">
        <f>IF(AND(Projects!$G$11="Yes",50=Projects!$C$11),Assumptions!$B$60,BB144)</f>
        <v>0</v>
      </c>
      <c r="BD140" s="22">
        <f>IF(AND(Projects!$G$11="Yes",51=Projects!$C$11),Assumptions!$B$60,BC144)</f>
        <v>0</v>
      </c>
      <c r="BE140" s="22">
        <f>IF(AND(Projects!$G$11="Yes",52=Projects!$C$11),Assumptions!$B$60,BD144)</f>
        <v>0</v>
      </c>
      <c r="BF140" s="22">
        <f>IF(AND(Projects!$G$11="Yes",53=Projects!$C$11),Assumptions!$B$60,BE144)</f>
        <v>0</v>
      </c>
      <c r="BG140" s="22">
        <f>IF(AND(Projects!$G$11="Yes",54=Projects!$C$11),Assumptions!$B$60,BF144)</f>
        <v>0</v>
      </c>
      <c r="BH140" s="22">
        <f>IF(AND(Projects!$G$11="Yes",55=Projects!$C$11),Assumptions!$B$60,BG144)</f>
        <v>0</v>
      </c>
      <c r="BI140" s="22">
        <f>IF(AND(Projects!$G$11="Yes",56=Projects!$C$11),Assumptions!$B$60,BH144)</f>
        <v>0</v>
      </c>
      <c r="BJ140" s="22">
        <f>IF(AND(Projects!$G$11="Yes",57=Projects!$C$11),Assumptions!$B$60,BI144)</f>
        <v>0</v>
      </c>
      <c r="BK140" s="22">
        <f>IF(AND(Projects!$G$11="Yes",58=Projects!$C$11),Assumptions!$B$60,BJ144)</f>
        <v>0</v>
      </c>
      <c r="BL140" s="22">
        <f>IF(AND(Projects!$G$11="Yes",59=Projects!$C$11),Assumptions!$B$60,BK144)</f>
        <v>0</v>
      </c>
      <c r="BM140" s="22">
        <f>IF(AND(Projects!$G$11="Yes",60=Projects!$C$11),Assumptions!$B$60,BL144)</f>
        <v>0</v>
      </c>
      <c r="BN140" s="22">
        <f>IF(AND(Projects!$G$11="Yes",61=Projects!$C$11),Assumptions!$B$60,BM144)</f>
        <v>0</v>
      </c>
      <c r="BO140" s="22">
        <f>IF(AND(Projects!$G$11="Yes",62=Projects!$C$11),Assumptions!$B$60,BN144)</f>
        <v>0</v>
      </c>
      <c r="BP140" s="22">
        <f>IF(AND(Projects!$G$11="Yes",63=Projects!$C$11),Assumptions!$B$60,BO144)</f>
        <v>0</v>
      </c>
      <c r="BQ140" s="22">
        <f>IF(AND(Projects!$G$11="Yes",64=Projects!$C$11),Assumptions!$B$60,BP144)</f>
        <v>0</v>
      </c>
      <c r="BR140" s="22">
        <f>IF(AND(Projects!$G$11="Yes",65=Projects!$C$11),Assumptions!$B$60,BQ144)</f>
        <v>0</v>
      </c>
      <c r="BS140" s="22">
        <f>IF(AND(Projects!$G$11="Yes",66=Projects!$C$11),Assumptions!$B$60,BR144)</f>
        <v>0</v>
      </c>
      <c r="BT140" s="22">
        <f>IF(AND(Projects!$G$11="Yes",67=Projects!$C$11),Assumptions!$B$60,BS144)</f>
        <v>0</v>
      </c>
      <c r="BU140" s="22">
        <f>IF(AND(Projects!$G$11="Yes",68=Projects!$C$11),Assumptions!$B$60,BT144)</f>
        <v>0</v>
      </c>
      <c r="BV140" s="22">
        <f>IF(AND(Projects!$G$11="Yes",69=Projects!$C$11),Assumptions!$B$60,BU144)</f>
        <v>0</v>
      </c>
      <c r="BW140" s="22">
        <f>IF(AND(Projects!$G$11="Yes",70=Projects!$C$11),Assumptions!$B$60,BV144)</f>
        <v>0</v>
      </c>
      <c r="BX140" s="22">
        <f>IF(AND(Projects!$G$11="Yes",71=Projects!$C$11),Assumptions!$B$60,BW144)</f>
        <v>0</v>
      </c>
      <c r="BY140" s="22">
        <f>IF(AND(Projects!$G$11="Yes",72=Projects!$C$11),Assumptions!$B$60,BX144)</f>
        <v>0</v>
      </c>
      <c r="BZ140" s="22">
        <f>IF(AND(Projects!$G$11="Yes",73=Projects!$C$11),Assumptions!$B$60,BY144)</f>
        <v>0</v>
      </c>
      <c r="CA140" s="22">
        <f>IF(AND(Projects!$G$11="Yes",74=Projects!$C$11),Assumptions!$B$60,BZ144)</f>
        <v>0</v>
      </c>
      <c r="CB140" s="22">
        <f>IF(AND(Projects!$G$11="Yes",75=Projects!$C$11),Assumptions!$B$60,CA144)</f>
        <v>0</v>
      </c>
      <c r="CC140" s="22">
        <f>IF(AND(Projects!$G$11="Yes",76=Projects!$C$11),Assumptions!$B$60,CB144)</f>
        <v>0</v>
      </c>
      <c r="CD140" s="22">
        <f>IF(AND(Projects!$G$11="Yes",77=Projects!$C$11),Assumptions!$B$60,CC144)</f>
        <v>0</v>
      </c>
      <c r="CE140" s="22">
        <f>IF(AND(Projects!$G$11="Yes",78=Projects!$C$11),Assumptions!$B$60,CD144)</f>
        <v>0</v>
      </c>
      <c r="CF140" s="22">
        <f>IF(AND(Projects!$G$11="Yes",79=Projects!$C$11),Assumptions!$B$60,CE144)</f>
        <v>0</v>
      </c>
      <c r="CG140" s="22">
        <f>IF(AND(Projects!$G$11="Yes",80=Projects!$C$11),Assumptions!$B$60,CF144)</f>
        <v>0</v>
      </c>
      <c r="CH140" s="22">
        <f>IF(AND(Projects!$G$11="Yes",81=Projects!$C$11),Assumptions!$B$60,CG144)</f>
        <v>0</v>
      </c>
      <c r="CI140" s="22">
        <f>IF(AND(Projects!$G$11="Yes",82=Projects!$C$11),Assumptions!$B$60,CH144)</f>
        <v>0</v>
      </c>
      <c r="CJ140" s="22">
        <f>IF(AND(Projects!$G$11="Yes",83=Projects!$C$11),Assumptions!$B$60,CI144)</f>
        <v>0</v>
      </c>
      <c r="CK140" s="22">
        <f>IF(AND(Projects!$G$11="Yes",84=Projects!$C$11),Assumptions!$B$60,CJ144)</f>
        <v>0</v>
      </c>
      <c r="CL140" s="22">
        <f>IF(AND(Projects!$G$11="Yes",85=Projects!$C$11),Assumptions!$B$60,CK144)</f>
        <v>0</v>
      </c>
      <c r="CM140" s="22">
        <f>IF(AND(Projects!$G$11="Yes",86=Projects!$C$11),Assumptions!$B$60,CL144)</f>
        <v>0</v>
      </c>
      <c r="CN140" s="22">
        <f>IF(AND(Projects!$G$11="Yes",87=Projects!$C$11),Assumptions!$B$60,CM144)</f>
        <v>0</v>
      </c>
      <c r="CO140" s="22">
        <f>IF(AND(Projects!$G$11="Yes",88=Projects!$C$11),Assumptions!$B$60,CN144)</f>
        <v>0</v>
      </c>
      <c r="CP140" s="22">
        <f>IF(AND(Projects!$G$11="Yes",89=Projects!$C$11),Assumptions!$B$60,CO144)</f>
        <v>0</v>
      </c>
      <c r="CQ140" s="22">
        <f>IF(AND(Projects!$G$11="Yes",90=Projects!$C$11),Assumptions!$B$60,CP144)</f>
        <v>0</v>
      </c>
      <c r="CR140" s="22">
        <f>IF(AND(Projects!$G$11="Yes",91=Projects!$C$11),Assumptions!$B$60,CQ144)</f>
        <v>0</v>
      </c>
      <c r="CS140" s="22">
        <f>IF(AND(Projects!$G$11="Yes",92=Projects!$C$11),Assumptions!$B$60,CR144)</f>
        <v>0</v>
      </c>
      <c r="CT140" s="22">
        <f>IF(AND(Projects!$G$11="Yes",93=Projects!$C$11),Assumptions!$B$60,CS144)</f>
        <v>0</v>
      </c>
      <c r="CU140" s="22">
        <f>IF(AND(Projects!$G$11="Yes",94=Projects!$C$11),Assumptions!$B$60,CT144)</f>
        <v>0</v>
      </c>
      <c r="CV140" s="22">
        <f>IF(AND(Projects!$G$11="Yes",95=Projects!$C$11),Assumptions!$B$60,CU144)</f>
        <v>0</v>
      </c>
      <c r="CW140" s="22">
        <f>IF(AND(Projects!$G$11="Yes",96=Projects!$C$11),Assumptions!$B$60,CV144)</f>
        <v>0</v>
      </c>
      <c r="CX140" s="22">
        <f>IF(AND(Projects!$G$11="Yes",97=Projects!$C$11),Assumptions!$B$60,CW144)</f>
        <v>0</v>
      </c>
      <c r="CY140" s="22">
        <f>IF(AND(Projects!$G$11="Yes",98=Projects!$C$11),Assumptions!$B$60,CX144)</f>
        <v>0</v>
      </c>
      <c r="CZ140" s="22">
        <f>IF(AND(Projects!$G$11="Yes",99=Projects!$C$11),Assumptions!$B$60,CY144)</f>
        <v>0</v>
      </c>
      <c r="DA140" s="22">
        <f>IF(AND(Projects!$G$11="Yes",100=Projects!$C$11),Assumptions!$B$60,CZ144)</f>
        <v>0</v>
      </c>
      <c r="DB140" s="22">
        <f>IF(AND(Projects!$G$11="Yes",101=Projects!$C$11),Assumptions!$B$60,DA144)</f>
        <v>0</v>
      </c>
      <c r="DC140" s="22">
        <f>IF(AND(Projects!$G$11="Yes",102=Projects!$C$11),Assumptions!$B$60,DB144)</f>
        <v>0</v>
      </c>
      <c r="DD140" s="22">
        <f>IF(AND(Projects!$G$11="Yes",103=Projects!$C$11),Assumptions!$B$60,DC144)</f>
        <v>0</v>
      </c>
      <c r="DE140" s="22">
        <f>IF(AND(Projects!$G$11="Yes",104=Projects!$C$11),Assumptions!$B$60,DD144)</f>
        <v>0</v>
      </c>
      <c r="DF140" s="22">
        <f>IF(AND(Projects!$G$11="Yes",105=Projects!$C$11),Assumptions!$B$60,DE144)</f>
        <v>0</v>
      </c>
    </row>
    <row r="141" spans="1:110" ht="15" customHeight="1" x14ac:dyDescent="0.25">
      <c r="A141" s="13" t="s">
        <v>146</v>
      </c>
      <c r="B141" s="13"/>
      <c r="C141" s="22"/>
      <c r="D141" s="22"/>
      <c r="E141" s="22"/>
      <c r="F141" s="22">
        <f>IF(AND(MOD(1,3)=0,F140&gt;0),F140*Assumptions!$B$59,0)</f>
        <v>0</v>
      </c>
      <c r="G141" s="22">
        <f>IF(AND(MOD(2,3)=0,G140&gt;0),G140*Assumptions!$B$59,0)</f>
        <v>0</v>
      </c>
      <c r="H141" s="22">
        <f>IF(AND(MOD(3,3)=0,H140&gt;0),H140*Assumptions!$B$59,0)</f>
        <v>0</v>
      </c>
      <c r="I141" s="22">
        <f>IF(AND(MOD(4,3)=0,I140&gt;0),I140*Assumptions!$B$59,0)</f>
        <v>0</v>
      </c>
      <c r="J141" s="22">
        <f>IF(AND(MOD(5,3)=0,J140&gt;0),J140*Assumptions!$B$59,0)</f>
        <v>0</v>
      </c>
      <c r="K141" s="22">
        <f>IF(AND(MOD(6,3)=0,K140&gt;0),K140*Assumptions!$B$59,0)</f>
        <v>0</v>
      </c>
      <c r="L141" s="22">
        <f>IF(AND(MOD(7,3)=0,L140&gt;0),L140*Assumptions!$B$59,0)</f>
        <v>0</v>
      </c>
      <c r="M141" s="22">
        <f>IF(AND(MOD(8,3)=0,M140&gt;0),M140*Assumptions!$B$59,0)</f>
        <v>0</v>
      </c>
      <c r="N141" s="22">
        <f>IF(AND(MOD(9,3)=0,N140&gt;0),N140*Assumptions!$B$59,0)</f>
        <v>0</v>
      </c>
      <c r="O141" s="22">
        <f>IF(AND(MOD(10,3)=0,O140&gt;0),O140*Assumptions!$B$59,0)</f>
        <v>0</v>
      </c>
      <c r="P141" s="22">
        <f>IF(AND(MOD(11,3)=0,P140&gt;0),P140*Assumptions!$B$59,0)</f>
        <v>0</v>
      </c>
      <c r="Q141" s="22">
        <f>IF(AND(MOD(12,3)=0,Q140&gt;0),Q140*Assumptions!$B$59,0)</f>
        <v>0</v>
      </c>
      <c r="R141" s="22">
        <f>IF(AND(MOD(13,3)=0,R140&gt;0),R140*Assumptions!$B$59,0)</f>
        <v>0</v>
      </c>
      <c r="S141" s="22">
        <f>IF(AND(MOD(14,3)=0,S140&gt;0),S140*Assumptions!$B$59,0)</f>
        <v>0</v>
      </c>
      <c r="T141" s="22">
        <f>IF(AND(MOD(15,3)=0,T140&gt;0),T140*Assumptions!$B$59,0)</f>
        <v>0</v>
      </c>
      <c r="U141" s="22">
        <f>IF(AND(MOD(16,3)=0,U140&gt;0),U140*Assumptions!$B$59,0)</f>
        <v>0</v>
      </c>
      <c r="V141" s="22">
        <f>IF(AND(MOD(17,3)=0,V140&gt;0),V140*Assumptions!$B$59,0)</f>
        <v>0</v>
      </c>
      <c r="W141" s="22">
        <f>IF(AND(MOD(18,3)=0,W140&gt;0),W140*Assumptions!$B$59,0)</f>
        <v>0</v>
      </c>
      <c r="X141" s="22">
        <f>IF(AND(MOD(19,3)=0,X140&gt;0),X140*Assumptions!$B$59,0)</f>
        <v>0</v>
      </c>
      <c r="Y141" s="22">
        <f>IF(AND(MOD(20,3)=0,Y140&gt;0),Y140*Assumptions!$B$59,0)</f>
        <v>0</v>
      </c>
      <c r="Z141" s="22">
        <f>IF(AND(MOD(21,3)=0,Z140&gt;0),Z140*Assumptions!$B$59,0)</f>
        <v>0</v>
      </c>
      <c r="AA141" s="22">
        <f>IF(AND(MOD(22,3)=0,AA140&gt;0),AA140*Assumptions!$B$59,0)</f>
        <v>0</v>
      </c>
      <c r="AB141" s="22">
        <f>IF(AND(MOD(23,3)=0,AB140&gt;0),AB140*Assumptions!$B$59,0)</f>
        <v>0</v>
      </c>
      <c r="AC141" s="22">
        <f>IF(AND(MOD(24,3)=0,AC140&gt;0),AC140*Assumptions!$B$59,0)</f>
        <v>0</v>
      </c>
      <c r="AD141" s="22">
        <f>IF(AND(MOD(25,3)=0,AD140&gt;0),AD140*Assumptions!$B$59,0)</f>
        <v>0</v>
      </c>
      <c r="AE141" s="22">
        <f>IF(AND(MOD(26,3)=0,AE140&gt;0),AE140*Assumptions!$B$59,0)</f>
        <v>0</v>
      </c>
      <c r="AF141" s="22">
        <f>IF(AND(MOD(27,3)=0,AF140&gt;0),AF140*Assumptions!$B$59,0)</f>
        <v>0</v>
      </c>
      <c r="AG141" s="22">
        <f>IF(AND(MOD(28,3)=0,AG140&gt;0),AG140*Assumptions!$B$59,0)</f>
        <v>0</v>
      </c>
      <c r="AH141" s="22">
        <f>IF(AND(MOD(29,3)=0,AH140&gt;0),AH140*Assumptions!$B$59,0)</f>
        <v>0</v>
      </c>
      <c r="AI141" s="22">
        <f>IF(AND(MOD(30,3)=0,AI140&gt;0),AI140*Assumptions!$B$59,0)</f>
        <v>0</v>
      </c>
      <c r="AJ141" s="22">
        <f>IF(AND(MOD(31,3)=0,AJ140&gt;0),AJ140*Assumptions!$B$59,0)</f>
        <v>0</v>
      </c>
      <c r="AK141" s="22">
        <f>IF(AND(MOD(32,3)=0,AK140&gt;0),AK140*Assumptions!$B$59,0)</f>
        <v>0</v>
      </c>
      <c r="AL141" s="22">
        <f>IF(AND(MOD(33,3)=0,AL140&gt;0),AL140*Assumptions!$B$59,0)</f>
        <v>0</v>
      </c>
      <c r="AM141" s="22">
        <f>IF(AND(MOD(34,3)=0,AM140&gt;0),AM140*Assumptions!$B$59,0)</f>
        <v>0</v>
      </c>
      <c r="AN141" s="22">
        <f>IF(AND(MOD(35,3)=0,AN140&gt;0),AN140*Assumptions!$B$59,0)</f>
        <v>0</v>
      </c>
      <c r="AO141" s="22">
        <f>IF(AND(MOD(36,3)=0,AO140&gt;0),AO140*Assumptions!$B$59,0)</f>
        <v>0</v>
      </c>
      <c r="AP141" s="22">
        <f>IF(AND(MOD(37,3)=0,AP140&gt;0),AP140*Assumptions!$B$59,0)</f>
        <v>0</v>
      </c>
      <c r="AQ141" s="22">
        <f>IF(AND(MOD(38,3)=0,AQ140&gt;0),AQ140*Assumptions!$B$59,0)</f>
        <v>0</v>
      </c>
      <c r="AR141" s="22">
        <f>IF(AND(MOD(39,3)=0,AR140&gt;0),AR140*Assumptions!$B$59,0)</f>
        <v>0</v>
      </c>
      <c r="AS141" s="22">
        <f>IF(AND(MOD(40,3)=0,AS140&gt;0),AS140*Assumptions!$B$59,0)</f>
        <v>0</v>
      </c>
      <c r="AT141" s="22">
        <f>IF(AND(MOD(41,3)=0,AT140&gt;0),AT140*Assumptions!$B$59,0)</f>
        <v>0</v>
      </c>
      <c r="AU141" s="22">
        <f>IF(AND(MOD(42,3)=0,AU140&gt;0),AU140*Assumptions!$B$59,0)</f>
        <v>0</v>
      </c>
      <c r="AV141" s="22">
        <f>IF(AND(MOD(43,3)=0,AV140&gt;0),AV140*Assumptions!$B$59,0)</f>
        <v>0</v>
      </c>
      <c r="AW141" s="22">
        <f>IF(AND(MOD(44,3)=0,AW140&gt;0),AW140*Assumptions!$B$59,0)</f>
        <v>0</v>
      </c>
      <c r="AX141" s="22">
        <f>IF(AND(MOD(45,3)=0,AX140&gt;0),AX140*Assumptions!$B$59,0)</f>
        <v>0</v>
      </c>
      <c r="AY141" s="22">
        <f>IF(AND(MOD(46,3)=0,AY140&gt;0),AY140*Assumptions!$B$59,0)</f>
        <v>0</v>
      </c>
      <c r="AZ141" s="22">
        <f>IF(AND(MOD(47,3)=0,AZ140&gt;0),AZ140*Assumptions!$B$59,0)</f>
        <v>0</v>
      </c>
      <c r="BA141" s="22">
        <f>IF(AND(MOD(48,3)=0,BA140&gt;0),BA140*Assumptions!$B$59,0)</f>
        <v>0</v>
      </c>
      <c r="BB141" s="22">
        <f>IF(AND(MOD(49,3)=0,BB140&gt;0),BB140*Assumptions!$B$59,0)</f>
        <v>0</v>
      </c>
      <c r="BC141" s="22">
        <f>IF(AND(MOD(50,3)=0,BC140&gt;0),BC140*Assumptions!$B$59,0)</f>
        <v>0</v>
      </c>
      <c r="BD141" s="22">
        <f>IF(AND(MOD(51,3)=0,BD140&gt;0),BD140*Assumptions!$B$59,0)</f>
        <v>0</v>
      </c>
      <c r="BE141" s="22">
        <f>IF(AND(MOD(52,3)=0,BE140&gt;0),BE140*Assumptions!$B$59,0)</f>
        <v>0</v>
      </c>
      <c r="BF141" s="22">
        <f>IF(AND(MOD(53,3)=0,BF140&gt;0),BF140*Assumptions!$B$59,0)</f>
        <v>0</v>
      </c>
      <c r="BG141" s="22">
        <f>IF(AND(MOD(54,3)=0,BG140&gt;0),BG140*Assumptions!$B$59,0)</f>
        <v>0</v>
      </c>
      <c r="BH141" s="22">
        <f>IF(AND(MOD(55,3)=0,BH140&gt;0),BH140*Assumptions!$B$59,0)</f>
        <v>0</v>
      </c>
      <c r="BI141" s="22">
        <f>IF(AND(MOD(56,3)=0,BI140&gt;0),BI140*Assumptions!$B$59,0)</f>
        <v>0</v>
      </c>
      <c r="BJ141" s="22">
        <f>IF(AND(MOD(57,3)=0,BJ140&gt;0),BJ140*Assumptions!$B$59,0)</f>
        <v>0</v>
      </c>
      <c r="BK141" s="22">
        <f>IF(AND(MOD(58,3)=0,BK140&gt;0),BK140*Assumptions!$B$59,0)</f>
        <v>0</v>
      </c>
      <c r="BL141" s="22">
        <f>IF(AND(MOD(59,3)=0,BL140&gt;0),BL140*Assumptions!$B$59,0)</f>
        <v>0</v>
      </c>
      <c r="BM141" s="22">
        <f>IF(AND(MOD(60,3)=0,BM140&gt;0),BM140*Assumptions!$B$59,0)</f>
        <v>0</v>
      </c>
      <c r="BN141" s="22">
        <f>IF(AND(MOD(61,3)=0,BN140&gt;0),BN140*Assumptions!$B$59,0)</f>
        <v>0</v>
      </c>
      <c r="BO141" s="22">
        <f>IF(AND(MOD(62,3)=0,BO140&gt;0),BO140*Assumptions!$B$59,0)</f>
        <v>0</v>
      </c>
      <c r="BP141" s="22">
        <f>IF(AND(MOD(63,3)=0,BP140&gt;0),BP140*Assumptions!$B$59,0)</f>
        <v>0</v>
      </c>
      <c r="BQ141" s="22">
        <f>IF(AND(MOD(64,3)=0,BQ140&gt;0),BQ140*Assumptions!$B$59,0)</f>
        <v>0</v>
      </c>
      <c r="BR141" s="22">
        <f>IF(AND(MOD(65,3)=0,BR140&gt;0),BR140*Assumptions!$B$59,0)</f>
        <v>0</v>
      </c>
      <c r="BS141" s="22">
        <f>IF(AND(MOD(66,3)=0,BS140&gt;0),BS140*Assumptions!$B$59,0)</f>
        <v>0</v>
      </c>
      <c r="BT141" s="22">
        <f>IF(AND(MOD(67,3)=0,BT140&gt;0),BT140*Assumptions!$B$59,0)</f>
        <v>0</v>
      </c>
      <c r="BU141" s="22">
        <f>IF(AND(MOD(68,3)=0,BU140&gt;0),BU140*Assumptions!$B$59,0)</f>
        <v>0</v>
      </c>
      <c r="BV141" s="22">
        <f>IF(AND(MOD(69,3)=0,BV140&gt;0),BV140*Assumptions!$B$59,0)</f>
        <v>0</v>
      </c>
      <c r="BW141" s="22">
        <f>IF(AND(MOD(70,3)=0,BW140&gt;0),BW140*Assumptions!$B$59,0)</f>
        <v>0</v>
      </c>
      <c r="BX141" s="22">
        <f>IF(AND(MOD(71,3)=0,BX140&gt;0),BX140*Assumptions!$B$59,0)</f>
        <v>0</v>
      </c>
      <c r="BY141" s="22">
        <f>IF(AND(MOD(72,3)=0,BY140&gt;0),BY140*Assumptions!$B$59,0)</f>
        <v>0</v>
      </c>
      <c r="BZ141" s="22">
        <f>IF(AND(MOD(73,3)=0,BZ140&gt;0),BZ140*Assumptions!$B$59,0)</f>
        <v>0</v>
      </c>
      <c r="CA141" s="22">
        <f>IF(AND(MOD(74,3)=0,CA140&gt;0),CA140*Assumptions!$B$59,0)</f>
        <v>0</v>
      </c>
      <c r="CB141" s="22">
        <f>IF(AND(MOD(75,3)=0,CB140&gt;0),CB140*Assumptions!$B$59,0)</f>
        <v>0</v>
      </c>
      <c r="CC141" s="22">
        <f>IF(AND(MOD(76,3)=0,CC140&gt;0),CC140*Assumptions!$B$59,0)</f>
        <v>0</v>
      </c>
      <c r="CD141" s="22">
        <f>IF(AND(MOD(77,3)=0,CD140&gt;0),CD140*Assumptions!$B$59,0)</f>
        <v>0</v>
      </c>
      <c r="CE141" s="22">
        <f>IF(AND(MOD(78,3)=0,CE140&gt;0),CE140*Assumptions!$B$59,0)</f>
        <v>0</v>
      </c>
      <c r="CF141" s="22">
        <f>IF(AND(MOD(79,3)=0,CF140&gt;0),CF140*Assumptions!$B$59,0)</f>
        <v>0</v>
      </c>
      <c r="CG141" s="22">
        <f>IF(AND(MOD(80,3)=0,CG140&gt;0),CG140*Assumptions!$B$59,0)</f>
        <v>0</v>
      </c>
      <c r="CH141" s="22">
        <f>IF(AND(MOD(81,3)=0,CH140&gt;0),CH140*Assumptions!$B$59,0)</f>
        <v>0</v>
      </c>
      <c r="CI141" s="22">
        <f>IF(AND(MOD(82,3)=0,CI140&gt;0),CI140*Assumptions!$B$59,0)</f>
        <v>0</v>
      </c>
      <c r="CJ141" s="22">
        <f>IF(AND(MOD(83,3)=0,CJ140&gt;0),CJ140*Assumptions!$B$59,0)</f>
        <v>0</v>
      </c>
      <c r="CK141" s="22">
        <f>IF(AND(MOD(84,3)=0,CK140&gt;0),CK140*Assumptions!$B$59,0)</f>
        <v>0</v>
      </c>
      <c r="CL141" s="22">
        <f>IF(AND(MOD(85,3)=0,CL140&gt;0),CL140*Assumptions!$B$59,0)</f>
        <v>0</v>
      </c>
      <c r="CM141" s="22">
        <f>IF(AND(MOD(86,3)=0,CM140&gt;0),CM140*Assumptions!$B$59,0)</f>
        <v>0</v>
      </c>
      <c r="CN141" s="22">
        <f>IF(AND(MOD(87,3)=0,CN140&gt;0),CN140*Assumptions!$B$59,0)</f>
        <v>0</v>
      </c>
      <c r="CO141" s="22">
        <f>IF(AND(MOD(88,3)=0,CO140&gt;0),CO140*Assumptions!$B$59,0)</f>
        <v>0</v>
      </c>
      <c r="CP141" s="22">
        <f>IF(AND(MOD(89,3)=0,CP140&gt;0),CP140*Assumptions!$B$59,0)</f>
        <v>0</v>
      </c>
      <c r="CQ141" s="22">
        <f>IF(AND(MOD(90,3)=0,CQ140&gt;0),CQ140*Assumptions!$B$59,0)</f>
        <v>0</v>
      </c>
      <c r="CR141" s="22">
        <f>IF(AND(MOD(91,3)=0,CR140&gt;0),CR140*Assumptions!$B$59,0)</f>
        <v>0</v>
      </c>
      <c r="CS141" s="22">
        <f>IF(AND(MOD(92,3)=0,CS140&gt;0),CS140*Assumptions!$B$59,0)</f>
        <v>0</v>
      </c>
      <c r="CT141" s="22">
        <f>IF(AND(MOD(93,3)=0,CT140&gt;0),CT140*Assumptions!$B$59,0)</f>
        <v>0</v>
      </c>
      <c r="CU141" s="22">
        <f>IF(AND(MOD(94,3)=0,CU140&gt;0),CU140*Assumptions!$B$59,0)</f>
        <v>0</v>
      </c>
      <c r="CV141" s="22">
        <f>IF(AND(MOD(95,3)=0,CV140&gt;0),CV140*Assumptions!$B$59,0)</f>
        <v>0</v>
      </c>
      <c r="CW141" s="22">
        <f>IF(AND(MOD(96,3)=0,CW140&gt;0),CW140*Assumptions!$B$59,0)</f>
        <v>0</v>
      </c>
      <c r="CX141" s="22">
        <f>IF(AND(MOD(97,3)=0,CX140&gt;0),CX140*Assumptions!$B$59,0)</f>
        <v>0</v>
      </c>
      <c r="CY141" s="22">
        <f>IF(AND(MOD(98,3)=0,CY140&gt;0),CY140*Assumptions!$B$59,0)</f>
        <v>0</v>
      </c>
      <c r="CZ141" s="22">
        <f>IF(AND(MOD(99,3)=0,CZ140&gt;0),CZ140*Assumptions!$B$59,0)</f>
        <v>0</v>
      </c>
      <c r="DA141" s="22">
        <f>IF(AND(MOD(100,3)=0,DA140&gt;0),DA140*Assumptions!$B$59,0)</f>
        <v>0</v>
      </c>
      <c r="DB141" s="22">
        <f>IF(AND(MOD(101,3)=0,DB140&gt;0),DB140*Assumptions!$B$59,0)</f>
        <v>0</v>
      </c>
      <c r="DC141" s="22">
        <f>IF(AND(MOD(102,3)=0,DC140&gt;0),DC140*Assumptions!$B$59,0)</f>
        <v>0</v>
      </c>
      <c r="DD141" s="22">
        <f>IF(AND(MOD(103,3)=0,DD140&gt;0),DD140*Assumptions!$B$59,0)</f>
        <v>0</v>
      </c>
      <c r="DE141" s="22">
        <f>IF(AND(MOD(104,3)=0,DE140&gt;0),DE140*Assumptions!$B$59,0)</f>
        <v>0</v>
      </c>
      <c r="DF141" s="22">
        <f>IF(AND(MOD(105,3)=0,DF140&gt;0),DF140*Assumptions!$B$59,0)</f>
        <v>0</v>
      </c>
    </row>
    <row r="142" spans="1:110" ht="15" customHeight="1" x14ac:dyDescent="0.25">
      <c r="A142" s="13" t="s">
        <v>147</v>
      </c>
      <c r="B142" s="13"/>
      <c r="C142" s="22"/>
      <c r="D142" s="22"/>
      <c r="E142" s="22"/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0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22">
        <v>0</v>
      </c>
      <c r="AV142" s="22">
        <v>0</v>
      </c>
      <c r="AW142" s="22">
        <v>0</v>
      </c>
      <c r="AX142" s="22">
        <v>0</v>
      </c>
      <c r="AY142" s="22">
        <v>0</v>
      </c>
      <c r="AZ142" s="22">
        <v>0</v>
      </c>
      <c r="BA142" s="22">
        <v>0</v>
      </c>
      <c r="BB142" s="22">
        <v>0</v>
      </c>
      <c r="BC142" s="22">
        <v>0</v>
      </c>
      <c r="BD142" s="22">
        <v>0</v>
      </c>
      <c r="BE142" s="22">
        <v>0</v>
      </c>
      <c r="BF142" s="22">
        <v>0</v>
      </c>
      <c r="BG142" s="22">
        <v>0</v>
      </c>
      <c r="BH142" s="22">
        <v>0</v>
      </c>
      <c r="BI142" s="22">
        <v>0</v>
      </c>
      <c r="BJ142" s="22">
        <v>0</v>
      </c>
      <c r="BK142" s="22">
        <v>0</v>
      </c>
      <c r="BL142" s="22">
        <v>0</v>
      </c>
      <c r="BM142" s="22">
        <v>0</v>
      </c>
      <c r="BN142" s="22">
        <v>0</v>
      </c>
      <c r="BO142" s="22">
        <v>0</v>
      </c>
      <c r="BP142" s="22">
        <v>0</v>
      </c>
      <c r="BQ142" s="22">
        <v>0</v>
      </c>
      <c r="BR142" s="22">
        <v>0</v>
      </c>
      <c r="BS142" s="22">
        <v>0</v>
      </c>
      <c r="BT142" s="22">
        <v>0</v>
      </c>
      <c r="BU142" s="22">
        <v>0</v>
      </c>
      <c r="BV142" s="22">
        <v>0</v>
      </c>
      <c r="BW142" s="22">
        <v>0</v>
      </c>
      <c r="BX142" s="22">
        <v>0</v>
      </c>
      <c r="BY142" s="22">
        <v>0</v>
      </c>
      <c r="BZ142" s="22">
        <v>0</v>
      </c>
      <c r="CA142" s="22">
        <v>0</v>
      </c>
      <c r="CB142" s="22">
        <v>0</v>
      </c>
      <c r="CC142" s="22">
        <v>0</v>
      </c>
      <c r="CD142" s="22">
        <v>0</v>
      </c>
      <c r="CE142" s="22">
        <v>0</v>
      </c>
      <c r="CF142" s="22">
        <v>0</v>
      </c>
      <c r="CG142" s="22">
        <v>0</v>
      </c>
      <c r="CH142" s="22">
        <v>0</v>
      </c>
      <c r="CI142" s="22">
        <v>0</v>
      </c>
      <c r="CJ142" s="22">
        <v>0</v>
      </c>
      <c r="CK142" s="22">
        <v>0</v>
      </c>
      <c r="CL142" s="22">
        <v>0</v>
      </c>
      <c r="CM142" s="22">
        <v>0</v>
      </c>
      <c r="CN142" s="22">
        <v>0</v>
      </c>
      <c r="CO142" s="22">
        <v>0</v>
      </c>
      <c r="CP142" s="22">
        <v>0</v>
      </c>
      <c r="CQ142" s="22">
        <v>0</v>
      </c>
      <c r="CR142" s="22">
        <v>0</v>
      </c>
      <c r="CS142" s="22">
        <v>0</v>
      </c>
      <c r="CT142" s="22">
        <v>0</v>
      </c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</row>
    <row r="143" spans="1:110" ht="15" customHeight="1" x14ac:dyDescent="0.25">
      <c r="A143" s="37" t="s">
        <v>148</v>
      </c>
      <c r="B143" s="37"/>
      <c r="C143" s="38"/>
      <c r="D143" s="38"/>
      <c r="E143" s="38"/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0</v>
      </c>
      <c r="T143" s="38">
        <v>0</v>
      </c>
      <c r="U143" s="38">
        <v>0</v>
      </c>
      <c r="V143" s="38">
        <v>0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38">
        <v>0</v>
      </c>
      <c r="AG143" s="38">
        <v>0</v>
      </c>
      <c r="AH143" s="38">
        <v>0</v>
      </c>
      <c r="AI143" s="38">
        <v>0</v>
      </c>
      <c r="AJ143" s="38">
        <v>0</v>
      </c>
      <c r="AK143" s="38">
        <v>0</v>
      </c>
      <c r="AL143" s="38">
        <v>0</v>
      </c>
      <c r="AM143" s="38">
        <v>0</v>
      </c>
      <c r="AN143" s="38">
        <v>0</v>
      </c>
      <c r="AO143" s="38">
        <v>0</v>
      </c>
      <c r="AP143" s="38">
        <v>0</v>
      </c>
      <c r="AQ143" s="38">
        <v>0</v>
      </c>
      <c r="AR143" s="38">
        <v>0</v>
      </c>
      <c r="AS143" s="38">
        <v>0</v>
      </c>
      <c r="AT143" s="38">
        <v>0</v>
      </c>
      <c r="AU143" s="38">
        <v>0</v>
      </c>
      <c r="AV143" s="38">
        <v>0</v>
      </c>
      <c r="AW143" s="38">
        <v>0</v>
      </c>
      <c r="AX143" s="38">
        <v>0</v>
      </c>
      <c r="AY143" s="38">
        <v>0</v>
      </c>
      <c r="AZ143" s="38">
        <v>0</v>
      </c>
      <c r="BA143" s="38">
        <v>0</v>
      </c>
      <c r="BB143" s="38">
        <v>0</v>
      </c>
      <c r="BC143" s="38">
        <v>0</v>
      </c>
      <c r="BD143" s="38">
        <v>0</v>
      </c>
      <c r="BE143" s="38">
        <v>0</v>
      </c>
      <c r="BF143" s="38">
        <v>0</v>
      </c>
      <c r="BG143" s="38">
        <v>0</v>
      </c>
      <c r="BH143" s="38">
        <v>0</v>
      </c>
      <c r="BI143" s="38">
        <v>0</v>
      </c>
      <c r="BJ143" s="38">
        <v>0</v>
      </c>
      <c r="BK143" s="38">
        <v>0</v>
      </c>
      <c r="BL143" s="38">
        <v>0</v>
      </c>
      <c r="BM143" s="38">
        <v>0</v>
      </c>
      <c r="BN143" s="38">
        <v>0</v>
      </c>
      <c r="BO143" s="38">
        <v>0</v>
      </c>
      <c r="BP143" s="38">
        <v>0</v>
      </c>
      <c r="BQ143" s="38">
        <v>0</v>
      </c>
      <c r="BR143" s="38">
        <v>0</v>
      </c>
      <c r="BS143" s="38">
        <v>0</v>
      </c>
      <c r="BT143" s="38">
        <v>0</v>
      </c>
      <c r="BU143" s="38">
        <v>0</v>
      </c>
      <c r="BV143" s="38">
        <v>0</v>
      </c>
      <c r="BW143" s="38">
        <v>0</v>
      </c>
      <c r="BX143" s="38">
        <v>0</v>
      </c>
      <c r="BY143" s="38">
        <v>0</v>
      </c>
      <c r="BZ143" s="38">
        <v>0</v>
      </c>
      <c r="CA143" s="38">
        <v>0</v>
      </c>
      <c r="CB143" s="38">
        <v>0</v>
      </c>
      <c r="CC143" s="38">
        <v>0</v>
      </c>
      <c r="CD143" s="38">
        <v>0</v>
      </c>
      <c r="CE143" s="38">
        <v>0</v>
      </c>
      <c r="CF143" s="38">
        <v>0</v>
      </c>
      <c r="CG143" s="38">
        <v>0</v>
      </c>
      <c r="CH143" s="38">
        <v>0</v>
      </c>
      <c r="CI143" s="38">
        <v>0</v>
      </c>
      <c r="CJ143" s="38">
        <v>0</v>
      </c>
      <c r="CK143" s="38">
        <v>0</v>
      </c>
      <c r="CL143" s="38">
        <v>0</v>
      </c>
      <c r="CM143" s="38">
        <v>0</v>
      </c>
      <c r="CN143" s="38">
        <v>0</v>
      </c>
      <c r="CO143" s="38">
        <v>0</v>
      </c>
      <c r="CP143" s="38">
        <v>0</v>
      </c>
      <c r="CQ143" s="38">
        <v>0</v>
      </c>
      <c r="CR143" s="38">
        <v>0</v>
      </c>
      <c r="CS143" s="38">
        <v>0</v>
      </c>
      <c r="CT143" s="38">
        <v>0</v>
      </c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</row>
    <row r="144" spans="1:110" ht="15" customHeight="1" x14ac:dyDescent="0.25">
      <c r="A144" s="39" t="s">
        <v>149</v>
      </c>
      <c r="B144" s="40"/>
      <c r="C144" s="41"/>
      <c r="D144" s="41"/>
      <c r="E144" s="41"/>
      <c r="F144" s="41">
        <f t="shared" ref="F144:AK144" si="84">MAX(0,F140+F141+F142+F143)</f>
        <v>0</v>
      </c>
      <c r="G144" s="41">
        <f t="shared" si="84"/>
        <v>0</v>
      </c>
      <c r="H144" s="41">
        <f t="shared" si="84"/>
        <v>0</v>
      </c>
      <c r="I144" s="41">
        <f t="shared" si="84"/>
        <v>0</v>
      </c>
      <c r="J144" s="41">
        <f t="shared" si="84"/>
        <v>0</v>
      </c>
      <c r="K144" s="41">
        <f t="shared" si="84"/>
        <v>0</v>
      </c>
      <c r="L144" s="41">
        <f t="shared" si="84"/>
        <v>0</v>
      </c>
      <c r="M144" s="41">
        <f t="shared" si="84"/>
        <v>0</v>
      </c>
      <c r="N144" s="41">
        <f t="shared" si="84"/>
        <v>0</v>
      </c>
      <c r="O144" s="41">
        <f t="shared" si="84"/>
        <v>0</v>
      </c>
      <c r="P144" s="41">
        <f t="shared" si="84"/>
        <v>0</v>
      </c>
      <c r="Q144" s="41">
        <f t="shared" si="84"/>
        <v>0</v>
      </c>
      <c r="R144" s="41">
        <f t="shared" si="84"/>
        <v>0</v>
      </c>
      <c r="S144" s="41">
        <f t="shared" si="84"/>
        <v>0</v>
      </c>
      <c r="T144" s="41">
        <f t="shared" si="84"/>
        <v>0</v>
      </c>
      <c r="U144" s="41">
        <f t="shared" si="84"/>
        <v>0</v>
      </c>
      <c r="V144" s="41">
        <f t="shared" si="84"/>
        <v>0</v>
      </c>
      <c r="W144" s="41">
        <f t="shared" si="84"/>
        <v>0</v>
      </c>
      <c r="X144" s="41">
        <f t="shared" si="84"/>
        <v>0</v>
      </c>
      <c r="Y144" s="41">
        <f t="shared" si="84"/>
        <v>0</v>
      </c>
      <c r="Z144" s="41">
        <f t="shared" si="84"/>
        <v>0</v>
      </c>
      <c r="AA144" s="41">
        <f t="shared" si="84"/>
        <v>0</v>
      </c>
      <c r="AB144" s="41">
        <f t="shared" si="84"/>
        <v>0</v>
      </c>
      <c r="AC144" s="41">
        <f t="shared" si="84"/>
        <v>0</v>
      </c>
      <c r="AD144" s="41">
        <f t="shared" si="84"/>
        <v>0</v>
      </c>
      <c r="AE144" s="41">
        <f t="shared" si="84"/>
        <v>0</v>
      </c>
      <c r="AF144" s="41">
        <f t="shared" si="84"/>
        <v>0</v>
      </c>
      <c r="AG144" s="41">
        <f t="shared" si="84"/>
        <v>0</v>
      </c>
      <c r="AH144" s="41">
        <f t="shared" si="84"/>
        <v>0</v>
      </c>
      <c r="AI144" s="41">
        <f t="shared" si="84"/>
        <v>0</v>
      </c>
      <c r="AJ144" s="41">
        <f t="shared" si="84"/>
        <v>0</v>
      </c>
      <c r="AK144" s="41">
        <f t="shared" si="84"/>
        <v>0</v>
      </c>
      <c r="AL144" s="41">
        <f t="shared" ref="AL144:BQ144" si="85">MAX(0,AL140+AL141+AL142+AL143)</f>
        <v>0</v>
      </c>
      <c r="AM144" s="41">
        <f t="shared" si="85"/>
        <v>0</v>
      </c>
      <c r="AN144" s="41">
        <f t="shared" si="85"/>
        <v>0</v>
      </c>
      <c r="AO144" s="41">
        <f t="shared" si="85"/>
        <v>0</v>
      </c>
      <c r="AP144" s="41">
        <f t="shared" si="85"/>
        <v>0</v>
      </c>
      <c r="AQ144" s="41">
        <f t="shared" si="85"/>
        <v>0</v>
      </c>
      <c r="AR144" s="41">
        <f t="shared" si="85"/>
        <v>0</v>
      </c>
      <c r="AS144" s="41">
        <f t="shared" si="85"/>
        <v>0</v>
      </c>
      <c r="AT144" s="41">
        <f t="shared" si="85"/>
        <v>0</v>
      </c>
      <c r="AU144" s="41">
        <f t="shared" si="85"/>
        <v>0</v>
      </c>
      <c r="AV144" s="41">
        <f t="shared" si="85"/>
        <v>0</v>
      </c>
      <c r="AW144" s="41">
        <f t="shared" si="85"/>
        <v>0</v>
      </c>
      <c r="AX144" s="41">
        <f t="shared" si="85"/>
        <v>0</v>
      </c>
      <c r="AY144" s="41">
        <f t="shared" si="85"/>
        <v>0</v>
      </c>
      <c r="AZ144" s="41">
        <f t="shared" si="85"/>
        <v>0</v>
      </c>
      <c r="BA144" s="41">
        <f t="shared" si="85"/>
        <v>0</v>
      </c>
      <c r="BB144" s="41">
        <f t="shared" si="85"/>
        <v>0</v>
      </c>
      <c r="BC144" s="41">
        <f t="shared" si="85"/>
        <v>0</v>
      </c>
      <c r="BD144" s="41">
        <f t="shared" si="85"/>
        <v>0</v>
      </c>
      <c r="BE144" s="41">
        <f t="shared" si="85"/>
        <v>0</v>
      </c>
      <c r="BF144" s="41">
        <f t="shared" si="85"/>
        <v>0</v>
      </c>
      <c r="BG144" s="41">
        <f t="shared" si="85"/>
        <v>0</v>
      </c>
      <c r="BH144" s="41">
        <f t="shared" si="85"/>
        <v>0</v>
      </c>
      <c r="BI144" s="41">
        <f t="shared" si="85"/>
        <v>0</v>
      </c>
      <c r="BJ144" s="41">
        <f t="shared" si="85"/>
        <v>0</v>
      </c>
      <c r="BK144" s="41">
        <f t="shared" si="85"/>
        <v>0</v>
      </c>
      <c r="BL144" s="41">
        <f t="shared" si="85"/>
        <v>0</v>
      </c>
      <c r="BM144" s="41">
        <f t="shared" si="85"/>
        <v>0</v>
      </c>
      <c r="BN144" s="41">
        <f t="shared" si="85"/>
        <v>0</v>
      </c>
      <c r="BO144" s="41">
        <f t="shared" si="85"/>
        <v>0</v>
      </c>
      <c r="BP144" s="41">
        <f t="shared" si="85"/>
        <v>0</v>
      </c>
      <c r="BQ144" s="41">
        <f t="shared" si="85"/>
        <v>0</v>
      </c>
      <c r="BR144" s="41">
        <f t="shared" ref="BR144:CW144" si="86">MAX(0,BR140+BR141+BR142+BR143)</f>
        <v>0</v>
      </c>
      <c r="BS144" s="41">
        <f t="shared" si="86"/>
        <v>0</v>
      </c>
      <c r="BT144" s="41">
        <f t="shared" si="86"/>
        <v>0</v>
      </c>
      <c r="BU144" s="41">
        <f t="shared" si="86"/>
        <v>0</v>
      </c>
      <c r="BV144" s="41">
        <f t="shared" si="86"/>
        <v>0</v>
      </c>
      <c r="BW144" s="41">
        <f t="shared" si="86"/>
        <v>0</v>
      </c>
      <c r="BX144" s="41">
        <f t="shared" si="86"/>
        <v>0</v>
      </c>
      <c r="BY144" s="41">
        <f t="shared" si="86"/>
        <v>0</v>
      </c>
      <c r="BZ144" s="41">
        <f t="shared" si="86"/>
        <v>0</v>
      </c>
      <c r="CA144" s="41">
        <f t="shared" si="86"/>
        <v>0</v>
      </c>
      <c r="CB144" s="41">
        <f t="shared" si="86"/>
        <v>0</v>
      </c>
      <c r="CC144" s="41">
        <f t="shared" si="86"/>
        <v>0</v>
      </c>
      <c r="CD144" s="41">
        <f t="shared" si="86"/>
        <v>0</v>
      </c>
      <c r="CE144" s="41">
        <f t="shared" si="86"/>
        <v>0</v>
      </c>
      <c r="CF144" s="41">
        <f t="shared" si="86"/>
        <v>0</v>
      </c>
      <c r="CG144" s="41">
        <f t="shared" si="86"/>
        <v>0</v>
      </c>
      <c r="CH144" s="41">
        <f t="shared" si="86"/>
        <v>0</v>
      </c>
      <c r="CI144" s="41">
        <f t="shared" si="86"/>
        <v>0</v>
      </c>
      <c r="CJ144" s="41">
        <f t="shared" si="86"/>
        <v>0</v>
      </c>
      <c r="CK144" s="41">
        <f t="shared" si="86"/>
        <v>0</v>
      </c>
      <c r="CL144" s="41">
        <f t="shared" si="86"/>
        <v>0</v>
      </c>
      <c r="CM144" s="41">
        <f t="shared" si="86"/>
        <v>0</v>
      </c>
      <c r="CN144" s="41">
        <f t="shared" si="86"/>
        <v>0</v>
      </c>
      <c r="CO144" s="41">
        <f t="shared" si="86"/>
        <v>0</v>
      </c>
      <c r="CP144" s="41">
        <f t="shared" si="86"/>
        <v>0</v>
      </c>
      <c r="CQ144" s="41">
        <f t="shared" si="86"/>
        <v>0</v>
      </c>
      <c r="CR144" s="41">
        <f t="shared" si="86"/>
        <v>0</v>
      </c>
      <c r="CS144" s="41">
        <f t="shared" si="86"/>
        <v>0</v>
      </c>
      <c r="CT144" s="41">
        <f t="shared" si="86"/>
        <v>0</v>
      </c>
      <c r="CU144" s="41">
        <f t="shared" si="86"/>
        <v>0</v>
      </c>
      <c r="CV144" s="41">
        <f t="shared" si="86"/>
        <v>0</v>
      </c>
      <c r="CW144" s="41">
        <f t="shared" si="86"/>
        <v>0</v>
      </c>
      <c r="CX144" s="41">
        <f t="shared" ref="CX144:EC144" si="87">MAX(0,CX140+CX141+CX142+CX143)</f>
        <v>0</v>
      </c>
      <c r="CY144" s="41">
        <f t="shared" si="87"/>
        <v>0</v>
      </c>
      <c r="CZ144" s="41">
        <f t="shared" si="87"/>
        <v>0</v>
      </c>
      <c r="DA144" s="41">
        <f t="shared" si="87"/>
        <v>0</v>
      </c>
      <c r="DB144" s="41">
        <f t="shared" si="87"/>
        <v>0</v>
      </c>
      <c r="DC144" s="41">
        <f t="shared" si="87"/>
        <v>0</v>
      </c>
      <c r="DD144" s="41">
        <f t="shared" si="87"/>
        <v>0</v>
      </c>
      <c r="DE144" s="41">
        <f t="shared" si="87"/>
        <v>0</v>
      </c>
      <c r="DF144" s="41">
        <f t="shared" si="87"/>
        <v>0</v>
      </c>
    </row>
    <row r="145" spans="1:110" ht="15" customHeight="1" x14ac:dyDescent="0.25">
      <c r="A145" s="13" t="s">
        <v>150</v>
      </c>
      <c r="B145" s="13"/>
      <c r="C145" s="22"/>
      <c r="D145" s="22"/>
      <c r="E145" s="22"/>
      <c r="F145" s="22">
        <f>IF(AND(Projects!$G$12="Yes",Projects!$C$12&lt;=1),Assumptions!$B$61,0)</f>
        <v>0</v>
      </c>
      <c r="G145" s="22">
        <f>IF(AND(Projects!$G$12="Yes",2=Projects!$C$12),Assumptions!$B$61,F149)</f>
        <v>0</v>
      </c>
      <c r="H145" s="22">
        <f>IF(AND(Projects!$G$12="Yes",3=Projects!$C$12),Assumptions!$B$61,G149)</f>
        <v>0</v>
      </c>
      <c r="I145" s="22">
        <f>IF(AND(Projects!$G$12="Yes",4=Projects!$C$12),Assumptions!$B$61,H149)</f>
        <v>0</v>
      </c>
      <c r="J145" s="22">
        <f>IF(AND(Projects!$G$12="Yes",5=Projects!$C$12),Assumptions!$B$61,I149)</f>
        <v>0</v>
      </c>
      <c r="K145" s="22">
        <f>IF(AND(Projects!$G$12="Yes",6=Projects!$C$12),Assumptions!$B$61,J149)</f>
        <v>0</v>
      </c>
      <c r="L145" s="22">
        <f>IF(AND(Projects!$G$12="Yes",7=Projects!$C$12),Assumptions!$B$61,K149)</f>
        <v>0</v>
      </c>
      <c r="M145" s="22">
        <f>IF(AND(Projects!$G$12="Yes",8=Projects!$C$12),Assumptions!$B$61,L149)</f>
        <v>0</v>
      </c>
      <c r="N145" s="22">
        <f>IF(AND(Projects!$G$12="Yes",9=Projects!$C$12),Assumptions!$B$61,M149)</f>
        <v>0</v>
      </c>
      <c r="O145" s="22">
        <f>IF(AND(Projects!$G$12="Yes",10=Projects!$C$12),Assumptions!$B$61,N149)</f>
        <v>0</v>
      </c>
      <c r="P145" s="22">
        <f>IF(AND(Projects!$G$12="Yes",11=Projects!$C$12),Assumptions!$B$61,O149)</f>
        <v>0</v>
      </c>
      <c r="Q145" s="22">
        <f>IF(AND(Projects!$G$12="Yes",12=Projects!$C$12),Assumptions!$B$61,P149)</f>
        <v>0</v>
      </c>
      <c r="R145" s="22">
        <f>IF(AND(Projects!$G$12="Yes",13=Projects!$C$12),Assumptions!$B$61,Q149)</f>
        <v>0</v>
      </c>
      <c r="S145" s="22">
        <f>IF(AND(Projects!$G$12="Yes",14=Projects!$C$12),Assumptions!$B$61,R149)</f>
        <v>0</v>
      </c>
      <c r="T145" s="22">
        <f>IF(AND(Projects!$G$12="Yes",15=Projects!$C$12),Assumptions!$B$61,S149)</f>
        <v>0</v>
      </c>
      <c r="U145" s="22">
        <f>IF(AND(Projects!$G$12="Yes",16=Projects!$C$12),Assumptions!$B$61,T149)</f>
        <v>0</v>
      </c>
      <c r="V145" s="22">
        <f>IF(AND(Projects!$G$12="Yes",17=Projects!$C$12),Assumptions!$B$61,U149)</f>
        <v>0</v>
      </c>
      <c r="W145" s="22">
        <f>IF(AND(Projects!$G$12="Yes",18=Projects!$C$12),Assumptions!$B$61,V149)</f>
        <v>0</v>
      </c>
      <c r="X145" s="22">
        <f>IF(AND(Projects!$G$12="Yes",19=Projects!$C$12),Assumptions!$B$61,W149)</f>
        <v>0</v>
      </c>
      <c r="Y145" s="22">
        <f>IF(AND(Projects!$G$12="Yes",20=Projects!$C$12),Assumptions!$B$61,X149)</f>
        <v>0</v>
      </c>
      <c r="Z145" s="22">
        <f>IF(AND(Projects!$G$12="Yes",21=Projects!$C$12),Assumptions!$B$61,Y149)</f>
        <v>0</v>
      </c>
      <c r="AA145" s="22">
        <f>IF(AND(Projects!$G$12="Yes",22=Projects!$C$12),Assumptions!$B$61,Z149)</f>
        <v>0</v>
      </c>
      <c r="AB145" s="22">
        <f>IF(AND(Projects!$G$12="Yes",23=Projects!$C$12),Assumptions!$B$61,AA149)</f>
        <v>0</v>
      </c>
      <c r="AC145" s="22">
        <f>IF(AND(Projects!$G$12="Yes",24=Projects!$C$12),Assumptions!$B$61,AB149)</f>
        <v>0</v>
      </c>
      <c r="AD145" s="22">
        <f>IF(AND(Projects!$G$12="Yes",25=Projects!$C$12),Assumptions!$B$61,AC149)</f>
        <v>0</v>
      </c>
      <c r="AE145" s="22">
        <f>IF(AND(Projects!$G$12="Yes",26=Projects!$C$12),Assumptions!$B$61,AD149)</f>
        <v>0</v>
      </c>
      <c r="AF145" s="22">
        <f>IF(AND(Projects!$G$12="Yes",27=Projects!$C$12),Assumptions!$B$61,AE149)</f>
        <v>0</v>
      </c>
      <c r="AG145" s="22">
        <f>IF(AND(Projects!$G$12="Yes",28=Projects!$C$12),Assumptions!$B$61,AF149)</f>
        <v>0</v>
      </c>
      <c r="AH145" s="22">
        <f>IF(AND(Projects!$G$12="Yes",29=Projects!$C$12),Assumptions!$B$61,AG149)</f>
        <v>0</v>
      </c>
      <c r="AI145" s="22">
        <f>IF(AND(Projects!$G$12="Yes",30=Projects!$C$12),Assumptions!$B$61,AH149)</f>
        <v>0</v>
      </c>
      <c r="AJ145" s="22">
        <f>IF(AND(Projects!$G$12="Yes",31=Projects!$C$12),Assumptions!$B$61,AI149)</f>
        <v>0</v>
      </c>
      <c r="AK145" s="22">
        <f>IF(AND(Projects!$G$12="Yes",32=Projects!$C$12),Assumptions!$B$61,AJ149)</f>
        <v>0</v>
      </c>
      <c r="AL145" s="22">
        <f>IF(AND(Projects!$G$12="Yes",33=Projects!$C$12),Assumptions!$B$61,AK149)</f>
        <v>0</v>
      </c>
      <c r="AM145" s="22">
        <f>IF(AND(Projects!$G$12="Yes",34=Projects!$C$12),Assumptions!$B$61,AL149)</f>
        <v>0</v>
      </c>
      <c r="AN145" s="22">
        <f>IF(AND(Projects!$G$12="Yes",35=Projects!$C$12),Assumptions!$B$61,AM149)</f>
        <v>0</v>
      </c>
      <c r="AO145" s="22">
        <f>IF(AND(Projects!$G$12="Yes",36=Projects!$C$12),Assumptions!$B$61,AN149)</f>
        <v>0</v>
      </c>
      <c r="AP145" s="22">
        <f>IF(AND(Projects!$G$12="Yes",37=Projects!$C$12),Assumptions!$B$61,AO149)</f>
        <v>0</v>
      </c>
      <c r="AQ145" s="22">
        <f>IF(AND(Projects!$G$12="Yes",38=Projects!$C$12),Assumptions!$B$61,AP149)</f>
        <v>0</v>
      </c>
      <c r="AR145" s="22">
        <f>IF(AND(Projects!$G$12="Yes",39=Projects!$C$12),Assumptions!$B$61,AQ149)</f>
        <v>0</v>
      </c>
      <c r="AS145" s="22">
        <f>IF(AND(Projects!$G$12="Yes",40=Projects!$C$12),Assumptions!$B$61,AR149)</f>
        <v>0</v>
      </c>
      <c r="AT145" s="22">
        <f>IF(AND(Projects!$G$12="Yes",41=Projects!$C$12),Assumptions!$B$61,AS149)</f>
        <v>0</v>
      </c>
      <c r="AU145" s="22">
        <f>IF(AND(Projects!$G$12="Yes",42=Projects!$C$12),Assumptions!$B$61,AT149)</f>
        <v>0</v>
      </c>
      <c r="AV145" s="22">
        <f>IF(AND(Projects!$G$12="Yes",43=Projects!$C$12),Assumptions!$B$61,AU149)</f>
        <v>0</v>
      </c>
      <c r="AW145" s="22">
        <f>IF(AND(Projects!$G$12="Yes",44=Projects!$C$12),Assumptions!$B$61,AV149)</f>
        <v>0</v>
      </c>
      <c r="AX145" s="22">
        <f>IF(AND(Projects!$G$12="Yes",45=Projects!$C$12),Assumptions!$B$61,AW149)</f>
        <v>0</v>
      </c>
      <c r="AY145" s="22">
        <f>IF(AND(Projects!$G$12="Yes",46=Projects!$C$12),Assumptions!$B$61,AX149)</f>
        <v>0</v>
      </c>
      <c r="AZ145" s="22">
        <f>IF(AND(Projects!$G$12="Yes",47=Projects!$C$12),Assumptions!$B$61,AY149)</f>
        <v>0</v>
      </c>
      <c r="BA145" s="22">
        <f>IF(AND(Projects!$G$12="Yes",48=Projects!$C$12),Assumptions!$B$61,AZ149)</f>
        <v>0</v>
      </c>
      <c r="BB145" s="22">
        <f>IF(AND(Projects!$G$12="Yes",49=Projects!$C$12),Assumptions!$B$61,BA149)</f>
        <v>0</v>
      </c>
      <c r="BC145" s="22">
        <f>IF(AND(Projects!$G$12="Yes",50=Projects!$C$12),Assumptions!$B$61,BB149)</f>
        <v>0</v>
      </c>
      <c r="BD145" s="22">
        <f>IF(AND(Projects!$G$12="Yes",51=Projects!$C$12),Assumptions!$B$61,BC149)</f>
        <v>0</v>
      </c>
      <c r="BE145" s="22">
        <f>IF(AND(Projects!$G$12="Yes",52=Projects!$C$12),Assumptions!$B$61,BD149)</f>
        <v>0</v>
      </c>
      <c r="BF145" s="22">
        <f>IF(AND(Projects!$G$12="Yes",53=Projects!$C$12),Assumptions!$B$61,BE149)</f>
        <v>0</v>
      </c>
      <c r="BG145" s="22">
        <f>IF(AND(Projects!$G$12="Yes",54=Projects!$C$12),Assumptions!$B$61,BF149)</f>
        <v>0</v>
      </c>
      <c r="BH145" s="22">
        <f>IF(AND(Projects!$G$12="Yes",55=Projects!$C$12),Assumptions!$B$61,BG149)</f>
        <v>0</v>
      </c>
      <c r="BI145" s="22">
        <f>IF(AND(Projects!$G$12="Yes",56=Projects!$C$12),Assumptions!$B$61,BH149)</f>
        <v>0</v>
      </c>
      <c r="BJ145" s="22">
        <f>IF(AND(Projects!$G$12="Yes",57=Projects!$C$12),Assumptions!$B$61,BI149)</f>
        <v>0</v>
      </c>
      <c r="BK145" s="22">
        <f>IF(AND(Projects!$G$12="Yes",58=Projects!$C$12),Assumptions!$B$61,BJ149)</f>
        <v>0</v>
      </c>
      <c r="BL145" s="22">
        <f>IF(AND(Projects!$G$12="Yes",59=Projects!$C$12),Assumptions!$B$61,BK149)</f>
        <v>0</v>
      </c>
      <c r="BM145" s="22">
        <f>IF(AND(Projects!$G$12="Yes",60=Projects!$C$12),Assumptions!$B$61,BL149)</f>
        <v>0</v>
      </c>
      <c r="BN145" s="22">
        <f>IF(AND(Projects!$G$12="Yes",61=Projects!$C$12),Assumptions!$B$61,BM149)</f>
        <v>0</v>
      </c>
      <c r="BO145" s="22">
        <f>IF(AND(Projects!$G$12="Yes",62=Projects!$C$12),Assumptions!$B$61,BN149)</f>
        <v>0</v>
      </c>
      <c r="BP145" s="22">
        <f>IF(AND(Projects!$G$12="Yes",63=Projects!$C$12),Assumptions!$B$61,BO149)</f>
        <v>0</v>
      </c>
      <c r="BQ145" s="22">
        <f>IF(AND(Projects!$G$12="Yes",64=Projects!$C$12),Assumptions!$B$61,BP149)</f>
        <v>0</v>
      </c>
      <c r="BR145" s="22">
        <f>IF(AND(Projects!$G$12="Yes",65=Projects!$C$12),Assumptions!$B$61,BQ149)</f>
        <v>0</v>
      </c>
      <c r="BS145" s="22">
        <f>IF(AND(Projects!$G$12="Yes",66=Projects!$C$12),Assumptions!$B$61,BR149)</f>
        <v>0</v>
      </c>
      <c r="BT145" s="22">
        <f>IF(AND(Projects!$G$12="Yes",67=Projects!$C$12),Assumptions!$B$61,BS149)</f>
        <v>0</v>
      </c>
      <c r="BU145" s="22">
        <f>IF(AND(Projects!$G$12="Yes",68=Projects!$C$12),Assumptions!$B$61,BT149)</f>
        <v>0</v>
      </c>
      <c r="BV145" s="22">
        <f>IF(AND(Projects!$G$12="Yes",69=Projects!$C$12),Assumptions!$B$61,BU149)</f>
        <v>0</v>
      </c>
      <c r="BW145" s="22">
        <f>IF(AND(Projects!$G$12="Yes",70=Projects!$C$12),Assumptions!$B$61,BV149)</f>
        <v>0</v>
      </c>
      <c r="BX145" s="22">
        <f>IF(AND(Projects!$G$12="Yes",71=Projects!$C$12),Assumptions!$B$61,BW149)</f>
        <v>0</v>
      </c>
      <c r="BY145" s="22">
        <f>IF(AND(Projects!$G$12="Yes",72=Projects!$C$12),Assumptions!$B$61,BX149)</f>
        <v>0</v>
      </c>
      <c r="BZ145" s="22">
        <f>IF(AND(Projects!$G$12="Yes",73=Projects!$C$12),Assumptions!$B$61,BY149)</f>
        <v>0</v>
      </c>
      <c r="CA145" s="22">
        <f>IF(AND(Projects!$G$12="Yes",74=Projects!$C$12),Assumptions!$B$61,BZ149)</f>
        <v>0</v>
      </c>
      <c r="CB145" s="22">
        <f>IF(AND(Projects!$G$12="Yes",75=Projects!$C$12),Assumptions!$B$61,CA149)</f>
        <v>0</v>
      </c>
      <c r="CC145" s="22">
        <f>IF(AND(Projects!$G$12="Yes",76=Projects!$C$12),Assumptions!$B$61,CB149)</f>
        <v>0</v>
      </c>
      <c r="CD145" s="22">
        <f>IF(AND(Projects!$G$12="Yes",77=Projects!$C$12),Assumptions!$B$61,CC149)</f>
        <v>0</v>
      </c>
      <c r="CE145" s="22">
        <f>IF(AND(Projects!$G$12="Yes",78=Projects!$C$12),Assumptions!$B$61,CD149)</f>
        <v>0</v>
      </c>
      <c r="CF145" s="22">
        <f>IF(AND(Projects!$G$12="Yes",79=Projects!$C$12),Assumptions!$B$61,CE149)</f>
        <v>0</v>
      </c>
      <c r="CG145" s="22">
        <f>IF(AND(Projects!$G$12="Yes",80=Projects!$C$12),Assumptions!$B$61,CF149)</f>
        <v>0</v>
      </c>
      <c r="CH145" s="22">
        <f>IF(AND(Projects!$G$12="Yes",81=Projects!$C$12),Assumptions!$B$61,CG149)</f>
        <v>0</v>
      </c>
      <c r="CI145" s="22">
        <f>IF(AND(Projects!$G$12="Yes",82=Projects!$C$12),Assumptions!$B$61,CH149)</f>
        <v>0</v>
      </c>
      <c r="CJ145" s="22">
        <f>IF(AND(Projects!$G$12="Yes",83=Projects!$C$12),Assumptions!$B$61,CI149)</f>
        <v>0</v>
      </c>
      <c r="CK145" s="22">
        <f>IF(AND(Projects!$G$12="Yes",84=Projects!$C$12),Assumptions!$B$61,CJ149)</f>
        <v>0</v>
      </c>
      <c r="CL145" s="22">
        <f>IF(AND(Projects!$G$12="Yes",85=Projects!$C$12),Assumptions!$B$61,CK149)</f>
        <v>0</v>
      </c>
      <c r="CM145" s="22">
        <f>IF(AND(Projects!$G$12="Yes",86=Projects!$C$12),Assumptions!$B$61,CL149)</f>
        <v>0</v>
      </c>
      <c r="CN145" s="22">
        <f>IF(AND(Projects!$G$12="Yes",87=Projects!$C$12),Assumptions!$B$61,CM149)</f>
        <v>0</v>
      </c>
      <c r="CO145" s="22">
        <f>IF(AND(Projects!$G$12="Yes",88=Projects!$C$12),Assumptions!$B$61,CN149)</f>
        <v>0</v>
      </c>
      <c r="CP145" s="22">
        <f>IF(AND(Projects!$G$12="Yes",89=Projects!$C$12),Assumptions!$B$61,CO149)</f>
        <v>0</v>
      </c>
      <c r="CQ145" s="22">
        <f>IF(AND(Projects!$G$12="Yes",90=Projects!$C$12),Assumptions!$B$61,CP149)</f>
        <v>0</v>
      </c>
      <c r="CR145" s="22">
        <f>IF(AND(Projects!$G$12="Yes",91=Projects!$C$12),Assumptions!$B$61,CQ149)</f>
        <v>0</v>
      </c>
      <c r="CS145" s="22">
        <f>IF(AND(Projects!$G$12="Yes",92=Projects!$C$12),Assumptions!$B$61,CR149)</f>
        <v>0</v>
      </c>
      <c r="CT145" s="22">
        <f>IF(AND(Projects!$G$12="Yes",93=Projects!$C$12),Assumptions!$B$61,CS149)</f>
        <v>0</v>
      </c>
      <c r="CU145" s="22">
        <f>IF(AND(Projects!$G$12="Yes",94=Projects!$C$12),Assumptions!$B$61,CT149)</f>
        <v>0</v>
      </c>
      <c r="CV145" s="22">
        <f>IF(AND(Projects!$G$12="Yes",95=Projects!$C$12),Assumptions!$B$61,CU149)</f>
        <v>0</v>
      </c>
      <c r="CW145" s="22">
        <f>IF(AND(Projects!$G$12="Yes",96=Projects!$C$12),Assumptions!$B$61,CV149)</f>
        <v>0</v>
      </c>
      <c r="CX145" s="22">
        <f>IF(AND(Projects!$G$12="Yes",97=Projects!$C$12),Assumptions!$B$61,CW149)</f>
        <v>0</v>
      </c>
      <c r="CY145" s="22">
        <f>IF(AND(Projects!$G$12="Yes",98=Projects!$C$12),Assumptions!$B$61,CX149)</f>
        <v>0</v>
      </c>
      <c r="CZ145" s="22">
        <f>IF(AND(Projects!$G$12="Yes",99=Projects!$C$12),Assumptions!$B$61,CY149)</f>
        <v>0</v>
      </c>
      <c r="DA145" s="22">
        <f>IF(AND(Projects!$G$12="Yes",100=Projects!$C$12),Assumptions!$B$61,CZ149)</f>
        <v>0</v>
      </c>
      <c r="DB145" s="22">
        <f>IF(AND(Projects!$G$12="Yes",101=Projects!$C$12),Assumptions!$B$61,DA149)</f>
        <v>0</v>
      </c>
      <c r="DC145" s="22">
        <f>IF(AND(Projects!$G$12="Yes",102=Projects!$C$12),Assumptions!$B$61,DB149)</f>
        <v>0</v>
      </c>
      <c r="DD145" s="22">
        <f>IF(AND(Projects!$G$12="Yes",103=Projects!$C$12),Assumptions!$B$61,DC149)</f>
        <v>0</v>
      </c>
      <c r="DE145" s="22">
        <f>IF(AND(Projects!$G$12="Yes",104=Projects!$C$12),Assumptions!$B$61,DD149)</f>
        <v>0</v>
      </c>
      <c r="DF145" s="22">
        <f>IF(AND(Projects!$G$12="Yes",105=Projects!$C$12),Assumptions!$B$61,DE149)</f>
        <v>0</v>
      </c>
    </row>
    <row r="146" spans="1:110" ht="21.75" customHeight="1" x14ac:dyDescent="0.25">
      <c r="A146" s="13" t="s">
        <v>151</v>
      </c>
      <c r="B146" s="13"/>
      <c r="C146" s="22"/>
      <c r="D146" s="22"/>
      <c r="E146" s="22"/>
      <c r="F146" s="22">
        <f>IF(AND(MOD(1,3)=0,F145&gt;0),F145*Assumptions!$B$59,0)</f>
        <v>0</v>
      </c>
      <c r="G146" s="22">
        <f>IF(AND(MOD(2,3)=0,G145&gt;0),G145*Assumptions!$B$59,0)</f>
        <v>0</v>
      </c>
      <c r="H146" s="22">
        <f>IF(AND(MOD(3,3)=0,H145&gt;0),H145*Assumptions!$B$59,0)</f>
        <v>0</v>
      </c>
      <c r="I146" s="22">
        <f>IF(AND(MOD(4,3)=0,I145&gt;0),I145*Assumptions!$B$59,0)</f>
        <v>0</v>
      </c>
      <c r="J146" s="22">
        <f>IF(AND(MOD(5,3)=0,J145&gt;0),J145*Assumptions!$B$59,0)</f>
        <v>0</v>
      </c>
      <c r="K146" s="22">
        <f>IF(AND(MOD(6,3)=0,K145&gt;0),K145*Assumptions!$B$59,0)</f>
        <v>0</v>
      </c>
      <c r="L146" s="22">
        <f>IF(AND(MOD(7,3)=0,L145&gt;0),L145*Assumptions!$B$59,0)</f>
        <v>0</v>
      </c>
      <c r="M146" s="22">
        <f>IF(AND(MOD(8,3)=0,M145&gt;0),M145*Assumptions!$B$59,0)</f>
        <v>0</v>
      </c>
      <c r="N146" s="22">
        <f>IF(AND(MOD(9,3)=0,N145&gt;0),N145*Assumptions!$B$59,0)</f>
        <v>0</v>
      </c>
      <c r="O146" s="22">
        <f>IF(AND(MOD(10,3)=0,O145&gt;0),O145*Assumptions!$B$59,0)</f>
        <v>0</v>
      </c>
      <c r="P146" s="22">
        <f>IF(AND(MOD(11,3)=0,P145&gt;0),P145*Assumptions!$B$59,0)</f>
        <v>0</v>
      </c>
      <c r="Q146" s="22">
        <f>IF(AND(MOD(12,3)=0,Q145&gt;0),Q145*Assumptions!$B$59,0)</f>
        <v>0</v>
      </c>
      <c r="R146" s="22">
        <f>IF(AND(MOD(13,3)=0,R145&gt;0),R145*Assumptions!$B$59,0)</f>
        <v>0</v>
      </c>
      <c r="S146" s="22">
        <f>IF(AND(MOD(14,3)=0,S145&gt;0),S145*Assumptions!$B$59,0)</f>
        <v>0</v>
      </c>
      <c r="T146" s="22">
        <f>IF(AND(MOD(15,3)=0,T145&gt;0),T145*Assumptions!$B$59,0)</f>
        <v>0</v>
      </c>
      <c r="U146" s="22">
        <f>IF(AND(MOD(16,3)=0,U145&gt;0),U145*Assumptions!$B$59,0)</f>
        <v>0</v>
      </c>
      <c r="V146" s="22">
        <f>IF(AND(MOD(17,3)=0,V145&gt;0),V145*Assumptions!$B$59,0)</f>
        <v>0</v>
      </c>
      <c r="W146" s="22">
        <f>IF(AND(MOD(18,3)=0,W145&gt;0),W145*Assumptions!$B$59,0)</f>
        <v>0</v>
      </c>
      <c r="X146" s="22">
        <f>IF(AND(MOD(19,3)=0,X145&gt;0),X145*Assumptions!$B$59,0)</f>
        <v>0</v>
      </c>
      <c r="Y146" s="22">
        <f>IF(AND(MOD(20,3)=0,Y145&gt;0),Y145*Assumptions!$B$59,0)</f>
        <v>0</v>
      </c>
      <c r="Z146" s="22">
        <f>IF(AND(MOD(21,3)=0,Z145&gt;0),Z145*Assumptions!$B$59,0)</f>
        <v>0</v>
      </c>
      <c r="AA146" s="22">
        <f>IF(AND(MOD(22,3)=0,AA145&gt;0),AA145*Assumptions!$B$59,0)</f>
        <v>0</v>
      </c>
      <c r="AB146" s="22">
        <f>IF(AND(MOD(23,3)=0,AB145&gt;0),AB145*Assumptions!$B$59,0)</f>
        <v>0</v>
      </c>
      <c r="AC146" s="22">
        <f>IF(AND(MOD(24,3)=0,AC145&gt;0),AC145*Assumptions!$B$59,0)</f>
        <v>0</v>
      </c>
      <c r="AD146" s="22">
        <f>IF(AND(MOD(25,3)=0,AD145&gt;0),AD145*Assumptions!$B$59,0)</f>
        <v>0</v>
      </c>
      <c r="AE146" s="22">
        <f>IF(AND(MOD(26,3)=0,AE145&gt;0),AE145*Assumptions!$B$59,0)</f>
        <v>0</v>
      </c>
      <c r="AF146" s="22">
        <f>IF(AND(MOD(27,3)=0,AF145&gt;0),AF145*Assumptions!$B$59,0)</f>
        <v>0</v>
      </c>
      <c r="AG146" s="22">
        <f>IF(AND(MOD(28,3)=0,AG145&gt;0),AG145*Assumptions!$B$59,0)</f>
        <v>0</v>
      </c>
      <c r="AH146" s="22">
        <f>IF(AND(MOD(29,3)=0,AH145&gt;0),AH145*Assumptions!$B$59,0)</f>
        <v>0</v>
      </c>
      <c r="AI146" s="22">
        <f>IF(AND(MOD(30,3)=0,AI145&gt;0),AI145*Assumptions!$B$59,0)</f>
        <v>0</v>
      </c>
      <c r="AJ146" s="22">
        <f>IF(AND(MOD(31,3)=0,AJ145&gt;0),AJ145*Assumptions!$B$59,0)</f>
        <v>0</v>
      </c>
      <c r="AK146" s="22">
        <f>IF(AND(MOD(32,3)=0,AK145&gt;0),AK145*Assumptions!$B$59,0)</f>
        <v>0</v>
      </c>
      <c r="AL146" s="22">
        <f>IF(AND(MOD(33,3)=0,AL145&gt;0),AL145*Assumptions!$B$59,0)</f>
        <v>0</v>
      </c>
      <c r="AM146" s="22">
        <f>IF(AND(MOD(34,3)=0,AM145&gt;0),AM145*Assumptions!$B$59,0)</f>
        <v>0</v>
      </c>
      <c r="AN146" s="22">
        <f>IF(AND(MOD(35,3)=0,AN145&gt;0),AN145*Assumptions!$B$59,0)</f>
        <v>0</v>
      </c>
      <c r="AO146" s="22">
        <f>IF(AND(MOD(36,3)=0,AO145&gt;0),AO145*Assumptions!$B$59,0)</f>
        <v>0</v>
      </c>
      <c r="AP146" s="22">
        <f>IF(AND(MOD(37,3)=0,AP145&gt;0),AP145*Assumptions!$B$59,0)</f>
        <v>0</v>
      </c>
      <c r="AQ146" s="22">
        <f>IF(AND(MOD(38,3)=0,AQ145&gt;0),AQ145*Assumptions!$B$59,0)</f>
        <v>0</v>
      </c>
      <c r="AR146" s="22">
        <f>IF(AND(MOD(39,3)=0,AR145&gt;0),AR145*Assumptions!$B$59,0)</f>
        <v>0</v>
      </c>
      <c r="AS146" s="22">
        <f>IF(AND(MOD(40,3)=0,AS145&gt;0),AS145*Assumptions!$B$59,0)</f>
        <v>0</v>
      </c>
      <c r="AT146" s="22">
        <f>IF(AND(MOD(41,3)=0,AT145&gt;0),AT145*Assumptions!$B$59,0)</f>
        <v>0</v>
      </c>
      <c r="AU146" s="22">
        <f>IF(AND(MOD(42,3)=0,AU145&gt;0),AU145*Assumptions!$B$59,0)</f>
        <v>0</v>
      </c>
      <c r="AV146" s="22">
        <f>IF(AND(MOD(43,3)=0,AV145&gt;0),AV145*Assumptions!$B$59,0)</f>
        <v>0</v>
      </c>
      <c r="AW146" s="22">
        <f>IF(AND(MOD(44,3)=0,AW145&gt;0),AW145*Assumptions!$B$59,0)</f>
        <v>0</v>
      </c>
      <c r="AX146" s="22">
        <f>IF(AND(MOD(45,3)=0,AX145&gt;0),AX145*Assumptions!$B$59,0)</f>
        <v>0</v>
      </c>
      <c r="AY146" s="22">
        <f>IF(AND(MOD(46,3)=0,AY145&gt;0),AY145*Assumptions!$B$59,0)</f>
        <v>0</v>
      </c>
      <c r="AZ146" s="22">
        <f>IF(AND(MOD(47,3)=0,AZ145&gt;0),AZ145*Assumptions!$B$59,0)</f>
        <v>0</v>
      </c>
      <c r="BA146" s="22">
        <f>IF(AND(MOD(48,3)=0,BA145&gt;0),BA145*Assumptions!$B$59,0)</f>
        <v>0</v>
      </c>
      <c r="BB146" s="22">
        <f>IF(AND(MOD(49,3)=0,BB145&gt;0),BB145*Assumptions!$B$59,0)</f>
        <v>0</v>
      </c>
      <c r="BC146" s="22">
        <f>IF(AND(MOD(50,3)=0,BC145&gt;0),BC145*Assumptions!$B$59,0)</f>
        <v>0</v>
      </c>
      <c r="BD146" s="22">
        <f>IF(AND(MOD(51,3)=0,BD145&gt;0),BD145*Assumptions!$B$59,0)</f>
        <v>0</v>
      </c>
      <c r="BE146" s="22">
        <f>IF(AND(MOD(52,3)=0,BE145&gt;0),BE145*Assumptions!$B$59,0)</f>
        <v>0</v>
      </c>
      <c r="BF146" s="22">
        <f>IF(AND(MOD(53,3)=0,BF145&gt;0),BF145*Assumptions!$B$59,0)</f>
        <v>0</v>
      </c>
      <c r="BG146" s="22">
        <f>IF(AND(MOD(54,3)=0,BG145&gt;0),BG145*Assumptions!$B$59,0)</f>
        <v>0</v>
      </c>
      <c r="BH146" s="22">
        <f>IF(AND(MOD(55,3)=0,BH145&gt;0),BH145*Assumptions!$B$59,0)</f>
        <v>0</v>
      </c>
      <c r="BI146" s="22">
        <f>IF(AND(MOD(56,3)=0,BI145&gt;0),BI145*Assumptions!$B$59,0)</f>
        <v>0</v>
      </c>
      <c r="BJ146" s="22">
        <f>IF(AND(MOD(57,3)=0,BJ145&gt;0),BJ145*Assumptions!$B$59,0)</f>
        <v>0</v>
      </c>
      <c r="BK146" s="22">
        <f>IF(AND(MOD(58,3)=0,BK145&gt;0),BK145*Assumptions!$B$59,0)</f>
        <v>0</v>
      </c>
      <c r="BL146" s="22">
        <f>IF(AND(MOD(59,3)=0,BL145&gt;0),BL145*Assumptions!$B$59,0)</f>
        <v>0</v>
      </c>
      <c r="BM146" s="22">
        <f>IF(AND(MOD(60,3)=0,BM145&gt;0),BM145*Assumptions!$B$59,0)</f>
        <v>0</v>
      </c>
      <c r="BN146" s="22">
        <f>IF(AND(MOD(61,3)=0,BN145&gt;0),BN145*Assumptions!$B$59,0)</f>
        <v>0</v>
      </c>
      <c r="BO146" s="22">
        <f>IF(AND(MOD(62,3)=0,BO145&gt;0),BO145*Assumptions!$B$59,0)</f>
        <v>0</v>
      </c>
      <c r="BP146" s="22">
        <f>IF(AND(MOD(63,3)=0,BP145&gt;0),BP145*Assumptions!$B$59,0)</f>
        <v>0</v>
      </c>
      <c r="BQ146" s="22">
        <f>IF(AND(MOD(64,3)=0,BQ145&gt;0),BQ145*Assumptions!$B$59,0)</f>
        <v>0</v>
      </c>
      <c r="BR146" s="22">
        <f>IF(AND(MOD(65,3)=0,BR145&gt;0),BR145*Assumptions!$B$59,0)</f>
        <v>0</v>
      </c>
      <c r="BS146" s="22">
        <f>IF(AND(MOD(66,3)=0,BS145&gt;0),BS145*Assumptions!$B$59,0)</f>
        <v>0</v>
      </c>
      <c r="BT146" s="22">
        <f>IF(AND(MOD(67,3)=0,BT145&gt;0),BT145*Assumptions!$B$59,0)</f>
        <v>0</v>
      </c>
      <c r="BU146" s="22">
        <f>IF(AND(MOD(68,3)=0,BU145&gt;0),BU145*Assumptions!$B$59,0)</f>
        <v>0</v>
      </c>
      <c r="BV146" s="22">
        <f>IF(AND(MOD(69,3)=0,BV145&gt;0),BV145*Assumptions!$B$59,0)</f>
        <v>0</v>
      </c>
      <c r="BW146" s="22">
        <f>IF(AND(MOD(70,3)=0,BW145&gt;0),BW145*Assumptions!$B$59,0)</f>
        <v>0</v>
      </c>
      <c r="BX146" s="22">
        <f>IF(AND(MOD(71,3)=0,BX145&gt;0),BX145*Assumptions!$B$59,0)</f>
        <v>0</v>
      </c>
      <c r="BY146" s="22">
        <f>IF(AND(MOD(72,3)=0,BY145&gt;0),BY145*Assumptions!$B$59,0)</f>
        <v>0</v>
      </c>
      <c r="BZ146" s="22">
        <f>IF(AND(MOD(73,3)=0,BZ145&gt;0),BZ145*Assumptions!$B$59,0)</f>
        <v>0</v>
      </c>
      <c r="CA146" s="22">
        <f>IF(AND(MOD(74,3)=0,CA145&gt;0),CA145*Assumptions!$B$59,0)</f>
        <v>0</v>
      </c>
      <c r="CB146" s="22">
        <f>IF(AND(MOD(75,3)=0,CB145&gt;0),CB145*Assumptions!$B$59,0)</f>
        <v>0</v>
      </c>
      <c r="CC146" s="22">
        <f>IF(AND(MOD(76,3)=0,CC145&gt;0),CC145*Assumptions!$B$59,0)</f>
        <v>0</v>
      </c>
      <c r="CD146" s="22">
        <f>IF(AND(MOD(77,3)=0,CD145&gt;0),CD145*Assumptions!$B$59,0)</f>
        <v>0</v>
      </c>
      <c r="CE146" s="22">
        <f>IF(AND(MOD(78,3)=0,CE145&gt;0),CE145*Assumptions!$B$59,0)</f>
        <v>0</v>
      </c>
      <c r="CF146" s="22">
        <f>IF(AND(MOD(79,3)=0,CF145&gt;0),CF145*Assumptions!$B$59,0)</f>
        <v>0</v>
      </c>
      <c r="CG146" s="22">
        <f>IF(AND(MOD(80,3)=0,CG145&gt;0),CG145*Assumptions!$B$59,0)</f>
        <v>0</v>
      </c>
      <c r="CH146" s="22">
        <f>IF(AND(MOD(81,3)=0,CH145&gt;0),CH145*Assumptions!$B$59,0)</f>
        <v>0</v>
      </c>
      <c r="CI146" s="22">
        <f>IF(AND(MOD(82,3)=0,CI145&gt;0),CI145*Assumptions!$B$59,0)</f>
        <v>0</v>
      </c>
      <c r="CJ146" s="22">
        <f>IF(AND(MOD(83,3)=0,CJ145&gt;0),CJ145*Assumptions!$B$59,0)</f>
        <v>0</v>
      </c>
      <c r="CK146" s="22">
        <f>IF(AND(MOD(84,3)=0,CK145&gt;0),CK145*Assumptions!$B$59,0)</f>
        <v>0</v>
      </c>
      <c r="CL146" s="22">
        <f>IF(AND(MOD(85,3)=0,CL145&gt;0),CL145*Assumptions!$B$59,0)</f>
        <v>0</v>
      </c>
      <c r="CM146" s="22">
        <f>IF(AND(MOD(86,3)=0,CM145&gt;0),CM145*Assumptions!$B$59,0)</f>
        <v>0</v>
      </c>
      <c r="CN146" s="22">
        <f>IF(AND(MOD(87,3)=0,CN145&gt;0),CN145*Assumptions!$B$59,0)</f>
        <v>0</v>
      </c>
      <c r="CO146" s="22">
        <f>IF(AND(MOD(88,3)=0,CO145&gt;0),CO145*Assumptions!$B$59,0)</f>
        <v>0</v>
      </c>
      <c r="CP146" s="22">
        <f>IF(AND(MOD(89,3)=0,CP145&gt;0),CP145*Assumptions!$B$59,0)</f>
        <v>0</v>
      </c>
      <c r="CQ146" s="22">
        <f>IF(AND(MOD(90,3)=0,CQ145&gt;0),CQ145*Assumptions!$B$59,0)</f>
        <v>0</v>
      </c>
      <c r="CR146" s="22">
        <f>IF(AND(MOD(91,3)=0,CR145&gt;0),CR145*Assumptions!$B$59,0)</f>
        <v>0</v>
      </c>
      <c r="CS146" s="22">
        <f>IF(AND(MOD(92,3)=0,CS145&gt;0),CS145*Assumptions!$B$59,0)</f>
        <v>0</v>
      </c>
      <c r="CT146" s="22">
        <f>IF(AND(MOD(93,3)=0,CT145&gt;0),CT145*Assumptions!$B$59,0)</f>
        <v>0</v>
      </c>
      <c r="CU146" s="22">
        <f>IF(AND(MOD(94,3)=0,CU145&gt;0),CU145*Assumptions!$B$59,0)</f>
        <v>0</v>
      </c>
      <c r="CV146" s="22">
        <f>IF(AND(MOD(95,3)=0,CV145&gt;0),CV145*Assumptions!$B$59,0)</f>
        <v>0</v>
      </c>
      <c r="CW146" s="22">
        <f>IF(AND(MOD(96,3)=0,CW145&gt;0),CW145*Assumptions!$B$59,0)</f>
        <v>0</v>
      </c>
      <c r="CX146" s="22">
        <f>IF(AND(MOD(97,3)=0,CX145&gt;0),CX145*Assumptions!$B$59,0)</f>
        <v>0</v>
      </c>
      <c r="CY146" s="22">
        <f>IF(AND(MOD(98,3)=0,CY145&gt;0),CY145*Assumptions!$B$59,0)</f>
        <v>0</v>
      </c>
      <c r="CZ146" s="22">
        <f>IF(AND(MOD(99,3)=0,CZ145&gt;0),CZ145*Assumptions!$B$59,0)</f>
        <v>0</v>
      </c>
      <c r="DA146" s="22">
        <f>IF(AND(MOD(100,3)=0,DA145&gt;0),DA145*Assumptions!$B$59,0)</f>
        <v>0</v>
      </c>
      <c r="DB146" s="22">
        <f>IF(AND(MOD(101,3)=0,DB145&gt;0),DB145*Assumptions!$B$59,0)</f>
        <v>0</v>
      </c>
      <c r="DC146" s="22">
        <f>IF(AND(MOD(102,3)=0,DC145&gt;0),DC145*Assumptions!$B$59,0)</f>
        <v>0</v>
      </c>
      <c r="DD146" s="22">
        <f>IF(AND(MOD(103,3)=0,DD145&gt;0),DD145*Assumptions!$B$59,0)</f>
        <v>0</v>
      </c>
      <c r="DE146" s="22">
        <f>IF(AND(MOD(104,3)=0,DE145&gt;0),DE145*Assumptions!$B$59,0)</f>
        <v>0</v>
      </c>
      <c r="DF146" s="22">
        <f>IF(AND(MOD(105,3)=0,DF145&gt;0),DF145*Assumptions!$B$59,0)</f>
        <v>0</v>
      </c>
    </row>
    <row r="147" spans="1:110" ht="15" customHeight="1" x14ac:dyDescent="0.25">
      <c r="A147" s="13" t="s">
        <v>152</v>
      </c>
      <c r="B147" s="13"/>
      <c r="C147" s="22"/>
      <c r="D147" s="22"/>
      <c r="E147" s="22"/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22">
        <v>0</v>
      </c>
      <c r="AV147" s="22">
        <v>0</v>
      </c>
      <c r="AW147" s="22">
        <v>0</v>
      </c>
      <c r="AX147" s="22">
        <v>0</v>
      </c>
      <c r="AY147" s="22">
        <v>0</v>
      </c>
      <c r="AZ147" s="22">
        <v>0</v>
      </c>
      <c r="BA147" s="22">
        <v>0</v>
      </c>
      <c r="BB147" s="22">
        <v>0</v>
      </c>
      <c r="BC147" s="22">
        <v>0</v>
      </c>
      <c r="BD147" s="22">
        <v>0</v>
      </c>
      <c r="BE147" s="22">
        <v>0</v>
      </c>
      <c r="BF147" s="22">
        <v>0</v>
      </c>
      <c r="BG147" s="22">
        <v>0</v>
      </c>
      <c r="BH147" s="22">
        <v>0</v>
      </c>
      <c r="BI147" s="22">
        <v>0</v>
      </c>
      <c r="BJ147" s="22">
        <v>0</v>
      </c>
      <c r="BK147" s="22">
        <v>0</v>
      </c>
      <c r="BL147" s="22">
        <v>0</v>
      </c>
      <c r="BM147" s="22">
        <v>0</v>
      </c>
      <c r="BN147" s="22">
        <v>0</v>
      </c>
      <c r="BO147" s="22">
        <v>0</v>
      </c>
      <c r="BP147" s="22">
        <v>0</v>
      </c>
      <c r="BQ147" s="22">
        <v>0</v>
      </c>
      <c r="BR147" s="22">
        <v>0</v>
      </c>
      <c r="BS147" s="22">
        <v>0</v>
      </c>
      <c r="BT147" s="22">
        <v>0</v>
      </c>
      <c r="BU147" s="22">
        <v>0</v>
      </c>
      <c r="BV147" s="22">
        <v>0</v>
      </c>
      <c r="BW147" s="22">
        <v>0</v>
      </c>
      <c r="BX147" s="22">
        <v>0</v>
      </c>
      <c r="BY147" s="22">
        <v>0</v>
      </c>
      <c r="BZ147" s="22">
        <v>0</v>
      </c>
      <c r="CA147" s="22">
        <v>0</v>
      </c>
      <c r="CB147" s="22">
        <v>0</v>
      </c>
      <c r="CC147" s="22">
        <v>0</v>
      </c>
      <c r="CD147" s="22">
        <v>0</v>
      </c>
      <c r="CE147" s="22">
        <v>0</v>
      </c>
      <c r="CF147" s="22">
        <v>0</v>
      </c>
      <c r="CG147" s="22">
        <v>0</v>
      </c>
      <c r="CH147" s="22">
        <v>0</v>
      </c>
      <c r="CI147" s="22">
        <v>0</v>
      </c>
      <c r="CJ147" s="22">
        <v>0</v>
      </c>
      <c r="CK147" s="22">
        <v>0</v>
      </c>
      <c r="CL147" s="22">
        <v>0</v>
      </c>
      <c r="CM147" s="22">
        <v>0</v>
      </c>
      <c r="CN147" s="22">
        <v>0</v>
      </c>
      <c r="CO147" s="22">
        <v>0</v>
      </c>
      <c r="CP147" s="22">
        <v>0</v>
      </c>
      <c r="CQ147" s="22">
        <v>0</v>
      </c>
      <c r="CR147" s="22">
        <v>0</v>
      </c>
      <c r="CS147" s="22">
        <v>0</v>
      </c>
      <c r="CT147" s="22">
        <v>0</v>
      </c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</row>
    <row r="148" spans="1:110" ht="15" customHeight="1" x14ac:dyDescent="0.25">
      <c r="A148" s="37" t="s">
        <v>153</v>
      </c>
      <c r="B148" s="37"/>
      <c r="C148" s="38"/>
      <c r="D148" s="38"/>
      <c r="E148" s="38"/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38">
        <v>0</v>
      </c>
      <c r="AH148" s="38">
        <v>0</v>
      </c>
      <c r="AI148" s="38">
        <v>0</v>
      </c>
      <c r="AJ148" s="38">
        <v>0</v>
      </c>
      <c r="AK148" s="38">
        <v>0</v>
      </c>
      <c r="AL148" s="38">
        <v>0</v>
      </c>
      <c r="AM148" s="38">
        <v>0</v>
      </c>
      <c r="AN148" s="38">
        <v>0</v>
      </c>
      <c r="AO148" s="38">
        <v>0</v>
      </c>
      <c r="AP148" s="38">
        <v>0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38">
        <v>0</v>
      </c>
      <c r="BH148" s="38">
        <v>0</v>
      </c>
      <c r="BI148" s="38">
        <v>0</v>
      </c>
      <c r="BJ148" s="38">
        <v>0</v>
      </c>
      <c r="BK148" s="38">
        <v>0</v>
      </c>
      <c r="BL148" s="38">
        <v>0</v>
      </c>
      <c r="BM148" s="38">
        <v>0</v>
      </c>
      <c r="BN148" s="38">
        <v>0</v>
      </c>
      <c r="BO148" s="38">
        <v>0</v>
      </c>
      <c r="BP148" s="38">
        <v>0</v>
      </c>
      <c r="BQ148" s="38">
        <v>0</v>
      </c>
      <c r="BR148" s="38">
        <v>0</v>
      </c>
      <c r="BS148" s="38">
        <v>0</v>
      </c>
      <c r="BT148" s="38">
        <v>0</v>
      </c>
      <c r="BU148" s="38">
        <v>0</v>
      </c>
      <c r="BV148" s="38">
        <v>0</v>
      </c>
      <c r="BW148" s="38">
        <v>0</v>
      </c>
      <c r="BX148" s="38">
        <v>0</v>
      </c>
      <c r="BY148" s="38">
        <v>0</v>
      </c>
      <c r="BZ148" s="38">
        <v>0</v>
      </c>
      <c r="CA148" s="38">
        <v>0</v>
      </c>
      <c r="CB148" s="38">
        <v>0</v>
      </c>
      <c r="CC148" s="38">
        <v>0</v>
      </c>
      <c r="CD148" s="38">
        <v>0</v>
      </c>
      <c r="CE148" s="38">
        <v>0</v>
      </c>
      <c r="CF148" s="38">
        <v>0</v>
      </c>
      <c r="CG148" s="38">
        <v>0</v>
      </c>
      <c r="CH148" s="38">
        <v>0</v>
      </c>
      <c r="CI148" s="38">
        <v>0</v>
      </c>
      <c r="CJ148" s="38">
        <v>0</v>
      </c>
      <c r="CK148" s="38">
        <v>0</v>
      </c>
      <c r="CL148" s="38">
        <v>0</v>
      </c>
      <c r="CM148" s="38">
        <v>0</v>
      </c>
      <c r="CN148" s="38">
        <v>0</v>
      </c>
      <c r="CO148" s="38">
        <v>0</v>
      </c>
      <c r="CP148" s="38">
        <v>0</v>
      </c>
      <c r="CQ148" s="38">
        <v>0</v>
      </c>
      <c r="CR148" s="38">
        <v>0</v>
      </c>
      <c r="CS148" s="38">
        <v>0</v>
      </c>
      <c r="CT148" s="38">
        <v>0</v>
      </c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</row>
    <row r="149" spans="1:110" ht="15" customHeight="1" x14ac:dyDescent="0.25">
      <c r="A149" s="39" t="s">
        <v>154</v>
      </c>
      <c r="B149" s="40"/>
      <c r="C149" s="41"/>
      <c r="D149" s="41"/>
      <c r="E149" s="41"/>
      <c r="F149" s="41">
        <f t="shared" ref="F149:AK149" si="88">MAX(0,F145+F146+F147+F148)</f>
        <v>0</v>
      </c>
      <c r="G149" s="41">
        <f t="shared" si="88"/>
        <v>0</v>
      </c>
      <c r="H149" s="41">
        <f t="shared" si="88"/>
        <v>0</v>
      </c>
      <c r="I149" s="41">
        <f t="shared" si="88"/>
        <v>0</v>
      </c>
      <c r="J149" s="41">
        <f t="shared" si="88"/>
        <v>0</v>
      </c>
      <c r="K149" s="41">
        <f t="shared" si="88"/>
        <v>0</v>
      </c>
      <c r="L149" s="41">
        <f t="shared" si="88"/>
        <v>0</v>
      </c>
      <c r="M149" s="41">
        <f t="shared" si="88"/>
        <v>0</v>
      </c>
      <c r="N149" s="41">
        <f t="shared" si="88"/>
        <v>0</v>
      </c>
      <c r="O149" s="41">
        <f t="shared" si="88"/>
        <v>0</v>
      </c>
      <c r="P149" s="41">
        <f t="shared" si="88"/>
        <v>0</v>
      </c>
      <c r="Q149" s="41">
        <f t="shared" si="88"/>
        <v>0</v>
      </c>
      <c r="R149" s="41">
        <f t="shared" si="88"/>
        <v>0</v>
      </c>
      <c r="S149" s="41">
        <f t="shared" si="88"/>
        <v>0</v>
      </c>
      <c r="T149" s="41">
        <f t="shared" si="88"/>
        <v>0</v>
      </c>
      <c r="U149" s="41">
        <f t="shared" si="88"/>
        <v>0</v>
      </c>
      <c r="V149" s="41">
        <f t="shared" si="88"/>
        <v>0</v>
      </c>
      <c r="W149" s="41">
        <f t="shared" si="88"/>
        <v>0</v>
      </c>
      <c r="X149" s="41">
        <f t="shared" si="88"/>
        <v>0</v>
      </c>
      <c r="Y149" s="41">
        <f t="shared" si="88"/>
        <v>0</v>
      </c>
      <c r="Z149" s="41">
        <f t="shared" si="88"/>
        <v>0</v>
      </c>
      <c r="AA149" s="41">
        <f t="shared" si="88"/>
        <v>0</v>
      </c>
      <c r="AB149" s="41">
        <f t="shared" si="88"/>
        <v>0</v>
      </c>
      <c r="AC149" s="41">
        <f t="shared" si="88"/>
        <v>0</v>
      </c>
      <c r="AD149" s="41">
        <f t="shared" si="88"/>
        <v>0</v>
      </c>
      <c r="AE149" s="41">
        <f t="shared" si="88"/>
        <v>0</v>
      </c>
      <c r="AF149" s="41">
        <f t="shared" si="88"/>
        <v>0</v>
      </c>
      <c r="AG149" s="41">
        <f t="shared" si="88"/>
        <v>0</v>
      </c>
      <c r="AH149" s="41">
        <f t="shared" si="88"/>
        <v>0</v>
      </c>
      <c r="AI149" s="41">
        <f t="shared" si="88"/>
        <v>0</v>
      </c>
      <c r="AJ149" s="41">
        <f t="shared" si="88"/>
        <v>0</v>
      </c>
      <c r="AK149" s="41">
        <f t="shared" si="88"/>
        <v>0</v>
      </c>
      <c r="AL149" s="41">
        <f t="shared" ref="AL149:BQ149" si="89">MAX(0,AL145+AL146+AL147+AL148)</f>
        <v>0</v>
      </c>
      <c r="AM149" s="41">
        <f t="shared" si="89"/>
        <v>0</v>
      </c>
      <c r="AN149" s="41">
        <f t="shared" si="89"/>
        <v>0</v>
      </c>
      <c r="AO149" s="41">
        <f t="shared" si="89"/>
        <v>0</v>
      </c>
      <c r="AP149" s="41">
        <f t="shared" si="89"/>
        <v>0</v>
      </c>
      <c r="AQ149" s="41">
        <f t="shared" si="89"/>
        <v>0</v>
      </c>
      <c r="AR149" s="41">
        <f t="shared" si="89"/>
        <v>0</v>
      </c>
      <c r="AS149" s="41">
        <f t="shared" si="89"/>
        <v>0</v>
      </c>
      <c r="AT149" s="41">
        <f t="shared" si="89"/>
        <v>0</v>
      </c>
      <c r="AU149" s="41">
        <f t="shared" si="89"/>
        <v>0</v>
      </c>
      <c r="AV149" s="41">
        <f t="shared" si="89"/>
        <v>0</v>
      </c>
      <c r="AW149" s="41">
        <f t="shared" si="89"/>
        <v>0</v>
      </c>
      <c r="AX149" s="41">
        <f t="shared" si="89"/>
        <v>0</v>
      </c>
      <c r="AY149" s="41">
        <f t="shared" si="89"/>
        <v>0</v>
      </c>
      <c r="AZ149" s="41">
        <f t="shared" si="89"/>
        <v>0</v>
      </c>
      <c r="BA149" s="41">
        <f t="shared" si="89"/>
        <v>0</v>
      </c>
      <c r="BB149" s="41">
        <f t="shared" si="89"/>
        <v>0</v>
      </c>
      <c r="BC149" s="41">
        <f t="shared" si="89"/>
        <v>0</v>
      </c>
      <c r="BD149" s="41">
        <f t="shared" si="89"/>
        <v>0</v>
      </c>
      <c r="BE149" s="41">
        <f t="shared" si="89"/>
        <v>0</v>
      </c>
      <c r="BF149" s="41">
        <f t="shared" si="89"/>
        <v>0</v>
      </c>
      <c r="BG149" s="41">
        <f t="shared" si="89"/>
        <v>0</v>
      </c>
      <c r="BH149" s="41">
        <f t="shared" si="89"/>
        <v>0</v>
      </c>
      <c r="BI149" s="41">
        <f t="shared" si="89"/>
        <v>0</v>
      </c>
      <c r="BJ149" s="41">
        <f t="shared" si="89"/>
        <v>0</v>
      </c>
      <c r="BK149" s="41">
        <f t="shared" si="89"/>
        <v>0</v>
      </c>
      <c r="BL149" s="41">
        <f t="shared" si="89"/>
        <v>0</v>
      </c>
      <c r="BM149" s="41">
        <f t="shared" si="89"/>
        <v>0</v>
      </c>
      <c r="BN149" s="41">
        <f t="shared" si="89"/>
        <v>0</v>
      </c>
      <c r="BO149" s="41">
        <f t="shared" si="89"/>
        <v>0</v>
      </c>
      <c r="BP149" s="41">
        <f t="shared" si="89"/>
        <v>0</v>
      </c>
      <c r="BQ149" s="41">
        <f t="shared" si="89"/>
        <v>0</v>
      </c>
      <c r="BR149" s="41">
        <f t="shared" ref="BR149:CW149" si="90">MAX(0,BR145+BR146+BR147+BR148)</f>
        <v>0</v>
      </c>
      <c r="BS149" s="41">
        <f t="shared" si="90"/>
        <v>0</v>
      </c>
      <c r="BT149" s="41">
        <f t="shared" si="90"/>
        <v>0</v>
      </c>
      <c r="BU149" s="41">
        <f t="shared" si="90"/>
        <v>0</v>
      </c>
      <c r="BV149" s="41">
        <f t="shared" si="90"/>
        <v>0</v>
      </c>
      <c r="BW149" s="41">
        <f t="shared" si="90"/>
        <v>0</v>
      </c>
      <c r="BX149" s="41">
        <f t="shared" si="90"/>
        <v>0</v>
      </c>
      <c r="BY149" s="41">
        <f t="shared" si="90"/>
        <v>0</v>
      </c>
      <c r="BZ149" s="41">
        <f t="shared" si="90"/>
        <v>0</v>
      </c>
      <c r="CA149" s="41">
        <f t="shared" si="90"/>
        <v>0</v>
      </c>
      <c r="CB149" s="41">
        <f t="shared" si="90"/>
        <v>0</v>
      </c>
      <c r="CC149" s="41">
        <f t="shared" si="90"/>
        <v>0</v>
      </c>
      <c r="CD149" s="41">
        <f t="shared" si="90"/>
        <v>0</v>
      </c>
      <c r="CE149" s="41">
        <f t="shared" si="90"/>
        <v>0</v>
      </c>
      <c r="CF149" s="41">
        <f t="shared" si="90"/>
        <v>0</v>
      </c>
      <c r="CG149" s="41">
        <f t="shared" si="90"/>
        <v>0</v>
      </c>
      <c r="CH149" s="41">
        <f t="shared" si="90"/>
        <v>0</v>
      </c>
      <c r="CI149" s="41">
        <f t="shared" si="90"/>
        <v>0</v>
      </c>
      <c r="CJ149" s="41">
        <f t="shared" si="90"/>
        <v>0</v>
      </c>
      <c r="CK149" s="41">
        <f t="shared" si="90"/>
        <v>0</v>
      </c>
      <c r="CL149" s="41">
        <f t="shared" si="90"/>
        <v>0</v>
      </c>
      <c r="CM149" s="41">
        <f t="shared" si="90"/>
        <v>0</v>
      </c>
      <c r="CN149" s="41">
        <f t="shared" si="90"/>
        <v>0</v>
      </c>
      <c r="CO149" s="41">
        <f t="shared" si="90"/>
        <v>0</v>
      </c>
      <c r="CP149" s="41">
        <f t="shared" si="90"/>
        <v>0</v>
      </c>
      <c r="CQ149" s="41">
        <f t="shared" si="90"/>
        <v>0</v>
      </c>
      <c r="CR149" s="41">
        <f t="shared" si="90"/>
        <v>0</v>
      </c>
      <c r="CS149" s="41">
        <f t="shared" si="90"/>
        <v>0</v>
      </c>
      <c r="CT149" s="41">
        <f t="shared" si="90"/>
        <v>0</v>
      </c>
      <c r="CU149" s="41">
        <f t="shared" si="90"/>
        <v>0</v>
      </c>
      <c r="CV149" s="41">
        <f t="shared" si="90"/>
        <v>0</v>
      </c>
      <c r="CW149" s="41">
        <f t="shared" si="90"/>
        <v>0</v>
      </c>
      <c r="CX149" s="41">
        <f t="shared" ref="CX149:EC149" si="91">MAX(0,CX145+CX146+CX147+CX148)</f>
        <v>0</v>
      </c>
      <c r="CY149" s="41">
        <f t="shared" si="91"/>
        <v>0</v>
      </c>
      <c r="CZ149" s="41">
        <f t="shared" si="91"/>
        <v>0</v>
      </c>
      <c r="DA149" s="41">
        <f t="shared" si="91"/>
        <v>0</v>
      </c>
      <c r="DB149" s="41">
        <f t="shared" si="91"/>
        <v>0</v>
      </c>
      <c r="DC149" s="41">
        <f t="shared" si="91"/>
        <v>0</v>
      </c>
      <c r="DD149" s="41">
        <f t="shared" si="91"/>
        <v>0</v>
      </c>
      <c r="DE149" s="41">
        <f t="shared" si="91"/>
        <v>0</v>
      </c>
      <c r="DF149" s="41">
        <f t="shared" si="91"/>
        <v>0</v>
      </c>
    </row>
    <row r="150" spans="1:110" ht="15" customHeight="1" x14ac:dyDescent="0.25">
      <c r="A150" s="42" t="s">
        <v>155</v>
      </c>
      <c r="B150" s="42"/>
      <c r="C150" s="43"/>
      <c r="D150" s="43"/>
      <c r="E150" s="43"/>
      <c r="F150" s="43">
        <f>IF(Projects!$G$14="Yes",Assumptions!$B$75,0)</f>
        <v>264927.15000000002</v>
      </c>
      <c r="G150" s="43">
        <f>F154</f>
        <v>264927.15000000002</v>
      </c>
      <c r="H150" s="43">
        <f>IF(Projects!$G$14="Yes",G154+176618.1,G154)</f>
        <v>441545.25</v>
      </c>
      <c r="I150" s="43">
        <f>H154</f>
        <v>458103.19687500002</v>
      </c>
      <c r="J150" s="43">
        <f>I154</f>
        <v>458103.19687500002</v>
      </c>
      <c r="K150" s="43">
        <f>IF(Projects!$G$14="Yes",J154+176618.1,J154)</f>
        <v>634721.296875</v>
      </c>
      <c r="L150" s="43">
        <f>K154</f>
        <v>658523.34550781245</v>
      </c>
      <c r="M150" s="43">
        <f>L154</f>
        <v>658523.34550781245</v>
      </c>
      <c r="N150" s="43">
        <f>M154</f>
        <v>658523.34550781245</v>
      </c>
      <c r="O150" s="43">
        <f>IF(Projects!$G$14="Yes",N154+88309.05,N154)</f>
        <v>771527.02096435544</v>
      </c>
      <c r="P150" s="43">
        <f>O154</f>
        <v>771527.02096435544</v>
      </c>
      <c r="Q150" s="43">
        <f>P154</f>
        <v>771527.02096435544</v>
      </c>
      <c r="R150" s="43">
        <f>Q154</f>
        <v>800459.28425051877</v>
      </c>
      <c r="S150" s="43">
        <f>R154</f>
        <v>800459.28425051877</v>
      </c>
      <c r="T150" s="43">
        <f>IF(Projects!$G$14="Yes",S154+88309.05,S154)</f>
        <v>888768.33425051882</v>
      </c>
      <c r="U150" s="43">
        <f>T154</f>
        <v>922097.14678491326</v>
      </c>
      <c r="V150" s="43">
        <f>U154</f>
        <v>922097.14678491326</v>
      </c>
      <c r="W150" s="43">
        <f>V154</f>
        <v>922097.14678491326</v>
      </c>
      <c r="X150" s="43">
        <f>W154</f>
        <v>956675.78978934756</v>
      </c>
      <c r="Y150" s="43">
        <f>X154</f>
        <v>956675.78978934756</v>
      </c>
      <c r="Z150" s="43">
        <f>IF(Projects!$G$14="Yes",Y154+88309.05,Y154)</f>
        <v>1044984.8397893476</v>
      </c>
      <c r="AA150" s="43">
        <f>Z154</f>
        <v>1084171.7712814482</v>
      </c>
      <c r="AB150" s="43">
        <f>AA154</f>
        <v>1084171.7712814482</v>
      </c>
      <c r="AC150" s="43">
        <f>AB154</f>
        <v>1084171.7712814482</v>
      </c>
      <c r="AD150" s="43">
        <f>AC154</f>
        <v>1124828.2127045025</v>
      </c>
      <c r="AE150" s="43">
        <f>AD154</f>
        <v>1124828.2127045025</v>
      </c>
      <c r="AF150" s="43">
        <f>IF(Projects!$G$14="Yes",AE154+Assumptions!$B$76,AE154)</f>
        <v>2007918.7127045025</v>
      </c>
      <c r="AG150" s="43">
        <f t="shared" ref="AG150:BL150" si="92">AF154</f>
        <v>283215.66443092143</v>
      </c>
      <c r="AH150" s="43">
        <f t="shared" si="92"/>
        <v>283215.66443092143</v>
      </c>
      <c r="AI150" s="43">
        <f t="shared" si="92"/>
        <v>283215.66443092143</v>
      </c>
      <c r="AJ150" s="43">
        <f t="shared" si="92"/>
        <v>293836.251847081</v>
      </c>
      <c r="AK150" s="43">
        <f t="shared" si="92"/>
        <v>293836.251847081</v>
      </c>
      <c r="AL150" s="43">
        <f t="shared" si="92"/>
        <v>293836.251847081</v>
      </c>
      <c r="AM150" s="43">
        <f t="shared" si="92"/>
        <v>304855.11129134655</v>
      </c>
      <c r="AN150" s="43">
        <f t="shared" si="92"/>
        <v>304855.11129134655</v>
      </c>
      <c r="AO150" s="43">
        <f t="shared" si="92"/>
        <v>304855.11129134655</v>
      </c>
      <c r="AP150" s="43">
        <f t="shared" si="92"/>
        <v>316287.17796477204</v>
      </c>
      <c r="AQ150" s="43">
        <f t="shared" si="92"/>
        <v>316287.17796477204</v>
      </c>
      <c r="AR150" s="43">
        <f t="shared" si="92"/>
        <v>316287.17796477204</v>
      </c>
      <c r="AS150" s="43">
        <f t="shared" si="92"/>
        <v>328147.94713845098</v>
      </c>
      <c r="AT150" s="43">
        <f t="shared" si="92"/>
        <v>328147.94713845098</v>
      </c>
      <c r="AU150" s="43">
        <f t="shared" si="92"/>
        <v>328147.94713845098</v>
      </c>
      <c r="AV150" s="43">
        <f t="shared" si="92"/>
        <v>340453.49515614292</v>
      </c>
      <c r="AW150" s="43">
        <f t="shared" si="92"/>
        <v>340453.49515614292</v>
      </c>
      <c r="AX150" s="43">
        <f t="shared" si="92"/>
        <v>340453.49515614292</v>
      </c>
      <c r="AY150" s="43">
        <f t="shared" si="92"/>
        <v>353220.50122449826</v>
      </c>
      <c r="AZ150" s="43">
        <f t="shared" si="92"/>
        <v>353220.50122449826</v>
      </c>
      <c r="BA150" s="43">
        <f t="shared" si="92"/>
        <v>353220.50122449826</v>
      </c>
      <c r="BB150" s="43">
        <f t="shared" si="92"/>
        <v>366466.27002041694</v>
      </c>
      <c r="BC150" s="43">
        <f t="shared" si="92"/>
        <v>366466.27002041694</v>
      </c>
      <c r="BD150" s="43">
        <f t="shared" si="92"/>
        <v>366466.27002041694</v>
      </c>
      <c r="BE150" s="43">
        <f t="shared" si="92"/>
        <v>380208.75514618255</v>
      </c>
      <c r="BF150" s="43">
        <f t="shared" si="92"/>
        <v>380208.75514618255</v>
      </c>
      <c r="BG150" s="43">
        <f t="shared" si="92"/>
        <v>380208.75514618255</v>
      </c>
      <c r="BH150" s="43">
        <f t="shared" si="92"/>
        <v>394466.5834641644</v>
      </c>
      <c r="BI150" s="43">
        <f t="shared" si="92"/>
        <v>394466.5834641644</v>
      </c>
      <c r="BJ150" s="43">
        <f t="shared" si="92"/>
        <v>394466.5834641644</v>
      </c>
      <c r="BK150" s="43">
        <f t="shared" si="92"/>
        <v>409259.08034407056</v>
      </c>
      <c r="BL150" s="43">
        <f t="shared" si="92"/>
        <v>409259.08034407056</v>
      </c>
      <c r="BM150" s="43">
        <f t="shared" ref="BM150:CR150" si="93">BL154</f>
        <v>409259.08034407056</v>
      </c>
      <c r="BN150" s="43">
        <f t="shared" si="93"/>
        <v>424606.29585697321</v>
      </c>
      <c r="BO150" s="43">
        <f t="shared" si="93"/>
        <v>424606.29585697321</v>
      </c>
      <c r="BP150" s="43">
        <f t="shared" si="93"/>
        <v>424606.29585697321</v>
      </c>
      <c r="BQ150" s="43">
        <f t="shared" si="93"/>
        <v>440529.03195160971</v>
      </c>
      <c r="BR150" s="43">
        <f t="shared" si="93"/>
        <v>440529.03195160971</v>
      </c>
      <c r="BS150" s="43">
        <f t="shared" si="93"/>
        <v>440529.03195160971</v>
      </c>
      <c r="BT150" s="43">
        <f t="shared" si="93"/>
        <v>457048.87064979505</v>
      </c>
      <c r="BU150" s="43">
        <f t="shared" si="93"/>
        <v>457048.87064979505</v>
      </c>
      <c r="BV150" s="43">
        <f t="shared" si="93"/>
        <v>457048.87064979505</v>
      </c>
      <c r="BW150" s="43">
        <f t="shared" si="93"/>
        <v>474188.20329916239</v>
      </c>
      <c r="BX150" s="43">
        <f t="shared" si="93"/>
        <v>474188.20329916239</v>
      </c>
      <c r="BY150" s="43">
        <f t="shared" si="93"/>
        <v>474188.20329916239</v>
      </c>
      <c r="BZ150" s="43">
        <f t="shared" si="93"/>
        <v>491970.26092288096</v>
      </c>
      <c r="CA150" s="43">
        <f t="shared" si="93"/>
        <v>491970.26092288096</v>
      </c>
      <c r="CB150" s="43">
        <f t="shared" si="93"/>
        <v>491970.26092288096</v>
      </c>
      <c r="CC150" s="43">
        <f t="shared" si="93"/>
        <v>510419.14570748899</v>
      </c>
      <c r="CD150" s="43">
        <f t="shared" si="93"/>
        <v>510419.14570748899</v>
      </c>
      <c r="CE150" s="43">
        <f t="shared" si="93"/>
        <v>510419.14570748899</v>
      </c>
      <c r="CF150" s="43">
        <f t="shared" si="93"/>
        <v>529559.86367151979</v>
      </c>
      <c r="CG150" s="43">
        <f t="shared" si="93"/>
        <v>529559.86367151979</v>
      </c>
      <c r="CH150" s="43">
        <f t="shared" si="93"/>
        <v>529559.86367151979</v>
      </c>
      <c r="CI150" s="43">
        <f t="shared" si="93"/>
        <v>549418.35855920182</v>
      </c>
      <c r="CJ150" s="43">
        <f t="shared" si="93"/>
        <v>549418.35855920182</v>
      </c>
      <c r="CK150" s="43">
        <f t="shared" si="93"/>
        <v>549418.35855920182</v>
      </c>
      <c r="CL150" s="43">
        <f t="shared" si="93"/>
        <v>570021.54700517189</v>
      </c>
      <c r="CM150" s="43">
        <f t="shared" si="93"/>
        <v>570021.54700517189</v>
      </c>
      <c r="CN150" s="43">
        <f t="shared" si="93"/>
        <v>570021.54700517189</v>
      </c>
      <c r="CO150" s="43">
        <f t="shared" si="93"/>
        <v>591397.35501786578</v>
      </c>
      <c r="CP150" s="43">
        <f t="shared" si="93"/>
        <v>569702.67501786584</v>
      </c>
      <c r="CQ150" s="43">
        <f t="shared" si="93"/>
        <v>496547.67501786584</v>
      </c>
      <c r="CR150" s="43">
        <f t="shared" si="93"/>
        <v>442013.21283103584</v>
      </c>
      <c r="CS150" s="43">
        <f t="shared" ref="CS150:DF150" si="94">CR154</f>
        <v>368858.21283103584</v>
      </c>
      <c r="CT150" s="43">
        <f t="shared" si="94"/>
        <v>295703.21283103584</v>
      </c>
      <c r="CU150" s="43">
        <f t="shared" si="94"/>
        <v>233637.08331219968</v>
      </c>
      <c r="CV150" s="43">
        <f t="shared" si="94"/>
        <v>160482.08331219968</v>
      </c>
      <c r="CW150" s="43">
        <f t="shared" si="94"/>
        <v>87327.083312199684</v>
      </c>
      <c r="CX150" s="43">
        <f t="shared" si="94"/>
        <v>17446.848936407172</v>
      </c>
      <c r="CY150" s="43">
        <f t="shared" si="94"/>
        <v>0</v>
      </c>
      <c r="CZ150" s="43">
        <f t="shared" si="94"/>
        <v>0</v>
      </c>
      <c r="DA150" s="43">
        <f t="shared" si="94"/>
        <v>0</v>
      </c>
      <c r="DB150" s="43">
        <f t="shared" si="94"/>
        <v>0</v>
      </c>
      <c r="DC150" s="43">
        <f t="shared" si="94"/>
        <v>0</v>
      </c>
      <c r="DD150" s="43">
        <f t="shared" si="94"/>
        <v>0</v>
      </c>
      <c r="DE150" s="43">
        <f t="shared" si="94"/>
        <v>0</v>
      </c>
      <c r="DF150" s="43">
        <f t="shared" si="94"/>
        <v>0</v>
      </c>
    </row>
    <row r="151" spans="1:110" ht="15" customHeight="1" x14ac:dyDescent="0.25">
      <c r="A151" s="42" t="s">
        <v>156</v>
      </c>
      <c r="B151" s="42"/>
      <c r="C151" s="43"/>
      <c r="D151" s="43"/>
      <c r="E151" s="43"/>
      <c r="F151" s="43">
        <f>IF(AND(MOD(1,3)=0,F150&gt;0),F150*Assumptions!$B$59,0)</f>
        <v>0</v>
      </c>
      <c r="G151" s="43">
        <f>IF(AND(MOD(2,3)=0,G150&gt;0),G150*Assumptions!$B$59,0)</f>
        <v>0</v>
      </c>
      <c r="H151" s="43">
        <f>IF(AND(MOD(3,3)=0,H150&gt;0),H150*Assumptions!$B$59,0)</f>
        <v>16557.946874999998</v>
      </c>
      <c r="I151" s="43">
        <f>IF(AND(MOD(4,3)=0,I150&gt;0),I150*Assumptions!$B$59,0)</f>
        <v>0</v>
      </c>
      <c r="J151" s="43">
        <f>IF(AND(MOD(5,3)=0,J150&gt;0),J150*Assumptions!$B$59,0)</f>
        <v>0</v>
      </c>
      <c r="K151" s="43">
        <f>IF(AND(MOD(6,3)=0,K150&gt;0),K150*Assumptions!$B$59,0)</f>
        <v>23802.048632812501</v>
      </c>
      <c r="L151" s="43">
        <f>IF(AND(MOD(7,3)=0,L150&gt;0),L150*Assumptions!$B$59,0)</f>
        <v>0</v>
      </c>
      <c r="M151" s="43">
        <f>IF(AND(MOD(8,3)=0,M150&gt;0),M150*Assumptions!$B$59,0)</f>
        <v>0</v>
      </c>
      <c r="N151" s="43">
        <f>IF(AND(MOD(9,3)=0,N150&gt;0),N150*Assumptions!$B$59,0)</f>
        <v>24694.625456542966</v>
      </c>
      <c r="O151" s="43">
        <f>IF(AND(MOD(10,3)=0,O150&gt;0),O150*Assumptions!$B$59,0)</f>
        <v>0</v>
      </c>
      <c r="P151" s="43">
        <f>IF(AND(MOD(11,3)=0,P150&gt;0),P150*Assumptions!$B$59,0)</f>
        <v>0</v>
      </c>
      <c r="Q151" s="43">
        <f>IF(AND(MOD(12,3)=0,Q150&gt;0),Q150*Assumptions!$B$59,0)</f>
        <v>28932.263286163328</v>
      </c>
      <c r="R151" s="43">
        <f>IF(AND(MOD(13,3)=0,R150&gt;0),R150*Assumptions!$B$59,0)</f>
        <v>0</v>
      </c>
      <c r="S151" s="43">
        <f>IF(AND(MOD(14,3)=0,S150&gt;0),S150*Assumptions!$B$59,0)</f>
        <v>0</v>
      </c>
      <c r="T151" s="43">
        <f>IF(AND(MOD(15,3)=0,T150&gt;0),T150*Assumptions!$B$59,0)</f>
        <v>33328.812534394456</v>
      </c>
      <c r="U151" s="43">
        <f>IF(AND(MOD(16,3)=0,U150&gt;0),U150*Assumptions!$B$59,0)</f>
        <v>0</v>
      </c>
      <c r="V151" s="43">
        <f>IF(AND(MOD(17,3)=0,V150&gt;0),V150*Assumptions!$B$59,0)</f>
        <v>0</v>
      </c>
      <c r="W151" s="43">
        <f>IF(AND(MOD(18,3)=0,W150&gt;0),W150*Assumptions!$B$59,0)</f>
        <v>34578.643004434249</v>
      </c>
      <c r="X151" s="43">
        <f>IF(AND(MOD(19,3)=0,X150&gt;0),X150*Assumptions!$B$59,0)</f>
        <v>0</v>
      </c>
      <c r="Y151" s="43">
        <f>IF(AND(MOD(20,3)=0,Y150&gt;0),Y150*Assumptions!$B$59,0)</f>
        <v>0</v>
      </c>
      <c r="Z151" s="43">
        <f>IF(AND(MOD(21,3)=0,Z150&gt;0),Z150*Assumptions!$B$59,0)</f>
        <v>39186.931492100535</v>
      </c>
      <c r="AA151" s="43">
        <f>IF(AND(MOD(22,3)=0,AA150&gt;0),AA150*Assumptions!$B$59,0)</f>
        <v>0</v>
      </c>
      <c r="AB151" s="43">
        <f>IF(AND(MOD(23,3)=0,AB150&gt;0),AB150*Assumptions!$B$59,0)</f>
        <v>0</v>
      </c>
      <c r="AC151" s="43">
        <f>IF(AND(MOD(24,3)=0,AC150&gt;0),AC150*Assumptions!$B$59,0)</f>
        <v>40656.441423054304</v>
      </c>
      <c r="AD151" s="43">
        <f>IF(AND(MOD(25,3)=0,AD150&gt;0),AD150*Assumptions!$B$59,0)</f>
        <v>0</v>
      </c>
      <c r="AE151" s="43">
        <f>IF(AND(MOD(26,3)=0,AE150&gt;0),AE150*Assumptions!$B$59,0)</f>
        <v>0</v>
      </c>
      <c r="AF151" s="43">
        <f>IF(AND(MOD(27,3)=0,AF150&gt;0),AF150*Assumptions!$B$59,0)</f>
        <v>75296.951726418847</v>
      </c>
      <c r="AG151" s="43">
        <f>IF(AND(MOD(28,3)=0,AG150&gt;0),AG150*Assumptions!$B$59,0)</f>
        <v>0</v>
      </c>
      <c r="AH151" s="43">
        <f>IF(AND(MOD(29,3)=0,AH150&gt;0),AH150*Assumptions!$B$59,0)</f>
        <v>0</v>
      </c>
      <c r="AI151" s="43">
        <f>IF(AND(MOD(30,3)=0,AI150&gt;0),AI150*Assumptions!$B$59,0)</f>
        <v>10620.587416159553</v>
      </c>
      <c r="AJ151" s="43">
        <f>IF(AND(MOD(31,3)=0,AJ150&gt;0),AJ150*Assumptions!$B$59,0)</f>
        <v>0</v>
      </c>
      <c r="AK151" s="43">
        <f>IF(AND(MOD(32,3)=0,AK150&gt;0),AK150*Assumptions!$B$59,0)</f>
        <v>0</v>
      </c>
      <c r="AL151" s="43">
        <f>IF(AND(MOD(33,3)=0,AL150&gt;0),AL150*Assumptions!$B$59,0)</f>
        <v>11018.859444265538</v>
      </c>
      <c r="AM151" s="43">
        <f>IF(AND(MOD(34,3)=0,AM150&gt;0),AM150*Assumptions!$B$59,0)</f>
        <v>0</v>
      </c>
      <c r="AN151" s="43">
        <f>IF(AND(MOD(35,3)=0,AN150&gt;0),AN150*Assumptions!$B$59,0)</f>
        <v>0</v>
      </c>
      <c r="AO151" s="43">
        <f>IF(AND(MOD(36,3)=0,AO150&gt;0),AO150*Assumptions!$B$59,0)</f>
        <v>11432.066673425496</v>
      </c>
      <c r="AP151" s="43">
        <f>IF(AND(MOD(37,3)=0,AP150&gt;0),AP150*Assumptions!$B$59,0)</f>
        <v>0</v>
      </c>
      <c r="AQ151" s="43">
        <f>IF(AND(MOD(38,3)=0,AQ150&gt;0),AQ150*Assumptions!$B$59,0)</f>
        <v>0</v>
      </c>
      <c r="AR151" s="43">
        <f>IF(AND(MOD(39,3)=0,AR150&gt;0),AR150*Assumptions!$B$59,0)</f>
        <v>11860.769173678951</v>
      </c>
      <c r="AS151" s="43">
        <f>IF(AND(MOD(40,3)=0,AS150&gt;0),AS150*Assumptions!$B$59,0)</f>
        <v>0</v>
      </c>
      <c r="AT151" s="43">
        <f>IF(AND(MOD(41,3)=0,AT150&gt;0),AT150*Assumptions!$B$59,0)</f>
        <v>0</v>
      </c>
      <c r="AU151" s="43">
        <f>IF(AND(MOD(42,3)=0,AU150&gt;0),AU150*Assumptions!$B$59,0)</f>
        <v>12305.548017691912</v>
      </c>
      <c r="AV151" s="43">
        <f>IF(AND(MOD(43,3)=0,AV150&gt;0),AV150*Assumptions!$B$59,0)</f>
        <v>0</v>
      </c>
      <c r="AW151" s="43">
        <f>IF(AND(MOD(44,3)=0,AW150&gt;0),AW150*Assumptions!$B$59,0)</f>
        <v>0</v>
      </c>
      <c r="AX151" s="43">
        <f>IF(AND(MOD(45,3)=0,AX150&gt;0),AX150*Assumptions!$B$59,0)</f>
        <v>12767.006068355358</v>
      </c>
      <c r="AY151" s="43">
        <f>IF(AND(MOD(46,3)=0,AY150&gt;0),AY150*Assumptions!$B$59,0)</f>
        <v>0</v>
      </c>
      <c r="AZ151" s="43">
        <f>IF(AND(MOD(47,3)=0,AZ150&gt;0),AZ150*Assumptions!$B$59,0)</f>
        <v>0</v>
      </c>
      <c r="BA151" s="43">
        <f>IF(AND(MOD(48,3)=0,BA150&gt;0),BA150*Assumptions!$B$59,0)</f>
        <v>13245.768795918684</v>
      </c>
      <c r="BB151" s="43">
        <f>IF(AND(MOD(49,3)=0,BB150&gt;0),BB150*Assumptions!$B$59,0)</f>
        <v>0</v>
      </c>
      <c r="BC151" s="43">
        <f>IF(AND(MOD(50,3)=0,BC150&gt;0),BC150*Assumptions!$B$59,0)</f>
        <v>0</v>
      </c>
      <c r="BD151" s="43">
        <f>IF(AND(MOD(51,3)=0,BD150&gt;0),BD150*Assumptions!$B$59,0)</f>
        <v>13742.485125765636</v>
      </c>
      <c r="BE151" s="43">
        <f>IF(AND(MOD(52,3)=0,BE150&gt;0),BE150*Assumptions!$B$59,0)</f>
        <v>0</v>
      </c>
      <c r="BF151" s="43">
        <f>IF(AND(MOD(53,3)=0,BF150&gt;0),BF150*Assumptions!$B$59,0)</f>
        <v>0</v>
      </c>
      <c r="BG151" s="43">
        <f>IF(AND(MOD(54,3)=0,BG150&gt;0),BG150*Assumptions!$B$59,0)</f>
        <v>14257.828317981845</v>
      </c>
      <c r="BH151" s="43">
        <f>IF(AND(MOD(55,3)=0,BH150&gt;0),BH150*Assumptions!$B$59,0)</f>
        <v>0</v>
      </c>
      <c r="BI151" s="43">
        <f>IF(AND(MOD(56,3)=0,BI150&gt;0),BI150*Assumptions!$B$59,0)</f>
        <v>0</v>
      </c>
      <c r="BJ151" s="43">
        <f>IF(AND(MOD(57,3)=0,BJ150&gt;0),BJ150*Assumptions!$B$59,0)</f>
        <v>14792.496879906164</v>
      </c>
      <c r="BK151" s="43">
        <f>IF(AND(MOD(58,3)=0,BK150&gt;0),BK150*Assumptions!$B$59,0)</f>
        <v>0</v>
      </c>
      <c r="BL151" s="43">
        <f>IF(AND(MOD(59,3)=0,BL150&gt;0),BL150*Assumptions!$B$59,0)</f>
        <v>0</v>
      </c>
      <c r="BM151" s="43">
        <f>IF(AND(MOD(60,3)=0,BM150&gt;0),BM150*Assumptions!$B$59,0)</f>
        <v>15347.215512902645</v>
      </c>
      <c r="BN151" s="43">
        <f>IF(AND(MOD(61,3)=0,BN150&gt;0),BN150*Assumptions!$B$59,0)</f>
        <v>0</v>
      </c>
      <c r="BO151" s="43">
        <f>IF(AND(MOD(62,3)=0,BO150&gt;0),BO150*Assumptions!$B$59,0)</f>
        <v>0</v>
      </c>
      <c r="BP151" s="43">
        <f>IF(AND(MOD(63,3)=0,BP150&gt;0),BP150*Assumptions!$B$59,0)</f>
        <v>15922.736094636495</v>
      </c>
      <c r="BQ151" s="43">
        <f>IF(AND(MOD(64,3)=0,BQ150&gt;0),BQ150*Assumptions!$B$59,0)</f>
        <v>0</v>
      </c>
      <c r="BR151" s="43">
        <f>IF(AND(MOD(65,3)=0,BR150&gt;0),BR150*Assumptions!$B$59,0)</f>
        <v>0</v>
      </c>
      <c r="BS151" s="43">
        <f>IF(AND(MOD(66,3)=0,BS150&gt;0),BS150*Assumptions!$B$59,0)</f>
        <v>16519.838698185362</v>
      </c>
      <c r="BT151" s="43">
        <f>IF(AND(MOD(67,3)=0,BT150&gt;0),BT150*Assumptions!$B$59,0)</f>
        <v>0</v>
      </c>
      <c r="BU151" s="43">
        <f>IF(AND(MOD(68,3)=0,BU150&gt;0),BU150*Assumptions!$B$59,0)</f>
        <v>0</v>
      </c>
      <c r="BV151" s="43">
        <f>IF(AND(MOD(69,3)=0,BV150&gt;0),BV150*Assumptions!$B$59,0)</f>
        <v>17139.332649367312</v>
      </c>
      <c r="BW151" s="43">
        <f>IF(AND(MOD(70,3)=0,BW150&gt;0),BW150*Assumptions!$B$59,0)</f>
        <v>0</v>
      </c>
      <c r="BX151" s="43">
        <f>IF(AND(MOD(71,3)=0,BX150&gt;0),BX150*Assumptions!$B$59,0)</f>
        <v>0</v>
      </c>
      <c r="BY151" s="43">
        <f>IF(AND(MOD(72,3)=0,BY150&gt;0),BY150*Assumptions!$B$59,0)</f>
        <v>17782.057623718589</v>
      </c>
      <c r="BZ151" s="43">
        <f>IF(AND(MOD(73,3)=0,BZ150&gt;0),BZ150*Assumptions!$B$59,0)</f>
        <v>0</v>
      </c>
      <c r="CA151" s="43">
        <f>IF(AND(MOD(74,3)=0,CA150&gt;0),CA150*Assumptions!$B$59,0)</f>
        <v>0</v>
      </c>
      <c r="CB151" s="43">
        <f>IF(AND(MOD(75,3)=0,CB150&gt;0),CB150*Assumptions!$B$59,0)</f>
        <v>18448.884784608035</v>
      </c>
      <c r="CC151" s="43">
        <f>IF(AND(MOD(76,3)=0,CC150&gt;0),CC150*Assumptions!$B$59,0)</f>
        <v>0</v>
      </c>
      <c r="CD151" s="43">
        <f>IF(AND(MOD(77,3)=0,CD150&gt;0),CD150*Assumptions!$B$59,0)</f>
        <v>0</v>
      </c>
      <c r="CE151" s="43">
        <f>IF(AND(MOD(78,3)=0,CE150&gt;0),CE150*Assumptions!$B$59,0)</f>
        <v>19140.717964030835</v>
      </c>
      <c r="CF151" s="43">
        <f>IF(AND(MOD(79,3)=0,CF150&gt;0),CF150*Assumptions!$B$59,0)</f>
        <v>0</v>
      </c>
      <c r="CG151" s="43">
        <f>IF(AND(MOD(80,3)=0,CG150&gt;0),CG150*Assumptions!$B$59,0)</f>
        <v>0</v>
      </c>
      <c r="CH151" s="43">
        <f>IF(AND(MOD(81,3)=0,CH150&gt;0),CH150*Assumptions!$B$59,0)</f>
        <v>19858.494887681991</v>
      </c>
      <c r="CI151" s="43">
        <f>IF(AND(MOD(82,3)=0,CI150&gt;0),CI150*Assumptions!$B$59,0)</f>
        <v>0</v>
      </c>
      <c r="CJ151" s="43">
        <f>IF(AND(MOD(83,3)=0,CJ150&gt;0),CJ150*Assumptions!$B$59,0)</f>
        <v>0</v>
      </c>
      <c r="CK151" s="43">
        <f>IF(AND(MOD(84,3)=0,CK150&gt;0),CK150*Assumptions!$B$59,0)</f>
        <v>20603.188445970067</v>
      </c>
      <c r="CL151" s="43">
        <f>IF(AND(MOD(85,3)=0,CL150&gt;0),CL150*Assumptions!$B$59,0)</f>
        <v>0</v>
      </c>
      <c r="CM151" s="43">
        <f>IF(AND(MOD(86,3)=0,CM150&gt;0),CM150*Assumptions!$B$59,0)</f>
        <v>0</v>
      </c>
      <c r="CN151" s="43">
        <f>IF(AND(MOD(87,3)=0,CN150&gt;0),CN150*Assumptions!$B$59,0)</f>
        <v>21375.808012693946</v>
      </c>
      <c r="CO151" s="43">
        <f>IF(AND(MOD(88,3)=0,CO150&gt;0),CO150*Assumptions!$B$59,0)</f>
        <v>0</v>
      </c>
      <c r="CP151" s="43">
        <f>IF(AND(MOD(89,3)=0,CP150&gt;0),CP150*Assumptions!$B$59,0)</f>
        <v>0</v>
      </c>
      <c r="CQ151" s="43">
        <f>IF(AND(MOD(90,3)=0,CQ150&gt;0),CQ150*Assumptions!$B$59,0)</f>
        <v>18620.537813169969</v>
      </c>
      <c r="CR151" s="43">
        <f>IF(AND(MOD(91,3)=0,CR150&gt;0),CR150*Assumptions!$B$59,0)</f>
        <v>0</v>
      </c>
      <c r="CS151" s="43">
        <f>IF(AND(MOD(92,3)=0,CS150&gt;0),CS150*Assumptions!$B$59,0)</f>
        <v>0</v>
      </c>
      <c r="CT151" s="43">
        <f>IF(AND(MOD(93,3)=0,CT150&gt;0),CT150*Assumptions!$B$59,0)</f>
        <v>11088.870481163844</v>
      </c>
      <c r="CU151" s="43">
        <f>IF(AND(MOD(94,3)=0,CU150&gt;0),CU150*Assumptions!$B$59,0)</f>
        <v>0</v>
      </c>
      <c r="CV151" s="43">
        <f>IF(AND(MOD(95,3)=0,CV150&gt;0),CV150*Assumptions!$B$59,0)</f>
        <v>0</v>
      </c>
      <c r="CW151" s="43">
        <f>IF(AND(MOD(96,3)=0,CW150&gt;0),CW150*Assumptions!$B$59,0)</f>
        <v>3274.7656242074881</v>
      </c>
      <c r="CX151" s="43">
        <f>IF(AND(MOD(97,3)=0,CX150&gt;0),CX150*Assumptions!$B$59,0)</f>
        <v>0</v>
      </c>
      <c r="CY151" s="43">
        <f>IF(AND(MOD(98,3)=0,CY150&gt;0),CY150*Assumptions!$B$59,0)</f>
        <v>0</v>
      </c>
      <c r="CZ151" s="43">
        <f>IF(AND(MOD(99,3)=0,CZ150&gt;0),CZ150*Assumptions!$B$59,0)</f>
        <v>0</v>
      </c>
      <c r="DA151" s="43">
        <f>IF(AND(MOD(100,3)=0,DA150&gt;0),DA150*Assumptions!$B$59,0)</f>
        <v>0</v>
      </c>
      <c r="DB151" s="43">
        <f>IF(AND(MOD(101,3)=0,DB150&gt;0),DB150*Assumptions!$B$59,0)</f>
        <v>0</v>
      </c>
      <c r="DC151" s="43">
        <f>IF(AND(MOD(102,3)=0,DC150&gt;0),DC150*Assumptions!$B$59,0)</f>
        <v>0</v>
      </c>
      <c r="DD151" s="43">
        <f>IF(AND(MOD(103,3)=0,DD150&gt;0),DD150*Assumptions!$B$59,0)</f>
        <v>0</v>
      </c>
      <c r="DE151" s="43">
        <f>IF(AND(MOD(104,3)=0,DE150&gt;0),DE150*Assumptions!$B$59,0)</f>
        <v>0</v>
      </c>
      <c r="DF151" s="43">
        <f>IF(AND(MOD(105,3)=0,DF150&gt;0),DF150*Assumptions!$B$59,0)</f>
        <v>0</v>
      </c>
    </row>
    <row r="152" spans="1:110" ht="15" customHeight="1" x14ac:dyDescent="0.25">
      <c r="A152" s="42" t="s">
        <v>157</v>
      </c>
      <c r="B152" s="42"/>
      <c r="C152" s="43"/>
      <c r="D152" s="43"/>
      <c r="E152" s="43"/>
      <c r="F152" s="43">
        <v>0</v>
      </c>
      <c r="G152" s="43">
        <v>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0</v>
      </c>
      <c r="AF152" s="43">
        <f>IF(Projects!$G$14="Yes",Assumptions!$B$77,0)</f>
        <v>-1800000</v>
      </c>
      <c r="AG152" s="43">
        <v>0</v>
      </c>
      <c r="AH152" s="43">
        <v>0</v>
      </c>
      <c r="AI152" s="43">
        <v>0</v>
      </c>
      <c r="AJ152" s="43">
        <v>0</v>
      </c>
      <c r="AK152" s="43">
        <v>0</v>
      </c>
      <c r="AL152" s="43">
        <v>0</v>
      </c>
      <c r="AM152" s="43">
        <v>0</v>
      </c>
      <c r="AN152" s="43">
        <v>0</v>
      </c>
      <c r="AO152" s="43">
        <v>0</v>
      </c>
      <c r="AP152" s="43">
        <v>0</v>
      </c>
      <c r="AQ152" s="43">
        <v>0</v>
      </c>
      <c r="AR152" s="43">
        <v>0</v>
      </c>
      <c r="AS152" s="43">
        <v>0</v>
      </c>
      <c r="AT152" s="43">
        <v>0</v>
      </c>
      <c r="AU152" s="43">
        <v>0</v>
      </c>
      <c r="AV152" s="43">
        <v>0</v>
      </c>
      <c r="AW152" s="43">
        <v>0</v>
      </c>
      <c r="AX152" s="43">
        <v>0</v>
      </c>
      <c r="AY152" s="43">
        <v>0</v>
      </c>
      <c r="AZ152" s="43">
        <v>0</v>
      </c>
      <c r="BA152" s="43">
        <v>0</v>
      </c>
      <c r="BB152" s="43">
        <v>0</v>
      </c>
      <c r="BC152" s="43">
        <v>0</v>
      </c>
      <c r="BD152" s="43">
        <v>0</v>
      </c>
      <c r="BE152" s="43">
        <v>0</v>
      </c>
      <c r="BF152" s="43">
        <v>0</v>
      </c>
      <c r="BG152" s="43">
        <v>0</v>
      </c>
      <c r="BH152" s="43">
        <v>0</v>
      </c>
      <c r="BI152" s="43">
        <v>0</v>
      </c>
      <c r="BJ152" s="43">
        <v>0</v>
      </c>
      <c r="BK152" s="43">
        <v>0</v>
      </c>
      <c r="BL152" s="43">
        <v>0</v>
      </c>
      <c r="BM152" s="43">
        <v>0</v>
      </c>
      <c r="BN152" s="43">
        <v>0</v>
      </c>
      <c r="BO152" s="43">
        <v>0</v>
      </c>
      <c r="BP152" s="43">
        <v>0</v>
      </c>
      <c r="BQ152" s="43">
        <v>0</v>
      </c>
      <c r="BR152" s="43">
        <v>0</v>
      </c>
      <c r="BS152" s="43">
        <v>0</v>
      </c>
      <c r="BT152" s="43">
        <v>0</v>
      </c>
      <c r="BU152" s="43">
        <v>0</v>
      </c>
      <c r="BV152" s="43">
        <v>0</v>
      </c>
      <c r="BW152" s="43">
        <v>0</v>
      </c>
      <c r="BX152" s="43">
        <v>0</v>
      </c>
      <c r="BY152" s="43">
        <v>0</v>
      </c>
      <c r="BZ152" s="43">
        <v>0</v>
      </c>
      <c r="CA152" s="43">
        <v>0</v>
      </c>
      <c r="CB152" s="43">
        <v>0</v>
      </c>
      <c r="CC152" s="43">
        <v>0</v>
      </c>
      <c r="CD152" s="43">
        <v>0</v>
      </c>
      <c r="CE152" s="43">
        <v>0</v>
      </c>
      <c r="CF152" s="43">
        <v>0</v>
      </c>
      <c r="CG152" s="43">
        <v>0</v>
      </c>
      <c r="CH152" s="43">
        <v>0</v>
      </c>
      <c r="CI152" s="43">
        <v>0</v>
      </c>
      <c r="CJ152" s="43">
        <v>0</v>
      </c>
      <c r="CK152" s="43">
        <v>0</v>
      </c>
      <c r="CL152" s="43">
        <v>0</v>
      </c>
      <c r="CM152" s="43">
        <v>0</v>
      </c>
      <c r="CN152" s="43">
        <v>0</v>
      </c>
      <c r="CO152" s="43">
        <v>0</v>
      </c>
      <c r="CP152" s="43">
        <v>0</v>
      </c>
      <c r="CQ152" s="43">
        <v>0</v>
      </c>
      <c r="CR152" s="43">
        <v>0</v>
      </c>
      <c r="CS152" s="43">
        <v>0</v>
      </c>
      <c r="CT152" s="43">
        <v>0</v>
      </c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</row>
    <row r="153" spans="1:110" ht="15" customHeight="1" x14ac:dyDescent="0.25">
      <c r="A153" s="44" t="s">
        <v>158</v>
      </c>
      <c r="B153" s="44"/>
      <c r="C153" s="45"/>
      <c r="D153" s="45"/>
      <c r="E153" s="45"/>
      <c r="F153" s="45">
        <f>-MIN(F150+F151+F152,MAX(0,F78-Helpers!C26))</f>
        <v>0</v>
      </c>
      <c r="G153" s="45">
        <f>-MIN(G150+G151+G152,MAX(0,G78-Helpers!D26))</f>
        <v>0</v>
      </c>
      <c r="H153" s="45">
        <f>-MIN(H150+H151+H152,MAX(0,H78-Helpers!E26))</f>
        <v>0</v>
      </c>
      <c r="I153" s="45">
        <f>-MIN(I150+I151+I152,MAX(0,I78-Helpers!F26))</f>
        <v>0</v>
      </c>
      <c r="J153" s="45">
        <f>-MIN(J150+J151+J152,MAX(0,J78-Helpers!G26))</f>
        <v>0</v>
      </c>
      <c r="K153" s="45">
        <f>-MIN(K150+K151+K152,MAX(0,K78-Helpers!H26))</f>
        <v>0</v>
      </c>
      <c r="L153" s="45">
        <f>-MIN(L150+L151+L152,MAX(0,L78-Helpers!I26))</f>
        <v>0</v>
      </c>
      <c r="M153" s="45">
        <f>-MIN(M150+M151+M152,MAX(0,M78-Helpers!J26))</f>
        <v>0</v>
      </c>
      <c r="N153" s="45">
        <f>-MIN(N150+N151+N152,MAX(0,N78-Helpers!K26))</f>
        <v>0</v>
      </c>
      <c r="O153" s="45">
        <f>-MIN(O150+O151+O152,MAX(0,O78-Helpers!L26))</f>
        <v>0</v>
      </c>
      <c r="P153" s="45">
        <f>-MIN(P150+P151+P152,MAX(0,P78-Helpers!M26))</f>
        <v>0</v>
      </c>
      <c r="Q153" s="45">
        <f>-MIN(Q150+Q151+Q152,MAX(0,Q78-Helpers!N26))</f>
        <v>0</v>
      </c>
      <c r="R153" s="45">
        <f>-MIN(R150+R151+R152,MAX(0,R78-Helpers!O26))</f>
        <v>0</v>
      </c>
      <c r="S153" s="45">
        <f>-MIN(S150+S151+S152,MAX(0,S78-Helpers!P26))</f>
        <v>0</v>
      </c>
      <c r="T153" s="45">
        <f>-MIN(T150+T151+T152,MAX(0,T78-Helpers!Q26))</f>
        <v>0</v>
      </c>
      <c r="U153" s="45">
        <f>-MIN(U150+U151+U152,MAX(0,U78-Helpers!R26))</f>
        <v>0</v>
      </c>
      <c r="V153" s="45">
        <f>-MIN(V150+V151+V152,MAX(0,V78-Helpers!S26))</f>
        <v>0</v>
      </c>
      <c r="W153" s="45">
        <f>-MIN(W150+W151+W152,MAX(0,W78-Helpers!T26))</f>
        <v>0</v>
      </c>
      <c r="X153" s="45">
        <f>-MIN(X150+X151+X152,MAX(0,X78-Helpers!U26))</f>
        <v>0</v>
      </c>
      <c r="Y153" s="45">
        <f>-MIN(Y150+Y151+Y152,MAX(0,Y78-Helpers!V26))</f>
        <v>0</v>
      </c>
      <c r="Z153" s="45">
        <f>-MIN(Z150+Z151+Z152,MAX(0,Z78-Helpers!W26))</f>
        <v>0</v>
      </c>
      <c r="AA153" s="45">
        <f>-MIN(AA150+AA151+AA152,MAX(0,AA78-Helpers!X26))</f>
        <v>0</v>
      </c>
      <c r="AB153" s="45">
        <f>-MIN(AB150+AB151+AB152,MAX(0,AB78-Helpers!Y26))</f>
        <v>0</v>
      </c>
      <c r="AC153" s="45">
        <f>-MIN(AC150+AC151+AC152,MAX(0,AC78-Helpers!Z26))</f>
        <v>0</v>
      </c>
      <c r="AD153" s="45">
        <f>-MIN(AD150+AD151+AD152,MAX(0,AD78-Helpers!AA26))</f>
        <v>0</v>
      </c>
      <c r="AE153" s="45">
        <f>-MIN(AE150+AE151+AE152,MAX(0,AE78-Helpers!AB26))</f>
        <v>0</v>
      </c>
      <c r="AF153" s="45">
        <f>-MIN(AF150+AF151+AF152,MAX(0,AF78-Helpers!AC26))</f>
        <v>0</v>
      </c>
      <c r="AG153" s="45">
        <f>-MIN(AG150+AG151+AG152,MAX(0,AG78-Helpers!AD26))</f>
        <v>0</v>
      </c>
      <c r="AH153" s="45">
        <f>-MIN(AH150+AH151+AH152,MAX(0,AH78-Helpers!AE26))</f>
        <v>0</v>
      </c>
      <c r="AI153" s="45">
        <f>-MIN(AI150+AI151+AI152,MAX(0,AI78-Helpers!AF26))</f>
        <v>0</v>
      </c>
      <c r="AJ153" s="45">
        <f>-MIN(AJ150+AJ151+AJ152,MAX(0,AJ78-Helpers!AG26))</f>
        <v>0</v>
      </c>
      <c r="AK153" s="45">
        <f>-MIN(AK150+AK151+AK152,MAX(0,AK78-Helpers!AH26))</f>
        <v>0</v>
      </c>
      <c r="AL153" s="45">
        <f>-MIN(AL150+AL151+AL152,MAX(0,AL78-Helpers!AI26))</f>
        <v>0</v>
      </c>
      <c r="AM153" s="45">
        <f>-MIN(AM150+AM151+AM152,MAX(0,AM78-Helpers!AJ26))</f>
        <v>0</v>
      </c>
      <c r="AN153" s="45">
        <f>-MIN(AN150+AN151+AN152,MAX(0,AN78-Helpers!AK26))</f>
        <v>0</v>
      </c>
      <c r="AO153" s="45">
        <f>-MIN(AO150+AO151+AO152,MAX(0,AO78-Helpers!AL26))</f>
        <v>0</v>
      </c>
      <c r="AP153" s="45">
        <f>-MIN(AP150+AP151+AP152,MAX(0,AP78-Helpers!AM26))</f>
        <v>0</v>
      </c>
      <c r="AQ153" s="45">
        <f>-MIN(AQ150+AQ151+AQ152,MAX(0,AQ78-Helpers!AN26))</f>
        <v>0</v>
      </c>
      <c r="AR153" s="45">
        <f>-MIN(AR150+AR151+AR152,MAX(0,AR78-Helpers!AO26))</f>
        <v>0</v>
      </c>
      <c r="AS153" s="45">
        <f>-MIN(AS150+AS151+AS152,MAX(0,AS78-Helpers!AP26))</f>
        <v>0</v>
      </c>
      <c r="AT153" s="45">
        <f>-MIN(AT150+AT151+AT152,MAX(0,AT78-Helpers!AQ26))</f>
        <v>0</v>
      </c>
      <c r="AU153" s="45">
        <f>-MIN(AU150+AU151+AU152,MAX(0,AU78-Helpers!AR26))</f>
        <v>0</v>
      </c>
      <c r="AV153" s="45">
        <f>-MIN(AV150+AV151+AV152,MAX(0,AV78-Helpers!AS26))</f>
        <v>0</v>
      </c>
      <c r="AW153" s="45">
        <f>-MIN(AW150+AW151+AW152,MAX(0,AW78-Helpers!AT26))</f>
        <v>0</v>
      </c>
      <c r="AX153" s="45">
        <f>-MIN(AX150+AX151+AX152,MAX(0,AX78-Helpers!AU26))</f>
        <v>0</v>
      </c>
      <c r="AY153" s="45">
        <f>-MIN(AY150+AY151+AY152,MAX(0,AY78-Helpers!AV26))</f>
        <v>0</v>
      </c>
      <c r="AZ153" s="45">
        <f>-MIN(AZ150+AZ151+AZ152,MAX(0,AZ78-Helpers!AW26))</f>
        <v>0</v>
      </c>
      <c r="BA153" s="45">
        <f>-MIN(BA150+BA151+BA152,MAX(0,BA78-Helpers!AX26))</f>
        <v>0</v>
      </c>
      <c r="BB153" s="45">
        <f>-MIN(BB150+BB151+BB152,MAX(0,BB78-Helpers!AY26))</f>
        <v>0</v>
      </c>
      <c r="BC153" s="45">
        <f>-MIN(BC150+BC151+BC152,MAX(0,BC78-Helpers!AZ26))</f>
        <v>0</v>
      </c>
      <c r="BD153" s="45">
        <f>-MIN(BD150+BD151+BD152,MAX(0,BD78-Helpers!BA26))</f>
        <v>0</v>
      </c>
      <c r="BE153" s="45">
        <f>-MIN(BE150+BE151+BE152,MAX(0,BE78-Helpers!BB26))</f>
        <v>0</v>
      </c>
      <c r="BF153" s="45">
        <f>-MIN(BF150+BF151+BF152,MAX(0,BF78-Helpers!BC26))</f>
        <v>0</v>
      </c>
      <c r="BG153" s="45">
        <f>-MIN(BG150+BG151+BG152,MAX(0,BG78-Helpers!BD26))</f>
        <v>0</v>
      </c>
      <c r="BH153" s="45">
        <f>-MIN(BH150+BH151+BH152,MAX(0,BH78-Helpers!BE26))</f>
        <v>0</v>
      </c>
      <c r="BI153" s="45">
        <f>-MIN(BI150+BI151+BI152,MAX(0,BI78-Helpers!BF26))</f>
        <v>0</v>
      </c>
      <c r="BJ153" s="45">
        <f>-MIN(BJ150+BJ151+BJ152,MAX(0,BJ78-Helpers!BG26))</f>
        <v>0</v>
      </c>
      <c r="BK153" s="45">
        <f>-MIN(BK150+BK151+BK152,MAX(0,BK78-Helpers!BH26))</f>
        <v>0</v>
      </c>
      <c r="BL153" s="45">
        <f>-MIN(BL150+BL151+BL152,MAX(0,BL78-Helpers!BI26))</f>
        <v>0</v>
      </c>
      <c r="BM153" s="45">
        <f>-MIN(BM150+BM151+BM152,MAX(0,BM78-Helpers!BJ26))</f>
        <v>0</v>
      </c>
      <c r="BN153" s="45">
        <f>-MIN(BN150+BN151+BN152,MAX(0,BN78-Helpers!BK26))</f>
        <v>0</v>
      </c>
      <c r="BO153" s="45">
        <f>-MIN(BO150+BO151+BO152,MAX(0,BO78-Helpers!BL26))</f>
        <v>0</v>
      </c>
      <c r="BP153" s="45">
        <f>-MIN(BP150+BP151+BP152,MAX(0,BP78-Helpers!BM26))</f>
        <v>0</v>
      </c>
      <c r="BQ153" s="45">
        <f>-MIN(BQ150+BQ151+BQ152,MAX(0,BQ78-Helpers!BN26))</f>
        <v>0</v>
      </c>
      <c r="BR153" s="45">
        <f>-MIN(BR150+BR151+BR152,MAX(0,BR78-Helpers!BO26))</f>
        <v>0</v>
      </c>
      <c r="BS153" s="45">
        <f>-MIN(BS150+BS151+BS152,MAX(0,BS78-Helpers!BP26))</f>
        <v>0</v>
      </c>
      <c r="BT153" s="45">
        <f>-MIN(BT150+BT151+BT152,MAX(0,BT78-Helpers!BQ26))</f>
        <v>0</v>
      </c>
      <c r="BU153" s="45">
        <f>-MIN(BU150+BU151+BU152,MAX(0,BU78-Helpers!BR26))</f>
        <v>0</v>
      </c>
      <c r="BV153" s="45">
        <f>-MIN(BV150+BV151+BV152,MAX(0,BV78-Helpers!BS26))</f>
        <v>0</v>
      </c>
      <c r="BW153" s="45">
        <f>-MIN(BW150+BW151+BW152,MAX(0,BW78-Helpers!BT26))</f>
        <v>0</v>
      </c>
      <c r="BX153" s="45">
        <f>-MIN(BX150+BX151+BX152,MAX(0,BX78-Helpers!BU26))</f>
        <v>0</v>
      </c>
      <c r="BY153" s="45">
        <f>-MIN(BY150+BY151+BY152,MAX(0,BY78-Helpers!BV26))</f>
        <v>0</v>
      </c>
      <c r="BZ153" s="45">
        <f>-MIN(BZ150+BZ151+BZ152,MAX(0,BZ78-Helpers!BW26))</f>
        <v>0</v>
      </c>
      <c r="CA153" s="45">
        <f>-MIN(CA150+CA151+CA152,MAX(0,CA78-Helpers!BX26))</f>
        <v>0</v>
      </c>
      <c r="CB153" s="45">
        <f>-MIN(CB150+CB151+CB152,MAX(0,CB78-Helpers!BY26))</f>
        <v>0</v>
      </c>
      <c r="CC153" s="45">
        <f>-MIN(CC150+CC151+CC152,MAX(0,CC78-Helpers!BZ26))</f>
        <v>0</v>
      </c>
      <c r="CD153" s="45">
        <f>-MIN(CD150+CD151+CD152,MAX(0,CD78-Helpers!CA26))</f>
        <v>0</v>
      </c>
      <c r="CE153" s="45">
        <f>-MIN(CE150+CE151+CE152,MAX(0,CE78-Helpers!CB26))</f>
        <v>0</v>
      </c>
      <c r="CF153" s="45">
        <f>-MIN(CF150+CF151+CF152,MAX(0,CF78-Helpers!CC26))</f>
        <v>0</v>
      </c>
      <c r="CG153" s="45">
        <f>-MIN(CG150+CG151+CG152,MAX(0,CG78-Helpers!CD26))</f>
        <v>0</v>
      </c>
      <c r="CH153" s="45">
        <f>-MIN(CH150+CH151+CH152,MAX(0,CH78-Helpers!CE26))</f>
        <v>0</v>
      </c>
      <c r="CI153" s="45">
        <f>-MIN(CI150+CI151+CI152,MAX(0,CI78-Helpers!CF26))</f>
        <v>0</v>
      </c>
      <c r="CJ153" s="45">
        <f>-MIN(CJ150+CJ151+CJ152,MAX(0,CJ78-Helpers!CG26))</f>
        <v>0</v>
      </c>
      <c r="CK153" s="45">
        <f>-MIN(CK150+CK151+CK152,MAX(0,CK78-Helpers!CH26))</f>
        <v>0</v>
      </c>
      <c r="CL153" s="45">
        <f>-MIN(CL150+CL151+CL152,MAX(0,CL78-Helpers!CI26))</f>
        <v>0</v>
      </c>
      <c r="CM153" s="45">
        <f>-MIN(CM150+CM151+CM152,MAX(0,CM78-Helpers!CJ26))</f>
        <v>0</v>
      </c>
      <c r="CN153" s="45">
        <f>-MIN(CN150+CN151+CN152,MAX(0,CN78-Helpers!CK26))</f>
        <v>0</v>
      </c>
      <c r="CO153" s="45">
        <f>-MIN(CO150+CO151+CO152,MAX(0,CO78-Helpers!CL26))</f>
        <v>-21694.679999999935</v>
      </c>
      <c r="CP153" s="45">
        <f>-MIN(CP150+CP151+CP152,MAX(0,CP78-Helpers!CM26))</f>
        <v>-73155</v>
      </c>
      <c r="CQ153" s="45">
        <f>-MIN(CQ150+CQ151+CQ152,MAX(0,CQ78-Helpers!CN26))</f>
        <v>-73155</v>
      </c>
      <c r="CR153" s="45">
        <f>-MIN(CR150+CR151+CR152,MAX(0,CR78-Helpers!CO26))</f>
        <v>-73155</v>
      </c>
      <c r="CS153" s="45">
        <f>-MIN(CS150+CS151+CS152,MAX(0,CS78-Helpers!CP26))</f>
        <v>-73155</v>
      </c>
      <c r="CT153" s="45">
        <f>-MIN(CT150+CT151+CT152,MAX(0,CT78-Helpers!CQ26))</f>
        <v>-73155</v>
      </c>
      <c r="CU153" s="45">
        <f>-MIN(CU150+CU151+CU152,MAX(0,CU78-Helpers!CR26))</f>
        <v>-73155</v>
      </c>
      <c r="CV153" s="45">
        <f>-MIN(CV150+CV151+CV152,MAX(0,CV78-Helpers!CS26))</f>
        <v>-73155</v>
      </c>
      <c r="CW153" s="45">
        <f>-MIN(CW150+CW151+CW152,MAX(0,CW78-Helpers!CT26))</f>
        <v>-73155</v>
      </c>
      <c r="CX153" s="45">
        <f>-MIN(CX150+CX151+CX152,MAX(0,CX78-Helpers!CU26))</f>
        <v>-17446.848936407172</v>
      </c>
      <c r="CY153" s="45">
        <f>-MIN(CY150+CY151+CY152,MAX(0,CY78-Helpers!CV26))</f>
        <v>0</v>
      </c>
      <c r="CZ153" s="45">
        <f>-MIN(CZ150+CZ151+CZ152,MAX(0,CZ78-Helpers!CW26))</f>
        <v>0</v>
      </c>
      <c r="DA153" s="45">
        <f>-MIN(DA150+DA151+DA152,MAX(0,DA78-Helpers!CX26))</f>
        <v>0</v>
      </c>
      <c r="DB153" s="45">
        <f>-MIN(DB150+DB151+DB152,MAX(0,DB78-Helpers!CY26))</f>
        <v>0</v>
      </c>
      <c r="DC153" s="45">
        <f>-MIN(DC150+DC151+DC152,MAX(0,DC78-Helpers!CZ26))</f>
        <v>0</v>
      </c>
      <c r="DD153" s="45">
        <f>-MIN(DD150+DD151+DD152,MAX(0,DD78-Helpers!DA26))</f>
        <v>0</v>
      </c>
      <c r="DE153" s="45">
        <f>-MIN(DE150+DE151+DE152,MAX(0,DE78-Helpers!DB26))</f>
        <v>0</v>
      </c>
      <c r="DF153" s="45">
        <f>-MIN(DF150+DF151+DF152,MAX(0,DF78-Helpers!DC26))</f>
        <v>0</v>
      </c>
    </row>
    <row r="154" spans="1:110" ht="15" customHeight="1" x14ac:dyDescent="0.25">
      <c r="A154" s="39" t="s">
        <v>159</v>
      </c>
      <c r="B154" s="40"/>
      <c r="C154" s="41"/>
      <c r="D154" s="41"/>
      <c r="E154" s="41"/>
      <c r="F154" s="41">
        <f t="shared" ref="F154:AK154" si="95">MAX(0,F150+F151+F152+F153)</f>
        <v>264927.15000000002</v>
      </c>
      <c r="G154" s="41">
        <f t="shared" si="95"/>
        <v>264927.15000000002</v>
      </c>
      <c r="H154" s="41">
        <f t="shared" si="95"/>
        <v>458103.19687500002</v>
      </c>
      <c r="I154" s="41">
        <f t="shared" si="95"/>
        <v>458103.19687500002</v>
      </c>
      <c r="J154" s="41">
        <f t="shared" si="95"/>
        <v>458103.19687500002</v>
      </c>
      <c r="K154" s="41">
        <f t="shared" si="95"/>
        <v>658523.34550781245</v>
      </c>
      <c r="L154" s="41">
        <f t="shared" si="95"/>
        <v>658523.34550781245</v>
      </c>
      <c r="M154" s="41">
        <f t="shared" si="95"/>
        <v>658523.34550781245</v>
      </c>
      <c r="N154" s="41">
        <f t="shared" si="95"/>
        <v>683217.97096435539</v>
      </c>
      <c r="O154" s="41">
        <f t="shared" si="95"/>
        <v>771527.02096435544</v>
      </c>
      <c r="P154" s="41">
        <f t="shared" si="95"/>
        <v>771527.02096435544</v>
      </c>
      <c r="Q154" s="41">
        <f t="shared" si="95"/>
        <v>800459.28425051877</v>
      </c>
      <c r="R154" s="41">
        <f t="shared" si="95"/>
        <v>800459.28425051877</v>
      </c>
      <c r="S154" s="41">
        <f t="shared" si="95"/>
        <v>800459.28425051877</v>
      </c>
      <c r="T154" s="41">
        <f t="shared" si="95"/>
        <v>922097.14678491326</v>
      </c>
      <c r="U154" s="41">
        <f t="shared" si="95"/>
        <v>922097.14678491326</v>
      </c>
      <c r="V154" s="41">
        <f t="shared" si="95"/>
        <v>922097.14678491326</v>
      </c>
      <c r="W154" s="41">
        <f t="shared" si="95"/>
        <v>956675.78978934756</v>
      </c>
      <c r="X154" s="41">
        <f t="shared" si="95"/>
        <v>956675.78978934756</v>
      </c>
      <c r="Y154" s="41">
        <f t="shared" si="95"/>
        <v>956675.78978934756</v>
      </c>
      <c r="Z154" s="41">
        <f t="shared" si="95"/>
        <v>1084171.7712814482</v>
      </c>
      <c r="AA154" s="41">
        <f t="shared" si="95"/>
        <v>1084171.7712814482</v>
      </c>
      <c r="AB154" s="41">
        <f t="shared" si="95"/>
        <v>1084171.7712814482</v>
      </c>
      <c r="AC154" s="41">
        <f t="shared" si="95"/>
        <v>1124828.2127045025</v>
      </c>
      <c r="AD154" s="41">
        <f t="shared" si="95"/>
        <v>1124828.2127045025</v>
      </c>
      <c r="AE154" s="41">
        <f t="shared" si="95"/>
        <v>1124828.2127045025</v>
      </c>
      <c r="AF154" s="41">
        <f t="shared" si="95"/>
        <v>283215.66443092143</v>
      </c>
      <c r="AG154" s="41">
        <f t="shared" si="95"/>
        <v>283215.66443092143</v>
      </c>
      <c r="AH154" s="41">
        <f t="shared" si="95"/>
        <v>283215.66443092143</v>
      </c>
      <c r="AI154" s="41">
        <f t="shared" si="95"/>
        <v>293836.251847081</v>
      </c>
      <c r="AJ154" s="41">
        <f t="shared" si="95"/>
        <v>293836.251847081</v>
      </c>
      <c r="AK154" s="41">
        <f t="shared" si="95"/>
        <v>293836.251847081</v>
      </c>
      <c r="AL154" s="41">
        <f t="shared" ref="AL154:BQ154" si="96">MAX(0,AL150+AL151+AL152+AL153)</f>
        <v>304855.11129134655</v>
      </c>
      <c r="AM154" s="41">
        <f t="shared" si="96"/>
        <v>304855.11129134655</v>
      </c>
      <c r="AN154" s="41">
        <f t="shared" si="96"/>
        <v>304855.11129134655</v>
      </c>
      <c r="AO154" s="41">
        <f t="shared" si="96"/>
        <v>316287.17796477204</v>
      </c>
      <c r="AP154" s="41">
        <f t="shared" si="96"/>
        <v>316287.17796477204</v>
      </c>
      <c r="AQ154" s="41">
        <f t="shared" si="96"/>
        <v>316287.17796477204</v>
      </c>
      <c r="AR154" s="41">
        <f t="shared" si="96"/>
        <v>328147.94713845098</v>
      </c>
      <c r="AS154" s="41">
        <f t="shared" si="96"/>
        <v>328147.94713845098</v>
      </c>
      <c r="AT154" s="41">
        <f t="shared" si="96"/>
        <v>328147.94713845098</v>
      </c>
      <c r="AU154" s="41">
        <f t="shared" si="96"/>
        <v>340453.49515614292</v>
      </c>
      <c r="AV154" s="41">
        <f t="shared" si="96"/>
        <v>340453.49515614292</v>
      </c>
      <c r="AW154" s="41">
        <f t="shared" si="96"/>
        <v>340453.49515614292</v>
      </c>
      <c r="AX154" s="41">
        <f t="shared" si="96"/>
        <v>353220.50122449826</v>
      </c>
      <c r="AY154" s="41">
        <f t="shared" si="96"/>
        <v>353220.50122449826</v>
      </c>
      <c r="AZ154" s="41">
        <f t="shared" si="96"/>
        <v>353220.50122449826</v>
      </c>
      <c r="BA154" s="41">
        <f t="shared" si="96"/>
        <v>366466.27002041694</v>
      </c>
      <c r="BB154" s="41">
        <f t="shared" si="96"/>
        <v>366466.27002041694</v>
      </c>
      <c r="BC154" s="41">
        <f t="shared" si="96"/>
        <v>366466.27002041694</v>
      </c>
      <c r="BD154" s="41">
        <f t="shared" si="96"/>
        <v>380208.75514618255</v>
      </c>
      <c r="BE154" s="41">
        <f t="shared" si="96"/>
        <v>380208.75514618255</v>
      </c>
      <c r="BF154" s="41">
        <f t="shared" si="96"/>
        <v>380208.75514618255</v>
      </c>
      <c r="BG154" s="41">
        <f t="shared" si="96"/>
        <v>394466.5834641644</v>
      </c>
      <c r="BH154" s="41">
        <f t="shared" si="96"/>
        <v>394466.5834641644</v>
      </c>
      <c r="BI154" s="41">
        <f t="shared" si="96"/>
        <v>394466.5834641644</v>
      </c>
      <c r="BJ154" s="41">
        <f t="shared" si="96"/>
        <v>409259.08034407056</v>
      </c>
      <c r="BK154" s="41">
        <f t="shared" si="96"/>
        <v>409259.08034407056</v>
      </c>
      <c r="BL154" s="41">
        <f t="shared" si="96"/>
        <v>409259.08034407056</v>
      </c>
      <c r="BM154" s="41">
        <f t="shared" si="96"/>
        <v>424606.29585697321</v>
      </c>
      <c r="BN154" s="41">
        <f t="shared" si="96"/>
        <v>424606.29585697321</v>
      </c>
      <c r="BO154" s="41">
        <f t="shared" si="96"/>
        <v>424606.29585697321</v>
      </c>
      <c r="BP154" s="41">
        <f t="shared" si="96"/>
        <v>440529.03195160971</v>
      </c>
      <c r="BQ154" s="41">
        <f t="shared" si="96"/>
        <v>440529.03195160971</v>
      </c>
      <c r="BR154" s="41">
        <f t="shared" ref="BR154:CW154" si="97">MAX(0,BR150+BR151+BR152+BR153)</f>
        <v>440529.03195160971</v>
      </c>
      <c r="BS154" s="41">
        <f t="shared" si="97"/>
        <v>457048.87064979505</v>
      </c>
      <c r="BT154" s="41">
        <f t="shared" si="97"/>
        <v>457048.87064979505</v>
      </c>
      <c r="BU154" s="41">
        <f t="shared" si="97"/>
        <v>457048.87064979505</v>
      </c>
      <c r="BV154" s="41">
        <f t="shared" si="97"/>
        <v>474188.20329916239</v>
      </c>
      <c r="BW154" s="41">
        <f t="shared" si="97"/>
        <v>474188.20329916239</v>
      </c>
      <c r="BX154" s="41">
        <f t="shared" si="97"/>
        <v>474188.20329916239</v>
      </c>
      <c r="BY154" s="41">
        <f t="shared" si="97"/>
        <v>491970.26092288096</v>
      </c>
      <c r="BZ154" s="41">
        <f t="shared" si="97"/>
        <v>491970.26092288096</v>
      </c>
      <c r="CA154" s="41">
        <f t="shared" si="97"/>
        <v>491970.26092288096</v>
      </c>
      <c r="CB154" s="41">
        <f t="shared" si="97"/>
        <v>510419.14570748899</v>
      </c>
      <c r="CC154" s="41">
        <f t="shared" si="97"/>
        <v>510419.14570748899</v>
      </c>
      <c r="CD154" s="41">
        <f t="shared" si="97"/>
        <v>510419.14570748899</v>
      </c>
      <c r="CE154" s="41">
        <f t="shared" si="97"/>
        <v>529559.86367151979</v>
      </c>
      <c r="CF154" s="41">
        <f t="shared" si="97"/>
        <v>529559.86367151979</v>
      </c>
      <c r="CG154" s="41">
        <f t="shared" si="97"/>
        <v>529559.86367151979</v>
      </c>
      <c r="CH154" s="41">
        <f t="shared" si="97"/>
        <v>549418.35855920182</v>
      </c>
      <c r="CI154" s="41">
        <f t="shared" si="97"/>
        <v>549418.35855920182</v>
      </c>
      <c r="CJ154" s="41">
        <f t="shared" si="97"/>
        <v>549418.35855920182</v>
      </c>
      <c r="CK154" s="41">
        <f t="shared" si="97"/>
        <v>570021.54700517189</v>
      </c>
      <c r="CL154" s="41">
        <f t="shared" si="97"/>
        <v>570021.54700517189</v>
      </c>
      <c r="CM154" s="41">
        <f t="shared" si="97"/>
        <v>570021.54700517189</v>
      </c>
      <c r="CN154" s="41">
        <f t="shared" si="97"/>
        <v>591397.35501786578</v>
      </c>
      <c r="CO154" s="41">
        <f t="shared" si="97"/>
        <v>569702.67501786584</v>
      </c>
      <c r="CP154" s="41">
        <f t="shared" si="97"/>
        <v>496547.67501786584</v>
      </c>
      <c r="CQ154" s="41">
        <f t="shared" si="97"/>
        <v>442013.21283103584</v>
      </c>
      <c r="CR154" s="41">
        <f t="shared" si="97"/>
        <v>368858.21283103584</v>
      </c>
      <c r="CS154" s="41">
        <f t="shared" si="97"/>
        <v>295703.21283103584</v>
      </c>
      <c r="CT154" s="41">
        <f t="shared" si="97"/>
        <v>233637.08331219968</v>
      </c>
      <c r="CU154" s="41">
        <f t="shared" si="97"/>
        <v>160482.08331219968</v>
      </c>
      <c r="CV154" s="41">
        <f t="shared" si="97"/>
        <v>87327.083312199684</v>
      </c>
      <c r="CW154" s="41">
        <f t="shared" si="97"/>
        <v>17446.848936407172</v>
      </c>
      <c r="CX154" s="41">
        <f t="shared" ref="CX154:EC154" si="98">MAX(0,CX150+CX151+CX152+CX153)</f>
        <v>0</v>
      </c>
      <c r="CY154" s="41">
        <f t="shared" si="98"/>
        <v>0</v>
      </c>
      <c r="CZ154" s="41">
        <f t="shared" si="98"/>
        <v>0</v>
      </c>
      <c r="DA154" s="41">
        <f t="shared" si="98"/>
        <v>0</v>
      </c>
      <c r="DB154" s="41">
        <f t="shared" si="98"/>
        <v>0</v>
      </c>
      <c r="DC154" s="41">
        <f t="shared" si="98"/>
        <v>0</v>
      </c>
      <c r="DD154" s="41">
        <f t="shared" si="98"/>
        <v>0</v>
      </c>
      <c r="DE154" s="41">
        <f t="shared" si="98"/>
        <v>0</v>
      </c>
      <c r="DF154" s="41">
        <f t="shared" si="98"/>
        <v>0</v>
      </c>
    </row>
    <row r="155" spans="1:110" ht="15" customHeight="1" x14ac:dyDescent="0.25">
      <c r="A155" s="42" t="s">
        <v>160</v>
      </c>
      <c r="B155" s="42"/>
      <c r="C155" s="43"/>
      <c r="D155" s="43"/>
      <c r="E155" s="43"/>
      <c r="F155" s="43">
        <f>IF(Projects!$G$13="Yes",Assumptions!$B$71,0)</f>
        <v>1134000</v>
      </c>
      <c r="G155" s="43">
        <f>F159+IF(AND(Projects!$G$13="Yes",2&lt;=Assumptions!$B$73),Assumptions!$B$72,0)</f>
        <v>1184000</v>
      </c>
      <c r="H155" s="43">
        <f>G159+IF(AND(Projects!$G$13="Yes",3&lt;=Assumptions!$B$73),Assumptions!$B$72,0)</f>
        <v>1234000</v>
      </c>
      <c r="I155" s="43">
        <f>H159+IF(AND(Projects!$G$13="Yes",4&lt;=Assumptions!$B$73),Assumptions!$B$72,0)</f>
        <v>1330275</v>
      </c>
      <c r="J155" s="43">
        <f>I159+IF(AND(Projects!$G$13="Yes",5&lt;=Assumptions!$B$73),Assumptions!$B$72,0)</f>
        <v>1380275</v>
      </c>
      <c r="K155" s="43">
        <f>J159+IF(AND(Projects!$G$13="Yes",6&lt;=Assumptions!$B$73),Assumptions!$B$72,0)</f>
        <v>1430275</v>
      </c>
      <c r="L155" s="43">
        <f>K159+IF(AND(Projects!$G$13="Yes",7&lt;=Assumptions!$B$73),Assumptions!$B$72,0)</f>
        <v>1533910.3125</v>
      </c>
      <c r="M155" s="43">
        <f>L159+IF(AND(Projects!$G$13="Yes",8&lt;=Assumptions!$B$73),Assumptions!$B$72,0)</f>
        <v>1583910.3125</v>
      </c>
      <c r="N155" s="43">
        <f>M159+IF(AND(Projects!$G$13="Yes",9&lt;=Assumptions!$B$73),Assumptions!$B$72,0)</f>
        <v>1633910.3125</v>
      </c>
      <c r="O155" s="43">
        <f>N159+IF(AND(Projects!$G$13="Yes",10&lt;=Assumptions!$B$73),Assumptions!$B$72,0)</f>
        <v>1745181.94921875</v>
      </c>
      <c r="P155" s="43">
        <f>O159+IF(AND(Projects!$G$13="Yes",11&lt;=Assumptions!$B$73),Assumptions!$B$72,0)</f>
        <v>1795181.94921875</v>
      </c>
      <c r="Q155" s="43">
        <f>P159+IF(AND(Projects!$G$13="Yes",12&lt;=Assumptions!$B$73),Assumptions!$B$72,0)</f>
        <v>1845181.94921875</v>
      </c>
      <c r="R155" s="43">
        <f>Q159+IF(AND(Projects!$G$13="Yes",13&lt;=Assumptions!$B$73),Assumptions!$B$72,0)</f>
        <v>1964376.272314453</v>
      </c>
      <c r="S155" s="43">
        <f>R159+IF(AND(Projects!$G$13="Yes",14&lt;=Assumptions!$B$73),Assumptions!$B$72,0)</f>
        <v>564376.27231445303</v>
      </c>
      <c r="T155" s="43">
        <f>S159+IF(AND(Projects!$G$13="Yes",15&lt;=Assumptions!$B$73),Assumptions!$B$72,0)</f>
        <v>564376.27231445303</v>
      </c>
      <c r="U155" s="43">
        <f>T159+IF(AND(Projects!$G$13="Yes",16&lt;=Assumptions!$B$73),Assumptions!$B$72,0)</f>
        <v>585540.38252624497</v>
      </c>
      <c r="V155" s="43">
        <f>U159+IF(AND(Projects!$G$13="Yes",17&lt;=Assumptions!$B$73),Assumptions!$B$72,0)</f>
        <v>585540.38252624497</v>
      </c>
      <c r="W155" s="43">
        <f>V159+IF(AND(Projects!$G$13="Yes",18&lt;=Assumptions!$B$73),Assumptions!$B$72,0)</f>
        <v>585540.38252624497</v>
      </c>
      <c r="X155" s="43">
        <f>W159+IF(AND(Projects!$G$13="Yes",19&lt;=Assumptions!$B$73),Assumptions!$B$72,0)</f>
        <v>607498.14687097911</v>
      </c>
      <c r="Y155" s="43">
        <f>X159+IF(AND(Projects!$G$13="Yes",20&lt;=Assumptions!$B$73),Assumptions!$B$72,0)</f>
        <v>607498.14687097911</v>
      </c>
      <c r="Z155" s="43">
        <f>Y159+IF(AND(Projects!$G$13="Yes",21&lt;=Assumptions!$B$73),Assumptions!$B$72,0)</f>
        <v>607498.14687097911</v>
      </c>
      <c r="AA155" s="43">
        <f>Z159+IF(AND(Projects!$G$13="Yes",22&lt;=Assumptions!$B$73),Assumptions!$B$72,0)</f>
        <v>630279.32737864088</v>
      </c>
      <c r="AB155" s="43">
        <f>AA159+IF(AND(Projects!$G$13="Yes",23&lt;=Assumptions!$B$73),Assumptions!$B$72,0)</f>
        <v>630279.32737864088</v>
      </c>
      <c r="AC155" s="43">
        <f>AB159+IF(AND(Projects!$G$13="Yes",24&lt;=Assumptions!$B$73),Assumptions!$B$72,0)</f>
        <v>630279.32737864088</v>
      </c>
      <c r="AD155" s="43">
        <f>AC159+IF(AND(Projects!$G$13="Yes",25&lt;=Assumptions!$B$73),Assumptions!$B$72,0)</f>
        <v>653914.80215533986</v>
      </c>
      <c r="AE155" s="43">
        <f>AD159+IF(AND(Projects!$G$13="Yes",26&lt;=Assumptions!$B$73),Assumptions!$B$72,0)</f>
        <v>653914.80215533986</v>
      </c>
      <c r="AF155" s="43">
        <f>AE159+IF(AND(Projects!$G$13="Yes",27&lt;=Assumptions!$B$73),Assumptions!$B$72,0)</f>
        <v>653914.80215533986</v>
      </c>
      <c r="AG155" s="43">
        <f>AF159+IF(AND(Projects!$G$13="Yes",28&lt;=Assumptions!$B$73),Assumptions!$B$72,0)</f>
        <v>678436.60723616509</v>
      </c>
      <c r="AH155" s="43">
        <f>AG159+IF(AND(Projects!$G$13="Yes",29&lt;=Assumptions!$B$73),Assumptions!$B$72,0)</f>
        <v>678436.60723616509</v>
      </c>
      <c r="AI155" s="43">
        <f>AH159+IF(AND(Projects!$G$13="Yes",30&lt;=Assumptions!$B$73),Assumptions!$B$72,0)</f>
        <v>678436.60723616509</v>
      </c>
      <c r="AJ155" s="43">
        <f>AI159+IF(AND(Projects!$G$13="Yes",31&lt;=Assumptions!$B$73),Assumptions!$B$72,0)</f>
        <v>703877.98000752123</v>
      </c>
      <c r="AK155" s="43">
        <f>AJ159+IF(AND(Projects!$G$13="Yes",32&lt;=Assumptions!$B$73),Assumptions!$B$72,0)</f>
        <v>703877.98000752123</v>
      </c>
      <c r="AL155" s="43">
        <f>AK159+IF(AND(Projects!$G$13="Yes",33&lt;=Assumptions!$B$73),Assumptions!$B$72,0)</f>
        <v>703877.98000752123</v>
      </c>
      <c r="AM155" s="43">
        <f>AL159+IF(AND(Projects!$G$13="Yes",34&lt;=Assumptions!$B$73),Assumptions!$B$72,0)</f>
        <v>730273.40425780322</v>
      </c>
      <c r="AN155" s="43">
        <f>AM159+IF(AND(Projects!$G$13="Yes",35&lt;=Assumptions!$B$73),Assumptions!$B$72,0)</f>
        <v>730273.40425780322</v>
      </c>
      <c r="AO155" s="43">
        <f>AN159+IF(AND(Projects!$G$13="Yes",36&lt;=Assumptions!$B$73),Assumptions!$B$72,0)</f>
        <v>730273.40425780322</v>
      </c>
      <c r="AP155" s="43">
        <f>AO159+IF(AND(Projects!$G$13="Yes",37&lt;=Assumptions!$B$73),Assumptions!$B$72,0)</f>
        <v>757658.65691747086</v>
      </c>
      <c r="AQ155" s="43">
        <f>AP159+IF(AND(Projects!$G$13="Yes",38&lt;=Assumptions!$B$73),Assumptions!$B$72,0)</f>
        <v>757658.65691747086</v>
      </c>
      <c r="AR155" s="43">
        <f>AQ159+IF(AND(Projects!$G$13="Yes",39&lt;=Assumptions!$B$73),Assumptions!$B$72,0)</f>
        <v>757658.65691747086</v>
      </c>
      <c r="AS155" s="43">
        <f>AR159+IF(AND(Projects!$G$13="Yes",40&lt;=Assumptions!$B$73),Assumptions!$B$72,0)</f>
        <v>786070.85655187606</v>
      </c>
      <c r="AT155" s="43">
        <f>AS159+IF(AND(Projects!$G$13="Yes",41&lt;=Assumptions!$B$73),Assumptions!$B$72,0)</f>
        <v>786070.85655187606</v>
      </c>
      <c r="AU155" s="43">
        <f>AT159+IF(AND(Projects!$G$13="Yes",42&lt;=Assumptions!$B$73),Assumptions!$B$72,0)</f>
        <v>786070.85655187606</v>
      </c>
      <c r="AV155" s="43">
        <f>AU159+IF(AND(Projects!$G$13="Yes",43&lt;=Assumptions!$B$73),Assumptions!$B$72,0)</f>
        <v>815548.5136725714</v>
      </c>
      <c r="AW155" s="43">
        <f>AV159+IF(AND(Projects!$G$13="Yes",44&lt;=Assumptions!$B$73),Assumptions!$B$72,0)</f>
        <v>815548.5136725714</v>
      </c>
      <c r="AX155" s="43">
        <f>AW159+IF(AND(Projects!$G$13="Yes",45&lt;=Assumptions!$B$73),Assumptions!$B$72,0)</f>
        <v>815548.5136725714</v>
      </c>
      <c r="AY155" s="43">
        <f>AX159+IF(AND(Projects!$G$13="Yes",46&lt;=Assumptions!$B$73),Assumptions!$B$72,0)</f>
        <v>846131.58293529286</v>
      </c>
      <c r="AZ155" s="43">
        <f>AY159+IF(AND(Projects!$G$13="Yes",47&lt;=Assumptions!$B$73),Assumptions!$B$72,0)</f>
        <v>846131.58293529286</v>
      </c>
      <c r="BA155" s="43">
        <f>AZ159+IF(AND(Projects!$G$13="Yes",48&lt;=Assumptions!$B$73),Assumptions!$B$72,0)</f>
        <v>846131.58293529286</v>
      </c>
      <c r="BB155" s="43">
        <f>BA159+IF(AND(Projects!$G$13="Yes",49&lt;=Assumptions!$B$73),Assumptions!$B$72,0)</f>
        <v>877861.51729536639</v>
      </c>
      <c r="BC155" s="43">
        <f>BB159+IF(AND(Projects!$G$13="Yes",50&lt;=Assumptions!$B$73),Assumptions!$B$72,0)</f>
        <v>877861.51729536639</v>
      </c>
      <c r="BD155" s="43">
        <f>BC159+IF(AND(Projects!$G$13="Yes",51&lt;=Assumptions!$B$73),Assumptions!$B$72,0)</f>
        <v>877861.51729536639</v>
      </c>
      <c r="BE155" s="43">
        <f>BD159+IF(AND(Projects!$G$13="Yes",52&lt;=Assumptions!$B$73),Assumptions!$B$72,0)</f>
        <v>661610.02419394255</v>
      </c>
      <c r="BF155" s="43">
        <f>BE159+IF(AND(Projects!$G$13="Yes",53&lt;=Assumptions!$B$73),Assumptions!$B$72,0)</f>
        <v>661610.02419394255</v>
      </c>
      <c r="BG155" s="43">
        <f>BF159+IF(AND(Projects!$G$13="Yes",54&lt;=Assumptions!$B$73),Assumptions!$B$72,0)</f>
        <v>661610.02419394255</v>
      </c>
      <c r="BH155" s="43">
        <f>BG159+IF(AND(Projects!$G$13="Yes",55&lt;=Assumptions!$B$73),Assumptions!$B$72,0)</f>
        <v>614720.40010121535</v>
      </c>
      <c r="BI155" s="43">
        <f>BH159+IF(AND(Projects!$G$13="Yes",56&lt;=Assumptions!$B$73),Assumptions!$B$72,0)</f>
        <v>614720.40010121535</v>
      </c>
      <c r="BJ155" s="43">
        <f>BI159+IF(AND(Projects!$G$13="Yes",57&lt;=Assumptions!$B$73),Assumptions!$B$72,0)</f>
        <v>614720.40010121535</v>
      </c>
      <c r="BK155" s="43">
        <f>BJ159+IF(AND(Projects!$G$13="Yes",58&lt;=Assumptions!$B$73),Assumptions!$B$72,0)</f>
        <v>566072.41510501096</v>
      </c>
      <c r="BL155" s="43">
        <f>BK159+IF(AND(Projects!$G$13="Yes",59&lt;=Assumptions!$B$73),Assumptions!$B$72,0)</f>
        <v>566072.41510501096</v>
      </c>
      <c r="BM155" s="43">
        <f>BL159+IF(AND(Projects!$G$13="Yes",60&lt;=Assumptions!$B$73),Assumptions!$B$72,0)</f>
        <v>566072.41510501096</v>
      </c>
      <c r="BN155" s="43">
        <f>BM159+IF(AND(Projects!$G$13="Yes",61&lt;=Assumptions!$B$73),Assumptions!$B$72,0)</f>
        <v>515600.13067144889</v>
      </c>
      <c r="BO155" s="43">
        <f>BN159+IF(AND(Projects!$G$13="Yes",62&lt;=Assumptions!$B$73),Assumptions!$B$72,0)</f>
        <v>515600.13067144889</v>
      </c>
      <c r="BP155" s="43">
        <f>BO159+IF(AND(Projects!$G$13="Yes",63&lt;=Assumptions!$B$73),Assumptions!$B$72,0)</f>
        <v>515600.13067144889</v>
      </c>
      <c r="BQ155" s="43">
        <f>BP159+IF(AND(Projects!$G$13="Yes",64&lt;=Assumptions!$B$73),Assumptions!$B$72,0)</f>
        <v>463235.13557162823</v>
      </c>
      <c r="BR155" s="43">
        <f>BQ159+IF(AND(Projects!$G$13="Yes",65&lt;=Assumptions!$B$73),Assumptions!$B$72,0)</f>
        <v>463235.13557162823</v>
      </c>
      <c r="BS155" s="43">
        <f>BR159+IF(AND(Projects!$G$13="Yes",66&lt;=Assumptions!$B$73),Assumptions!$B$72,0)</f>
        <v>463235.13557162823</v>
      </c>
      <c r="BT155" s="43">
        <f>BS159+IF(AND(Projects!$G$13="Yes",67&lt;=Assumptions!$B$73),Assumptions!$B$72,0)</f>
        <v>405963.45315556426</v>
      </c>
      <c r="BU155" s="43">
        <f>BT159+IF(AND(Projects!$G$13="Yes",68&lt;=Assumptions!$B$73),Assumptions!$B$72,0)</f>
        <v>405963.45315556426</v>
      </c>
      <c r="BV155" s="43">
        <f>BU159+IF(AND(Projects!$G$13="Yes",69&lt;=Assumptions!$B$73),Assumptions!$B$72,0)</f>
        <v>405963.45315556426</v>
      </c>
      <c r="BW155" s="43">
        <f>BV159+IF(AND(Projects!$G$13="Yes",70&lt;=Assumptions!$B$73),Assumptions!$B$72,0)</f>
        <v>346547.08264889789</v>
      </c>
      <c r="BX155" s="43">
        <f>BW159+IF(AND(Projects!$G$13="Yes",71&lt;=Assumptions!$B$73),Assumptions!$B$72,0)</f>
        <v>346547.08264889789</v>
      </c>
      <c r="BY155" s="43">
        <f>BX159+IF(AND(Projects!$G$13="Yes",72&lt;=Assumptions!$B$73),Assumptions!$B$72,0)</f>
        <v>346547.08264889789</v>
      </c>
      <c r="BZ155" s="43">
        <f>BY159+IF(AND(Projects!$G$13="Yes",73&lt;=Assumptions!$B$73),Assumptions!$B$72,0)</f>
        <v>284902.59824823157</v>
      </c>
      <c r="CA155" s="43">
        <f>BZ159+IF(AND(Projects!$G$13="Yes",74&lt;=Assumptions!$B$73),Assumptions!$B$72,0)</f>
        <v>284902.59824823157</v>
      </c>
      <c r="CB155" s="43">
        <f>CA159+IF(AND(Projects!$G$13="Yes",75&lt;=Assumptions!$B$73),Assumptions!$B$72,0)</f>
        <v>284902.59824823157</v>
      </c>
      <c r="CC155" s="43">
        <f>CB159+IF(AND(Projects!$G$13="Yes",76&lt;=Assumptions!$B$73),Assumptions!$B$72,0)</f>
        <v>220946.44568254024</v>
      </c>
      <c r="CD155" s="43">
        <f>CC159+IF(AND(Projects!$G$13="Yes",77&lt;=Assumptions!$B$73),Assumptions!$B$72,0)</f>
        <v>220946.44568254024</v>
      </c>
      <c r="CE155" s="43">
        <f>CD159+IF(AND(Projects!$G$13="Yes",78&lt;=Assumptions!$B$73),Assumptions!$B$72,0)</f>
        <v>220946.44568254024</v>
      </c>
      <c r="CF155" s="43">
        <f>CE159+IF(AND(Projects!$G$13="Yes",79&lt;=Assumptions!$B$73),Assumptions!$B$72,0)</f>
        <v>147868.9373956355</v>
      </c>
      <c r="CG155" s="43">
        <f>CF159+IF(AND(Projects!$G$13="Yes",80&lt;=Assumptions!$B$73),Assumptions!$B$72,0)</f>
        <v>147868.9373956355</v>
      </c>
      <c r="CH155" s="43">
        <f>CG159+IF(AND(Projects!$G$13="Yes",81&lt;=Assumptions!$B$73),Assumptions!$B$72,0)</f>
        <v>147868.9373956355</v>
      </c>
      <c r="CI155" s="43">
        <f>CH159+IF(AND(Projects!$G$13="Yes",82&lt;=Assumptions!$B$73),Assumptions!$B$72,0)</f>
        <v>72052.022547971836</v>
      </c>
      <c r="CJ155" s="43">
        <f>CI159+IF(AND(Projects!$G$13="Yes",83&lt;=Assumptions!$B$73),Assumptions!$B$72,0)</f>
        <v>72052.022547971836</v>
      </c>
      <c r="CK155" s="43">
        <f>CJ159+IF(AND(Projects!$G$13="Yes",84&lt;=Assumptions!$B$73),Assumptions!$B$72,0)</f>
        <v>72052.022547971836</v>
      </c>
      <c r="CL155" s="43">
        <f>CK159+IF(AND(Projects!$G$13="Yes",85&lt;=Assumptions!$B$73),Assumptions!$B$72,0)</f>
        <v>0</v>
      </c>
      <c r="CM155" s="43">
        <f>CL159+IF(AND(Projects!$G$13="Yes",86&lt;=Assumptions!$B$73),Assumptions!$B$72,0)</f>
        <v>0</v>
      </c>
      <c r="CN155" s="43">
        <f>CM159+IF(AND(Projects!$G$13="Yes",87&lt;=Assumptions!$B$73),Assumptions!$B$72,0)</f>
        <v>0</v>
      </c>
      <c r="CO155" s="43">
        <f>CN159+IF(AND(Projects!$G$13="Yes",88&lt;=Assumptions!$B$73),Assumptions!$B$72,0)</f>
        <v>0</v>
      </c>
      <c r="CP155" s="43">
        <f>CO159+IF(AND(Projects!$G$13="Yes",89&lt;=Assumptions!$B$73),Assumptions!$B$72,0)</f>
        <v>0</v>
      </c>
      <c r="CQ155" s="43">
        <f>CP159+IF(AND(Projects!$G$13="Yes",90&lt;=Assumptions!$B$73),Assumptions!$B$72,0)</f>
        <v>0</v>
      </c>
      <c r="CR155" s="43">
        <f>CQ159+IF(AND(Projects!$G$13="Yes",91&lt;=Assumptions!$B$73),Assumptions!$B$72,0)</f>
        <v>0</v>
      </c>
      <c r="CS155" s="43">
        <f>CR159+IF(AND(Projects!$G$13="Yes",92&lt;=Assumptions!$B$73),Assumptions!$B$72,0)</f>
        <v>0</v>
      </c>
      <c r="CT155" s="43">
        <f>CS159+IF(AND(Projects!$G$13="Yes",93&lt;=Assumptions!$B$73),Assumptions!$B$72,0)</f>
        <v>0</v>
      </c>
      <c r="CU155" s="43">
        <f>CT159+IF(AND(Projects!$G$13="Yes",94&lt;=Assumptions!$B$73),Assumptions!$B$72,0)</f>
        <v>0</v>
      </c>
      <c r="CV155" s="43">
        <f>CU159+IF(AND(Projects!$G$13="Yes",95&lt;=Assumptions!$B$73),Assumptions!$B$72,0)</f>
        <v>0</v>
      </c>
      <c r="CW155" s="43">
        <f>CV159+IF(AND(Projects!$G$13="Yes",96&lt;=Assumptions!$B$73),Assumptions!$B$72,0)</f>
        <v>0</v>
      </c>
      <c r="CX155" s="43">
        <f>CW159+IF(AND(Projects!$G$13="Yes",97&lt;=Assumptions!$B$73),Assumptions!$B$72,0)</f>
        <v>0</v>
      </c>
      <c r="CY155" s="43">
        <f>CX159+IF(AND(Projects!$G$13="Yes",98&lt;=Assumptions!$B$73),Assumptions!$B$72,0)</f>
        <v>0</v>
      </c>
      <c r="CZ155" s="43">
        <f>CY159+IF(AND(Projects!$G$13="Yes",99&lt;=Assumptions!$B$73),Assumptions!$B$72,0)</f>
        <v>0</v>
      </c>
      <c r="DA155" s="43">
        <f>CZ159+IF(AND(Projects!$G$13="Yes",100&lt;=Assumptions!$B$73),Assumptions!$B$72,0)</f>
        <v>0</v>
      </c>
      <c r="DB155" s="43">
        <f>DA159+IF(AND(Projects!$G$13="Yes",101&lt;=Assumptions!$B$73),Assumptions!$B$72,0)</f>
        <v>0</v>
      </c>
      <c r="DC155" s="43">
        <f>DB159+IF(AND(Projects!$G$13="Yes",102&lt;=Assumptions!$B$73),Assumptions!$B$72,0)</f>
        <v>0</v>
      </c>
      <c r="DD155" s="43">
        <f>DC159+IF(AND(Projects!$G$13="Yes",103&lt;=Assumptions!$B$73),Assumptions!$B$72,0)</f>
        <v>0</v>
      </c>
      <c r="DE155" s="43">
        <f>DD159+IF(AND(Projects!$G$13="Yes",104&lt;=Assumptions!$B$73),Assumptions!$B$72,0)</f>
        <v>0</v>
      </c>
      <c r="DF155" s="43">
        <f>DE159+IF(AND(Projects!$G$13="Yes",105&lt;=Assumptions!$B$73),Assumptions!$B$72,0)</f>
        <v>0</v>
      </c>
    </row>
    <row r="156" spans="1:110" ht="15" customHeight="1" x14ac:dyDescent="0.25">
      <c r="A156" s="42" t="s">
        <v>161</v>
      </c>
      <c r="B156" s="42"/>
      <c r="C156" s="43"/>
      <c r="D156" s="43"/>
      <c r="E156" s="43"/>
      <c r="F156" s="43">
        <f>IF(AND(MOD(1,3)=0,F155&gt;0),F155*Assumptions!$B$59,0)</f>
        <v>0</v>
      </c>
      <c r="G156" s="43">
        <f>IF(AND(MOD(2,3)=0,G155&gt;0),G155*Assumptions!$B$59,0)</f>
        <v>0</v>
      </c>
      <c r="H156" s="43">
        <f>IF(AND(MOD(3,3)=0,H155&gt;0),H155*Assumptions!$B$59,0)</f>
        <v>46275</v>
      </c>
      <c r="I156" s="43">
        <f>IF(AND(MOD(4,3)=0,I155&gt;0),I155*Assumptions!$B$59,0)</f>
        <v>0</v>
      </c>
      <c r="J156" s="43">
        <f>IF(AND(MOD(5,3)=0,J155&gt;0),J155*Assumptions!$B$59,0)</f>
        <v>0</v>
      </c>
      <c r="K156" s="43">
        <f>IF(AND(MOD(6,3)=0,K155&gt;0),K155*Assumptions!$B$59,0)</f>
        <v>53635.3125</v>
      </c>
      <c r="L156" s="43">
        <f>IF(AND(MOD(7,3)=0,L155&gt;0),L155*Assumptions!$B$59,0)</f>
        <v>0</v>
      </c>
      <c r="M156" s="43">
        <f>IF(AND(MOD(8,3)=0,M155&gt;0),M155*Assumptions!$B$59,0)</f>
        <v>0</v>
      </c>
      <c r="N156" s="43">
        <f>IF(AND(MOD(9,3)=0,N155&gt;0),N155*Assumptions!$B$59,0)</f>
        <v>61271.63671875</v>
      </c>
      <c r="O156" s="43">
        <f>IF(AND(MOD(10,3)=0,O155&gt;0),O155*Assumptions!$B$59,0)</f>
        <v>0</v>
      </c>
      <c r="P156" s="43">
        <f>IF(AND(MOD(11,3)=0,P155&gt;0),P155*Assumptions!$B$59,0)</f>
        <v>0</v>
      </c>
      <c r="Q156" s="43">
        <f>IF(AND(MOD(12,3)=0,Q155&gt;0),Q155*Assumptions!$B$59,0)</f>
        <v>69194.323095703119</v>
      </c>
      <c r="R156" s="43">
        <f>IF(AND(MOD(13,3)=0,R155&gt;0),R155*Assumptions!$B$59,0)</f>
        <v>0</v>
      </c>
      <c r="S156" s="43">
        <f>IF(AND(MOD(14,3)=0,S155&gt;0),S155*Assumptions!$B$59,0)</f>
        <v>0</v>
      </c>
      <c r="T156" s="43">
        <f>IF(AND(MOD(15,3)=0,T155&gt;0),T155*Assumptions!$B$59,0)</f>
        <v>21164.110211791987</v>
      </c>
      <c r="U156" s="43">
        <f>IF(AND(MOD(16,3)=0,U155&gt;0),U155*Assumptions!$B$59,0)</f>
        <v>0</v>
      </c>
      <c r="V156" s="43">
        <f>IF(AND(MOD(17,3)=0,V155&gt;0),V155*Assumptions!$B$59,0)</f>
        <v>0</v>
      </c>
      <c r="W156" s="43">
        <f>IF(AND(MOD(18,3)=0,W155&gt;0),W155*Assumptions!$B$59,0)</f>
        <v>21957.764344734187</v>
      </c>
      <c r="X156" s="43">
        <f>IF(AND(MOD(19,3)=0,X155&gt;0),X155*Assumptions!$B$59,0)</f>
        <v>0</v>
      </c>
      <c r="Y156" s="43">
        <f>IF(AND(MOD(20,3)=0,Y155&gt;0),Y155*Assumptions!$B$59,0)</f>
        <v>0</v>
      </c>
      <c r="Z156" s="43">
        <f>IF(AND(MOD(21,3)=0,Z155&gt;0),Z155*Assumptions!$B$59,0)</f>
        <v>22781.180507661717</v>
      </c>
      <c r="AA156" s="43">
        <f>IF(AND(MOD(22,3)=0,AA155&gt;0),AA155*Assumptions!$B$59,0)</f>
        <v>0</v>
      </c>
      <c r="AB156" s="43">
        <f>IF(AND(MOD(23,3)=0,AB155&gt;0),AB155*Assumptions!$B$59,0)</f>
        <v>0</v>
      </c>
      <c r="AC156" s="43">
        <f>IF(AND(MOD(24,3)=0,AC155&gt;0),AC155*Assumptions!$B$59,0)</f>
        <v>23635.474776699033</v>
      </c>
      <c r="AD156" s="43">
        <f>IF(AND(MOD(25,3)=0,AD155&gt;0),AD155*Assumptions!$B$59,0)</f>
        <v>0</v>
      </c>
      <c r="AE156" s="43">
        <f>IF(AND(MOD(26,3)=0,AE155&gt;0),AE155*Assumptions!$B$59,0)</f>
        <v>0</v>
      </c>
      <c r="AF156" s="43">
        <f>IF(AND(MOD(27,3)=0,AF155&gt;0),AF155*Assumptions!$B$59,0)</f>
        <v>24521.805080825245</v>
      </c>
      <c r="AG156" s="43">
        <f>IF(AND(MOD(28,3)=0,AG155&gt;0),AG155*Assumptions!$B$59,0)</f>
        <v>0</v>
      </c>
      <c r="AH156" s="43">
        <f>IF(AND(MOD(29,3)=0,AH155&gt;0),AH155*Assumptions!$B$59,0)</f>
        <v>0</v>
      </c>
      <c r="AI156" s="43">
        <f>IF(AND(MOD(30,3)=0,AI155&gt;0),AI155*Assumptions!$B$59,0)</f>
        <v>25441.372771356189</v>
      </c>
      <c r="AJ156" s="43">
        <f>IF(AND(MOD(31,3)=0,AJ155&gt;0),AJ155*Assumptions!$B$59,0)</f>
        <v>0</v>
      </c>
      <c r="AK156" s="43">
        <f>IF(AND(MOD(32,3)=0,AK155&gt;0),AK155*Assumptions!$B$59,0)</f>
        <v>0</v>
      </c>
      <c r="AL156" s="43">
        <f>IF(AND(MOD(33,3)=0,AL155&gt;0),AL155*Assumptions!$B$59,0)</f>
        <v>26395.424250282045</v>
      </c>
      <c r="AM156" s="43">
        <f>IF(AND(MOD(34,3)=0,AM155&gt;0),AM155*Assumptions!$B$59,0)</f>
        <v>0</v>
      </c>
      <c r="AN156" s="43">
        <f>IF(AND(MOD(35,3)=0,AN155&gt;0),AN155*Assumptions!$B$59,0)</f>
        <v>0</v>
      </c>
      <c r="AO156" s="43">
        <f>IF(AND(MOD(36,3)=0,AO155&gt;0),AO155*Assumptions!$B$59,0)</f>
        <v>27385.252659667622</v>
      </c>
      <c r="AP156" s="43">
        <f>IF(AND(MOD(37,3)=0,AP155&gt;0),AP155*Assumptions!$B$59,0)</f>
        <v>0</v>
      </c>
      <c r="AQ156" s="43">
        <f>IF(AND(MOD(38,3)=0,AQ155&gt;0),AQ155*Assumptions!$B$59,0)</f>
        <v>0</v>
      </c>
      <c r="AR156" s="43">
        <f>IF(AND(MOD(39,3)=0,AR155&gt;0),AR155*Assumptions!$B$59,0)</f>
        <v>28412.199634405155</v>
      </c>
      <c r="AS156" s="43">
        <f>IF(AND(MOD(40,3)=0,AS155&gt;0),AS155*Assumptions!$B$59,0)</f>
        <v>0</v>
      </c>
      <c r="AT156" s="43">
        <f>IF(AND(MOD(41,3)=0,AT155&gt;0),AT155*Assumptions!$B$59,0)</f>
        <v>0</v>
      </c>
      <c r="AU156" s="43">
        <f>IF(AND(MOD(42,3)=0,AU155&gt;0),AU155*Assumptions!$B$59,0)</f>
        <v>29477.657120695352</v>
      </c>
      <c r="AV156" s="43">
        <f>IF(AND(MOD(43,3)=0,AV155&gt;0),AV155*Assumptions!$B$59,0)</f>
        <v>0</v>
      </c>
      <c r="AW156" s="43">
        <f>IF(AND(MOD(44,3)=0,AW155&gt;0),AW155*Assumptions!$B$59,0)</f>
        <v>0</v>
      </c>
      <c r="AX156" s="43">
        <f>IF(AND(MOD(45,3)=0,AX155&gt;0),AX155*Assumptions!$B$59,0)</f>
        <v>30583.069262721427</v>
      </c>
      <c r="AY156" s="43">
        <f>IF(AND(MOD(46,3)=0,AY155&gt;0),AY155*Assumptions!$B$59,0)</f>
        <v>0</v>
      </c>
      <c r="AZ156" s="43">
        <f>IF(AND(MOD(47,3)=0,AZ155&gt;0),AZ155*Assumptions!$B$59,0)</f>
        <v>0</v>
      </c>
      <c r="BA156" s="43">
        <f>IF(AND(MOD(48,3)=0,BA155&gt;0),BA155*Assumptions!$B$59,0)</f>
        <v>31729.934360073479</v>
      </c>
      <c r="BB156" s="43">
        <f>IF(AND(MOD(49,3)=0,BB155&gt;0),BB155*Assumptions!$B$59,0)</f>
        <v>0</v>
      </c>
      <c r="BC156" s="43">
        <f>IF(AND(MOD(50,3)=0,BC155&gt;0),BC155*Assumptions!$B$59,0)</f>
        <v>0</v>
      </c>
      <c r="BD156" s="43">
        <f>IF(AND(MOD(51,3)=0,BD155&gt;0),BD155*Assumptions!$B$59,0)</f>
        <v>32919.806898576237</v>
      </c>
      <c r="BE156" s="43">
        <f>IF(AND(MOD(52,3)=0,BE155&gt;0),BE155*Assumptions!$B$59,0)</f>
        <v>0</v>
      </c>
      <c r="BF156" s="43">
        <f>IF(AND(MOD(53,3)=0,BF155&gt;0),BF155*Assumptions!$B$59,0)</f>
        <v>0</v>
      </c>
      <c r="BG156" s="43">
        <f>IF(AND(MOD(54,3)=0,BG155&gt;0),BG155*Assumptions!$B$59,0)</f>
        <v>24810.375907272846</v>
      </c>
      <c r="BH156" s="43">
        <f>IF(AND(MOD(55,3)=0,BH155&gt;0),BH155*Assumptions!$B$59,0)</f>
        <v>0</v>
      </c>
      <c r="BI156" s="43">
        <f>IF(AND(MOD(56,3)=0,BI155&gt;0),BI155*Assumptions!$B$59,0)</f>
        <v>0</v>
      </c>
      <c r="BJ156" s="43">
        <f>IF(AND(MOD(57,3)=0,BJ155&gt;0),BJ155*Assumptions!$B$59,0)</f>
        <v>23052.015003795575</v>
      </c>
      <c r="BK156" s="43">
        <f>IF(AND(MOD(58,3)=0,BK155&gt;0),BK155*Assumptions!$B$59,0)</f>
        <v>0</v>
      </c>
      <c r="BL156" s="43">
        <f>IF(AND(MOD(59,3)=0,BL155&gt;0),BL155*Assumptions!$B$59,0)</f>
        <v>0</v>
      </c>
      <c r="BM156" s="43">
        <f>IF(AND(MOD(60,3)=0,BM155&gt;0),BM155*Assumptions!$B$59,0)</f>
        <v>21227.71556643791</v>
      </c>
      <c r="BN156" s="43">
        <f>IF(AND(MOD(61,3)=0,BN155&gt;0),BN155*Assumptions!$B$59,0)</f>
        <v>0</v>
      </c>
      <c r="BO156" s="43">
        <f>IF(AND(MOD(62,3)=0,BO155&gt;0),BO155*Assumptions!$B$59,0)</f>
        <v>0</v>
      </c>
      <c r="BP156" s="43">
        <f>IF(AND(MOD(63,3)=0,BP155&gt;0),BP155*Assumptions!$B$59,0)</f>
        <v>19335.004900179334</v>
      </c>
      <c r="BQ156" s="43">
        <f>IF(AND(MOD(64,3)=0,BQ155&gt;0),BQ155*Assumptions!$B$59,0)</f>
        <v>0</v>
      </c>
      <c r="BR156" s="43">
        <f>IF(AND(MOD(65,3)=0,BR155&gt;0),BR155*Assumptions!$B$59,0)</f>
        <v>0</v>
      </c>
      <c r="BS156" s="43">
        <f>IF(AND(MOD(66,3)=0,BS155&gt;0),BS155*Assumptions!$B$59,0)</f>
        <v>17371.317583936059</v>
      </c>
      <c r="BT156" s="43">
        <f>IF(AND(MOD(67,3)=0,BT155&gt;0),BT155*Assumptions!$B$59,0)</f>
        <v>0</v>
      </c>
      <c r="BU156" s="43">
        <f>IF(AND(MOD(68,3)=0,BU155&gt;0),BU155*Assumptions!$B$59,0)</f>
        <v>0</v>
      </c>
      <c r="BV156" s="43">
        <f>IF(AND(MOD(69,3)=0,BV155&gt;0),BV155*Assumptions!$B$59,0)</f>
        <v>15223.629493333659</v>
      </c>
      <c r="BW156" s="43">
        <f>IF(AND(MOD(70,3)=0,BW155&gt;0),BW155*Assumptions!$B$59,0)</f>
        <v>0</v>
      </c>
      <c r="BX156" s="43">
        <f>IF(AND(MOD(71,3)=0,BX155&gt;0),BX155*Assumptions!$B$59,0)</f>
        <v>0</v>
      </c>
      <c r="BY156" s="43">
        <f>IF(AND(MOD(72,3)=0,BY155&gt;0),BY155*Assumptions!$B$59,0)</f>
        <v>12995.51559933367</v>
      </c>
      <c r="BZ156" s="43">
        <f>IF(AND(MOD(73,3)=0,BZ155&gt;0),BZ155*Assumptions!$B$59,0)</f>
        <v>0</v>
      </c>
      <c r="CA156" s="43">
        <f>IF(AND(MOD(74,3)=0,CA155&gt;0),CA155*Assumptions!$B$59,0)</f>
        <v>0</v>
      </c>
      <c r="CB156" s="43">
        <f>IF(AND(MOD(75,3)=0,CB155&gt;0),CB155*Assumptions!$B$59,0)</f>
        <v>10683.847434308684</v>
      </c>
      <c r="CC156" s="43">
        <f>IF(AND(MOD(76,3)=0,CC155&gt;0),CC155*Assumptions!$B$59,0)</f>
        <v>0</v>
      </c>
      <c r="CD156" s="43">
        <f>IF(AND(MOD(77,3)=0,CD155&gt;0),CD155*Assumptions!$B$59,0)</f>
        <v>0</v>
      </c>
      <c r="CE156" s="43">
        <f>IF(AND(MOD(78,3)=0,CE155&gt;0),CE155*Assumptions!$B$59,0)</f>
        <v>8285.4917130952581</v>
      </c>
      <c r="CF156" s="43">
        <f>IF(AND(MOD(79,3)=0,CF155&gt;0),CF155*Assumptions!$B$59,0)</f>
        <v>0</v>
      </c>
      <c r="CG156" s="43">
        <f>IF(AND(MOD(80,3)=0,CG155&gt;0),CG155*Assumptions!$B$59,0)</f>
        <v>0</v>
      </c>
      <c r="CH156" s="43">
        <f>IF(AND(MOD(81,3)=0,CH155&gt;0),CH155*Assumptions!$B$59,0)</f>
        <v>5545.0851523363308</v>
      </c>
      <c r="CI156" s="43">
        <f>IF(AND(MOD(82,3)=0,CI155&gt;0),CI155*Assumptions!$B$59,0)</f>
        <v>0</v>
      </c>
      <c r="CJ156" s="43">
        <f>IF(AND(MOD(83,3)=0,CJ155&gt;0),CJ155*Assumptions!$B$59,0)</f>
        <v>0</v>
      </c>
      <c r="CK156" s="43">
        <f>IF(AND(MOD(84,3)=0,CK155&gt;0),CK155*Assumptions!$B$59,0)</f>
        <v>2701.9508455489436</v>
      </c>
      <c r="CL156" s="43">
        <f>IF(AND(MOD(85,3)=0,CL155&gt;0),CL155*Assumptions!$B$59,0)</f>
        <v>0</v>
      </c>
      <c r="CM156" s="43">
        <f>IF(AND(MOD(86,3)=0,CM155&gt;0),CM155*Assumptions!$B$59,0)</f>
        <v>0</v>
      </c>
      <c r="CN156" s="43">
        <f>IF(AND(MOD(87,3)=0,CN155&gt;0),CN155*Assumptions!$B$59,0)</f>
        <v>0</v>
      </c>
      <c r="CO156" s="43">
        <f>IF(AND(MOD(88,3)=0,CO155&gt;0),CO155*Assumptions!$B$59,0)</f>
        <v>0</v>
      </c>
      <c r="CP156" s="43">
        <f>IF(AND(MOD(89,3)=0,CP155&gt;0),CP155*Assumptions!$B$59,0)</f>
        <v>0</v>
      </c>
      <c r="CQ156" s="43">
        <f>IF(AND(MOD(90,3)=0,CQ155&gt;0),CQ155*Assumptions!$B$59,0)</f>
        <v>0</v>
      </c>
      <c r="CR156" s="43">
        <f>IF(AND(MOD(91,3)=0,CR155&gt;0),CR155*Assumptions!$B$59,0)</f>
        <v>0</v>
      </c>
      <c r="CS156" s="43">
        <f>IF(AND(MOD(92,3)=0,CS155&gt;0),CS155*Assumptions!$B$59,0)</f>
        <v>0</v>
      </c>
      <c r="CT156" s="43">
        <f>IF(AND(MOD(93,3)=0,CT155&gt;0),CT155*Assumptions!$B$59,0)</f>
        <v>0</v>
      </c>
      <c r="CU156" s="43">
        <f>IF(AND(MOD(94,3)=0,CU155&gt;0),CU155*Assumptions!$B$59,0)</f>
        <v>0</v>
      </c>
      <c r="CV156" s="43">
        <f>IF(AND(MOD(95,3)=0,CV155&gt;0),CV155*Assumptions!$B$59,0)</f>
        <v>0</v>
      </c>
      <c r="CW156" s="43">
        <f>IF(AND(MOD(96,3)=0,CW155&gt;0),CW155*Assumptions!$B$59,0)</f>
        <v>0</v>
      </c>
      <c r="CX156" s="43">
        <f>IF(AND(MOD(97,3)=0,CX155&gt;0),CX155*Assumptions!$B$59,0)</f>
        <v>0</v>
      </c>
      <c r="CY156" s="43">
        <f>IF(AND(MOD(98,3)=0,CY155&gt;0),CY155*Assumptions!$B$59,0)</f>
        <v>0</v>
      </c>
      <c r="CZ156" s="43">
        <f>IF(AND(MOD(99,3)=0,CZ155&gt;0),CZ155*Assumptions!$B$59,0)</f>
        <v>0</v>
      </c>
      <c r="DA156" s="43">
        <f>IF(AND(MOD(100,3)=0,DA155&gt;0),DA155*Assumptions!$B$59,0)</f>
        <v>0</v>
      </c>
      <c r="DB156" s="43">
        <f>IF(AND(MOD(101,3)=0,DB155&gt;0),DB155*Assumptions!$B$59,0)</f>
        <v>0</v>
      </c>
      <c r="DC156" s="43">
        <f>IF(AND(MOD(102,3)=0,DC155&gt;0),DC155*Assumptions!$B$59,0)</f>
        <v>0</v>
      </c>
      <c r="DD156" s="43">
        <f>IF(AND(MOD(103,3)=0,DD155&gt;0),DD155*Assumptions!$B$59,0)</f>
        <v>0</v>
      </c>
      <c r="DE156" s="43">
        <f>IF(AND(MOD(104,3)=0,DE155&gt;0),DE155*Assumptions!$B$59,0)</f>
        <v>0</v>
      </c>
      <c r="DF156" s="43">
        <f>IF(AND(MOD(105,3)=0,DF155&gt;0),DF155*Assumptions!$B$59,0)</f>
        <v>0</v>
      </c>
    </row>
    <row r="157" spans="1:110" ht="15" customHeight="1" x14ac:dyDescent="0.25">
      <c r="A157" s="42" t="s">
        <v>162</v>
      </c>
      <c r="B157" s="42"/>
      <c r="C157" s="43"/>
      <c r="D157" s="43"/>
      <c r="E157" s="43"/>
      <c r="F157" s="43">
        <v>0</v>
      </c>
      <c r="G157" s="43">
        <v>0</v>
      </c>
      <c r="H157" s="43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f>IF(Projects!$G$13="Yes",Assumptions!$B$74,0)</f>
        <v>-1450000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0</v>
      </c>
      <c r="AB157" s="43">
        <v>0</v>
      </c>
      <c r="AC157" s="43">
        <v>0</v>
      </c>
      <c r="AD157" s="43">
        <v>0</v>
      </c>
      <c r="AE157" s="43">
        <v>0</v>
      </c>
      <c r="AF157" s="43">
        <v>0</v>
      </c>
      <c r="AG157" s="43">
        <v>0</v>
      </c>
      <c r="AH157" s="43">
        <v>0</v>
      </c>
      <c r="AI157" s="43">
        <v>0</v>
      </c>
      <c r="AJ157" s="43">
        <v>0</v>
      </c>
      <c r="AK157" s="43">
        <v>0</v>
      </c>
      <c r="AL157" s="43">
        <v>0</v>
      </c>
      <c r="AM157" s="43">
        <v>0</v>
      </c>
      <c r="AN157" s="43">
        <v>0</v>
      </c>
      <c r="AO157" s="43">
        <v>0</v>
      </c>
      <c r="AP157" s="43">
        <v>0</v>
      </c>
      <c r="AQ157" s="43">
        <v>0</v>
      </c>
      <c r="AR157" s="43">
        <v>0</v>
      </c>
      <c r="AS157" s="43">
        <v>0</v>
      </c>
      <c r="AT157" s="43">
        <v>0</v>
      </c>
      <c r="AU157" s="43">
        <v>0</v>
      </c>
      <c r="AV157" s="43">
        <v>0</v>
      </c>
      <c r="AW157" s="43">
        <v>0</v>
      </c>
      <c r="AX157" s="43">
        <v>0</v>
      </c>
      <c r="AY157" s="43">
        <v>0</v>
      </c>
      <c r="AZ157" s="43">
        <v>0</v>
      </c>
      <c r="BA157" s="43">
        <v>0</v>
      </c>
      <c r="BB157" s="43">
        <v>0</v>
      </c>
      <c r="BC157" s="43">
        <v>0</v>
      </c>
      <c r="BD157" s="43">
        <v>0</v>
      </c>
      <c r="BE157" s="43">
        <v>0</v>
      </c>
      <c r="BF157" s="43">
        <v>0</v>
      </c>
      <c r="BG157" s="43">
        <v>0</v>
      </c>
      <c r="BH157" s="43">
        <v>0</v>
      </c>
      <c r="BI157" s="43">
        <v>0</v>
      </c>
      <c r="BJ157" s="43">
        <v>0</v>
      </c>
      <c r="BK157" s="43">
        <v>0</v>
      </c>
      <c r="BL157" s="43">
        <v>0</v>
      </c>
      <c r="BM157" s="43">
        <v>0</v>
      </c>
      <c r="BN157" s="43">
        <v>0</v>
      </c>
      <c r="BO157" s="43">
        <v>0</v>
      </c>
      <c r="BP157" s="43">
        <v>0</v>
      </c>
      <c r="BQ157" s="43">
        <v>0</v>
      </c>
      <c r="BR157" s="43">
        <v>0</v>
      </c>
      <c r="BS157" s="43">
        <v>0</v>
      </c>
      <c r="BT157" s="43">
        <v>0</v>
      </c>
      <c r="BU157" s="43">
        <v>0</v>
      </c>
      <c r="BV157" s="43">
        <v>0</v>
      </c>
      <c r="BW157" s="43">
        <v>0</v>
      </c>
      <c r="BX157" s="43">
        <v>0</v>
      </c>
      <c r="BY157" s="43">
        <v>0</v>
      </c>
      <c r="BZ157" s="43">
        <v>0</v>
      </c>
      <c r="CA157" s="43">
        <v>0</v>
      </c>
      <c r="CB157" s="43">
        <v>0</v>
      </c>
      <c r="CC157" s="43">
        <v>0</v>
      </c>
      <c r="CD157" s="43">
        <v>0</v>
      </c>
      <c r="CE157" s="43">
        <v>0</v>
      </c>
      <c r="CF157" s="43">
        <v>0</v>
      </c>
      <c r="CG157" s="43">
        <v>0</v>
      </c>
      <c r="CH157" s="43">
        <v>0</v>
      </c>
      <c r="CI157" s="43">
        <v>0</v>
      </c>
      <c r="CJ157" s="43">
        <v>0</v>
      </c>
      <c r="CK157" s="43">
        <v>0</v>
      </c>
      <c r="CL157" s="43">
        <v>0</v>
      </c>
      <c r="CM157" s="43">
        <v>0</v>
      </c>
      <c r="CN157" s="43">
        <v>0</v>
      </c>
      <c r="CO157" s="43">
        <v>0</v>
      </c>
      <c r="CP157" s="43">
        <v>0</v>
      </c>
      <c r="CQ157" s="43">
        <v>0</v>
      </c>
      <c r="CR157" s="43">
        <v>0</v>
      </c>
      <c r="CS157" s="43">
        <v>0</v>
      </c>
      <c r="CT157" s="43">
        <v>0</v>
      </c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</row>
    <row r="158" spans="1:110" ht="15" customHeight="1" x14ac:dyDescent="0.25">
      <c r="A158" s="44" t="s">
        <v>163</v>
      </c>
      <c r="B158" s="44"/>
      <c r="C158" s="45"/>
      <c r="D158" s="45"/>
      <c r="E158" s="45"/>
      <c r="F158" s="45">
        <f>-MIN(F155+F156+F157,MAX(0,F77-Helpers!C23))</f>
        <v>0</v>
      </c>
      <c r="G158" s="45">
        <f>-MIN(G155+G156+G157,MAX(0,G77-Helpers!D23))</f>
        <v>0</v>
      </c>
      <c r="H158" s="45">
        <f>-MIN(H155+H156+H157,MAX(0,H77-Helpers!E23))</f>
        <v>0</v>
      </c>
      <c r="I158" s="45">
        <f>-MIN(I155+I156+I157,MAX(0,I77-Helpers!F23))</f>
        <v>0</v>
      </c>
      <c r="J158" s="45">
        <f>-MIN(J155+J156+J157,MAX(0,J77-Helpers!G23))</f>
        <v>0</v>
      </c>
      <c r="K158" s="45">
        <f>-MIN(K155+K156+K157,MAX(0,K77-Helpers!H23))</f>
        <v>0</v>
      </c>
      <c r="L158" s="45">
        <f>-MIN(L155+L156+L157,MAX(0,L77-Helpers!I23))</f>
        <v>0</v>
      </c>
      <c r="M158" s="45">
        <f>-MIN(M155+M156+M157,MAX(0,M77-Helpers!J23))</f>
        <v>0</v>
      </c>
      <c r="N158" s="45">
        <f>-MIN(N155+N156+N157,MAX(0,N77-Helpers!K23))</f>
        <v>0</v>
      </c>
      <c r="O158" s="45">
        <f>-MIN(O155+O156+O157,MAX(0,O77-Helpers!L23))</f>
        <v>0</v>
      </c>
      <c r="P158" s="45">
        <f>-MIN(P155+P156+P157,MAX(0,P77-Helpers!M23))</f>
        <v>0</v>
      </c>
      <c r="Q158" s="45">
        <f>-MIN(Q155+Q156+Q157,MAX(0,Q77-Helpers!N23))</f>
        <v>0</v>
      </c>
      <c r="R158" s="45">
        <f>-MIN(R155+R156+R157,MAX(0,R77-Helpers!O23))</f>
        <v>0</v>
      </c>
      <c r="S158" s="45">
        <f>-MIN(S155+S156+S157,MAX(0,S77-Helpers!P23))</f>
        <v>0</v>
      </c>
      <c r="T158" s="45">
        <f>-MIN(T155+T156+T157,MAX(0,T77-Helpers!Q23))</f>
        <v>0</v>
      </c>
      <c r="U158" s="45">
        <f>-MIN(U155+U156+U157,MAX(0,U77-Helpers!R23))</f>
        <v>0</v>
      </c>
      <c r="V158" s="45">
        <f>-MIN(V155+V156+V157,MAX(0,V77-Helpers!S23))</f>
        <v>0</v>
      </c>
      <c r="W158" s="45">
        <f>-MIN(W155+W156+W157,MAX(0,W77-Helpers!T23))</f>
        <v>0</v>
      </c>
      <c r="X158" s="45">
        <f>-MIN(X155+X156+X157,MAX(0,X77-Helpers!U23))</f>
        <v>0</v>
      </c>
      <c r="Y158" s="45">
        <f>-MIN(Y155+Y156+Y157,MAX(0,Y77-Helpers!V23))</f>
        <v>0</v>
      </c>
      <c r="Z158" s="45">
        <f>-MIN(Z155+Z156+Z157,MAX(0,Z77-Helpers!W23))</f>
        <v>0</v>
      </c>
      <c r="AA158" s="45">
        <f>-MIN(AA155+AA156+AA157,MAX(0,AA77-Helpers!X23))</f>
        <v>0</v>
      </c>
      <c r="AB158" s="45">
        <f>-MIN(AB155+AB156+AB157,MAX(0,AB77-Helpers!Y23))</f>
        <v>0</v>
      </c>
      <c r="AC158" s="45">
        <f>-MIN(AC155+AC156+AC157,MAX(0,AC77-Helpers!Z23))</f>
        <v>0</v>
      </c>
      <c r="AD158" s="45">
        <f>-MIN(AD155+AD156+AD157,MAX(0,AD77-Helpers!AA23))</f>
        <v>0</v>
      </c>
      <c r="AE158" s="45">
        <f>-MIN(AE155+AE156+AE157,MAX(0,AE77-Helpers!AB23))</f>
        <v>0</v>
      </c>
      <c r="AF158" s="45">
        <f>-MIN(AF155+AF156+AF157,MAX(0,AF77-Helpers!AC23))</f>
        <v>0</v>
      </c>
      <c r="AG158" s="45">
        <f>-MIN(AG155+AG156+AG157,MAX(0,AG77-Helpers!AD23))</f>
        <v>0</v>
      </c>
      <c r="AH158" s="45">
        <f>-MIN(AH155+AH156+AH157,MAX(0,AH77-Helpers!AE23))</f>
        <v>0</v>
      </c>
      <c r="AI158" s="45">
        <f>-MIN(AI155+AI156+AI157,MAX(0,AI77-Helpers!AF23))</f>
        <v>0</v>
      </c>
      <c r="AJ158" s="45">
        <f>-MIN(AJ155+AJ156+AJ157,MAX(0,AJ77-Helpers!AG23))</f>
        <v>0</v>
      </c>
      <c r="AK158" s="45">
        <f>-MIN(AK155+AK156+AK157,MAX(0,AK77-Helpers!AH23))</f>
        <v>0</v>
      </c>
      <c r="AL158" s="45">
        <f>-MIN(AL155+AL156+AL157,MAX(0,AL77-Helpers!AI23))</f>
        <v>0</v>
      </c>
      <c r="AM158" s="45">
        <f>-MIN(AM155+AM156+AM157,MAX(0,AM77-Helpers!AJ23))</f>
        <v>0</v>
      </c>
      <c r="AN158" s="45">
        <f>-MIN(AN155+AN156+AN157,MAX(0,AN77-Helpers!AK23))</f>
        <v>0</v>
      </c>
      <c r="AO158" s="45">
        <f>-MIN(AO155+AO156+AO157,MAX(0,AO77-Helpers!AL23))</f>
        <v>0</v>
      </c>
      <c r="AP158" s="45">
        <f>-MIN(AP155+AP156+AP157,MAX(0,AP77-Helpers!AM23))</f>
        <v>0</v>
      </c>
      <c r="AQ158" s="45">
        <f>-MIN(AQ155+AQ156+AQ157,MAX(0,AQ77-Helpers!AN23))</f>
        <v>0</v>
      </c>
      <c r="AR158" s="45">
        <f>-MIN(AR155+AR156+AR157,MAX(0,AR77-Helpers!AO23))</f>
        <v>0</v>
      </c>
      <c r="AS158" s="45">
        <f>-MIN(AS155+AS156+AS157,MAX(0,AS77-Helpers!AP23))</f>
        <v>0</v>
      </c>
      <c r="AT158" s="45">
        <f>-MIN(AT155+AT156+AT157,MAX(0,AT77-Helpers!AQ23))</f>
        <v>0</v>
      </c>
      <c r="AU158" s="45">
        <f>-MIN(AU155+AU156+AU157,MAX(0,AU77-Helpers!AR23))</f>
        <v>0</v>
      </c>
      <c r="AV158" s="45">
        <f>-MIN(AV155+AV156+AV157,MAX(0,AV77-Helpers!AS23))</f>
        <v>0</v>
      </c>
      <c r="AW158" s="45">
        <f>-MIN(AW155+AW156+AW157,MAX(0,AW77-Helpers!AT23))</f>
        <v>0</v>
      </c>
      <c r="AX158" s="45">
        <f>-MIN(AX155+AX156+AX157,MAX(0,AX77-Helpers!AU23))</f>
        <v>0</v>
      </c>
      <c r="AY158" s="45">
        <f>-MIN(AY155+AY156+AY157,MAX(0,AY77-Helpers!AV23))</f>
        <v>0</v>
      </c>
      <c r="AZ158" s="45">
        <f>-MIN(AZ155+AZ156+AZ157,MAX(0,AZ77-Helpers!AW23))</f>
        <v>0</v>
      </c>
      <c r="BA158" s="45">
        <f>-MIN(BA155+BA156+BA157,MAX(0,BA77-Helpers!AX23))</f>
        <v>0</v>
      </c>
      <c r="BB158" s="45">
        <f>-MIN(BB155+BB156+BB157,MAX(0,BB77-Helpers!AY23))</f>
        <v>0</v>
      </c>
      <c r="BC158" s="45">
        <f>-MIN(BC155+BC156+BC157,MAX(0,BC77-Helpers!AZ23))</f>
        <v>0</v>
      </c>
      <c r="BD158" s="45">
        <f>-MIN(BD155+BD156+BD157,MAX(0,BD77-Helpers!BA23))</f>
        <v>-249171.30000000005</v>
      </c>
      <c r="BE158" s="45">
        <f>-MIN(BE155+BE156+BE157,MAX(0,BE77-Helpers!BB23))</f>
        <v>0</v>
      </c>
      <c r="BF158" s="45">
        <f>-MIN(BF155+BF156+BF157,MAX(0,BF77-Helpers!BC23))</f>
        <v>0</v>
      </c>
      <c r="BG158" s="45">
        <f>-MIN(BG155+BG156+BG157,MAX(0,BG77-Helpers!BD23))</f>
        <v>-71700</v>
      </c>
      <c r="BH158" s="45">
        <f>-MIN(BH155+BH156+BH157,MAX(0,BH77-Helpers!BE23))</f>
        <v>0</v>
      </c>
      <c r="BI158" s="45">
        <f>-MIN(BI155+BI156+BI157,MAX(0,BI77-Helpers!BF23))</f>
        <v>0</v>
      </c>
      <c r="BJ158" s="45">
        <f>-MIN(BJ155+BJ156+BJ157,MAX(0,BJ77-Helpers!BG23))</f>
        <v>-71700</v>
      </c>
      <c r="BK158" s="45">
        <f>-MIN(BK155+BK156+BK157,MAX(0,BK77-Helpers!BH23))</f>
        <v>0</v>
      </c>
      <c r="BL158" s="45">
        <f>-MIN(BL155+BL156+BL157,MAX(0,BL77-Helpers!BI23))</f>
        <v>0</v>
      </c>
      <c r="BM158" s="45">
        <f>-MIN(BM155+BM156+BM157,MAX(0,BM77-Helpers!BJ23))</f>
        <v>-71700</v>
      </c>
      <c r="BN158" s="45">
        <f>-MIN(BN155+BN156+BN157,MAX(0,BN77-Helpers!BK23))</f>
        <v>0</v>
      </c>
      <c r="BO158" s="45">
        <f>-MIN(BO155+BO156+BO157,MAX(0,BO77-Helpers!BL23))</f>
        <v>0</v>
      </c>
      <c r="BP158" s="45">
        <f>-MIN(BP155+BP156+BP157,MAX(0,BP77-Helpers!BM23))</f>
        <v>-71700</v>
      </c>
      <c r="BQ158" s="45">
        <f>-MIN(BQ155+BQ156+BQ157,MAX(0,BQ77-Helpers!BN23))</f>
        <v>0</v>
      </c>
      <c r="BR158" s="45">
        <f>-MIN(BR155+BR156+BR157,MAX(0,BR77-Helpers!BO23))</f>
        <v>0</v>
      </c>
      <c r="BS158" s="45">
        <f>-MIN(BS155+BS156+BS157,MAX(0,BS77-Helpers!BP23))</f>
        <v>-74643</v>
      </c>
      <c r="BT158" s="45">
        <f>-MIN(BT155+BT156+BT157,MAX(0,BT77-Helpers!BQ23))</f>
        <v>0</v>
      </c>
      <c r="BU158" s="45">
        <f>-MIN(BU155+BU156+BU157,MAX(0,BU77-Helpers!BR23))</f>
        <v>0</v>
      </c>
      <c r="BV158" s="45">
        <f>-MIN(BV155+BV156+BV157,MAX(0,BV77-Helpers!BS23))</f>
        <v>-74640</v>
      </c>
      <c r="BW158" s="45">
        <f>-MIN(BW155+BW156+BW157,MAX(0,BW77-Helpers!BT23))</f>
        <v>0</v>
      </c>
      <c r="BX158" s="45">
        <f>-MIN(BX155+BX156+BX157,MAX(0,BX77-Helpers!BU23))</f>
        <v>0</v>
      </c>
      <c r="BY158" s="45">
        <f>-MIN(BY155+BY156+BY157,MAX(0,BY77-Helpers!BV23))</f>
        <v>-74640</v>
      </c>
      <c r="BZ158" s="45">
        <f>-MIN(BZ155+BZ156+BZ157,MAX(0,BZ77-Helpers!BW23))</f>
        <v>0</v>
      </c>
      <c r="CA158" s="45">
        <f>-MIN(CA155+CA156+CA157,MAX(0,CA77-Helpers!BX23))</f>
        <v>0</v>
      </c>
      <c r="CB158" s="45">
        <f>-MIN(CB155+CB156+CB157,MAX(0,CB77-Helpers!BY23))</f>
        <v>-74640</v>
      </c>
      <c r="CC158" s="45">
        <f>-MIN(CC155+CC156+CC157,MAX(0,CC77-Helpers!BZ23))</f>
        <v>0</v>
      </c>
      <c r="CD158" s="45">
        <f>-MIN(CD155+CD156+CD157,MAX(0,CD77-Helpers!CA23))</f>
        <v>0</v>
      </c>
      <c r="CE158" s="45">
        <f>-MIN(CE155+CE156+CE157,MAX(0,CE77-Helpers!CB23))</f>
        <v>-81363</v>
      </c>
      <c r="CF158" s="45">
        <f>-MIN(CF155+CF156+CF157,MAX(0,CF77-Helpers!CC23))</f>
        <v>0</v>
      </c>
      <c r="CG158" s="45">
        <f>-MIN(CG155+CG156+CG157,MAX(0,CG77-Helpers!CD23))</f>
        <v>0</v>
      </c>
      <c r="CH158" s="45">
        <f>-MIN(CH155+CH156+CH157,MAX(0,CH77-Helpers!CE23))</f>
        <v>-81362</v>
      </c>
      <c r="CI158" s="45">
        <f>-MIN(CI155+CI156+CI157,MAX(0,CI77-Helpers!CF23))</f>
        <v>0</v>
      </c>
      <c r="CJ158" s="45">
        <f>-MIN(CJ155+CJ156+CJ157,MAX(0,CJ77-Helpers!CG23))</f>
        <v>0</v>
      </c>
      <c r="CK158" s="45">
        <f>-MIN(CK155+CK156+CK157,MAX(0,CK77-Helpers!CH23))</f>
        <v>-74753.973393520777</v>
      </c>
      <c r="CL158" s="45">
        <f>-MIN(CL155+CL156+CL157,MAX(0,CL77-Helpers!CI23))</f>
        <v>0</v>
      </c>
      <c r="CM158" s="45">
        <f>-MIN(CM155+CM156+CM157,MAX(0,CM77-Helpers!CJ23))</f>
        <v>0</v>
      </c>
      <c r="CN158" s="45">
        <f>-MIN(CN155+CN156+CN157,MAX(0,CN77-Helpers!CK23))</f>
        <v>0</v>
      </c>
      <c r="CO158" s="45">
        <f>-MIN(CO155+CO156+CO157,MAX(0,CO77-Helpers!CL23))</f>
        <v>0</v>
      </c>
      <c r="CP158" s="45">
        <f>-MIN(CP155+CP156+CP157,MAX(0,CP77-Helpers!CM23))</f>
        <v>0</v>
      </c>
      <c r="CQ158" s="45">
        <f>-MIN(CQ155+CQ156+CQ157,MAX(0,CQ77-Helpers!CN23))</f>
        <v>0</v>
      </c>
      <c r="CR158" s="45">
        <f>-MIN(CR155+CR156+CR157,MAX(0,CR77-Helpers!CO23))</f>
        <v>0</v>
      </c>
      <c r="CS158" s="45">
        <f>-MIN(CS155+CS156+CS157,MAX(0,CS77-Helpers!CP23))</f>
        <v>0</v>
      </c>
      <c r="CT158" s="45">
        <f>-MIN(CT155+CT156+CT157,MAX(0,CT77-Helpers!CQ23))</f>
        <v>0</v>
      </c>
      <c r="CU158" s="45">
        <f>-MIN(CU155+CU156+CU157,MAX(0,CU77-Helpers!CR23))</f>
        <v>0</v>
      </c>
      <c r="CV158" s="45">
        <f>-MIN(CV155+CV156+CV157,MAX(0,CV77-Helpers!CS23))</f>
        <v>0</v>
      </c>
      <c r="CW158" s="45">
        <f>-MIN(CW155+CW156+CW157,MAX(0,CW77-Helpers!CT23))</f>
        <v>0</v>
      </c>
      <c r="CX158" s="45">
        <f>-MIN(CX155+CX156+CX157,MAX(0,CX77-Helpers!CU23))</f>
        <v>0</v>
      </c>
      <c r="CY158" s="45">
        <f>-MIN(CY155+CY156+CY157,MAX(0,CY77-Helpers!CV23))</f>
        <v>0</v>
      </c>
      <c r="CZ158" s="45">
        <f>-MIN(CZ155+CZ156+CZ157,MAX(0,CZ77-Helpers!CW23))</f>
        <v>0</v>
      </c>
      <c r="DA158" s="45">
        <f>-MIN(DA155+DA156+DA157,MAX(0,DA77-Helpers!CX23))</f>
        <v>0</v>
      </c>
      <c r="DB158" s="45">
        <f>-MIN(DB155+DB156+DB157,MAX(0,DB77-Helpers!CY23))</f>
        <v>0</v>
      </c>
      <c r="DC158" s="45">
        <f>-MIN(DC155+DC156+DC157,MAX(0,DC77-Helpers!CZ23))</f>
        <v>0</v>
      </c>
      <c r="DD158" s="45">
        <f>-MIN(DD155+DD156+DD157,MAX(0,DD77-Helpers!DA23))</f>
        <v>0</v>
      </c>
      <c r="DE158" s="45">
        <f>-MIN(DE155+DE156+DE157,MAX(0,DE77-Helpers!DB23))</f>
        <v>0</v>
      </c>
      <c r="DF158" s="45">
        <f>-MIN(DF155+DF156+DF157,MAX(0,DF77-Helpers!DC23))</f>
        <v>0</v>
      </c>
    </row>
    <row r="159" spans="1:110" ht="15" customHeight="1" x14ac:dyDescent="0.25">
      <c r="A159" s="46" t="s">
        <v>164</v>
      </c>
      <c r="B159" s="47"/>
      <c r="C159" s="48"/>
      <c r="D159" s="48"/>
      <c r="E159" s="48"/>
      <c r="F159" s="48">
        <f t="shared" ref="F159:AK159" si="99">MAX(0,F155+F156+F157+F158)</f>
        <v>1134000</v>
      </c>
      <c r="G159" s="48">
        <f t="shared" si="99"/>
        <v>1184000</v>
      </c>
      <c r="H159" s="48">
        <f t="shared" si="99"/>
        <v>1280275</v>
      </c>
      <c r="I159" s="48">
        <f t="shared" si="99"/>
        <v>1330275</v>
      </c>
      <c r="J159" s="48">
        <f t="shared" si="99"/>
        <v>1380275</v>
      </c>
      <c r="K159" s="48">
        <f t="shared" si="99"/>
        <v>1483910.3125</v>
      </c>
      <c r="L159" s="48">
        <f t="shared" si="99"/>
        <v>1533910.3125</v>
      </c>
      <c r="M159" s="48">
        <f t="shared" si="99"/>
        <v>1583910.3125</v>
      </c>
      <c r="N159" s="48">
        <f t="shared" si="99"/>
        <v>1695181.94921875</v>
      </c>
      <c r="O159" s="48">
        <f t="shared" si="99"/>
        <v>1745181.94921875</v>
      </c>
      <c r="P159" s="48">
        <f t="shared" si="99"/>
        <v>1795181.94921875</v>
      </c>
      <c r="Q159" s="48">
        <f t="shared" si="99"/>
        <v>1914376.272314453</v>
      </c>
      <c r="R159" s="48">
        <f t="shared" si="99"/>
        <v>514376.27231445303</v>
      </c>
      <c r="S159" s="48">
        <f t="shared" si="99"/>
        <v>564376.27231445303</v>
      </c>
      <c r="T159" s="48">
        <f t="shared" si="99"/>
        <v>585540.38252624497</v>
      </c>
      <c r="U159" s="48">
        <f t="shared" si="99"/>
        <v>585540.38252624497</v>
      </c>
      <c r="V159" s="48">
        <f t="shared" si="99"/>
        <v>585540.38252624497</v>
      </c>
      <c r="W159" s="48">
        <f t="shared" si="99"/>
        <v>607498.14687097911</v>
      </c>
      <c r="X159" s="48">
        <f t="shared" si="99"/>
        <v>607498.14687097911</v>
      </c>
      <c r="Y159" s="48">
        <f t="shared" si="99"/>
        <v>607498.14687097911</v>
      </c>
      <c r="Z159" s="48">
        <f t="shared" si="99"/>
        <v>630279.32737864088</v>
      </c>
      <c r="AA159" s="48">
        <f t="shared" si="99"/>
        <v>630279.32737864088</v>
      </c>
      <c r="AB159" s="48">
        <f t="shared" si="99"/>
        <v>630279.32737864088</v>
      </c>
      <c r="AC159" s="48">
        <f t="shared" si="99"/>
        <v>653914.80215533986</v>
      </c>
      <c r="AD159" s="48">
        <f t="shared" si="99"/>
        <v>653914.80215533986</v>
      </c>
      <c r="AE159" s="48">
        <f t="shared" si="99"/>
        <v>653914.80215533986</v>
      </c>
      <c r="AF159" s="48">
        <f t="shared" si="99"/>
        <v>678436.60723616509</v>
      </c>
      <c r="AG159" s="48">
        <f t="shared" si="99"/>
        <v>678436.60723616509</v>
      </c>
      <c r="AH159" s="48">
        <f t="shared" si="99"/>
        <v>678436.60723616509</v>
      </c>
      <c r="AI159" s="48">
        <f t="shared" si="99"/>
        <v>703877.98000752123</v>
      </c>
      <c r="AJ159" s="48">
        <f t="shared" si="99"/>
        <v>703877.98000752123</v>
      </c>
      <c r="AK159" s="48">
        <f t="shared" si="99"/>
        <v>703877.98000752123</v>
      </c>
      <c r="AL159" s="48">
        <f t="shared" ref="AL159:BQ159" si="100">MAX(0,AL155+AL156+AL157+AL158)</f>
        <v>730273.40425780322</v>
      </c>
      <c r="AM159" s="48">
        <f t="shared" si="100"/>
        <v>730273.40425780322</v>
      </c>
      <c r="AN159" s="48">
        <f t="shared" si="100"/>
        <v>730273.40425780322</v>
      </c>
      <c r="AO159" s="48">
        <f t="shared" si="100"/>
        <v>757658.65691747086</v>
      </c>
      <c r="AP159" s="48">
        <f t="shared" si="100"/>
        <v>757658.65691747086</v>
      </c>
      <c r="AQ159" s="48">
        <f t="shared" si="100"/>
        <v>757658.65691747086</v>
      </c>
      <c r="AR159" s="48">
        <f t="shared" si="100"/>
        <v>786070.85655187606</v>
      </c>
      <c r="AS159" s="48">
        <f t="shared" si="100"/>
        <v>786070.85655187606</v>
      </c>
      <c r="AT159" s="48">
        <f t="shared" si="100"/>
        <v>786070.85655187606</v>
      </c>
      <c r="AU159" s="48">
        <f t="shared" si="100"/>
        <v>815548.5136725714</v>
      </c>
      <c r="AV159" s="48">
        <f t="shared" si="100"/>
        <v>815548.5136725714</v>
      </c>
      <c r="AW159" s="48">
        <f t="shared" si="100"/>
        <v>815548.5136725714</v>
      </c>
      <c r="AX159" s="48">
        <f t="shared" si="100"/>
        <v>846131.58293529286</v>
      </c>
      <c r="AY159" s="48">
        <f t="shared" si="100"/>
        <v>846131.58293529286</v>
      </c>
      <c r="AZ159" s="48">
        <f t="shared" si="100"/>
        <v>846131.58293529286</v>
      </c>
      <c r="BA159" s="48">
        <f t="shared" si="100"/>
        <v>877861.51729536639</v>
      </c>
      <c r="BB159" s="48">
        <f t="shared" si="100"/>
        <v>877861.51729536639</v>
      </c>
      <c r="BC159" s="48">
        <f t="shared" si="100"/>
        <v>877861.51729536639</v>
      </c>
      <c r="BD159" s="48">
        <f t="shared" si="100"/>
        <v>661610.02419394255</v>
      </c>
      <c r="BE159" s="48">
        <f t="shared" si="100"/>
        <v>661610.02419394255</v>
      </c>
      <c r="BF159" s="48">
        <f t="shared" si="100"/>
        <v>661610.02419394255</v>
      </c>
      <c r="BG159" s="48">
        <f t="shared" si="100"/>
        <v>614720.40010121535</v>
      </c>
      <c r="BH159" s="48">
        <f t="shared" si="100"/>
        <v>614720.40010121535</v>
      </c>
      <c r="BI159" s="48">
        <f t="shared" si="100"/>
        <v>614720.40010121535</v>
      </c>
      <c r="BJ159" s="48">
        <f t="shared" si="100"/>
        <v>566072.41510501096</v>
      </c>
      <c r="BK159" s="48">
        <f t="shared" si="100"/>
        <v>566072.41510501096</v>
      </c>
      <c r="BL159" s="48">
        <f t="shared" si="100"/>
        <v>566072.41510501096</v>
      </c>
      <c r="BM159" s="48">
        <f t="shared" si="100"/>
        <v>515600.13067144889</v>
      </c>
      <c r="BN159" s="48">
        <f t="shared" si="100"/>
        <v>515600.13067144889</v>
      </c>
      <c r="BO159" s="48">
        <f t="shared" si="100"/>
        <v>515600.13067144889</v>
      </c>
      <c r="BP159" s="48">
        <f t="shared" si="100"/>
        <v>463235.13557162823</v>
      </c>
      <c r="BQ159" s="48">
        <f t="shared" si="100"/>
        <v>463235.13557162823</v>
      </c>
      <c r="BR159" s="48">
        <f t="shared" ref="BR159:CW159" si="101">MAX(0,BR155+BR156+BR157+BR158)</f>
        <v>463235.13557162823</v>
      </c>
      <c r="BS159" s="48">
        <f t="shared" si="101"/>
        <v>405963.45315556426</v>
      </c>
      <c r="BT159" s="48">
        <f t="shared" si="101"/>
        <v>405963.45315556426</v>
      </c>
      <c r="BU159" s="48">
        <f t="shared" si="101"/>
        <v>405963.45315556426</v>
      </c>
      <c r="BV159" s="48">
        <f t="shared" si="101"/>
        <v>346547.08264889789</v>
      </c>
      <c r="BW159" s="48">
        <f t="shared" si="101"/>
        <v>346547.08264889789</v>
      </c>
      <c r="BX159" s="48">
        <f t="shared" si="101"/>
        <v>346547.08264889789</v>
      </c>
      <c r="BY159" s="48">
        <f t="shared" si="101"/>
        <v>284902.59824823157</v>
      </c>
      <c r="BZ159" s="48">
        <f t="shared" si="101"/>
        <v>284902.59824823157</v>
      </c>
      <c r="CA159" s="48">
        <f t="shared" si="101"/>
        <v>284902.59824823157</v>
      </c>
      <c r="CB159" s="48">
        <f t="shared" si="101"/>
        <v>220946.44568254024</v>
      </c>
      <c r="CC159" s="48">
        <f t="shared" si="101"/>
        <v>220946.44568254024</v>
      </c>
      <c r="CD159" s="48">
        <f t="shared" si="101"/>
        <v>220946.44568254024</v>
      </c>
      <c r="CE159" s="48">
        <f t="shared" si="101"/>
        <v>147868.9373956355</v>
      </c>
      <c r="CF159" s="48">
        <f t="shared" si="101"/>
        <v>147868.9373956355</v>
      </c>
      <c r="CG159" s="48">
        <f t="shared" si="101"/>
        <v>147868.9373956355</v>
      </c>
      <c r="CH159" s="48">
        <f t="shared" si="101"/>
        <v>72052.022547971836</v>
      </c>
      <c r="CI159" s="48">
        <f t="shared" si="101"/>
        <v>72052.022547971836</v>
      </c>
      <c r="CJ159" s="48">
        <f t="shared" si="101"/>
        <v>72052.022547971836</v>
      </c>
      <c r="CK159" s="48">
        <f t="shared" si="101"/>
        <v>0</v>
      </c>
      <c r="CL159" s="48">
        <f t="shared" si="101"/>
        <v>0</v>
      </c>
      <c r="CM159" s="48">
        <f t="shared" si="101"/>
        <v>0</v>
      </c>
      <c r="CN159" s="48">
        <f t="shared" si="101"/>
        <v>0</v>
      </c>
      <c r="CO159" s="48">
        <f t="shared" si="101"/>
        <v>0</v>
      </c>
      <c r="CP159" s="48">
        <f t="shared" si="101"/>
        <v>0</v>
      </c>
      <c r="CQ159" s="48">
        <f t="shared" si="101"/>
        <v>0</v>
      </c>
      <c r="CR159" s="48">
        <f t="shared" si="101"/>
        <v>0</v>
      </c>
      <c r="CS159" s="48">
        <f t="shared" si="101"/>
        <v>0</v>
      </c>
      <c r="CT159" s="48">
        <f t="shared" si="101"/>
        <v>0</v>
      </c>
      <c r="CU159" s="48">
        <f t="shared" si="101"/>
        <v>0</v>
      </c>
      <c r="CV159" s="48">
        <f t="shared" si="101"/>
        <v>0</v>
      </c>
      <c r="CW159" s="48">
        <f t="shared" si="101"/>
        <v>0</v>
      </c>
      <c r="CX159" s="48">
        <f t="shared" ref="CX159:EC159" si="102">MAX(0,CX155+CX156+CX157+CX158)</f>
        <v>0</v>
      </c>
      <c r="CY159" s="48">
        <f t="shared" si="102"/>
        <v>0</v>
      </c>
      <c r="CZ159" s="48">
        <f t="shared" si="102"/>
        <v>0</v>
      </c>
      <c r="DA159" s="48">
        <f t="shared" si="102"/>
        <v>0</v>
      </c>
      <c r="DB159" s="48">
        <f t="shared" si="102"/>
        <v>0</v>
      </c>
      <c r="DC159" s="48">
        <f t="shared" si="102"/>
        <v>0</v>
      </c>
      <c r="DD159" s="48">
        <f t="shared" si="102"/>
        <v>0</v>
      </c>
      <c r="DE159" s="48">
        <f t="shared" si="102"/>
        <v>0</v>
      </c>
      <c r="DF159" s="48">
        <f t="shared" si="102"/>
        <v>0</v>
      </c>
    </row>
    <row r="160" spans="1:110" ht="15" customHeight="1" x14ac:dyDescent="0.25">
      <c r="A160" s="49"/>
      <c r="B160" s="35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</row>
    <row r="161" spans="1:110" ht="15" customHeight="1" x14ac:dyDescent="0.25">
      <c r="A161" s="322" t="s">
        <v>165</v>
      </c>
      <c r="B161" s="322"/>
      <c r="C161" s="323"/>
      <c r="D161" s="323"/>
      <c r="E161" s="323"/>
      <c r="F161" s="323"/>
      <c r="G161" s="323"/>
      <c r="H161" s="323"/>
      <c r="I161" s="323"/>
      <c r="J161" s="323"/>
      <c r="K161" s="323"/>
      <c r="L161" s="323"/>
      <c r="M161" s="323"/>
      <c r="N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23"/>
      <c r="Y161" s="323"/>
      <c r="Z161" s="323"/>
      <c r="AA161" s="323"/>
      <c r="AB161" s="323"/>
      <c r="AC161" s="323"/>
      <c r="AD161" s="323"/>
      <c r="AE161" s="323"/>
      <c r="AF161" s="323"/>
      <c r="AG161" s="323"/>
      <c r="AH161" s="323"/>
      <c r="AI161" s="323"/>
      <c r="AJ161" s="323"/>
      <c r="AK161" s="323"/>
      <c r="AL161" s="323"/>
      <c r="AM161" s="323"/>
      <c r="AN161" s="323"/>
      <c r="AO161" s="323"/>
      <c r="AP161" s="323"/>
      <c r="AQ161" s="323"/>
      <c r="AR161" s="323"/>
      <c r="AS161" s="323"/>
      <c r="AT161" s="323"/>
      <c r="AU161" s="323"/>
      <c r="AV161" s="323"/>
      <c r="AW161" s="323"/>
      <c r="AX161" s="323"/>
      <c r="AY161" s="323"/>
      <c r="AZ161" s="323"/>
      <c r="BA161" s="323"/>
      <c r="BB161" s="323"/>
      <c r="BC161" s="323"/>
      <c r="BD161" s="323"/>
      <c r="BE161" s="323"/>
      <c r="BF161" s="323"/>
      <c r="BG161" s="323"/>
      <c r="BH161" s="323"/>
      <c r="BI161" s="323"/>
      <c r="BJ161" s="323"/>
      <c r="BK161" s="323"/>
      <c r="BL161" s="323"/>
      <c r="BM161" s="323"/>
      <c r="BN161" s="323"/>
      <c r="BO161" s="323"/>
      <c r="BP161" s="323"/>
      <c r="BQ161" s="323"/>
      <c r="BR161" s="323"/>
      <c r="BS161" s="323"/>
      <c r="BT161" s="323"/>
      <c r="BU161" s="323"/>
      <c r="BV161" s="323"/>
      <c r="BW161" s="323"/>
      <c r="BX161" s="323"/>
      <c r="BY161" s="323"/>
      <c r="BZ161" s="323"/>
      <c r="CA161" s="323"/>
      <c r="CB161" s="323"/>
      <c r="CC161" s="323"/>
      <c r="CD161" s="323"/>
      <c r="CE161" s="323"/>
      <c r="CF161" s="323"/>
      <c r="CG161" s="323"/>
      <c r="CH161" s="323"/>
      <c r="CI161" s="323"/>
      <c r="CJ161" s="323"/>
      <c r="CK161" s="323"/>
      <c r="CL161" s="323"/>
      <c r="CM161" s="323"/>
      <c r="CN161" s="323"/>
      <c r="CO161" s="323"/>
      <c r="CP161" s="323"/>
      <c r="CQ161" s="323"/>
      <c r="CR161" s="323"/>
      <c r="CS161" s="323"/>
      <c r="CT161" s="323"/>
      <c r="CU161" s="323"/>
      <c r="CV161" s="323"/>
      <c r="CW161" s="323"/>
      <c r="CX161" s="323"/>
      <c r="CY161" s="323"/>
      <c r="CZ161" s="323"/>
      <c r="DA161" s="323"/>
      <c r="DB161" s="323"/>
      <c r="DC161" s="323"/>
      <c r="DD161" s="323"/>
      <c r="DE161" s="323"/>
      <c r="DF161" s="323"/>
    </row>
    <row r="162" spans="1:110" ht="15" customHeight="1" x14ac:dyDescent="0.25">
      <c r="A162" s="13" t="s">
        <v>166</v>
      </c>
      <c r="B162" s="302"/>
      <c r="C162" s="3"/>
      <c r="D162" s="3"/>
      <c r="E162" s="3"/>
      <c r="F162" s="3">
        <f>Helpers!C8</f>
        <v>11187175.790685378</v>
      </c>
      <c r="G162" s="3">
        <f>Helpers!D8</f>
        <v>10356493.691643232</v>
      </c>
      <c r="H162" s="3">
        <f>Helpers!E8</f>
        <v>9450240.4833253007</v>
      </c>
      <c r="I162" s="3">
        <f>Helpers!F8</f>
        <v>8485833.1083679982</v>
      </c>
      <c r="J162" s="3">
        <f>Helpers!G8</f>
        <v>7484749.6715128645</v>
      </c>
      <c r="K162" s="3">
        <f>Helpers!H8</f>
        <v>6471133.8512542872</v>
      </c>
      <c r="L162" s="3">
        <f>Helpers!I8</f>
        <v>5470050.4143991536</v>
      </c>
      <c r="M162" s="3">
        <f>Helpers!J8</f>
        <v>4505643.0394418519</v>
      </c>
      <c r="N162" s="3">
        <f>Helpers!K8</f>
        <v>3599389.8311239216</v>
      </c>
      <c r="O162" s="3">
        <f>Helpers!L8</f>
        <v>2768707.7320817742</v>
      </c>
      <c r="P162" s="3">
        <f>Helpers!M8</f>
        <v>2026003.5227671519</v>
      </c>
      <c r="Q162" s="3">
        <f>Helpers!N8</f>
        <v>1378283.0567084828</v>
      </c>
      <c r="R162" s="3">
        <f>Helpers!O8</f>
        <v>827276.86346258991</v>
      </c>
      <c r="S162" s="3">
        <f>Helpers!P8</f>
        <v>370068.16337321472</v>
      </c>
      <c r="T162" s="3">
        <f>Helpers!Q8</f>
        <v>-2.6489654914030325E-9</v>
      </c>
      <c r="U162" s="3">
        <f>Helpers!R8</f>
        <v>0</v>
      </c>
      <c r="V162" s="3">
        <f>Helpers!S8</f>
        <v>0</v>
      </c>
      <c r="W162" s="3">
        <f>Helpers!T8</f>
        <v>0</v>
      </c>
      <c r="X162" s="3">
        <f>Helpers!U8</f>
        <v>0</v>
      </c>
      <c r="Y162" s="3">
        <f>Helpers!V8</f>
        <v>0</v>
      </c>
      <c r="Z162" s="3">
        <f>Helpers!W8</f>
        <v>0</v>
      </c>
      <c r="AA162" s="3">
        <f>Helpers!X8</f>
        <v>0</v>
      </c>
      <c r="AB162" s="3">
        <f>Helpers!Y8</f>
        <v>0</v>
      </c>
      <c r="AC162" s="3">
        <f>Helpers!Z8</f>
        <v>0</v>
      </c>
      <c r="AD162" s="3">
        <f>Helpers!AA8</f>
        <v>0</v>
      </c>
      <c r="AE162" s="3">
        <f>Helpers!AB8</f>
        <v>0</v>
      </c>
      <c r="AF162" s="3">
        <f>Helpers!AC8</f>
        <v>0</v>
      </c>
      <c r="AG162" s="3">
        <f>Helpers!AD8</f>
        <v>0</v>
      </c>
      <c r="AH162" s="3">
        <f>Helpers!AE8</f>
        <v>0</v>
      </c>
      <c r="AI162" s="3">
        <f>Helpers!AF8</f>
        <v>0</v>
      </c>
      <c r="AJ162" s="3">
        <f>Helpers!AG8</f>
        <v>0</v>
      </c>
      <c r="AK162" s="3">
        <f>Helpers!AH8</f>
        <v>0</v>
      </c>
      <c r="AL162" s="3">
        <f>Helpers!AI8</f>
        <v>0</v>
      </c>
      <c r="AM162" s="3">
        <f>Helpers!AJ8</f>
        <v>0</v>
      </c>
      <c r="AN162" s="3">
        <f>Helpers!AK8</f>
        <v>0</v>
      </c>
      <c r="AO162" s="3">
        <f>Helpers!AL8</f>
        <v>0</v>
      </c>
      <c r="AP162" s="3">
        <f>Helpers!AM8</f>
        <v>0</v>
      </c>
      <c r="AQ162" s="3">
        <f>Helpers!AN8</f>
        <v>0</v>
      </c>
      <c r="AR162" s="3">
        <f>Helpers!AO8</f>
        <v>0</v>
      </c>
      <c r="AS162" s="3">
        <f>Helpers!AP8</f>
        <v>0</v>
      </c>
      <c r="AT162" s="3">
        <f>Helpers!AQ8</f>
        <v>0</v>
      </c>
      <c r="AU162" s="3">
        <f>Helpers!AR8</f>
        <v>0</v>
      </c>
      <c r="AV162" s="3">
        <f>Helpers!AS8</f>
        <v>0</v>
      </c>
      <c r="AW162" s="3">
        <f>Helpers!AT8</f>
        <v>0</v>
      </c>
      <c r="AX162" s="3">
        <f>Helpers!AU8</f>
        <v>0</v>
      </c>
      <c r="AY162" s="3">
        <f>Helpers!AV8</f>
        <v>0</v>
      </c>
      <c r="AZ162" s="3">
        <f>Helpers!AW8</f>
        <v>0</v>
      </c>
      <c r="BA162" s="3">
        <f>Helpers!AX8</f>
        <v>0</v>
      </c>
      <c r="BB162" s="3">
        <f>Helpers!AY8</f>
        <v>0</v>
      </c>
      <c r="BC162" s="3">
        <f>Helpers!AZ8</f>
        <v>0</v>
      </c>
      <c r="BD162" s="3">
        <f>Helpers!BA8</f>
        <v>0</v>
      </c>
      <c r="BE162" s="3">
        <f>Helpers!BB8</f>
        <v>0</v>
      </c>
      <c r="BF162" s="3">
        <f>Helpers!BC8</f>
        <v>0</v>
      </c>
      <c r="BG162" s="3">
        <f>Helpers!BD8</f>
        <v>0</v>
      </c>
      <c r="BH162" s="3">
        <f>Helpers!BE8</f>
        <v>0</v>
      </c>
      <c r="BI162" s="3">
        <f>Helpers!BF8</f>
        <v>0</v>
      </c>
      <c r="BJ162" s="3">
        <f>Helpers!BG8</f>
        <v>0</v>
      </c>
      <c r="BK162" s="3">
        <f>Helpers!BH8</f>
        <v>0</v>
      </c>
      <c r="BL162" s="3">
        <f>Helpers!BI8</f>
        <v>0</v>
      </c>
      <c r="BM162" s="3">
        <f>Helpers!BJ8</f>
        <v>0</v>
      </c>
      <c r="BN162" s="3">
        <f>Helpers!BK8</f>
        <v>0</v>
      </c>
      <c r="BO162" s="3">
        <f>Helpers!BL8</f>
        <v>0</v>
      </c>
      <c r="BP162" s="3">
        <f>Helpers!BM8</f>
        <v>0</v>
      </c>
      <c r="BQ162" s="3">
        <f>Helpers!BN8</f>
        <v>0</v>
      </c>
      <c r="BR162" s="3">
        <f>Helpers!BO8</f>
        <v>0</v>
      </c>
      <c r="BS162" s="3">
        <f>Helpers!BP8</f>
        <v>0</v>
      </c>
      <c r="BT162" s="3">
        <f>Helpers!BQ8</f>
        <v>0</v>
      </c>
      <c r="BU162" s="3">
        <f>Helpers!BR8</f>
        <v>0</v>
      </c>
      <c r="BV162" s="3">
        <f>Helpers!BS8</f>
        <v>0</v>
      </c>
      <c r="BW162" s="3">
        <f>Helpers!BT8</f>
        <v>0</v>
      </c>
      <c r="BX162" s="3">
        <f>Helpers!BU8</f>
        <v>0</v>
      </c>
      <c r="BY162" s="3">
        <f>Helpers!BV8</f>
        <v>0</v>
      </c>
      <c r="BZ162" s="3">
        <f>Helpers!BW8</f>
        <v>0</v>
      </c>
      <c r="CA162" s="3">
        <f>Helpers!BX8</f>
        <v>0</v>
      </c>
      <c r="CB162" s="3">
        <f>Helpers!BY8</f>
        <v>0</v>
      </c>
      <c r="CC162" s="3">
        <f>Helpers!BZ8</f>
        <v>0</v>
      </c>
      <c r="CD162" s="3">
        <f>Helpers!CA8</f>
        <v>0</v>
      </c>
      <c r="CE162" s="3">
        <f>Helpers!CB8</f>
        <v>0</v>
      </c>
      <c r="CF162" s="3">
        <f>Helpers!CC8</f>
        <v>0</v>
      </c>
      <c r="CG162" s="3">
        <f>Helpers!CD8</f>
        <v>0</v>
      </c>
      <c r="CH162" s="3">
        <f>Helpers!CE8</f>
        <v>0</v>
      </c>
      <c r="CI162" s="3">
        <f>Helpers!CF8</f>
        <v>0</v>
      </c>
      <c r="CJ162" s="3">
        <f>Helpers!CG8</f>
        <v>0</v>
      </c>
      <c r="CK162" s="3">
        <f>Helpers!CH8</f>
        <v>0</v>
      </c>
      <c r="CL162" s="3">
        <f>Helpers!CI8</f>
        <v>0</v>
      </c>
      <c r="CM162" s="3">
        <f>Helpers!CJ8</f>
        <v>0</v>
      </c>
      <c r="CN162" s="3">
        <f>Helpers!CK8</f>
        <v>0</v>
      </c>
      <c r="CO162" s="3">
        <f>Helpers!CL8</f>
        <v>0</v>
      </c>
      <c r="CP162" s="3">
        <f>Helpers!CM8</f>
        <v>0</v>
      </c>
      <c r="CQ162" s="3">
        <f>Helpers!CN8</f>
        <v>0</v>
      </c>
      <c r="CR162" s="3">
        <f>Helpers!CO8</f>
        <v>0</v>
      </c>
      <c r="CS162" s="3">
        <f>Helpers!CP8</f>
        <v>0</v>
      </c>
      <c r="CT162" s="3">
        <f>Helpers!CQ8</f>
        <v>0</v>
      </c>
      <c r="CU162" s="3">
        <f>Helpers!CR8</f>
        <v>0</v>
      </c>
      <c r="CV162" s="3">
        <f>Helpers!CS8</f>
        <v>0</v>
      </c>
      <c r="CW162" s="3">
        <f>Helpers!CT8</f>
        <v>0</v>
      </c>
      <c r="CX162" s="3">
        <f>Helpers!CU8</f>
        <v>0</v>
      </c>
      <c r="CY162" s="3">
        <f>Helpers!CV8</f>
        <v>0</v>
      </c>
      <c r="CZ162" s="3">
        <f>Helpers!CW8</f>
        <v>0</v>
      </c>
      <c r="DA162" s="3">
        <f>Helpers!CX8</f>
        <v>0</v>
      </c>
      <c r="DB162" s="3">
        <f>Helpers!CY8</f>
        <v>0</v>
      </c>
      <c r="DC162" s="3">
        <f>Helpers!CZ8</f>
        <v>0</v>
      </c>
      <c r="DD162" s="3">
        <f>Helpers!DA8</f>
        <v>0</v>
      </c>
      <c r="DE162" s="3">
        <f>Helpers!DB8</f>
        <v>0</v>
      </c>
      <c r="DF162" s="3">
        <f>Helpers!DC8</f>
        <v>0</v>
      </c>
    </row>
    <row r="163" spans="1:110" ht="15" customHeight="1" x14ac:dyDescent="0.25">
      <c r="A163" s="13" t="s">
        <v>167</v>
      </c>
      <c r="B163" s="302"/>
      <c r="C163" s="3"/>
      <c r="D163" s="3"/>
      <c r="E163" s="3"/>
      <c r="F163" s="3">
        <f>Helpers!C9</f>
        <v>13529664.556191422</v>
      </c>
      <c r="G163" s="3">
        <f>Helpers!D9</f>
        <v>12525045.484930303</v>
      </c>
      <c r="H163" s="3">
        <f>Helpers!E9</f>
        <v>11429031.429110885</v>
      </c>
      <c r="I163" s="3">
        <f>Helpers!F9</f>
        <v>10262686.274370983</v>
      </c>
      <c r="J163" s="3">
        <f>Helpers!G9</f>
        <v>9051985.4373745341</v>
      </c>
      <c r="K163" s="3">
        <f>Helpers!H9</f>
        <v>7826128.054462418</v>
      </c>
      <c r="L163" s="3">
        <f>Helpers!I9</f>
        <v>6615427.2174659697</v>
      </c>
      <c r="M163" s="3">
        <f>Helpers!J9</f>
        <v>5449082.0627260674</v>
      </c>
      <c r="N163" s="3">
        <f>Helpers!K9</f>
        <v>4353068.0069066519</v>
      </c>
      <c r="O163" s="3">
        <f>Helpers!L9</f>
        <v>3348448.9356455314</v>
      </c>
      <c r="P163" s="3">
        <f>Helpers!M9</f>
        <v>2450229.4918369525</v>
      </c>
      <c r="Q163" s="3">
        <f>Helpers!N9</f>
        <v>1666882.4884538162</v>
      </c>
      <c r="R163" s="3">
        <f>Helpers!O9</f>
        <v>1000500.8115691092</v>
      </c>
      <c r="S163" s="3">
        <f>Helpers!P9</f>
        <v>447556.93546303821</v>
      </c>
      <c r="T163" s="3">
        <f>Helpers!Q9</f>
        <v>-3.2036338026841804E-9</v>
      </c>
      <c r="U163" s="3">
        <f>Helpers!R9</f>
        <v>0</v>
      </c>
      <c r="V163" s="3">
        <f>Helpers!S9</f>
        <v>0</v>
      </c>
      <c r="W163" s="3">
        <f>Helpers!T9</f>
        <v>0</v>
      </c>
      <c r="X163" s="3">
        <f>Helpers!U9</f>
        <v>0</v>
      </c>
      <c r="Y163" s="3">
        <f>Helpers!V9</f>
        <v>0</v>
      </c>
      <c r="Z163" s="3">
        <f>Helpers!W9</f>
        <v>0</v>
      </c>
      <c r="AA163" s="3">
        <f>Helpers!X9</f>
        <v>0</v>
      </c>
      <c r="AB163" s="3">
        <f>Helpers!Y9</f>
        <v>0</v>
      </c>
      <c r="AC163" s="3">
        <f>Helpers!Z9</f>
        <v>0</v>
      </c>
      <c r="AD163" s="3">
        <f>Helpers!AA9</f>
        <v>0</v>
      </c>
      <c r="AE163" s="3">
        <f>Helpers!AB9</f>
        <v>0</v>
      </c>
      <c r="AF163" s="3">
        <f>Helpers!AC9</f>
        <v>0</v>
      </c>
      <c r="AG163" s="3">
        <f>Helpers!AD9</f>
        <v>0</v>
      </c>
      <c r="AH163" s="3">
        <f>Helpers!AE9</f>
        <v>0</v>
      </c>
      <c r="AI163" s="3">
        <f>Helpers!AF9</f>
        <v>0</v>
      </c>
      <c r="AJ163" s="3">
        <f>Helpers!AG9</f>
        <v>0</v>
      </c>
      <c r="AK163" s="3">
        <f>Helpers!AH9</f>
        <v>0</v>
      </c>
      <c r="AL163" s="3">
        <f>Helpers!AI9</f>
        <v>0</v>
      </c>
      <c r="AM163" s="3">
        <f>Helpers!AJ9</f>
        <v>0</v>
      </c>
      <c r="AN163" s="3">
        <f>Helpers!AK9</f>
        <v>0</v>
      </c>
      <c r="AO163" s="3">
        <f>Helpers!AL9</f>
        <v>0</v>
      </c>
      <c r="AP163" s="3">
        <f>Helpers!AM9</f>
        <v>0</v>
      </c>
      <c r="AQ163" s="3">
        <f>Helpers!AN9</f>
        <v>0</v>
      </c>
      <c r="AR163" s="3">
        <f>Helpers!AO9</f>
        <v>0</v>
      </c>
      <c r="AS163" s="3">
        <f>Helpers!AP9</f>
        <v>0</v>
      </c>
      <c r="AT163" s="3">
        <f>Helpers!AQ9</f>
        <v>0</v>
      </c>
      <c r="AU163" s="3">
        <f>Helpers!AR9</f>
        <v>0</v>
      </c>
      <c r="AV163" s="3">
        <f>Helpers!AS9</f>
        <v>0</v>
      </c>
      <c r="AW163" s="3">
        <f>Helpers!AT9</f>
        <v>0</v>
      </c>
      <c r="AX163" s="3">
        <f>Helpers!AU9</f>
        <v>0</v>
      </c>
      <c r="AY163" s="3">
        <f>Helpers!AV9</f>
        <v>0</v>
      </c>
      <c r="AZ163" s="3">
        <f>Helpers!AW9</f>
        <v>0</v>
      </c>
      <c r="BA163" s="3">
        <f>Helpers!AX9</f>
        <v>0</v>
      </c>
      <c r="BB163" s="3">
        <f>Helpers!AY9</f>
        <v>0</v>
      </c>
      <c r="BC163" s="3">
        <f>Helpers!AZ9</f>
        <v>0</v>
      </c>
      <c r="BD163" s="3">
        <f>Helpers!BA9</f>
        <v>0</v>
      </c>
      <c r="BE163" s="3">
        <f>Helpers!BB9</f>
        <v>0</v>
      </c>
      <c r="BF163" s="3">
        <f>Helpers!BC9</f>
        <v>0</v>
      </c>
      <c r="BG163" s="3">
        <f>Helpers!BD9</f>
        <v>0</v>
      </c>
      <c r="BH163" s="3">
        <f>Helpers!BE9</f>
        <v>0</v>
      </c>
      <c r="BI163" s="3">
        <f>Helpers!BF9</f>
        <v>0</v>
      </c>
      <c r="BJ163" s="3">
        <f>Helpers!BG9</f>
        <v>0</v>
      </c>
      <c r="BK163" s="3">
        <f>Helpers!BH9</f>
        <v>0</v>
      </c>
      <c r="BL163" s="3">
        <f>Helpers!BI9</f>
        <v>0</v>
      </c>
      <c r="BM163" s="3">
        <f>Helpers!BJ9</f>
        <v>0</v>
      </c>
      <c r="BN163" s="3">
        <f>Helpers!BK9</f>
        <v>0</v>
      </c>
      <c r="BO163" s="3">
        <f>Helpers!BL9</f>
        <v>0</v>
      </c>
      <c r="BP163" s="3">
        <f>Helpers!BM9</f>
        <v>0</v>
      </c>
      <c r="BQ163" s="3">
        <f>Helpers!BN9</f>
        <v>0</v>
      </c>
      <c r="BR163" s="3">
        <f>Helpers!BO9</f>
        <v>0</v>
      </c>
      <c r="BS163" s="3">
        <f>Helpers!BP9</f>
        <v>0</v>
      </c>
      <c r="BT163" s="3">
        <f>Helpers!BQ9</f>
        <v>0</v>
      </c>
      <c r="BU163" s="3">
        <f>Helpers!BR9</f>
        <v>0</v>
      </c>
      <c r="BV163" s="3">
        <f>Helpers!BS9</f>
        <v>0</v>
      </c>
      <c r="BW163" s="3">
        <f>Helpers!BT9</f>
        <v>0</v>
      </c>
      <c r="BX163" s="3">
        <f>Helpers!BU9</f>
        <v>0</v>
      </c>
      <c r="BY163" s="3">
        <f>Helpers!BV9</f>
        <v>0</v>
      </c>
      <c r="BZ163" s="3">
        <f>Helpers!BW9</f>
        <v>0</v>
      </c>
      <c r="CA163" s="3">
        <f>Helpers!BX9</f>
        <v>0</v>
      </c>
      <c r="CB163" s="3">
        <f>Helpers!BY9</f>
        <v>0</v>
      </c>
      <c r="CC163" s="3">
        <f>Helpers!BZ9</f>
        <v>0</v>
      </c>
      <c r="CD163" s="3">
        <f>Helpers!CA9</f>
        <v>0</v>
      </c>
      <c r="CE163" s="3">
        <f>Helpers!CB9</f>
        <v>0</v>
      </c>
      <c r="CF163" s="3">
        <f>Helpers!CC9</f>
        <v>0</v>
      </c>
      <c r="CG163" s="3">
        <f>Helpers!CD9</f>
        <v>0</v>
      </c>
      <c r="CH163" s="3">
        <f>Helpers!CE9</f>
        <v>0</v>
      </c>
      <c r="CI163" s="3">
        <f>Helpers!CF9</f>
        <v>0</v>
      </c>
      <c r="CJ163" s="3">
        <f>Helpers!CG9</f>
        <v>0</v>
      </c>
      <c r="CK163" s="3">
        <f>Helpers!CH9</f>
        <v>0</v>
      </c>
      <c r="CL163" s="3">
        <f>Helpers!CI9</f>
        <v>0</v>
      </c>
      <c r="CM163" s="3">
        <f>Helpers!CJ9</f>
        <v>0</v>
      </c>
      <c r="CN163" s="3">
        <f>Helpers!CK9</f>
        <v>0</v>
      </c>
      <c r="CO163" s="3">
        <f>Helpers!CL9</f>
        <v>0</v>
      </c>
      <c r="CP163" s="3">
        <f>Helpers!CM9</f>
        <v>0</v>
      </c>
      <c r="CQ163" s="3">
        <f>Helpers!CN9</f>
        <v>0</v>
      </c>
      <c r="CR163" s="3">
        <f>Helpers!CO9</f>
        <v>0</v>
      </c>
      <c r="CS163" s="3">
        <f>Helpers!CP9</f>
        <v>0</v>
      </c>
      <c r="CT163" s="3">
        <f>Helpers!CQ9</f>
        <v>0</v>
      </c>
      <c r="CU163" s="3">
        <f>Helpers!CR9</f>
        <v>0</v>
      </c>
      <c r="CV163" s="3">
        <f>Helpers!CS9</f>
        <v>0</v>
      </c>
      <c r="CW163" s="3">
        <f>Helpers!CT9</f>
        <v>0</v>
      </c>
      <c r="CX163" s="3">
        <f>Helpers!CU9</f>
        <v>0</v>
      </c>
      <c r="CY163" s="3">
        <f>Helpers!CV9</f>
        <v>0</v>
      </c>
      <c r="CZ163" s="3">
        <f>Helpers!CW9</f>
        <v>0</v>
      </c>
      <c r="DA163" s="3">
        <f>Helpers!CX9</f>
        <v>0</v>
      </c>
      <c r="DB163" s="3">
        <f>Helpers!CY9</f>
        <v>0</v>
      </c>
      <c r="DC163" s="3">
        <f>Helpers!CZ9</f>
        <v>0</v>
      </c>
      <c r="DD163" s="3">
        <f>Helpers!DA9</f>
        <v>0</v>
      </c>
      <c r="DE163" s="3">
        <f>Helpers!DB9</f>
        <v>0</v>
      </c>
      <c r="DF163" s="3">
        <f>Helpers!DC9</f>
        <v>0</v>
      </c>
    </row>
    <row r="164" spans="1:110" ht="15" customHeight="1" x14ac:dyDescent="0.25">
      <c r="A164" s="13" t="s">
        <v>168</v>
      </c>
      <c r="B164" s="302"/>
      <c r="C164" s="3"/>
      <c r="D164" s="3"/>
      <c r="E164" s="3"/>
      <c r="F164" s="3">
        <f>Helpers!C10</f>
        <v>0</v>
      </c>
      <c r="G164" s="3">
        <f>Helpers!D10</f>
        <v>0</v>
      </c>
      <c r="H164" s="3">
        <f>Helpers!E10</f>
        <v>0</v>
      </c>
      <c r="I164" s="3">
        <f>Helpers!F10</f>
        <v>42087723.721344002</v>
      </c>
      <c r="J164" s="3">
        <f>Helpers!G10</f>
        <v>41042043.570816003</v>
      </c>
      <c r="K164" s="3">
        <f>Helpers!H10</f>
        <v>39819806.067456</v>
      </c>
      <c r="L164" s="3">
        <f>Helpers!I10</f>
        <v>38413233.922175996</v>
      </c>
      <c r="M164" s="3">
        <f>Helpers!J10</f>
        <v>36819663.091200002</v>
      </c>
      <c r="N164" s="3">
        <f>Helpers!K10</f>
        <v>35042144.334335998</v>
      </c>
      <c r="O164" s="3">
        <f>Helpers!L10</f>
        <v>33090173.678592</v>
      </c>
      <c r="P164" s="3">
        <f>Helpers!M10</f>
        <v>30979821.323520001</v>
      </c>
      <c r="Q164" s="3">
        <f>Helpers!N10</f>
        <v>28733516.798976</v>
      </c>
      <c r="R164" s="3">
        <f>Helpers!O10</f>
        <v>26379576.312191997</v>
      </c>
      <c r="S164" s="3">
        <f>Helpers!P10</f>
        <v>23950999.631231997</v>
      </c>
      <c r="T164" s="3">
        <f>Helpers!Q10</f>
        <v>21484223.999999996</v>
      </c>
      <c r="U164" s="3">
        <f>Helpers!R10</f>
        <v>19017448.368767992</v>
      </c>
      <c r="V164" s="3">
        <f>Helpers!S10</f>
        <v>16588871.687807992</v>
      </c>
      <c r="W164" s="3">
        <f>Helpers!T10</f>
        <v>14234931.201023992</v>
      </c>
      <c r="X164" s="3">
        <f>Helpers!U10</f>
        <v>11988626.67647999</v>
      </c>
      <c r="Y164" s="3">
        <f>Helpers!V10</f>
        <v>9878274.3214079905</v>
      </c>
      <c r="Z164" s="3">
        <f>Helpers!W10</f>
        <v>7926303.6656639893</v>
      </c>
      <c r="AA164" s="3">
        <f>Helpers!X10</f>
        <v>6148784.908799991</v>
      </c>
      <c r="AB164" s="3">
        <f>Helpers!Y10</f>
        <v>4555214.0778239919</v>
      </c>
      <c r="AC164" s="3">
        <f>Helpers!Z10</f>
        <v>3148641.9325439935</v>
      </c>
      <c r="AD164" s="3">
        <f>Helpers!AA10</f>
        <v>1926404.4291839909</v>
      </c>
      <c r="AE164" s="3">
        <f>Helpers!AB10</f>
        <v>880724.27865598991</v>
      </c>
      <c r="AF164" s="3">
        <f>Helpers!AC10</f>
        <v>-9.5409120604017517E-9</v>
      </c>
      <c r="AG164" s="3">
        <f>Helpers!AD10</f>
        <v>-9.5409120604017517E-9</v>
      </c>
      <c r="AH164" s="3">
        <f>Helpers!AE10</f>
        <v>-9.5409120604017517E-9</v>
      </c>
      <c r="AI164" s="3">
        <f>Helpers!AF10</f>
        <v>-9.5409120604017517E-9</v>
      </c>
      <c r="AJ164" s="3">
        <f>Helpers!AG10</f>
        <v>-9.5409120604017517E-9</v>
      </c>
      <c r="AK164" s="3">
        <f>Helpers!AH10</f>
        <v>-9.5409120604017517E-9</v>
      </c>
      <c r="AL164" s="3">
        <f>Helpers!AI10</f>
        <v>-9.5409120604017517E-9</v>
      </c>
      <c r="AM164" s="3">
        <f>Helpers!AJ10</f>
        <v>0</v>
      </c>
      <c r="AN164" s="3">
        <f>Helpers!AK10</f>
        <v>0</v>
      </c>
      <c r="AO164" s="3">
        <f>Helpers!AL10</f>
        <v>0</v>
      </c>
      <c r="AP164" s="3">
        <f>Helpers!AM10</f>
        <v>0</v>
      </c>
      <c r="AQ164" s="3">
        <f>Helpers!AN10</f>
        <v>0</v>
      </c>
      <c r="AR164" s="3">
        <f>Helpers!AO10</f>
        <v>0</v>
      </c>
      <c r="AS164" s="3">
        <f>Helpers!AP10</f>
        <v>0</v>
      </c>
      <c r="AT164" s="3">
        <f>Helpers!AQ10</f>
        <v>0</v>
      </c>
      <c r="AU164" s="3">
        <f>Helpers!AR10</f>
        <v>0</v>
      </c>
      <c r="AV164" s="3">
        <f>Helpers!AS10</f>
        <v>0</v>
      </c>
      <c r="AW164" s="3">
        <f>Helpers!AT10</f>
        <v>0</v>
      </c>
      <c r="AX164" s="3">
        <f>Helpers!AU10</f>
        <v>0</v>
      </c>
      <c r="AY164" s="3">
        <f>Helpers!AV10</f>
        <v>0</v>
      </c>
      <c r="AZ164" s="3">
        <f>Helpers!AW10</f>
        <v>0</v>
      </c>
      <c r="BA164" s="3">
        <f>Helpers!AX10</f>
        <v>0</v>
      </c>
      <c r="BB164" s="3">
        <f>Helpers!AY10</f>
        <v>0</v>
      </c>
      <c r="BC164" s="3">
        <f>Helpers!AZ10</f>
        <v>0</v>
      </c>
      <c r="BD164" s="3">
        <f>Helpers!BA10</f>
        <v>0</v>
      </c>
      <c r="BE164" s="3">
        <f>Helpers!BB10</f>
        <v>0</v>
      </c>
      <c r="BF164" s="3">
        <f>Helpers!BC10</f>
        <v>0</v>
      </c>
      <c r="BG164" s="3">
        <f>Helpers!BD10</f>
        <v>0</v>
      </c>
      <c r="BH164" s="3">
        <f>Helpers!BE10</f>
        <v>0</v>
      </c>
      <c r="BI164" s="3">
        <f>Helpers!BF10</f>
        <v>0</v>
      </c>
      <c r="BJ164" s="3">
        <f>Helpers!BG10</f>
        <v>0</v>
      </c>
      <c r="BK164" s="3">
        <f>Helpers!BH10</f>
        <v>0</v>
      </c>
      <c r="BL164" s="3">
        <f>Helpers!BI10</f>
        <v>0</v>
      </c>
      <c r="BM164" s="3">
        <f>Helpers!BJ10</f>
        <v>0</v>
      </c>
      <c r="BN164" s="3">
        <f>Helpers!BK10</f>
        <v>0</v>
      </c>
      <c r="BO164" s="3">
        <f>Helpers!BL10</f>
        <v>0</v>
      </c>
      <c r="BP164" s="3">
        <f>Helpers!BM10</f>
        <v>0</v>
      </c>
      <c r="BQ164" s="3">
        <f>Helpers!BN10</f>
        <v>0</v>
      </c>
      <c r="BR164" s="3">
        <f>Helpers!BO10</f>
        <v>0</v>
      </c>
      <c r="BS164" s="3">
        <f>Helpers!BP10</f>
        <v>0</v>
      </c>
      <c r="BT164" s="3">
        <f>Helpers!BQ10</f>
        <v>0</v>
      </c>
      <c r="BU164" s="3">
        <f>Helpers!BR10</f>
        <v>0</v>
      </c>
      <c r="BV164" s="3">
        <f>Helpers!BS10</f>
        <v>0</v>
      </c>
      <c r="BW164" s="3">
        <f>Helpers!BT10</f>
        <v>0</v>
      </c>
      <c r="BX164" s="3">
        <f>Helpers!BU10</f>
        <v>0</v>
      </c>
      <c r="BY164" s="3">
        <f>Helpers!BV10</f>
        <v>0</v>
      </c>
      <c r="BZ164" s="3">
        <f>Helpers!BW10</f>
        <v>0</v>
      </c>
      <c r="CA164" s="3">
        <f>Helpers!BX10</f>
        <v>0</v>
      </c>
      <c r="CB164" s="3">
        <f>Helpers!BY10</f>
        <v>0</v>
      </c>
      <c r="CC164" s="3">
        <f>Helpers!BZ10</f>
        <v>0</v>
      </c>
      <c r="CD164" s="3">
        <f>Helpers!CA10</f>
        <v>0</v>
      </c>
      <c r="CE164" s="3">
        <f>Helpers!CB10</f>
        <v>0</v>
      </c>
      <c r="CF164" s="3">
        <f>Helpers!CC10</f>
        <v>0</v>
      </c>
      <c r="CG164" s="3">
        <f>Helpers!CD10</f>
        <v>0</v>
      </c>
      <c r="CH164" s="3">
        <f>Helpers!CE10</f>
        <v>0</v>
      </c>
      <c r="CI164" s="3">
        <f>Helpers!CF10</f>
        <v>0</v>
      </c>
      <c r="CJ164" s="3">
        <f>Helpers!CG10</f>
        <v>0</v>
      </c>
      <c r="CK164" s="3">
        <f>Helpers!CH10</f>
        <v>0</v>
      </c>
      <c r="CL164" s="3">
        <f>Helpers!CI10</f>
        <v>0</v>
      </c>
      <c r="CM164" s="3">
        <f>Helpers!CJ10</f>
        <v>0</v>
      </c>
      <c r="CN164" s="3">
        <f>Helpers!CK10</f>
        <v>0</v>
      </c>
      <c r="CO164" s="3">
        <f>Helpers!CL10</f>
        <v>0</v>
      </c>
      <c r="CP164" s="3">
        <f>Helpers!CM10</f>
        <v>0</v>
      </c>
      <c r="CQ164" s="3">
        <f>Helpers!CN10</f>
        <v>0</v>
      </c>
      <c r="CR164" s="3">
        <f>Helpers!CO10</f>
        <v>0</v>
      </c>
      <c r="CS164" s="3">
        <f>Helpers!CP10</f>
        <v>0</v>
      </c>
      <c r="CT164" s="3">
        <f>Helpers!CQ10</f>
        <v>0</v>
      </c>
      <c r="CU164" s="3">
        <f>Helpers!CR10</f>
        <v>0</v>
      </c>
      <c r="CV164" s="3">
        <f>Helpers!CS10</f>
        <v>0</v>
      </c>
      <c r="CW164" s="3">
        <f>Helpers!CT10</f>
        <v>0</v>
      </c>
      <c r="CX164" s="3">
        <f>Helpers!CU10</f>
        <v>0</v>
      </c>
      <c r="CY164" s="3">
        <f>Helpers!CV10</f>
        <v>0</v>
      </c>
      <c r="CZ164" s="3">
        <f>Helpers!CW10</f>
        <v>0</v>
      </c>
      <c r="DA164" s="3">
        <f>Helpers!CX10</f>
        <v>0</v>
      </c>
      <c r="DB164" s="3">
        <f>Helpers!CY10</f>
        <v>0</v>
      </c>
      <c r="DC164" s="3">
        <f>Helpers!CZ10</f>
        <v>0</v>
      </c>
      <c r="DD164" s="3">
        <f>Helpers!DA10</f>
        <v>0</v>
      </c>
      <c r="DE164" s="3">
        <f>Helpers!DB10</f>
        <v>0</v>
      </c>
      <c r="DF164" s="3">
        <f>Helpers!DC10</f>
        <v>0</v>
      </c>
    </row>
    <row r="165" spans="1:110" ht="15" customHeight="1" x14ac:dyDescent="0.25">
      <c r="A165" s="13" t="s">
        <v>169</v>
      </c>
      <c r="B165" s="302"/>
      <c r="C165" s="3"/>
      <c r="D165" s="3"/>
      <c r="E165" s="3"/>
      <c r="F165" s="3">
        <f>Helpers!C11</f>
        <v>0</v>
      </c>
      <c r="G165" s="3">
        <f>Helpers!D11</f>
        <v>0</v>
      </c>
      <c r="H165" s="3">
        <f>Helpers!E11</f>
        <v>0</v>
      </c>
      <c r="I165" s="3">
        <f>Helpers!F11</f>
        <v>0</v>
      </c>
      <c r="J165" s="3">
        <f>Helpers!G11</f>
        <v>0</v>
      </c>
      <c r="K165" s="3">
        <f>Helpers!H11</f>
        <v>0</v>
      </c>
      <c r="L165" s="3">
        <f>Helpers!I11</f>
        <v>13264457.403875999</v>
      </c>
      <c r="M165" s="3">
        <f>Helpers!J11</f>
        <v>12818063.487384001</v>
      </c>
      <c r="N165" s="3">
        <f>Helpers!K11</f>
        <v>12280090.757280001</v>
      </c>
      <c r="O165" s="3">
        <f>Helpers!L11</f>
        <v>11647691.427216001</v>
      </c>
      <c r="P165" s="3">
        <f>Helpers!M11</f>
        <v>10922555.09292</v>
      </c>
      <c r="Q165" s="3">
        <f>Helpers!N11</f>
        <v>10111521.891936</v>
      </c>
      <c r="R165" s="3">
        <f>Helpers!O11</f>
        <v>9226705.1355719995</v>
      </c>
      <c r="S165" s="3">
        <f>Helpers!P11</f>
        <v>8285109.7872839998</v>
      </c>
      <c r="T165" s="3">
        <f>Helpers!Q11</f>
        <v>7307705.9101799987</v>
      </c>
      <c r="U165" s="3">
        <f>Helpers!R11</f>
        <v>6318066.0898199985</v>
      </c>
      <c r="V165" s="3">
        <f>Helpers!S11</f>
        <v>5340662.2127159983</v>
      </c>
      <c r="W165" s="3">
        <f>Helpers!T11</f>
        <v>4399066.8644279996</v>
      </c>
      <c r="X165" s="3">
        <f>Helpers!U11</f>
        <v>3514250.1080639991</v>
      </c>
      <c r="Y165" s="3">
        <f>Helpers!V11</f>
        <v>2703216.9070799993</v>
      </c>
      <c r="Z165" s="3">
        <f>Helpers!W11</f>
        <v>1978080.5727839996</v>
      </c>
      <c r="AA165" s="3">
        <f>Helpers!X11</f>
        <v>1345681.2427199995</v>
      </c>
      <c r="AB165" s="3">
        <f>Helpers!Y11</f>
        <v>807708.51261599921</v>
      </c>
      <c r="AC165" s="3">
        <f>Helpers!Z11</f>
        <v>361314.59612399864</v>
      </c>
      <c r="AD165" s="3">
        <f>Helpers!AA11</f>
        <v>0</v>
      </c>
      <c r="AE165" s="3">
        <f>Helpers!AB11</f>
        <v>0</v>
      </c>
      <c r="AF165" s="3">
        <f>Helpers!AC11</f>
        <v>0</v>
      </c>
      <c r="AG165" s="3">
        <f>Helpers!AD11</f>
        <v>0</v>
      </c>
      <c r="AH165" s="3">
        <f>Helpers!AE11</f>
        <v>0</v>
      </c>
      <c r="AI165" s="3">
        <f>Helpers!AF11</f>
        <v>0</v>
      </c>
      <c r="AJ165" s="3">
        <f>Helpers!AG11</f>
        <v>0</v>
      </c>
      <c r="AK165" s="3">
        <f>Helpers!AH11</f>
        <v>0</v>
      </c>
      <c r="AL165" s="3">
        <f>Helpers!AI11</f>
        <v>0</v>
      </c>
      <c r="AM165" s="3">
        <f>Helpers!AJ11</f>
        <v>0</v>
      </c>
      <c r="AN165" s="3">
        <f>Helpers!AK11</f>
        <v>0</v>
      </c>
      <c r="AO165" s="3">
        <f>Helpers!AL11</f>
        <v>0</v>
      </c>
      <c r="AP165" s="3">
        <f>Helpers!AM11</f>
        <v>0</v>
      </c>
      <c r="AQ165" s="3">
        <f>Helpers!AN11</f>
        <v>0</v>
      </c>
      <c r="AR165" s="3">
        <f>Helpers!AO11</f>
        <v>0</v>
      </c>
      <c r="AS165" s="3">
        <f>Helpers!AP11</f>
        <v>0</v>
      </c>
      <c r="AT165" s="3">
        <f>Helpers!AQ11</f>
        <v>0</v>
      </c>
      <c r="AU165" s="3">
        <f>Helpers!AR11</f>
        <v>0</v>
      </c>
      <c r="AV165" s="3">
        <f>Helpers!AS11</f>
        <v>0</v>
      </c>
      <c r="AW165" s="3">
        <f>Helpers!AT11</f>
        <v>0</v>
      </c>
      <c r="AX165" s="3">
        <f>Helpers!AU11</f>
        <v>0</v>
      </c>
      <c r="AY165" s="3">
        <f>Helpers!AV11</f>
        <v>0</v>
      </c>
      <c r="AZ165" s="3">
        <f>Helpers!AW11</f>
        <v>0</v>
      </c>
      <c r="BA165" s="3">
        <f>Helpers!AX11</f>
        <v>0</v>
      </c>
      <c r="BB165" s="3">
        <f>Helpers!AY11</f>
        <v>0</v>
      </c>
      <c r="BC165" s="3">
        <f>Helpers!AZ11</f>
        <v>0</v>
      </c>
      <c r="BD165" s="3">
        <f>Helpers!BA11</f>
        <v>0</v>
      </c>
      <c r="BE165" s="3">
        <f>Helpers!BB11</f>
        <v>0</v>
      </c>
      <c r="BF165" s="3">
        <f>Helpers!BC11</f>
        <v>0</v>
      </c>
      <c r="BG165" s="3">
        <f>Helpers!BD11</f>
        <v>0</v>
      </c>
      <c r="BH165" s="3">
        <f>Helpers!BE11</f>
        <v>0</v>
      </c>
      <c r="BI165" s="3">
        <f>Helpers!BF11</f>
        <v>0</v>
      </c>
      <c r="BJ165" s="3">
        <f>Helpers!BG11</f>
        <v>0</v>
      </c>
      <c r="BK165" s="3">
        <f>Helpers!BH11</f>
        <v>0</v>
      </c>
      <c r="BL165" s="3">
        <f>Helpers!BI11</f>
        <v>0</v>
      </c>
      <c r="BM165" s="3">
        <f>Helpers!BJ11</f>
        <v>0</v>
      </c>
      <c r="BN165" s="3">
        <f>Helpers!BK11</f>
        <v>0</v>
      </c>
      <c r="BO165" s="3">
        <f>Helpers!BL11</f>
        <v>0</v>
      </c>
      <c r="BP165" s="3">
        <f>Helpers!BM11</f>
        <v>0</v>
      </c>
      <c r="BQ165" s="3">
        <f>Helpers!BN11</f>
        <v>0</v>
      </c>
      <c r="BR165" s="3">
        <f>Helpers!BO11</f>
        <v>0</v>
      </c>
      <c r="BS165" s="3">
        <f>Helpers!BP11</f>
        <v>0</v>
      </c>
      <c r="BT165" s="3">
        <f>Helpers!BQ11</f>
        <v>0</v>
      </c>
      <c r="BU165" s="3">
        <f>Helpers!BR11</f>
        <v>0</v>
      </c>
      <c r="BV165" s="3">
        <f>Helpers!BS11</f>
        <v>0</v>
      </c>
      <c r="BW165" s="3">
        <f>Helpers!BT11</f>
        <v>0</v>
      </c>
      <c r="BX165" s="3">
        <f>Helpers!BU11</f>
        <v>0</v>
      </c>
      <c r="BY165" s="3">
        <f>Helpers!BV11</f>
        <v>0</v>
      </c>
      <c r="BZ165" s="3">
        <f>Helpers!BW11</f>
        <v>0</v>
      </c>
      <c r="CA165" s="3">
        <f>Helpers!BX11</f>
        <v>0</v>
      </c>
      <c r="CB165" s="3">
        <f>Helpers!BY11</f>
        <v>0</v>
      </c>
      <c r="CC165" s="3">
        <f>Helpers!BZ11</f>
        <v>0</v>
      </c>
      <c r="CD165" s="3">
        <f>Helpers!CA11</f>
        <v>0</v>
      </c>
      <c r="CE165" s="3">
        <f>Helpers!CB11</f>
        <v>0</v>
      </c>
      <c r="CF165" s="3">
        <f>Helpers!CC11</f>
        <v>0</v>
      </c>
      <c r="CG165" s="3">
        <f>Helpers!CD11</f>
        <v>0</v>
      </c>
      <c r="CH165" s="3">
        <f>Helpers!CE11</f>
        <v>0</v>
      </c>
      <c r="CI165" s="3">
        <f>Helpers!CF11</f>
        <v>0</v>
      </c>
      <c r="CJ165" s="3">
        <f>Helpers!CG11</f>
        <v>0</v>
      </c>
      <c r="CK165" s="3">
        <f>Helpers!CH11</f>
        <v>0</v>
      </c>
      <c r="CL165" s="3">
        <f>Helpers!CI11</f>
        <v>0</v>
      </c>
      <c r="CM165" s="3">
        <f>Helpers!CJ11</f>
        <v>0</v>
      </c>
      <c r="CN165" s="3">
        <f>Helpers!CK11</f>
        <v>0</v>
      </c>
      <c r="CO165" s="3">
        <f>Helpers!CL11</f>
        <v>0</v>
      </c>
      <c r="CP165" s="3">
        <f>Helpers!CM11</f>
        <v>0</v>
      </c>
      <c r="CQ165" s="3">
        <f>Helpers!CN11</f>
        <v>0</v>
      </c>
      <c r="CR165" s="3">
        <f>Helpers!CO11</f>
        <v>0</v>
      </c>
      <c r="CS165" s="3">
        <f>Helpers!CP11</f>
        <v>0</v>
      </c>
      <c r="CT165" s="3">
        <f>Helpers!CQ11</f>
        <v>0</v>
      </c>
      <c r="CU165" s="3">
        <f>Helpers!CR11</f>
        <v>0</v>
      </c>
      <c r="CV165" s="3">
        <f>Helpers!CS11</f>
        <v>0</v>
      </c>
      <c r="CW165" s="3">
        <f>Helpers!CT11</f>
        <v>0</v>
      </c>
      <c r="CX165" s="3">
        <f>Helpers!CU11</f>
        <v>0</v>
      </c>
      <c r="CY165" s="3">
        <f>Helpers!CV11</f>
        <v>0</v>
      </c>
      <c r="CZ165" s="3">
        <f>Helpers!CW11</f>
        <v>0</v>
      </c>
      <c r="DA165" s="3">
        <f>Helpers!CX11</f>
        <v>0</v>
      </c>
      <c r="DB165" s="3">
        <f>Helpers!CY11</f>
        <v>0</v>
      </c>
      <c r="DC165" s="3">
        <f>Helpers!CZ11</f>
        <v>0</v>
      </c>
      <c r="DD165" s="3">
        <f>Helpers!DA11</f>
        <v>0</v>
      </c>
      <c r="DE165" s="3">
        <f>Helpers!DB11</f>
        <v>0</v>
      </c>
      <c r="DF165" s="3">
        <f>Helpers!DC11</f>
        <v>0</v>
      </c>
    </row>
    <row r="166" spans="1:110" ht="15" customHeight="1" x14ac:dyDescent="0.25">
      <c r="A166" s="13" t="s">
        <v>170</v>
      </c>
      <c r="B166" s="302"/>
      <c r="C166" s="3"/>
      <c r="D166" s="3"/>
      <c r="E166" s="3"/>
      <c r="F166" s="3">
        <f>Helpers!C12</f>
        <v>0</v>
      </c>
      <c r="G166" s="3">
        <f>Helpers!D12</f>
        <v>0</v>
      </c>
      <c r="H166" s="3">
        <f>Helpers!E12</f>
        <v>0</v>
      </c>
      <c r="I166" s="3">
        <f>Helpers!F12</f>
        <v>0</v>
      </c>
      <c r="J166" s="3">
        <f>Helpers!G12</f>
        <v>0</v>
      </c>
      <c r="K166" s="3">
        <f>Helpers!H12</f>
        <v>0</v>
      </c>
      <c r="L166" s="3">
        <f>Helpers!I12</f>
        <v>15589764.538817</v>
      </c>
      <c r="M166" s="3">
        <f>Helpers!J12</f>
        <v>15296348.995423</v>
      </c>
      <c r="N166" s="3">
        <f>Helpers!K12</f>
        <v>14962227.947602</v>
      </c>
      <c r="O166" s="3">
        <f>Helpers!L12</f>
        <v>14585547.544043001</v>
      </c>
      <c r="P166" s="3">
        <f>Helpers!M12</f>
        <v>14165103.573638</v>
      </c>
      <c r="Q166" s="3">
        <f>Helpers!N12</f>
        <v>13700484.069428999</v>
      </c>
      <c r="R166" s="3">
        <f>Helpers!O12</f>
        <v>13192148.533023</v>
      </c>
      <c r="S166" s="3">
        <f>Helpers!P12</f>
        <v>12641507.159007</v>
      </c>
      <c r="T166" s="3">
        <f>Helpers!Q12</f>
        <v>12050984.21448</v>
      </c>
      <c r="U166" s="3">
        <f>Helpers!R12</f>
        <v>11423970.504403999</v>
      </c>
      <c r="V166" s="3">
        <f>Helpers!S12</f>
        <v>10764839.216487</v>
      </c>
      <c r="W166" s="3">
        <f>Helpers!T12</f>
        <v>10078835.007002002</v>
      </c>
      <c r="X166" s="3">
        <f>Helpers!U12</f>
        <v>9371947.241723001</v>
      </c>
      <c r="Y166" s="3">
        <f>Helpers!V12</f>
        <v>8650799.0817440003</v>
      </c>
      <c r="Z166" s="3">
        <f>Helpers!W12</f>
        <v>7922409.8102340009</v>
      </c>
      <c r="AA166" s="3">
        <f>Helpers!X12</f>
        <v>7194020.5387240015</v>
      </c>
      <c r="AB166" s="3">
        <f>Helpers!Y12</f>
        <v>6472872.3787450008</v>
      </c>
      <c r="AC166" s="3">
        <f>Helpers!Z12</f>
        <v>5765984.6134660011</v>
      </c>
      <c r="AD166" s="3">
        <f>Helpers!AA12</f>
        <v>5079980.4039810011</v>
      </c>
      <c r="AE166" s="3">
        <f>Helpers!AB12</f>
        <v>4420849.1160640027</v>
      </c>
      <c r="AF166" s="3">
        <f>Helpers!AC12</f>
        <v>3793835.4059880013</v>
      </c>
      <c r="AG166" s="3">
        <f>Helpers!AD12</f>
        <v>3203312.4614610015</v>
      </c>
      <c r="AH166" s="3">
        <f>Helpers!AE12</f>
        <v>2652671.0874450016</v>
      </c>
      <c r="AI166" s="3">
        <f>Helpers!AF12</f>
        <v>2144335.5510390024</v>
      </c>
      <c r="AJ166" s="3">
        <f>Helpers!AG12</f>
        <v>1679716.0468300025</v>
      </c>
      <c r="AK166" s="3">
        <f>Helpers!AH12</f>
        <v>1259272.0764250029</v>
      </c>
      <c r="AL166" s="3">
        <f>Helpers!AI12</f>
        <v>882591.67286600219</v>
      </c>
      <c r="AM166" s="3">
        <f>Helpers!AJ12</f>
        <v>548470.62504500279</v>
      </c>
      <c r="AN166" s="3">
        <f>Helpers!AK12</f>
        <v>255055.0816510022</v>
      </c>
      <c r="AO166" s="3">
        <f>Helpers!AL12</f>
        <v>-63.379531998304252</v>
      </c>
      <c r="AP166" s="3">
        <f>Helpers!AM12</f>
        <v>0</v>
      </c>
      <c r="AQ166" s="3">
        <f>Helpers!AN12</f>
        <v>0</v>
      </c>
      <c r="AR166" s="3">
        <f>Helpers!AO12</f>
        <v>0</v>
      </c>
      <c r="AS166" s="3">
        <f>Helpers!AP12</f>
        <v>0</v>
      </c>
      <c r="AT166" s="3">
        <f>Helpers!AQ12</f>
        <v>0</v>
      </c>
      <c r="AU166" s="3">
        <f>Helpers!AR12</f>
        <v>0</v>
      </c>
      <c r="AV166" s="3">
        <f>Helpers!AS12</f>
        <v>0</v>
      </c>
      <c r="AW166" s="3">
        <f>Helpers!AT12</f>
        <v>0</v>
      </c>
      <c r="AX166" s="3">
        <f>Helpers!AU12</f>
        <v>0</v>
      </c>
      <c r="AY166" s="3">
        <f>Helpers!AV12</f>
        <v>0</v>
      </c>
      <c r="AZ166" s="3">
        <f>Helpers!AW12</f>
        <v>0</v>
      </c>
      <c r="BA166" s="3">
        <f>Helpers!AX12</f>
        <v>0</v>
      </c>
      <c r="BB166" s="3">
        <f>Helpers!AY12</f>
        <v>0</v>
      </c>
      <c r="BC166" s="3">
        <f>Helpers!AZ12</f>
        <v>0</v>
      </c>
      <c r="BD166" s="3">
        <f>Helpers!BA12</f>
        <v>0</v>
      </c>
      <c r="BE166" s="3">
        <f>Helpers!BB12</f>
        <v>0</v>
      </c>
      <c r="BF166" s="3">
        <f>Helpers!BC12</f>
        <v>0</v>
      </c>
      <c r="BG166" s="3">
        <f>Helpers!BD12</f>
        <v>0</v>
      </c>
      <c r="BH166" s="3">
        <f>Helpers!BE12</f>
        <v>0</v>
      </c>
      <c r="BI166" s="3">
        <f>Helpers!BF12</f>
        <v>0</v>
      </c>
      <c r="BJ166" s="3">
        <f>Helpers!BG12</f>
        <v>0</v>
      </c>
      <c r="BK166" s="3">
        <f>Helpers!BH12</f>
        <v>0</v>
      </c>
      <c r="BL166" s="3">
        <f>Helpers!BI12</f>
        <v>0</v>
      </c>
      <c r="BM166" s="3">
        <f>Helpers!BJ12</f>
        <v>0</v>
      </c>
      <c r="BN166" s="3">
        <f>Helpers!BK12</f>
        <v>0</v>
      </c>
      <c r="BO166" s="3">
        <f>Helpers!BL12</f>
        <v>0</v>
      </c>
      <c r="BP166" s="3">
        <f>Helpers!BM12</f>
        <v>0</v>
      </c>
      <c r="BQ166" s="3">
        <f>Helpers!BN12</f>
        <v>0</v>
      </c>
      <c r="BR166" s="3">
        <f>Helpers!BO12</f>
        <v>0</v>
      </c>
      <c r="BS166" s="3">
        <f>Helpers!BP12</f>
        <v>0</v>
      </c>
      <c r="BT166" s="3">
        <f>Helpers!BQ12</f>
        <v>0</v>
      </c>
      <c r="BU166" s="3">
        <f>Helpers!BR12</f>
        <v>0</v>
      </c>
      <c r="BV166" s="3">
        <f>Helpers!BS12</f>
        <v>0</v>
      </c>
      <c r="BW166" s="3">
        <f>Helpers!BT12</f>
        <v>0</v>
      </c>
      <c r="BX166" s="3">
        <f>Helpers!BU12</f>
        <v>0</v>
      </c>
      <c r="BY166" s="3">
        <f>Helpers!BV12</f>
        <v>0</v>
      </c>
      <c r="BZ166" s="3">
        <f>Helpers!BW12</f>
        <v>0</v>
      </c>
      <c r="CA166" s="3">
        <f>Helpers!BX12</f>
        <v>0</v>
      </c>
      <c r="CB166" s="3">
        <f>Helpers!BY12</f>
        <v>0</v>
      </c>
      <c r="CC166" s="3">
        <f>Helpers!BZ12</f>
        <v>0</v>
      </c>
      <c r="CD166" s="3">
        <f>Helpers!CA12</f>
        <v>0</v>
      </c>
      <c r="CE166" s="3">
        <f>Helpers!CB12</f>
        <v>0</v>
      </c>
      <c r="CF166" s="3">
        <f>Helpers!CC12</f>
        <v>0</v>
      </c>
      <c r="CG166" s="3">
        <f>Helpers!CD12</f>
        <v>0</v>
      </c>
      <c r="CH166" s="3">
        <f>Helpers!CE12</f>
        <v>0</v>
      </c>
      <c r="CI166" s="3">
        <f>Helpers!CF12</f>
        <v>0</v>
      </c>
      <c r="CJ166" s="3">
        <f>Helpers!CG12</f>
        <v>0</v>
      </c>
      <c r="CK166" s="3">
        <f>Helpers!CH12</f>
        <v>0</v>
      </c>
      <c r="CL166" s="3">
        <f>Helpers!CI12</f>
        <v>0</v>
      </c>
      <c r="CM166" s="3">
        <f>Helpers!CJ12</f>
        <v>0</v>
      </c>
      <c r="CN166" s="3">
        <f>Helpers!CK12</f>
        <v>0</v>
      </c>
      <c r="CO166" s="3">
        <f>Helpers!CL12</f>
        <v>0</v>
      </c>
      <c r="CP166" s="3">
        <f>Helpers!CM12</f>
        <v>0</v>
      </c>
      <c r="CQ166" s="3">
        <f>Helpers!CN12</f>
        <v>0</v>
      </c>
      <c r="CR166" s="3">
        <f>Helpers!CO12</f>
        <v>0</v>
      </c>
      <c r="CS166" s="3">
        <f>Helpers!CP12</f>
        <v>0</v>
      </c>
      <c r="CT166" s="3">
        <f>Helpers!CQ12</f>
        <v>0</v>
      </c>
      <c r="CU166" s="3">
        <f>Helpers!CR12</f>
        <v>0</v>
      </c>
      <c r="CV166" s="3">
        <f>Helpers!CS12</f>
        <v>0</v>
      </c>
      <c r="CW166" s="3">
        <f>Helpers!CT12</f>
        <v>0</v>
      </c>
      <c r="CX166" s="3">
        <f>Helpers!CU12</f>
        <v>0</v>
      </c>
      <c r="CY166" s="3">
        <f>Helpers!CV12</f>
        <v>0</v>
      </c>
      <c r="CZ166" s="3">
        <f>Helpers!CW12</f>
        <v>0</v>
      </c>
      <c r="DA166" s="3">
        <f>Helpers!CX12</f>
        <v>0</v>
      </c>
      <c r="DB166" s="3">
        <f>Helpers!CY12</f>
        <v>0</v>
      </c>
      <c r="DC166" s="3">
        <f>Helpers!CZ12</f>
        <v>0</v>
      </c>
      <c r="DD166" s="3">
        <f>Helpers!DA12</f>
        <v>0</v>
      </c>
      <c r="DE166" s="3">
        <f>Helpers!DB12</f>
        <v>0</v>
      </c>
      <c r="DF166" s="3">
        <f>Helpers!DC12</f>
        <v>0</v>
      </c>
    </row>
    <row r="167" spans="1:110" ht="15" customHeight="1" x14ac:dyDescent="0.25">
      <c r="A167" s="13" t="s">
        <v>171</v>
      </c>
      <c r="B167" s="302"/>
      <c r="C167" s="3"/>
      <c r="D167" s="3"/>
      <c r="E167" s="3"/>
      <c r="F167" s="3">
        <f>Helpers!C13</f>
        <v>0</v>
      </c>
      <c r="G167" s="3">
        <f>Helpers!D13</f>
        <v>0</v>
      </c>
      <c r="H167" s="3">
        <f>Helpers!E13</f>
        <v>0</v>
      </c>
      <c r="I167" s="3">
        <f>Helpers!F13</f>
        <v>0</v>
      </c>
      <c r="J167" s="3">
        <f>Helpers!G13</f>
        <v>0</v>
      </c>
      <c r="K167" s="3">
        <f>Helpers!H13</f>
        <v>0</v>
      </c>
      <c r="L167" s="3">
        <f>Helpers!I13</f>
        <v>0</v>
      </c>
      <c r="M167" s="3">
        <f>Helpers!J13</f>
        <v>20699563.289615002</v>
      </c>
      <c r="N167" s="3">
        <f>Helpers!K13</f>
        <v>20002952.87841</v>
      </c>
      <c r="O167" s="3">
        <f>Helpers!L13</f>
        <v>19163431.122200001</v>
      </c>
      <c r="P167" s="3">
        <f>Helpers!M13</f>
        <v>18176553.96934</v>
      </c>
      <c r="Q167" s="3">
        <f>Helpers!N13</f>
        <v>17044958.082049999</v>
      </c>
      <c r="R167" s="3">
        <f>Helpers!O13</f>
        <v>15779317.689639999</v>
      </c>
      <c r="S167" s="3">
        <f>Helpers!P13</f>
        <v>14398535.959154999</v>
      </c>
      <c r="T167" s="3">
        <f>Helpers!Q13</f>
        <v>12929149.620035</v>
      </c>
      <c r="U167" s="3">
        <f>Helpers!R13</f>
        <v>11403883.052574998</v>
      </c>
      <c r="V167" s="3">
        <f>Helpers!S13</f>
        <v>9859521.9474249985</v>
      </c>
      <c r="W167" s="3">
        <f>Helpers!T13</f>
        <v>8334255.379964998</v>
      </c>
      <c r="X167" s="3">
        <f>Helpers!U13</f>
        <v>6864869.0408449983</v>
      </c>
      <c r="Y167" s="3">
        <f>Helpers!V13</f>
        <v>5484087.3103599986</v>
      </c>
      <c r="Z167" s="3">
        <f>Helpers!W13</f>
        <v>4218446.9179499988</v>
      </c>
      <c r="AA167" s="3">
        <f>Helpers!X13</f>
        <v>3086851.0306599992</v>
      </c>
      <c r="AB167" s="3">
        <f>Helpers!Y13</f>
        <v>2099973.877799999</v>
      </c>
      <c r="AC167" s="3">
        <f>Helpers!Z13</f>
        <v>1260452.1215899987</v>
      </c>
      <c r="AD167" s="3">
        <f>Helpers!AA13</f>
        <v>563841.71038499789</v>
      </c>
      <c r="AE167" s="3">
        <f>Helpers!AB13</f>
        <v>0</v>
      </c>
      <c r="AF167" s="3">
        <f>Helpers!AC13</f>
        <v>0</v>
      </c>
      <c r="AG167" s="3">
        <f>Helpers!AD13</f>
        <v>0</v>
      </c>
      <c r="AH167" s="3">
        <f>Helpers!AE13</f>
        <v>0</v>
      </c>
      <c r="AI167" s="3">
        <f>Helpers!AF13</f>
        <v>0</v>
      </c>
      <c r="AJ167" s="3">
        <f>Helpers!AG13</f>
        <v>0</v>
      </c>
      <c r="AK167" s="3">
        <f>Helpers!AH13</f>
        <v>0</v>
      </c>
      <c r="AL167" s="3">
        <f>Helpers!AI13</f>
        <v>0</v>
      </c>
      <c r="AM167" s="3">
        <f>Helpers!AJ13</f>
        <v>0</v>
      </c>
      <c r="AN167" s="3">
        <f>Helpers!AK13</f>
        <v>0</v>
      </c>
      <c r="AO167" s="3">
        <f>Helpers!AL13</f>
        <v>0</v>
      </c>
      <c r="AP167" s="3">
        <f>Helpers!AM13</f>
        <v>0</v>
      </c>
      <c r="AQ167" s="3">
        <f>Helpers!AN13</f>
        <v>0</v>
      </c>
      <c r="AR167" s="3">
        <f>Helpers!AO13</f>
        <v>0</v>
      </c>
      <c r="AS167" s="3">
        <f>Helpers!AP13</f>
        <v>0</v>
      </c>
      <c r="AT167" s="3">
        <f>Helpers!AQ13</f>
        <v>0</v>
      </c>
      <c r="AU167" s="3">
        <f>Helpers!AR13</f>
        <v>0</v>
      </c>
      <c r="AV167" s="3">
        <f>Helpers!AS13</f>
        <v>0</v>
      </c>
      <c r="AW167" s="3">
        <f>Helpers!AT13</f>
        <v>0</v>
      </c>
      <c r="AX167" s="3">
        <f>Helpers!AU13</f>
        <v>0</v>
      </c>
      <c r="AY167" s="3">
        <f>Helpers!AV13</f>
        <v>0</v>
      </c>
      <c r="AZ167" s="3">
        <f>Helpers!AW13</f>
        <v>0</v>
      </c>
      <c r="BA167" s="3">
        <f>Helpers!AX13</f>
        <v>0</v>
      </c>
      <c r="BB167" s="3">
        <f>Helpers!AY13</f>
        <v>0</v>
      </c>
      <c r="BC167" s="3">
        <f>Helpers!AZ13</f>
        <v>0</v>
      </c>
      <c r="BD167" s="3">
        <f>Helpers!BA13</f>
        <v>0</v>
      </c>
      <c r="BE167" s="3">
        <f>Helpers!BB13</f>
        <v>0</v>
      </c>
      <c r="BF167" s="3">
        <f>Helpers!BC13</f>
        <v>0</v>
      </c>
      <c r="BG167" s="3">
        <f>Helpers!BD13</f>
        <v>0</v>
      </c>
      <c r="BH167" s="3">
        <f>Helpers!BE13</f>
        <v>0</v>
      </c>
      <c r="BI167" s="3">
        <f>Helpers!BF13</f>
        <v>0</v>
      </c>
      <c r="BJ167" s="3">
        <f>Helpers!BG13</f>
        <v>0</v>
      </c>
      <c r="BK167" s="3">
        <f>Helpers!BH13</f>
        <v>0</v>
      </c>
      <c r="BL167" s="3">
        <f>Helpers!BI13</f>
        <v>0</v>
      </c>
      <c r="BM167" s="3">
        <f>Helpers!BJ13</f>
        <v>0</v>
      </c>
      <c r="BN167" s="3">
        <f>Helpers!BK13</f>
        <v>0</v>
      </c>
      <c r="BO167" s="3">
        <f>Helpers!BL13</f>
        <v>0</v>
      </c>
      <c r="BP167" s="3">
        <f>Helpers!BM13</f>
        <v>0</v>
      </c>
      <c r="BQ167" s="3">
        <f>Helpers!BN13</f>
        <v>0</v>
      </c>
      <c r="BR167" s="3">
        <f>Helpers!BO13</f>
        <v>0</v>
      </c>
      <c r="BS167" s="3">
        <f>Helpers!BP13</f>
        <v>0</v>
      </c>
      <c r="BT167" s="3">
        <f>Helpers!BQ13</f>
        <v>0</v>
      </c>
      <c r="BU167" s="3">
        <f>Helpers!BR13</f>
        <v>0</v>
      </c>
      <c r="BV167" s="3">
        <f>Helpers!BS13</f>
        <v>0</v>
      </c>
      <c r="BW167" s="3">
        <f>Helpers!BT13</f>
        <v>0</v>
      </c>
      <c r="BX167" s="3">
        <f>Helpers!BU13</f>
        <v>0</v>
      </c>
      <c r="BY167" s="3">
        <f>Helpers!BV13</f>
        <v>0</v>
      </c>
      <c r="BZ167" s="3">
        <f>Helpers!BW13</f>
        <v>0</v>
      </c>
      <c r="CA167" s="3">
        <f>Helpers!BX13</f>
        <v>0</v>
      </c>
      <c r="CB167" s="3">
        <f>Helpers!BY13</f>
        <v>0</v>
      </c>
      <c r="CC167" s="3">
        <f>Helpers!BZ13</f>
        <v>0</v>
      </c>
      <c r="CD167" s="3">
        <f>Helpers!CA13</f>
        <v>0</v>
      </c>
      <c r="CE167" s="3">
        <f>Helpers!CB13</f>
        <v>0</v>
      </c>
      <c r="CF167" s="3">
        <f>Helpers!CC13</f>
        <v>0</v>
      </c>
      <c r="CG167" s="3">
        <f>Helpers!CD13</f>
        <v>0</v>
      </c>
      <c r="CH167" s="3">
        <f>Helpers!CE13</f>
        <v>0</v>
      </c>
      <c r="CI167" s="3">
        <f>Helpers!CF13</f>
        <v>0</v>
      </c>
      <c r="CJ167" s="3">
        <f>Helpers!CG13</f>
        <v>0</v>
      </c>
      <c r="CK167" s="3">
        <f>Helpers!CH13</f>
        <v>0</v>
      </c>
      <c r="CL167" s="3">
        <f>Helpers!CI13</f>
        <v>0</v>
      </c>
      <c r="CM167" s="3">
        <f>Helpers!CJ13</f>
        <v>0</v>
      </c>
      <c r="CN167" s="3">
        <f>Helpers!CK13</f>
        <v>0</v>
      </c>
      <c r="CO167" s="3">
        <f>Helpers!CL13</f>
        <v>0</v>
      </c>
      <c r="CP167" s="3">
        <f>Helpers!CM13</f>
        <v>0</v>
      </c>
      <c r="CQ167" s="3">
        <f>Helpers!CN13</f>
        <v>0</v>
      </c>
      <c r="CR167" s="3">
        <f>Helpers!CO13</f>
        <v>0</v>
      </c>
      <c r="CS167" s="3">
        <f>Helpers!CP13</f>
        <v>0</v>
      </c>
      <c r="CT167" s="3">
        <f>Helpers!CQ13</f>
        <v>0</v>
      </c>
      <c r="CU167" s="3">
        <f>Helpers!CR13</f>
        <v>0</v>
      </c>
      <c r="CV167" s="3">
        <f>Helpers!CS13</f>
        <v>0</v>
      </c>
      <c r="CW167" s="3">
        <f>Helpers!CT13</f>
        <v>0</v>
      </c>
      <c r="CX167" s="3">
        <f>Helpers!CU13</f>
        <v>0</v>
      </c>
      <c r="CY167" s="3">
        <f>Helpers!CV13</f>
        <v>0</v>
      </c>
      <c r="CZ167" s="3">
        <f>Helpers!CW13</f>
        <v>0</v>
      </c>
      <c r="DA167" s="3">
        <f>Helpers!CX13</f>
        <v>0</v>
      </c>
      <c r="DB167" s="3">
        <f>Helpers!CY13</f>
        <v>0</v>
      </c>
      <c r="DC167" s="3">
        <f>Helpers!CZ13</f>
        <v>0</v>
      </c>
      <c r="DD167" s="3">
        <f>Helpers!DA13</f>
        <v>0</v>
      </c>
      <c r="DE167" s="3">
        <f>Helpers!DB13</f>
        <v>0</v>
      </c>
      <c r="DF167" s="3">
        <f>Helpers!DC13</f>
        <v>0</v>
      </c>
    </row>
    <row r="168" spans="1:110" ht="15" customHeight="1" x14ac:dyDescent="0.25">
      <c r="A168" s="13" t="s">
        <v>172</v>
      </c>
      <c r="B168" s="302"/>
      <c r="C168" s="3"/>
      <c r="D168" s="3"/>
      <c r="E168" s="3"/>
      <c r="F168" s="3">
        <f>Helpers!C14</f>
        <v>0</v>
      </c>
      <c r="G168" s="3">
        <f>Helpers!D14</f>
        <v>0</v>
      </c>
      <c r="H168" s="3">
        <f>Helpers!E14</f>
        <v>0</v>
      </c>
      <c r="I168" s="3">
        <f>Helpers!F14</f>
        <v>0</v>
      </c>
      <c r="J168" s="3">
        <f>Helpers!G14</f>
        <v>0</v>
      </c>
      <c r="K168" s="3">
        <f>Helpers!H14</f>
        <v>0</v>
      </c>
      <c r="L168" s="3">
        <f>Helpers!I14</f>
        <v>0</v>
      </c>
      <c r="M168" s="3">
        <f>Helpers!J14</f>
        <v>0</v>
      </c>
      <c r="N168" s="3">
        <f>Helpers!K14</f>
        <v>0</v>
      </c>
      <c r="O168" s="3">
        <f>Helpers!L14</f>
        <v>0</v>
      </c>
      <c r="P168" s="3">
        <f>Helpers!M14</f>
        <v>0</v>
      </c>
      <c r="Q168" s="3">
        <f>Helpers!N14</f>
        <v>0</v>
      </c>
      <c r="R168" s="3">
        <f>Helpers!O14</f>
        <v>44537929.736230001</v>
      </c>
      <c r="S168" s="3">
        <f>Helpers!P14</f>
        <v>43699679.689369999</v>
      </c>
      <c r="T168" s="3">
        <f>Helpers!Q14</f>
        <v>42745139.310379997</v>
      </c>
      <c r="U168" s="3">
        <f>Helpers!R14</f>
        <v>41669012.387170002</v>
      </c>
      <c r="V168" s="3">
        <f>Helpers!S14</f>
        <v>40467858.645219997</v>
      </c>
      <c r="W168" s="3">
        <f>Helpers!T14</f>
        <v>39140501.148510002</v>
      </c>
      <c r="X168" s="3">
        <f>Helpers!U14</f>
        <v>37688252.633369997</v>
      </c>
      <c r="Y168" s="3">
        <f>Helpers!V14</f>
        <v>36115141.842330001</v>
      </c>
      <c r="Z168" s="3">
        <f>Helpers!W14</f>
        <v>34428094.591200002</v>
      </c>
      <c r="AA168" s="3">
        <f>Helpers!X14</f>
        <v>32636797.968759999</v>
      </c>
      <c r="AB168" s="3">
        <f>Helpers!Y14</f>
        <v>30753745.603530001</v>
      </c>
      <c r="AC168" s="3">
        <f>Helpers!Z14</f>
        <v>28793920.796380002</v>
      </c>
      <c r="AD168" s="3">
        <f>Helpers!AA14</f>
        <v>26774434.386370003</v>
      </c>
      <c r="AE168" s="3">
        <f>Helpers!AB14</f>
        <v>24714207.883360002</v>
      </c>
      <c r="AF168" s="3">
        <f>Helpers!AC14</f>
        <v>22633294.466460001</v>
      </c>
      <c r="AG168" s="3">
        <f>Helpers!AD14</f>
        <v>20552381.049560003</v>
      </c>
      <c r="AH168" s="3">
        <f>Helpers!AE14</f>
        <v>18492154.546550002</v>
      </c>
      <c r="AI168" s="3">
        <f>Helpers!AF14</f>
        <v>16472668.136540003</v>
      </c>
      <c r="AJ168" s="3">
        <f>Helpers!AG14</f>
        <v>14512843.329390004</v>
      </c>
      <c r="AK168" s="3">
        <f>Helpers!AH14</f>
        <v>12629790.964160006</v>
      </c>
      <c r="AL168" s="3">
        <f>Helpers!AI14</f>
        <v>10838494.341720004</v>
      </c>
      <c r="AM168" s="3">
        <f>Helpers!AJ14</f>
        <v>9151447.0905900039</v>
      </c>
      <c r="AN168" s="3">
        <f>Helpers!AK14</f>
        <v>7578336.2995500043</v>
      </c>
      <c r="AO168" s="3">
        <f>Helpers!AL14</f>
        <v>6126087.7844100064</v>
      </c>
      <c r="AP168" s="3">
        <f>Helpers!AM14</f>
        <v>4798730.2877000077</v>
      </c>
      <c r="AQ168" s="3">
        <f>Helpers!AN14</f>
        <v>3597576.5457500084</v>
      </c>
      <c r="AR168" s="3">
        <f>Helpers!AO14</f>
        <v>2521449.6225400064</v>
      </c>
      <c r="AS168" s="3">
        <f>Helpers!AP14</f>
        <v>1566909.2435500079</v>
      </c>
      <c r="AT168" s="3">
        <f>Helpers!AQ14</f>
        <v>728659.1966900063</v>
      </c>
      <c r="AU168" s="3">
        <f>Helpers!AR14</f>
        <v>-181.06707999515547</v>
      </c>
      <c r="AV168" s="3">
        <f>Helpers!AS14</f>
        <v>0</v>
      </c>
      <c r="AW168" s="3">
        <f>Helpers!AT14</f>
        <v>0</v>
      </c>
      <c r="AX168" s="3">
        <f>Helpers!AU14</f>
        <v>0</v>
      </c>
      <c r="AY168" s="3">
        <f>Helpers!AV14</f>
        <v>0</v>
      </c>
      <c r="AZ168" s="3">
        <f>Helpers!AW14</f>
        <v>0</v>
      </c>
      <c r="BA168" s="3">
        <f>Helpers!AX14</f>
        <v>0</v>
      </c>
      <c r="BB168" s="3">
        <f>Helpers!AY14</f>
        <v>0</v>
      </c>
      <c r="BC168" s="3">
        <f>Helpers!AZ14</f>
        <v>0</v>
      </c>
      <c r="BD168" s="3">
        <f>Helpers!BA14</f>
        <v>0</v>
      </c>
      <c r="BE168" s="3">
        <f>Helpers!BB14</f>
        <v>0</v>
      </c>
      <c r="BF168" s="3">
        <f>Helpers!BC14</f>
        <v>0</v>
      </c>
      <c r="BG168" s="3">
        <f>Helpers!BD14</f>
        <v>0</v>
      </c>
      <c r="BH168" s="3">
        <f>Helpers!BE14</f>
        <v>0</v>
      </c>
      <c r="BI168" s="3">
        <f>Helpers!BF14</f>
        <v>0</v>
      </c>
      <c r="BJ168" s="3">
        <f>Helpers!BG14</f>
        <v>0</v>
      </c>
      <c r="BK168" s="3">
        <f>Helpers!BH14</f>
        <v>0</v>
      </c>
      <c r="BL168" s="3">
        <f>Helpers!BI14</f>
        <v>0</v>
      </c>
      <c r="BM168" s="3">
        <f>Helpers!BJ14</f>
        <v>0</v>
      </c>
      <c r="BN168" s="3">
        <f>Helpers!BK14</f>
        <v>0</v>
      </c>
      <c r="BO168" s="3">
        <f>Helpers!BL14</f>
        <v>0</v>
      </c>
      <c r="BP168" s="3">
        <f>Helpers!BM14</f>
        <v>0</v>
      </c>
      <c r="BQ168" s="3">
        <f>Helpers!BN14</f>
        <v>0</v>
      </c>
      <c r="BR168" s="3">
        <f>Helpers!BO14</f>
        <v>0</v>
      </c>
      <c r="BS168" s="3">
        <f>Helpers!BP14</f>
        <v>0</v>
      </c>
      <c r="BT168" s="3">
        <f>Helpers!BQ14</f>
        <v>0</v>
      </c>
      <c r="BU168" s="3">
        <f>Helpers!BR14</f>
        <v>0</v>
      </c>
      <c r="BV168" s="3">
        <f>Helpers!BS14</f>
        <v>0</v>
      </c>
      <c r="BW168" s="3">
        <f>Helpers!BT14</f>
        <v>0</v>
      </c>
      <c r="BX168" s="3">
        <f>Helpers!BU14</f>
        <v>0</v>
      </c>
      <c r="BY168" s="3">
        <f>Helpers!BV14</f>
        <v>0</v>
      </c>
      <c r="BZ168" s="3">
        <f>Helpers!BW14</f>
        <v>0</v>
      </c>
      <c r="CA168" s="3">
        <f>Helpers!BX14</f>
        <v>0</v>
      </c>
      <c r="CB168" s="3">
        <f>Helpers!BY14</f>
        <v>0</v>
      </c>
      <c r="CC168" s="3">
        <f>Helpers!BZ14</f>
        <v>0</v>
      </c>
      <c r="CD168" s="3">
        <f>Helpers!CA14</f>
        <v>0</v>
      </c>
      <c r="CE168" s="3">
        <f>Helpers!CB14</f>
        <v>0</v>
      </c>
      <c r="CF168" s="3">
        <f>Helpers!CC14</f>
        <v>0</v>
      </c>
      <c r="CG168" s="3">
        <f>Helpers!CD14</f>
        <v>0</v>
      </c>
      <c r="CH168" s="3">
        <f>Helpers!CE14</f>
        <v>0</v>
      </c>
      <c r="CI168" s="3">
        <f>Helpers!CF14</f>
        <v>0</v>
      </c>
      <c r="CJ168" s="3">
        <f>Helpers!CG14</f>
        <v>0</v>
      </c>
      <c r="CK168" s="3">
        <f>Helpers!CH14</f>
        <v>0</v>
      </c>
      <c r="CL168" s="3">
        <f>Helpers!CI14</f>
        <v>0</v>
      </c>
      <c r="CM168" s="3">
        <f>Helpers!CJ14</f>
        <v>0</v>
      </c>
      <c r="CN168" s="3">
        <f>Helpers!CK14</f>
        <v>0</v>
      </c>
      <c r="CO168" s="3">
        <f>Helpers!CL14</f>
        <v>0</v>
      </c>
      <c r="CP168" s="3">
        <f>Helpers!CM14</f>
        <v>0</v>
      </c>
      <c r="CQ168" s="3">
        <f>Helpers!CN14</f>
        <v>0</v>
      </c>
      <c r="CR168" s="3">
        <f>Helpers!CO14</f>
        <v>0</v>
      </c>
      <c r="CS168" s="3">
        <f>Helpers!CP14</f>
        <v>0</v>
      </c>
      <c r="CT168" s="3">
        <f>Helpers!CQ14</f>
        <v>0</v>
      </c>
      <c r="CU168" s="3">
        <f>Helpers!CR14</f>
        <v>0</v>
      </c>
      <c r="CV168" s="3">
        <f>Helpers!CS14</f>
        <v>0</v>
      </c>
      <c r="CW168" s="3">
        <f>Helpers!CT14</f>
        <v>0</v>
      </c>
      <c r="CX168" s="3">
        <f>Helpers!CU14</f>
        <v>0</v>
      </c>
      <c r="CY168" s="3">
        <f>Helpers!CV14</f>
        <v>0</v>
      </c>
      <c r="CZ168" s="3">
        <f>Helpers!CW14</f>
        <v>0</v>
      </c>
      <c r="DA168" s="3">
        <f>Helpers!CX14</f>
        <v>0</v>
      </c>
      <c r="DB168" s="3">
        <f>Helpers!CY14</f>
        <v>0</v>
      </c>
      <c r="DC168" s="3">
        <f>Helpers!CZ14</f>
        <v>0</v>
      </c>
      <c r="DD168" s="3">
        <f>Helpers!DA14</f>
        <v>0</v>
      </c>
      <c r="DE168" s="3">
        <f>Helpers!DB14</f>
        <v>0</v>
      </c>
      <c r="DF168" s="3">
        <f>Helpers!DC14</f>
        <v>0</v>
      </c>
    </row>
    <row r="169" spans="1:110" ht="15" customHeight="1" x14ac:dyDescent="0.25">
      <c r="A169" s="13" t="s">
        <v>173</v>
      </c>
      <c r="B169" s="302"/>
      <c r="C169" s="3"/>
      <c r="D169" s="3"/>
      <c r="E169" s="3"/>
      <c r="F169" s="3">
        <f>Helpers!C15</f>
        <v>0</v>
      </c>
      <c r="G169" s="3">
        <f>Helpers!D15</f>
        <v>0</v>
      </c>
      <c r="H169" s="3">
        <f>Helpers!E15</f>
        <v>0</v>
      </c>
      <c r="I169" s="3">
        <f>Helpers!F15</f>
        <v>0</v>
      </c>
      <c r="J169" s="3">
        <f>Helpers!G15</f>
        <v>0</v>
      </c>
      <c r="K169" s="3">
        <f>Helpers!H15</f>
        <v>0</v>
      </c>
      <c r="L169" s="3">
        <f>Helpers!I15</f>
        <v>0</v>
      </c>
      <c r="M169" s="3">
        <f>Helpers!J15</f>
        <v>0</v>
      </c>
      <c r="N169" s="3">
        <f>Helpers!K15</f>
        <v>0</v>
      </c>
      <c r="O169" s="3">
        <f>Helpers!L15</f>
        <v>0</v>
      </c>
      <c r="P169" s="3">
        <f>Helpers!M15</f>
        <v>0</v>
      </c>
      <c r="Q169" s="3">
        <f>Helpers!N15</f>
        <v>0</v>
      </c>
      <c r="R169" s="3">
        <f>Helpers!O15</f>
        <v>0</v>
      </c>
      <c r="S169" s="3">
        <f>Helpers!P15</f>
        <v>0</v>
      </c>
      <c r="T169" s="3">
        <f>Helpers!Q15</f>
        <v>0</v>
      </c>
      <c r="U169" s="3">
        <f>Helpers!R15</f>
        <v>0</v>
      </c>
      <c r="V169" s="3">
        <f>Helpers!S15</f>
        <v>0</v>
      </c>
      <c r="W169" s="3">
        <f>Helpers!T15</f>
        <v>0</v>
      </c>
      <c r="X169" s="3">
        <f>Helpers!U15</f>
        <v>0</v>
      </c>
      <c r="Y169" s="3">
        <f>Helpers!V15</f>
        <v>0</v>
      </c>
      <c r="Z169" s="3">
        <f>Helpers!W15</f>
        <v>0</v>
      </c>
      <c r="AA169" s="3">
        <f>Helpers!X15</f>
        <v>0</v>
      </c>
      <c r="AB169" s="3">
        <f>Helpers!Y15</f>
        <v>0</v>
      </c>
      <c r="AC169" s="3">
        <f>Helpers!Z15</f>
        <v>0</v>
      </c>
      <c r="AD169" s="3">
        <f>Helpers!AA15</f>
        <v>0</v>
      </c>
      <c r="AE169" s="3">
        <f>Helpers!AB15</f>
        <v>0</v>
      </c>
      <c r="AF169" s="3">
        <f>Helpers!AC15</f>
        <v>40688781.070167996</v>
      </c>
      <c r="AG169" s="3">
        <f>Helpers!AD15</f>
        <v>39922975.994791999</v>
      </c>
      <c r="AH169" s="3">
        <f>Helpers!AE15</f>
        <v>39050930.869807996</v>
      </c>
      <c r="AI169" s="3">
        <f>Helpers!AF15</f>
        <v>38067807.203272</v>
      </c>
      <c r="AJ169" s="3">
        <f>Helpers!AG15</f>
        <v>36970462.043151997</v>
      </c>
      <c r="AK169" s="3">
        <f>Helpers!AH15</f>
        <v>35757820.169015996</v>
      </c>
      <c r="AL169" s="3">
        <f>Helpers!AI15</f>
        <v>34431080.865192004</v>
      </c>
      <c r="AM169" s="3">
        <f>Helpers!AJ15</f>
        <v>32993924.693928</v>
      </c>
      <c r="AN169" s="3">
        <f>Helpers!AK15</f>
        <v>31452678.91392</v>
      </c>
      <c r="AO169" s="3">
        <f>Helpers!AL15</f>
        <v>29816193.416415997</v>
      </c>
      <c r="AP169" s="3">
        <f>Helpers!AM15</f>
        <v>28095882.079848003</v>
      </c>
      <c r="AQ169" s="3">
        <f>Helpers!AN15</f>
        <v>26305433.287408002</v>
      </c>
      <c r="AR169" s="3">
        <f>Helpers!AO15</f>
        <v>24460479.089992002</v>
      </c>
      <c r="AS169" s="3">
        <f>Helpers!AP15</f>
        <v>22578305.723776001</v>
      </c>
      <c r="AT169" s="3">
        <f>Helpers!AQ15</f>
        <v>20677233.290736001</v>
      </c>
      <c r="AU169" s="3">
        <f>Helpers!AR15</f>
        <v>18776160.857696004</v>
      </c>
      <c r="AV169" s="3">
        <f>Helpers!AS15</f>
        <v>16893987.491480004</v>
      </c>
      <c r="AW169" s="3">
        <f>Helpers!AT15</f>
        <v>15049033.294064002</v>
      </c>
      <c r="AX169" s="3">
        <f>Helpers!AU15</f>
        <v>13258584.501624003</v>
      </c>
      <c r="AY169" s="3">
        <f>Helpers!AV15</f>
        <v>11538273.165056005</v>
      </c>
      <c r="AZ169" s="3">
        <f>Helpers!AW15</f>
        <v>9901787.6675520036</v>
      </c>
      <c r="BA169" s="3">
        <f>Helpers!AX15</f>
        <v>8360541.8875440042</v>
      </c>
      <c r="BB169" s="3">
        <f>Helpers!AY15</f>
        <v>6923385.716280004</v>
      </c>
      <c r="BC169" s="3">
        <f>Helpers!AZ15</f>
        <v>5596646.4124560058</v>
      </c>
      <c r="BD169" s="3">
        <f>Helpers!BA15</f>
        <v>4384004.5383200068</v>
      </c>
      <c r="BE169" s="3">
        <f>Helpers!BB15</f>
        <v>3286659.3782000076</v>
      </c>
      <c r="BF169" s="3">
        <f>Helpers!BC15</f>
        <v>2303535.7116640056</v>
      </c>
      <c r="BG169" s="3">
        <f>Helpers!BD15</f>
        <v>1431490.5866800072</v>
      </c>
      <c r="BH169" s="3">
        <f>Helpers!BE15</f>
        <v>665685.51130400575</v>
      </c>
      <c r="BI169" s="3">
        <f>Helpers!BF15</f>
        <v>-165.41852799557415</v>
      </c>
      <c r="BJ169" s="3">
        <f>Helpers!BG15</f>
        <v>0</v>
      </c>
      <c r="BK169" s="3">
        <f>Helpers!BH15</f>
        <v>0</v>
      </c>
      <c r="BL169" s="3">
        <f>Helpers!BI15</f>
        <v>0</v>
      </c>
      <c r="BM169" s="3">
        <f>Helpers!BJ15</f>
        <v>0</v>
      </c>
      <c r="BN169" s="3">
        <f>Helpers!BK15</f>
        <v>0</v>
      </c>
      <c r="BO169" s="3">
        <f>Helpers!BL15</f>
        <v>0</v>
      </c>
      <c r="BP169" s="3">
        <f>Helpers!BM15</f>
        <v>0</v>
      </c>
      <c r="BQ169" s="3">
        <f>Helpers!BN15</f>
        <v>0</v>
      </c>
      <c r="BR169" s="3">
        <f>Helpers!BO15</f>
        <v>0</v>
      </c>
      <c r="BS169" s="3">
        <f>Helpers!BP15</f>
        <v>0</v>
      </c>
      <c r="BT169" s="3">
        <f>Helpers!BQ15</f>
        <v>0</v>
      </c>
      <c r="BU169" s="3">
        <f>Helpers!BR15</f>
        <v>0</v>
      </c>
      <c r="BV169" s="3">
        <f>Helpers!BS15</f>
        <v>0</v>
      </c>
      <c r="BW169" s="3">
        <f>Helpers!BT15</f>
        <v>0</v>
      </c>
      <c r="BX169" s="3">
        <f>Helpers!BU15</f>
        <v>0</v>
      </c>
      <c r="BY169" s="3">
        <f>Helpers!BV15</f>
        <v>0</v>
      </c>
      <c r="BZ169" s="3">
        <f>Helpers!BW15</f>
        <v>0</v>
      </c>
      <c r="CA169" s="3">
        <f>Helpers!BX15</f>
        <v>0</v>
      </c>
      <c r="CB169" s="3">
        <f>Helpers!BY15</f>
        <v>0</v>
      </c>
      <c r="CC169" s="3">
        <f>Helpers!BZ15</f>
        <v>0</v>
      </c>
      <c r="CD169" s="3">
        <f>Helpers!CA15</f>
        <v>0</v>
      </c>
      <c r="CE169" s="3">
        <f>Helpers!CB15</f>
        <v>0</v>
      </c>
      <c r="CF169" s="3">
        <f>Helpers!CC15</f>
        <v>0</v>
      </c>
      <c r="CG169" s="3">
        <f>Helpers!CD15</f>
        <v>0</v>
      </c>
      <c r="CH169" s="3">
        <f>Helpers!CE15</f>
        <v>0</v>
      </c>
      <c r="CI169" s="3">
        <f>Helpers!CF15</f>
        <v>0</v>
      </c>
      <c r="CJ169" s="3">
        <f>Helpers!CG15</f>
        <v>0</v>
      </c>
      <c r="CK169" s="3">
        <f>Helpers!CH15</f>
        <v>0</v>
      </c>
      <c r="CL169" s="3">
        <f>Helpers!CI15</f>
        <v>0</v>
      </c>
      <c r="CM169" s="3">
        <f>Helpers!CJ15</f>
        <v>0</v>
      </c>
      <c r="CN169" s="3">
        <f>Helpers!CK15</f>
        <v>0</v>
      </c>
      <c r="CO169" s="3">
        <f>Helpers!CL15</f>
        <v>0</v>
      </c>
      <c r="CP169" s="3">
        <f>Helpers!CM15</f>
        <v>0</v>
      </c>
      <c r="CQ169" s="3">
        <f>Helpers!CN15</f>
        <v>0</v>
      </c>
      <c r="CR169" s="3">
        <f>Helpers!CO15</f>
        <v>0</v>
      </c>
      <c r="CS169" s="3">
        <f>Helpers!CP15</f>
        <v>0</v>
      </c>
      <c r="CT169" s="3">
        <f>Helpers!CQ15</f>
        <v>0</v>
      </c>
      <c r="CU169" s="3">
        <f>Helpers!CR15</f>
        <v>0</v>
      </c>
      <c r="CV169" s="3">
        <f>Helpers!CS15</f>
        <v>0</v>
      </c>
      <c r="CW169" s="3">
        <f>Helpers!CT15</f>
        <v>0</v>
      </c>
      <c r="CX169" s="3">
        <f>Helpers!CU15</f>
        <v>0</v>
      </c>
      <c r="CY169" s="3">
        <f>Helpers!CV15</f>
        <v>0</v>
      </c>
      <c r="CZ169" s="3">
        <f>Helpers!CW15</f>
        <v>0</v>
      </c>
      <c r="DA169" s="3">
        <f>Helpers!CX15</f>
        <v>0</v>
      </c>
      <c r="DB169" s="3">
        <f>Helpers!CY15</f>
        <v>0</v>
      </c>
      <c r="DC169" s="3">
        <f>Helpers!CZ15</f>
        <v>0</v>
      </c>
      <c r="DD169" s="3">
        <f>Helpers!DA15</f>
        <v>0</v>
      </c>
      <c r="DE169" s="3">
        <f>Helpers!DB15</f>
        <v>0</v>
      </c>
      <c r="DF169" s="3">
        <f>Helpers!DC15</f>
        <v>0</v>
      </c>
    </row>
    <row r="170" spans="1:110" ht="15" customHeight="1" x14ac:dyDescent="0.25">
      <c r="A170" s="18" t="s">
        <v>174</v>
      </c>
      <c r="B170" s="19"/>
      <c r="C170" s="20"/>
      <c r="D170" s="20"/>
      <c r="E170" s="20"/>
      <c r="F170" s="20">
        <f t="shared" ref="F170:AK170" si="103">SUM(F162:F169)</f>
        <v>24716840.3468768</v>
      </c>
      <c r="G170" s="20">
        <f t="shared" si="103"/>
        <v>22881539.176573537</v>
      </c>
      <c r="H170" s="20">
        <f t="shared" si="103"/>
        <v>20879271.912436187</v>
      </c>
      <c r="I170" s="20">
        <f t="shared" si="103"/>
        <v>60836243.104082987</v>
      </c>
      <c r="J170" s="20">
        <f t="shared" si="103"/>
        <v>57578778.6797034</v>
      </c>
      <c r="K170" s="20">
        <f t="shared" si="103"/>
        <v>54117067.973172709</v>
      </c>
      <c r="L170" s="20">
        <f t="shared" si="103"/>
        <v>79352933.496734113</v>
      </c>
      <c r="M170" s="20">
        <f t="shared" si="103"/>
        <v>95588363.965789929</v>
      </c>
      <c r="N170" s="20">
        <f t="shared" si="103"/>
        <v>90239873.755658567</v>
      </c>
      <c r="O170" s="20">
        <f t="shared" si="103"/>
        <v>84604000.439778298</v>
      </c>
      <c r="P170" s="20">
        <f t="shared" si="103"/>
        <v>78720266.974022105</v>
      </c>
      <c r="Q170" s="20">
        <f t="shared" si="103"/>
        <v>72635646.38755329</v>
      </c>
      <c r="R170" s="20">
        <f t="shared" si="103"/>
        <v>110943455.0816887</v>
      </c>
      <c r="S170" s="20">
        <f t="shared" si="103"/>
        <v>103793457.32488425</v>
      </c>
      <c r="T170" s="20">
        <f t="shared" si="103"/>
        <v>96517203.05507499</v>
      </c>
      <c r="U170" s="20">
        <f t="shared" si="103"/>
        <v>89832380.402736992</v>
      </c>
      <c r="V170" s="20">
        <f t="shared" si="103"/>
        <v>83021753.709655985</v>
      </c>
      <c r="W170" s="20">
        <f t="shared" si="103"/>
        <v>76187589.600928992</v>
      </c>
      <c r="X170" s="20">
        <f t="shared" si="103"/>
        <v>69427945.700481981</v>
      </c>
      <c r="Y170" s="20">
        <f t="shared" si="103"/>
        <v>62831519.462921992</v>
      </c>
      <c r="Z170" s="20">
        <f t="shared" si="103"/>
        <v>56473335.557831988</v>
      </c>
      <c r="AA170" s="20">
        <f t="shared" si="103"/>
        <v>50412135.689663991</v>
      </c>
      <c r="AB170" s="20">
        <f t="shared" si="103"/>
        <v>44689514.450514987</v>
      </c>
      <c r="AC170" s="20">
        <f t="shared" si="103"/>
        <v>39330314.060103998</v>
      </c>
      <c r="AD170" s="20">
        <f t="shared" si="103"/>
        <v>34344660.929919995</v>
      </c>
      <c r="AE170" s="20">
        <f t="shared" si="103"/>
        <v>30015781.278079994</v>
      </c>
      <c r="AF170" s="20">
        <f t="shared" si="103"/>
        <v>67115910.942615986</v>
      </c>
      <c r="AG170" s="20">
        <f t="shared" si="103"/>
        <v>63678669.505812995</v>
      </c>
      <c r="AH170" s="20">
        <f t="shared" si="103"/>
        <v>60195756.503802985</v>
      </c>
      <c r="AI170" s="20">
        <f t="shared" si="103"/>
        <v>56684810.890850991</v>
      </c>
      <c r="AJ170" s="20">
        <f t="shared" si="103"/>
        <v>53163021.419371992</v>
      </c>
      <c r="AK170" s="20">
        <f t="shared" si="103"/>
        <v>49646883.209601</v>
      </c>
      <c r="AL170" s="20">
        <f t="shared" ref="AL170:BQ170" si="104">SUM(AL162:AL169)</f>
        <v>46152166.879777998</v>
      </c>
      <c r="AM170" s="20">
        <f t="shared" si="104"/>
        <v>42693842.409563005</v>
      </c>
      <c r="AN170" s="20">
        <f t="shared" si="104"/>
        <v>39286070.295121007</v>
      </c>
      <c r="AO170" s="20">
        <f t="shared" si="104"/>
        <v>35942217.821294002</v>
      </c>
      <c r="AP170" s="20">
        <f t="shared" si="104"/>
        <v>32894612.367548011</v>
      </c>
      <c r="AQ170" s="20">
        <f t="shared" si="104"/>
        <v>29903009.833158009</v>
      </c>
      <c r="AR170" s="20">
        <f t="shared" si="104"/>
        <v>26981928.712532006</v>
      </c>
      <c r="AS170" s="20">
        <f t="shared" si="104"/>
        <v>24145214.967326008</v>
      </c>
      <c r="AT170" s="20">
        <f t="shared" si="104"/>
        <v>21405892.487426009</v>
      </c>
      <c r="AU170" s="20">
        <f t="shared" si="104"/>
        <v>18775979.790616009</v>
      </c>
      <c r="AV170" s="20">
        <f t="shared" si="104"/>
        <v>16893987.491480004</v>
      </c>
      <c r="AW170" s="20">
        <f t="shared" si="104"/>
        <v>15049033.294064002</v>
      </c>
      <c r="AX170" s="20">
        <f t="shared" si="104"/>
        <v>13258584.501624003</v>
      </c>
      <c r="AY170" s="20">
        <f t="shared" si="104"/>
        <v>11538273.165056005</v>
      </c>
      <c r="AZ170" s="20">
        <f t="shared" si="104"/>
        <v>9901787.6675520036</v>
      </c>
      <c r="BA170" s="20">
        <f t="shared" si="104"/>
        <v>8360541.8875440042</v>
      </c>
      <c r="BB170" s="20">
        <f t="shared" si="104"/>
        <v>6923385.716280004</v>
      </c>
      <c r="BC170" s="20">
        <f t="shared" si="104"/>
        <v>5596646.4124560058</v>
      </c>
      <c r="BD170" s="20">
        <f t="shared" si="104"/>
        <v>4384004.5383200068</v>
      </c>
      <c r="BE170" s="20">
        <f t="shared" si="104"/>
        <v>3286659.3782000076</v>
      </c>
      <c r="BF170" s="20">
        <f t="shared" si="104"/>
        <v>2303535.7116640056</v>
      </c>
      <c r="BG170" s="20">
        <f t="shared" si="104"/>
        <v>1431490.5866800072</v>
      </c>
      <c r="BH170" s="20">
        <f t="shared" si="104"/>
        <v>665685.51130400575</v>
      </c>
      <c r="BI170" s="20">
        <f t="shared" si="104"/>
        <v>-165.41852799557415</v>
      </c>
      <c r="BJ170" s="20">
        <f t="shared" si="104"/>
        <v>0</v>
      </c>
      <c r="BK170" s="20">
        <f t="shared" si="104"/>
        <v>0</v>
      </c>
      <c r="BL170" s="20">
        <f t="shared" si="104"/>
        <v>0</v>
      </c>
      <c r="BM170" s="20">
        <f t="shared" si="104"/>
        <v>0</v>
      </c>
      <c r="BN170" s="20">
        <f t="shared" si="104"/>
        <v>0</v>
      </c>
      <c r="BO170" s="20">
        <f t="shared" si="104"/>
        <v>0</v>
      </c>
      <c r="BP170" s="20">
        <f t="shared" si="104"/>
        <v>0</v>
      </c>
      <c r="BQ170" s="20">
        <f t="shared" si="104"/>
        <v>0</v>
      </c>
      <c r="BR170" s="20">
        <f t="shared" ref="BR170:CW170" si="105">SUM(BR162:BR169)</f>
        <v>0</v>
      </c>
      <c r="BS170" s="20">
        <f t="shared" si="105"/>
        <v>0</v>
      </c>
      <c r="BT170" s="20">
        <f t="shared" si="105"/>
        <v>0</v>
      </c>
      <c r="BU170" s="20">
        <f t="shared" si="105"/>
        <v>0</v>
      </c>
      <c r="BV170" s="20">
        <f t="shared" si="105"/>
        <v>0</v>
      </c>
      <c r="BW170" s="20">
        <f t="shared" si="105"/>
        <v>0</v>
      </c>
      <c r="BX170" s="20">
        <f t="shared" si="105"/>
        <v>0</v>
      </c>
      <c r="BY170" s="20">
        <f t="shared" si="105"/>
        <v>0</v>
      </c>
      <c r="BZ170" s="20">
        <f t="shared" si="105"/>
        <v>0</v>
      </c>
      <c r="CA170" s="20">
        <f t="shared" si="105"/>
        <v>0</v>
      </c>
      <c r="CB170" s="20">
        <f t="shared" si="105"/>
        <v>0</v>
      </c>
      <c r="CC170" s="20">
        <f t="shared" si="105"/>
        <v>0</v>
      </c>
      <c r="CD170" s="20">
        <f t="shared" si="105"/>
        <v>0</v>
      </c>
      <c r="CE170" s="20">
        <f t="shared" si="105"/>
        <v>0</v>
      </c>
      <c r="CF170" s="20">
        <f t="shared" si="105"/>
        <v>0</v>
      </c>
      <c r="CG170" s="20">
        <f t="shared" si="105"/>
        <v>0</v>
      </c>
      <c r="CH170" s="20">
        <f t="shared" si="105"/>
        <v>0</v>
      </c>
      <c r="CI170" s="20">
        <f t="shared" si="105"/>
        <v>0</v>
      </c>
      <c r="CJ170" s="20">
        <f t="shared" si="105"/>
        <v>0</v>
      </c>
      <c r="CK170" s="20">
        <f t="shared" si="105"/>
        <v>0</v>
      </c>
      <c r="CL170" s="20">
        <f t="shared" si="105"/>
        <v>0</v>
      </c>
      <c r="CM170" s="20">
        <f t="shared" si="105"/>
        <v>0</v>
      </c>
      <c r="CN170" s="20">
        <f t="shared" si="105"/>
        <v>0</v>
      </c>
      <c r="CO170" s="20">
        <f t="shared" si="105"/>
        <v>0</v>
      </c>
      <c r="CP170" s="20">
        <f t="shared" si="105"/>
        <v>0</v>
      </c>
      <c r="CQ170" s="20">
        <f t="shared" si="105"/>
        <v>0</v>
      </c>
      <c r="CR170" s="20">
        <f t="shared" si="105"/>
        <v>0</v>
      </c>
      <c r="CS170" s="20">
        <f t="shared" si="105"/>
        <v>0</v>
      </c>
      <c r="CT170" s="20">
        <f t="shared" si="105"/>
        <v>0</v>
      </c>
      <c r="CU170" s="20">
        <f t="shared" si="105"/>
        <v>0</v>
      </c>
      <c r="CV170" s="20">
        <f t="shared" si="105"/>
        <v>0</v>
      </c>
      <c r="CW170" s="20">
        <f t="shared" si="105"/>
        <v>0</v>
      </c>
      <c r="CX170" s="20">
        <f t="shared" ref="CX170:EC170" si="106">SUM(CX162:CX169)</f>
        <v>0</v>
      </c>
      <c r="CY170" s="20">
        <f t="shared" si="106"/>
        <v>0</v>
      </c>
      <c r="CZ170" s="20">
        <f t="shared" si="106"/>
        <v>0</v>
      </c>
      <c r="DA170" s="20">
        <f t="shared" si="106"/>
        <v>0</v>
      </c>
      <c r="DB170" s="20">
        <f t="shared" si="106"/>
        <v>0</v>
      </c>
      <c r="DC170" s="20">
        <f t="shared" si="106"/>
        <v>0</v>
      </c>
      <c r="DD170" s="20">
        <f t="shared" si="106"/>
        <v>0</v>
      </c>
      <c r="DE170" s="20">
        <f t="shared" si="106"/>
        <v>0</v>
      </c>
      <c r="DF170" s="20">
        <f t="shared" si="106"/>
        <v>0</v>
      </c>
    </row>
    <row r="171" spans="1:110" ht="15" customHeight="1" x14ac:dyDescent="0.25">
      <c r="A171" s="302"/>
      <c r="B171" s="30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</row>
    <row r="172" spans="1:110" ht="15" customHeight="1" x14ac:dyDescent="0.25">
      <c r="A172" s="318" t="s">
        <v>175</v>
      </c>
      <c r="B172" s="318"/>
      <c r="C172" s="319"/>
      <c r="D172" s="319"/>
      <c r="E172" s="319"/>
      <c r="F172" s="319"/>
      <c r="G172" s="319"/>
      <c r="H172" s="319"/>
      <c r="I172" s="319"/>
      <c r="J172" s="319"/>
      <c r="K172" s="319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  <c r="X172" s="319"/>
      <c r="Y172" s="319"/>
      <c r="Z172" s="319"/>
      <c r="AA172" s="319"/>
      <c r="AB172" s="319"/>
      <c r="AC172" s="319"/>
      <c r="AD172" s="319"/>
      <c r="AE172" s="319"/>
      <c r="AF172" s="319"/>
      <c r="AG172" s="319"/>
      <c r="AH172" s="319"/>
      <c r="AI172" s="319"/>
      <c r="AJ172" s="319"/>
      <c r="AK172" s="319"/>
      <c r="AL172" s="319"/>
      <c r="AM172" s="319"/>
      <c r="AN172" s="319"/>
      <c r="AO172" s="319"/>
      <c r="AP172" s="319"/>
      <c r="AQ172" s="319"/>
      <c r="AR172" s="319"/>
      <c r="AS172" s="319"/>
      <c r="AT172" s="319"/>
      <c r="AU172" s="319"/>
      <c r="AV172" s="319"/>
      <c r="AW172" s="319"/>
      <c r="AX172" s="319"/>
      <c r="AY172" s="319"/>
      <c r="AZ172" s="319"/>
      <c r="BA172" s="319"/>
      <c r="BB172" s="319"/>
      <c r="BC172" s="319"/>
      <c r="BD172" s="319"/>
      <c r="BE172" s="319"/>
      <c r="BF172" s="319"/>
      <c r="BG172" s="319"/>
      <c r="BH172" s="319"/>
      <c r="BI172" s="319"/>
      <c r="BJ172" s="319"/>
      <c r="BK172" s="319"/>
      <c r="BL172" s="319"/>
      <c r="BM172" s="319"/>
      <c r="BN172" s="319"/>
      <c r="BO172" s="319"/>
      <c r="BP172" s="319"/>
      <c r="BQ172" s="319"/>
      <c r="BR172" s="319"/>
      <c r="BS172" s="319"/>
      <c r="BT172" s="319"/>
      <c r="BU172" s="319"/>
      <c r="BV172" s="319"/>
      <c r="BW172" s="319"/>
      <c r="BX172" s="319"/>
      <c r="BY172" s="319"/>
      <c r="BZ172" s="319"/>
      <c r="CA172" s="319"/>
      <c r="CB172" s="319"/>
      <c r="CC172" s="319"/>
      <c r="CD172" s="319"/>
      <c r="CE172" s="319"/>
      <c r="CF172" s="319"/>
      <c r="CG172" s="319"/>
      <c r="CH172" s="319"/>
      <c r="CI172" s="319"/>
      <c r="CJ172" s="319"/>
      <c r="CK172" s="319"/>
      <c r="CL172" s="319"/>
      <c r="CM172" s="319"/>
      <c r="CN172" s="319"/>
      <c r="CO172" s="319"/>
      <c r="CP172" s="319"/>
      <c r="CQ172" s="319"/>
      <c r="CR172" s="319"/>
      <c r="CS172" s="319"/>
      <c r="CT172" s="319"/>
      <c r="CU172" s="319"/>
      <c r="CV172" s="319"/>
      <c r="CW172" s="319"/>
      <c r="CX172" s="319"/>
      <c r="CY172" s="319"/>
      <c r="CZ172" s="319"/>
      <c r="DA172" s="319"/>
      <c r="DB172" s="319"/>
      <c r="DC172" s="319"/>
      <c r="DD172" s="319"/>
      <c r="DE172" s="319"/>
      <c r="DF172" s="319"/>
    </row>
    <row r="173" spans="1:110" ht="15" customHeight="1" x14ac:dyDescent="0.25">
      <c r="A173" s="324"/>
      <c r="B173" s="324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325"/>
      <c r="V173" s="325"/>
      <c r="W173" s="325"/>
      <c r="X173" s="325"/>
      <c r="Y173" s="325"/>
      <c r="Z173" s="325"/>
      <c r="AA173" s="325"/>
      <c r="AB173" s="325"/>
      <c r="AC173" s="325"/>
      <c r="AD173" s="325"/>
      <c r="AE173" s="325"/>
      <c r="AF173" s="325"/>
      <c r="AG173" s="325"/>
      <c r="AH173" s="325"/>
      <c r="AI173" s="325"/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5"/>
      <c r="AT173" s="325"/>
      <c r="AU173" s="325"/>
      <c r="AV173" s="325"/>
      <c r="AW173" s="325"/>
      <c r="AX173" s="325"/>
      <c r="AY173" s="325"/>
      <c r="AZ173" s="325"/>
      <c r="BA173" s="325"/>
      <c r="BB173" s="325"/>
      <c r="BC173" s="325"/>
      <c r="BD173" s="325"/>
      <c r="BE173" s="325"/>
      <c r="BF173" s="325"/>
      <c r="BG173" s="325"/>
      <c r="BH173" s="325"/>
      <c r="BI173" s="325"/>
      <c r="BJ173" s="325"/>
      <c r="BK173" s="325"/>
      <c r="BL173" s="325"/>
      <c r="BM173" s="325"/>
      <c r="BN173" s="325"/>
      <c r="BO173" s="325"/>
      <c r="BP173" s="325"/>
      <c r="BQ173" s="325"/>
      <c r="BR173" s="325"/>
      <c r="BS173" s="325"/>
      <c r="BT173" s="325"/>
      <c r="BU173" s="325"/>
      <c r="BV173" s="325"/>
      <c r="BW173" s="325"/>
      <c r="BX173" s="325"/>
      <c r="BY173" s="325"/>
      <c r="BZ173" s="325"/>
      <c r="CA173" s="325"/>
      <c r="CB173" s="325"/>
      <c r="CC173" s="325"/>
      <c r="CD173" s="325"/>
      <c r="CE173" s="325"/>
      <c r="CF173" s="325"/>
      <c r="CG173" s="325"/>
      <c r="CH173" s="325"/>
      <c r="CI173" s="325"/>
      <c r="CJ173" s="325"/>
      <c r="CK173" s="325"/>
      <c r="CL173" s="325"/>
      <c r="CM173" s="325"/>
      <c r="CN173" s="325"/>
      <c r="CO173" s="325"/>
      <c r="CP173" s="325"/>
      <c r="CQ173" s="325"/>
      <c r="CR173" s="325"/>
      <c r="CS173" s="325"/>
      <c r="CT173" s="325"/>
      <c r="CU173" s="325"/>
      <c r="CV173" s="325"/>
      <c r="CW173" s="325"/>
      <c r="CX173" s="325"/>
      <c r="CY173" s="325"/>
      <c r="CZ173" s="325"/>
      <c r="DA173" s="325"/>
      <c r="DB173" s="325"/>
      <c r="DC173" s="325"/>
      <c r="DD173" s="325"/>
      <c r="DE173" s="325"/>
      <c r="DF173" s="325"/>
    </row>
    <row r="174" spans="1:110" ht="15" customHeight="1" x14ac:dyDescent="0.25">
      <c r="A174" s="315" t="s">
        <v>176</v>
      </c>
      <c r="B174" s="315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16"/>
      <c r="Z174" s="316"/>
      <c r="AA174" s="316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16"/>
      <c r="AP174" s="316"/>
      <c r="AQ174" s="316"/>
      <c r="AR174" s="316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/>
      <c r="BD174" s="316"/>
      <c r="BE174" s="316"/>
      <c r="BF174" s="316"/>
      <c r="BG174" s="316"/>
      <c r="BH174" s="316"/>
      <c r="BI174" s="316"/>
      <c r="BJ174" s="316"/>
      <c r="BK174" s="316"/>
      <c r="BL174" s="316"/>
      <c r="BM174" s="316"/>
      <c r="BN174" s="316"/>
      <c r="BO174" s="316"/>
      <c r="BP174" s="316"/>
      <c r="BQ174" s="316"/>
      <c r="BR174" s="316"/>
      <c r="BS174" s="316"/>
      <c r="BT174" s="316"/>
      <c r="BU174" s="316"/>
      <c r="BV174" s="316"/>
      <c r="BW174" s="316"/>
      <c r="BX174" s="316"/>
      <c r="BY174" s="316"/>
      <c r="BZ174" s="316"/>
      <c r="CA174" s="316"/>
      <c r="CB174" s="316"/>
      <c r="CC174" s="316"/>
      <c r="CD174" s="316"/>
      <c r="CE174" s="316"/>
      <c r="CF174" s="316"/>
      <c r="CG174" s="316"/>
      <c r="CH174" s="316"/>
      <c r="CI174" s="316"/>
      <c r="CJ174" s="316"/>
      <c r="CK174" s="316"/>
      <c r="CL174" s="316"/>
      <c r="CM174" s="316"/>
      <c r="CN174" s="316"/>
      <c r="CO174" s="316"/>
      <c r="CP174" s="316"/>
      <c r="CQ174" s="316"/>
      <c r="CR174" s="316"/>
      <c r="CS174" s="316"/>
      <c r="CT174" s="316"/>
      <c r="CU174" s="316"/>
      <c r="CV174" s="316"/>
      <c r="CW174" s="316"/>
      <c r="CX174" s="316"/>
      <c r="CY174" s="316"/>
      <c r="CZ174" s="316"/>
      <c r="DA174" s="316"/>
      <c r="DB174" s="316"/>
      <c r="DC174" s="316"/>
      <c r="DD174" s="316"/>
      <c r="DE174" s="316"/>
      <c r="DF174" s="316"/>
    </row>
    <row r="175" spans="1:110" ht="15" customHeight="1" x14ac:dyDescent="0.25">
      <c r="A175" s="13" t="s">
        <v>177</v>
      </c>
      <c r="B175" s="302"/>
      <c r="C175" s="3"/>
      <c r="D175" s="3"/>
      <c r="E175" s="3"/>
      <c r="F175" s="3">
        <f>Assumptions!$B$29</f>
        <v>1025542</v>
      </c>
      <c r="G175" s="3">
        <f t="shared" ref="G175:AL175" ca="1" si="107">F177</f>
        <v>1401078.5999999996</v>
      </c>
      <c r="H175" s="3">
        <f t="shared" ca="1" si="107"/>
        <v>1405874.1912542623</v>
      </c>
      <c r="I175" s="3">
        <f t="shared" ca="1" si="107"/>
        <v>1381294.7825085251</v>
      </c>
      <c r="J175" s="3">
        <f t="shared" ca="1" si="107"/>
        <v>1860183.5352964415</v>
      </c>
      <c r="K175" s="3">
        <f t="shared" ca="1" si="107"/>
        <v>2032012.083284358</v>
      </c>
      <c r="L175" s="3">
        <f t="shared" ca="1" si="107"/>
        <v>2203840.6312722745</v>
      </c>
      <c r="M175" s="3">
        <f t="shared" ca="1" si="107"/>
        <v>2680719.7478958019</v>
      </c>
      <c r="N175" s="3">
        <f t="shared" ca="1" si="107"/>
        <v>3188599.7985267146</v>
      </c>
      <c r="O175" s="3">
        <f t="shared" ca="1" si="107"/>
        <v>3444104.7650715336</v>
      </c>
      <c r="P175" s="3">
        <f t="shared" ca="1" si="107"/>
        <v>3699609.7316163527</v>
      </c>
      <c r="Q175" s="3">
        <f t="shared" ca="1" si="107"/>
        <v>3955114.6981611717</v>
      </c>
      <c r="R175" s="3">
        <f t="shared" ca="1" si="107"/>
        <v>4210619.6647059908</v>
      </c>
      <c r="S175" s="3">
        <f t="shared" ca="1" si="107"/>
        <v>3798653.5708080265</v>
      </c>
      <c r="T175" s="3">
        <f t="shared" ca="1" si="107"/>
        <v>4202855.9519100627</v>
      </c>
      <c r="U175" s="3">
        <f t="shared" ca="1" si="107"/>
        <v>4765720.211298299</v>
      </c>
      <c r="V175" s="3">
        <f t="shared" ca="1" si="107"/>
        <v>5090404.0234824317</v>
      </c>
      <c r="W175" s="3">
        <f t="shared" ca="1" si="107"/>
        <v>5149409.0840897989</v>
      </c>
      <c r="X175" s="3">
        <f t="shared" ca="1" si="107"/>
        <v>5208414.144697166</v>
      </c>
      <c r="Y175" s="3">
        <f t="shared" ca="1" si="107"/>
        <v>5289229.5097442828</v>
      </c>
      <c r="Z175" s="3">
        <f t="shared" ca="1" si="107"/>
        <v>5326424.2659118995</v>
      </c>
      <c r="AA175" s="3">
        <f t="shared" ca="1" si="107"/>
        <v>5363619.0220795162</v>
      </c>
      <c r="AB175" s="3">
        <f t="shared" ca="1" si="107"/>
        <v>5400813.7782471329</v>
      </c>
      <c r="AC175" s="3">
        <f t="shared" ca="1" si="107"/>
        <v>5438008.5344147496</v>
      </c>
      <c r="AD175" s="3">
        <f t="shared" ca="1" si="107"/>
        <v>5475203.2905823663</v>
      </c>
      <c r="AE175" s="3">
        <f t="shared" ca="1" si="107"/>
        <v>5585636.7373025827</v>
      </c>
      <c r="AF175" s="3">
        <f t="shared" ca="1" si="107"/>
        <v>5532028.1523375995</v>
      </c>
      <c r="AG175" s="3">
        <f t="shared" ca="1" si="107"/>
        <v>4912373.1482411632</v>
      </c>
      <c r="AH175" s="3">
        <f t="shared" ca="1" si="107"/>
        <v>5016424.2041447274</v>
      </c>
      <c r="AI175" s="3">
        <f t="shared" ca="1" si="107"/>
        <v>5120475.2600482907</v>
      </c>
      <c r="AJ175" s="3">
        <f t="shared" ca="1" si="107"/>
        <v>5224526.3159518549</v>
      </c>
      <c r="AK175" s="3">
        <f t="shared" ca="1" si="107"/>
        <v>5546866.7514231689</v>
      </c>
      <c r="AL175" s="3">
        <f t="shared" ca="1" si="107"/>
        <v>5602380.7880855976</v>
      </c>
      <c r="AM175" s="3">
        <f t="shared" ref="AM175:BR175" ca="1" si="108">AL177</f>
        <v>5954045.5459064264</v>
      </c>
      <c r="AN175" s="3">
        <f t="shared" ca="1" si="108"/>
        <v>5973540.7091685347</v>
      </c>
      <c r="AO175" s="3">
        <f t="shared" ca="1" si="108"/>
        <v>5955535.8724306431</v>
      </c>
      <c r="AP175" s="3">
        <f t="shared" ca="1" si="108"/>
        <v>6070410.1011554012</v>
      </c>
      <c r="AQ175" s="3">
        <f t="shared" ca="1" si="108"/>
        <v>6128892.4511620309</v>
      </c>
      <c r="AR175" s="3">
        <f t="shared" ca="1" si="108"/>
        <v>6142374.8011686606</v>
      </c>
      <c r="AS175" s="3">
        <f t="shared" ca="1" si="108"/>
        <v>6200857.1511752903</v>
      </c>
      <c r="AT175" s="3">
        <f t="shared" ca="1" si="108"/>
        <v>6367691.4011819195</v>
      </c>
      <c r="AU175" s="3">
        <f t="shared" ca="1" si="108"/>
        <v>6489525.6511885487</v>
      </c>
      <c r="AV175" s="3">
        <f t="shared" ca="1" si="108"/>
        <v>6928845.486548678</v>
      </c>
      <c r="AW175" s="3">
        <f t="shared" ca="1" si="108"/>
        <v>6923105.5324980905</v>
      </c>
      <c r="AX175" s="3">
        <f t="shared" ca="1" si="108"/>
        <v>6917365.578447503</v>
      </c>
      <c r="AY175" s="3">
        <f t="shared" ca="1" si="108"/>
        <v>6911625.6243969165</v>
      </c>
      <c r="AZ175" s="3">
        <f t="shared" ca="1" si="108"/>
        <v>6905885.670346329</v>
      </c>
      <c r="BA175" s="3">
        <f t="shared" ca="1" si="108"/>
        <v>6900145.7162957415</v>
      </c>
      <c r="BB175" s="3">
        <f t="shared" ca="1" si="108"/>
        <v>6984699.012245154</v>
      </c>
      <c r="BC175" s="3">
        <f t="shared" ca="1" si="108"/>
        <v>7112908.4269628515</v>
      </c>
      <c r="BD175" s="3">
        <f t="shared" ca="1" si="108"/>
        <v>7098031.3416805491</v>
      </c>
      <c r="BE175" s="3">
        <f t="shared" ca="1" si="108"/>
        <v>7083154.2563982476</v>
      </c>
      <c r="BF175" s="3">
        <f t="shared" ca="1" si="108"/>
        <v>7304422.3211159455</v>
      </c>
      <c r="BG175" s="3">
        <f t="shared" ca="1" si="108"/>
        <v>7262603.8858336434</v>
      </c>
      <c r="BH175" s="3">
        <f t="shared" ca="1" si="108"/>
        <v>7356078.7005513413</v>
      </c>
      <c r="BI175" s="3">
        <f t="shared" ca="1" si="108"/>
        <v>7520405.4152690386</v>
      </c>
      <c r="BJ175" s="3">
        <f t="shared" ca="1" si="108"/>
        <v>7844757.8550423365</v>
      </c>
      <c r="BK175" s="3">
        <f t="shared" ca="1" si="108"/>
        <v>7725014.3788914876</v>
      </c>
      <c r="BL175" s="3">
        <f t="shared" ca="1" si="108"/>
        <v>7859474.7027406385</v>
      </c>
      <c r="BM175" s="3">
        <f t="shared" ca="1" si="108"/>
        <v>7732231.2265897896</v>
      </c>
      <c r="BN175" s="3">
        <f t="shared" ca="1" si="108"/>
        <v>7740281.0004389407</v>
      </c>
      <c r="BO175" s="3">
        <f t="shared" ca="1" si="108"/>
        <v>7701510.900431741</v>
      </c>
      <c r="BP175" s="3">
        <f t="shared" ca="1" si="108"/>
        <v>7808592.7004245417</v>
      </c>
      <c r="BQ175" s="3">
        <f t="shared" ca="1" si="108"/>
        <v>7870674.5004173424</v>
      </c>
      <c r="BR175" s="3">
        <f t="shared" ca="1" si="108"/>
        <v>7977756.3004101431</v>
      </c>
      <c r="BS175" s="3">
        <f t="shared" ref="BS175:CX175" ca="1" si="109">BR177</f>
        <v>8084838.1004029438</v>
      </c>
      <c r="BT175" s="3">
        <f t="shared" ca="1" si="109"/>
        <v>8282213.1503957445</v>
      </c>
      <c r="BU175" s="3">
        <f t="shared" ca="1" si="109"/>
        <v>8299001.7003885452</v>
      </c>
      <c r="BV175" s="3">
        <f t="shared" ca="1" si="109"/>
        <v>8424142.1503813453</v>
      </c>
      <c r="BW175" s="3">
        <f t="shared" ca="1" si="109"/>
        <v>8504282.6003741454</v>
      </c>
      <c r="BX175" s="3">
        <f t="shared" ca="1" si="109"/>
        <v>8737774.9503669459</v>
      </c>
      <c r="BY175" s="3">
        <f t="shared" ca="1" si="109"/>
        <v>8754563.5003597457</v>
      </c>
      <c r="BZ175" s="3">
        <f t="shared" ca="1" si="109"/>
        <v>8861645.3003525455</v>
      </c>
      <c r="CA175" s="3">
        <f t="shared" ca="1" si="109"/>
        <v>8778634.3290118687</v>
      </c>
      <c r="CB175" s="3">
        <f t="shared" ca="1" si="109"/>
        <v>8894268.5076711923</v>
      </c>
      <c r="CC175" s="3">
        <f t="shared" ca="1" si="109"/>
        <v>8784316.1863305159</v>
      </c>
      <c r="CD175" s="3">
        <f t="shared" ca="1" si="109"/>
        <v>8936796.8658956923</v>
      </c>
      <c r="CE175" s="3">
        <f t="shared" ca="1" si="109"/>
        <v>8816285.8945550155</v>
      </c>
      <c r="CF175" s="3">
        <f t="shared" ca="1" si="109"/>
        <v>8913861.4232143387</v>
      </c>
      <c r="CG175" s="3">
        <f t="shared" ca="1" si="109"/>
        <v>8793350.451873662</v>
      </c>
      <c r="CH175" s="3">
        <f t="shared" ca="1" si="109"/>
        <v>8927043.2805329859</v>
      </c>
      <c r="CI175" s="3">
        <f t="shared" ca="1" si="109"/>
        <v>8799032.3091923092</v>
      </c>
      <c r="CJ175" s="3">
        <f t="shared" ca="1" si="109"/>
        <v>8806314.5878516324</v>
      </c>
      <c r="CK175" s="3">
        <f t="shared" ca="1" si="109"/>
        <v>8776096.8665109556</v>
      </c>
      <c r="CL175" s="3">
        <f t="shared" ca="1" si="109"/>
        <v>8783379.1451702788</v>
      </c>
      <c r="CM175" s="3">
        <f t="shared" ca="1" si="109"/>
        <v>8780965.027069455</v>
      </c>
      <c r="CN175" s="3">
        <f t="shared" ca="1" si="109"/>
        <v>8886902.8089686297</v>
      </c>
      <c r="CO175" s="3">
        <f t="shared" ca="1" si="109"/>
        <v>8776136.7908678055</v>
      </c>
      <c r="CP175" s="3">
        <f t="shared" ca="1" si="109"/>
        <v>8665370.7727669813</v>
      </c>
      <c r="CQ175" s="3">
        <f t="shared" ca="1" si="109"/>
        <v>8554604.7546661571</v>
      </c>
      <c r="CR175" s="3">
        <f t="shared" ca="1" si="109"/>
        <v>8443838.7365653329</v>
      </c>
      <c r="CS175" s="3">
        <f t="shared" ca="1" si="109"/>
        <v>8333072.7184645087</v>
      </c>
      <c r="CT175" s="3">
        <f t="shared" ca="1" si="109"/>
        <v>8330658.6003636848</v>
      </c>
      <c r="CU175" s="3">
        <f t="shared" ca="1" si="109"/>
        <v>8111540.6822628602</v>
      </c>
      <c r="CV175" s="3">
        <f t="shared" ca="1" si="109"/>
        <v>8039936.1155293863</v>
      </c>
      <c r="CW175" s="3">
        <f t="shared" ca="1" si="109"/>
        <v>7787745.0487959124</v>
      </c>
      <c r="CX175" s="3">
        <f t="shared" ca="1" si="109"/>
        <v>7625847.2320624385</v>
      </c>
      <c r="CY175" s="3">
        <f t="shared" ref="CY175:DF175" ca="1" si="110">CX177</f>
        <v>7274616.992660962</v>
      </c>
      <c r="CZ175" s="3">
        <f t="shared" ca="1" si="110"/>
        <v>7031738.653259486</v>
      </c>
      <c r="DA175" s="3">
        <f t="shared" ca="1" si="110"/>
        <v>6572156.5138580101</v>
      </c>
      <c r="DB175" s="3">
        <f t="shared" ca="1" si="110"/>
        <v>6240367.6244565342</v>
      </c>
      <c r="DC175" s="3">
        <f t="shared" ca="1" si="110"/>
        <v>5690492.2350550583</v>
      </c>
      <c r="DD175" s="3">
        <f t="shared" ca="1" si="110"/>
        <v>5140616.8456535824</v>
      </c>
      <c r="DE175" s="3">
        <f t="shared" ca="1" si="110"/>
        <v>4590741.4562521065</v>
      </c>
      <c r="DF175" s="3">
        <f t="shared" ca="1" si="110"/>
        <v>4040866.0668506301</v>
      </c>
    </row>
    <row r="176" spans="1:110" ht="15" customHeight="1" x14ac:dyDescent="0.25">
      <c r="A176" s="13" t="s">
        <v>178</v>
      </c>
      <c r="B176" s="302"/>
      <c r="C176" s="3"/>
      <c r="D176" s="3"/>
      <c r="E176" s="3"/>
      <c r="F176" s="3">
        <f t="shared" ref="F176:AK176" ca="1" si="111">F57</f>
        <v>375536.59999999951</v>
      </c>
      <c r="G176" s="3">
        <f t="shared" ca="1" si="111"/>
        <v>4795.5912542628357</v>
      </c>
      <c r="H176" s="3">
        <f t="shared" ca="1" si="111"/>
        <v>-24579.408745737164</v>
      </c>
      <c r="I176" s="3">
        <f t="shared" ca="1" si="111"/>
        <v>478888.7527879164</v>
      </c>
      <c r="J176" s="3">
        <f t="shared" ca="1" si="111"/>
        <v>171828.54798791645</v>
      </c>
      <c r="K176" s="3">
        <f t="shared" ca="1" si="111"/>
        <v>171828.54798791645</v>
      </c>
      <c r="L176" s="3">
        <f t="shared" ca="1" si="111"/>
        <v>476879.11662352737</v>
      </c>
      <c r="M176" s="3">
        <f t="shared" ca="1" si="111"/>
        <v>507880.05063091288</v>
      </c>
      <c r="N176" s="3">
        <f t="shared" ca="1" si="111"/>
        <v>255504.9665448193</v>
      </c>
      <c r="O176" s="3">
        <f t="shared" ca="1" si="111"/>
        <v>255504.9665448193</v>
      </c>
      <c r="P176" s="3">
        <f t="shared" ca="1" si="111"/>
        <v>255504.9665448193</v>
      </c>
      <c r="Q176" s="3">
        <f t="shared" ca="1" si="111"/>
        <v>255504.9665448193</v>
      </c>
      <c r="R176" s="3">
        <f t="shared" ca="1" si="111"/>
        <v>-411966.09389796446</v>
      </c>
      <c r="S176" s="3">
        <f t="shared" ca="1" si="111"/>
        <v>404202.38110203599</v>
      </c>
      <c r="T176" s="3">
        <f t="shared" ca="1" si="111"/>
        <v>562864.25938823656</v>
      </c>
      <c r="U176" s="3">
        <f t="shared" ca="1" si="111"/>
        <v>324683.81218413287</v>
      </c>
      <c r="V176" s="3">
        <f t="shared" ca="1" si="111"/>
        <v>59005.060607367428</v>
      </c>
      <c r="W176" s="3">
        <f t="shared" ca="1" si="111"/>
        <v>59005.060607367428</v>
      </c>
      <c r="X176" s="3">
        <f t="shared" ca="1" si="111"/>
        <v>80815.365047116997</v>
      </c>
      <c r="Y176" s="3">
        <f t="shared" ca="1" si="111"/>
        <v>37194.756167616928</v>
      </c>
      <c r="Z176" s="3">
        <f t="shared" ca="1" si="111"/>
        <v>37194.756167616928</v>
      </c>
      <c r="AA176" s="3">
        <f t="shared" ca="1" si="111"/>
        <v>37194.756167616928</v>
      </c>
      <c r="AB176" s="3">
        <f t="shared" ca="1" si="111"/>
        <v>37194.756167616928</v>
      </c>
      <c r="AC176" s="3">
        <f t="shared" ca="1" si="111"/>
        <v>37194.756167616928</v>
      </c>
      <c r="AD176" s="3">
        <f t="shared" ca="1" si="111"/>
        <v>110433.44672021689</v>
      </c>
      <c r="AE176" s="3">
        <f t="shared" ca="1" si="111"/>
        <v>-53608.5849649827</v>
      </c>
      <c r="AF176" s="3">
        <f t="shared" ca="1" si="111"/>
        <v>-619655.00409643631</v>
      </c>
      <c r="AG176" s="3">
        <f t="shared" ca="1" si="111"/>
        <v>104051.05590356374</v>
      </c>
      <c r="AH176" s="3">
        <f t="shared" ca="1" si="111"/>
        <v>104051.05590356374</v>
      </c>
      <c r="AI176" s="3">
        <f t="shared" ca="1" si="111"/>
        <v>104051.05590356421</v>
      </c>
      <c r="AJ176" s="3">
        <f t="shared" ca="1" si="111"/>
        <v>322340.43547131401</v>
      </c>
      <c r="AK176" s="3">
        <f t="shared" ca="1" si="111"/>
        <v>55514.03666242864</v>
      </c>
      <c r="AL176" s="3">
        <f t="shared" ref="AL176:BQ176" ca="1" si="112">AL57</f>
        <v>351664.75782082882</v>
      </c>
      <c r="AM176" s="3">
        <f t="shared" ca="1" si="112"/>
        <v>19495.163262108807</v>
      </c>
      <c r="AN176" s="3">
        <f t="shared" ca="1" si="112"/>
        <v>-18004.836737891193</v>
      </c>
      <c r="AO176" s="3">
        <f t="shared" ca="1" si="112"/>
        <v>114874.22872475814</v>
      </c>
      <c r="AP176" s="3">
        <f t="shared" ca="1" si="112"/>
        <v>58482.350006630062</v>
      </c>
      <c r="AQ176" s="3">
        <f t="shared" ca="1" si="112"/>
        <v>13482.350006630062</v>
      </c>
      <c r="AR176" s="3">
        <f t="shared" ca="1" si="112"/>
        <v>58482.350006630062</v>
      </c>
      <c r="AS176" s="3">
        <f t="shared" ca="1" si="112"/>
        <v>166834.2500066295</v>
      </c>
      <c r="AT176" s="3">
        <f t="shared" ca="1" si="112"/>
        <v>121834.2500066295</v>
      </c>
      <c r="AU176" s="3">
        <f t="shared" ca="1" si="112"/>
        <v>439319.83536012971</v>
      </c>
      <c r="AV176" s="3">
        <f t="shared" ca="1" si="112"/>
        <v>-5739.954050587141</v>
      </c>
      <c r="AW176" s="3">
        <f t="shared" ca="1" si="112"/>
        <v>-5739.954050587141</v>
      </c>
      <c r="AX176" s="3">
        <f t="shared" ca="1" si="112"/>
        <v>-5739.9540505862096</v>
      </c>
      <c r="AY176" s="3">
        <f t="shared" ca="1" si="112"/>
        <v>-5739.954050587141</v>
      </c>
      <c r="AZ176" s="3">
        <f t="shared" ca="1" si="112"/>
        <v>-5739.954050587141</v>
      </c>
      <c r="BA176" s="3">
        <f t="shared" ca="1" si="112"/>
        <v>84553.295949412859</v>
      </c>
      <c r="BB176" s="3">
        <f t="shared" ca="1" si="112"/>
        <v>128209.41471769719</v>
      </c>
      <c r="BC176" s="3">
        <f t="shared" ca="1" si="112"/>
        <v>-14877.085282302811</v>
      </c>
      <c r="BD176" s="3">
        <f t="shared" ca="1" si="112"/>
        <v>-14877.085282301879</v>
      </c>
      <c r="BE176" s="3">
        <f t="shared" ca="1" si="112"/>
        <v>221268.06471769756</v>
      </c>
      <c r="BF176" s="3">
        <f t="shared" ca="1" si="112"/>
        <v>-41818.435282302438</v>
      </c>
      <c r="BG176" s="3">
        <f t="shared" ca="1" si="112"/>
        <v>93474.814717697562</v>
      </c>
      <c r="BH176" s="3">
        <f t="shared" ca="1" si="112"/>
        <v>164326.71471769747</v>
      </c>
      <c r="BI176" s="3">
        <f t="shared" ca="1" si="112"/>
        <v>324352.43977329752</v>
      </c>
      <c r="BJ176" s="3">
        <f t="shared" ca="1" si="112"/>
        <v>-119743.47615084925</v>
      </c>
      <c r="BK176" s="3">
        <f t="shared" ca="1" si="112"/>
        <v>134460.32384915103</v>
      </c>
      <c r="BL176" s="3">
        <f t="shared" ca="1" si="112"/>
        <v>-127243.47615084925</v>
      </c>
      <c r="BM176" s="3">
        <f t="shared" ca="1" si="112"/>
        <v>8049.773849150748</v>
      </c>
      <c r="BN176" s="3">
        <f t="shared" ca="1" si="112"/>
        <v>-38770.100007199799</v>
      </c>
      <c r="BO176" s="3">
        <f t="shared" ca="1" si="112"/>
        <v>107081.79999280057</v>
      </c>
      <c r="BP176" s="3">
        <f t="shared" ca="1" si="112"/>
        <v>62081.799992800574</v>
      </c>
      <c r="BQ176" s="3">
        <f t="shared" ca="1" si="112"/>
        <v>107081.79999280057</v>
      </c>
      <c r="BR176" s="3">
        <f t="shared" ref="BR176:CW176" ca="1" si="113">BR57</f>
        <v>107081.79999280057</v>
      </c>
      <c r="BS176" s="3">
        <f t="shared" ca="1" si="113"/>
        <v>197375.04999280057</v>
      </c>
      <c r="BT176" s="3">
        <f t="shared" ca="1" si="113"/>
        <v>16788.549992800574</v>
      </c>
      <c r="BU176" s="3">
        <f t="shared" ca="1" si="113"/>
        <v>125140.44999280002</v>
      </c>
      <c r="BV176" s="3">
        <f t="shared" ca="1" si="113"/>
        <v>80140.449992800015</v>
      </c>
      <c r="BW176" s="3">
        <f t="shared" ca="1" si="113"/>
        <v>233492.34999280039</v>
      </c>
      <c r="BX176" s="3">
        <f t="shared" ca="1" si="113"/>
        <v>16788.549992800574</v>
      </c>
      <c r="BY176" s="3">
        <f t="shared" ca="1" si="113"/>
        <v>107081.79999280057</v>
      </c>
      <c r="BZ176" s="3">
        <f t="shared" ca="1" si="113"/>
        <v>-83010.97134067642</v>
      </c>
      <c r="CA176" s="3">
        <f t="shared" ca="1" si="113"/>
        <v>115634.17865932349</v>
      </c>
      <c r="CB176" s="3">
        <f t="shared" ca="1" si="113"/>
        <v>-109952.32134067651</v>
      </c>
      <c r="CC176" s="3">
        <f t="shared" ca="1" si="113"/>
        <v>152480.67956517707</v>
      </c>
      <c r="CD176" s="3">
        <f t="shared" ca="1" si="113"/>
        <v>-120510.97134067642</v>
      </c>
      <c r="CE176" s="3">
        <f t="shared" ca="1" si="113"/>
        <v>97575.52865932358</v>
      </c>
      <c r="CF176" s="3">
        <f t="shared" ca="1" si="113"/>
        <v>-120510.97134067642</v>
      </c>
      <c r="CG176" s="3">
        <f t="shared" ca="1" si="113"/>
        <v>133692.82865932339</v>
      </c>
      <c r="CH176" s="3">
        <f t="shared" ca="1" si="113"/>
        <v>-128010.97134067642</v>
      </c>
      <c r="CI176" s="3">
        <f t="shared" ca="1" si="113"/>
        <v>7282.2786593235796</v>
      </c>
      <c r="CJ176" s="3">
        <f t="shared" ca="1" si="113"/>
        <v>-30217.72134067642</v>
      </c>
      <c r="CK176" s="3">
        <f t="shared" ca="1" si="113"/>
        <v>7282.2786593235796</v>
      </c>
      <c r="CL176" s="3">
        <f t="shared" ca="1" si="113"/>
        <v>-2414.1181008238345</v>
      </c>
      <c r="CM176" s="3">
        <f t="shared" ca="1" si="113"/>
        <v>105937.78189917561</v>
      </c>
      <c r="CN176" s="3">
        <f t="shared" ca="1" si="113"/>
        <v>-110766.01810082421</v>
      </c>
      <c r="CO176" s="3">
        <f t="shared" ca="1" si="113"/>
        <v>-110766.01810082421</v>
      </c>
      <c r="CP176" s="3">
        <f t="shared" ca="1" si="113"/>
        <v>-110766.01810082421</v>
      </c>
      <c r="CQ176" s="3">
        <f t="shared" ca="1" si="113"/>
        <v>-110766.01810082421</v>
      </c>
      <c r="CR176" s="3">
        <f t="shared" ca="1" si="113"/>
        <v>-110766.01810082421</v>
      </c>
      <c r="CS176" s="3">
        <f t="shared" ca="1" si="113"/>
        <v>-2414.1181008238345</v>
      </c>
      <c r="CT176" s="3">
        <f t="shared" ca="1" si="113"/>
        <v>-219117.91810082411</v>
      </c>
      <c r="CU176" s="3">
        <f t="shared" ca="1" si="113"/>
        <v>-71604.566733473563</v>
      </c>
      <c r="CV176" s="3">
        <f t="shared" ca="1" si="113"/>
        <v>-252191.06673347356</v>
      </c>
      <c r="CW176" s="3">
        <f t="shared" ca="1" si="113"/>
        <v>-161897.81673347356</v>
      </c>
      <c r="CX176" s="3">
        <f t="shared" ref="CX176:DF176" ca="1" si="114">CX57</f>
        <v>-351230.23940147634</v>
      </c>
      <c r="CY176" s="3">
        <f t="shared" ca="1" si="114"/>
        <v>-242878.3394014762</v>
      </c>
      <c r="CZ176" s="3">
        <f t="shared" ca="1" si="114"/>
        <v>-459582.13940147625</v>
      </c>
      <c r="DA176" s="3">
        <f t="shared" ca="1" si="114"/>
        <v>-331788.88940147631</v>
      </c>
      <c r="DB176" s="3">
        <f t="shared" ca="1" si="114"/>
        <v>-549875.38940147625</v>
      </c>
      <c r="DC176" s="3">
        <f t="shared" ca="1" si="114"/>
        <v>-549875.38940147625</v>
      </c>
      <c r="DD176" s="3">
        <f t="shared" ca="1" si="114"/>
        <v>-549875.38940147625</v>
      </c>
      <c r="DE176" s="3">
        <f t="shared" ca="1" si="114"/>
        <v>-549875.38940147625</v>
      </c>
      <c r="DF176" s="3">
        <f t="shared" ca="1" si="114"/>
        <v>-549875.38940147625</v>
      </c>
    </row>
    <row r="177" spans="1:110" ht="15" customHeight="1" x14ac:dyDescent="0.25">
      <c r="A177" s="51" t="s">
        <v>48</v>
      </c>
      <c r="B177" s="326"/>
      <c r="C177" s="52"/>
      <c r="D177" s="52"/>
      <c r="E177" s="52"/>
      <c r="F177" s="52">
        <f t="shared" ref="F177:AK177" ca="1" si="115">F175+F176</f>
        <v>1401078.5999999996</v>
      </c>
      <c r="G177" s="52">
        <f t="shared" ca="1" si="115"/>
        <v>1405874.1912542623</v>
      </c>
      <c r="H177" s="52">
        <f t="shared" ca="1" si="115"/>
        <v>1381294.7825085251</v>
      </c>
      <c r="I177" s="52">
        <f t="shared" ca="1" si="115"/>
        <v>1860183.5352964415</v>
      </c>
      <c r="J177" s="52">
        <f t="shared" ca="1" si="115"/>
        <v>2032012.083284358</v>
      </c>
      <c r="K177" s="52">
        <f t="shared" ca="1" si="115"/>
        <v>2203840.6312722745</v>
      </c>
      <c r="L177" s="52">
        <f t="shared" ca="1" si="115"/>
        <v>2680719.7478958019</v>
      </c>
      <c r="M177" s="52">
        <f t="shared" ca="1" si="115"/>
        <v>3188599.7985267146</v>
      </c>
      <c r="N177" s="52">
        <f t="shared" ca="1" si="115"/>
        <v>3444104.7650715336</v>
      </c>
      <c r="O177" s="52">
        <f t="shared" ca="1" si="115"/>
        <v>3699609.7316163527</v>
      </c>
      <c r="P177" s="52">
        <f t="shared" ca="1" si="115"/>
        <v>3955114.6981611717</v>
      </c>
      <c r="Q177" s="52">
        <f t="shared" ca="1" si="115"/>
        <v>4210619.6647059908</v>
      </c>
      <c r="R177" s="52">
        <f t="shared" ca="1" si="115"/>
        <v>3798653.5708080265</v>
      </c>
      <c r="S177" s="52">
        <f t="shared" ca="1" si="115"/>
        <v>4202855.9519100627</v>
      </c>
      <c r="T177" s="52">
        <f t="shared" ca="1" si="115"/>
        <v>4765720.211298299</v>
      </c>
      <c r="U177" s="52">
        <f t="shared" ca="1" si="115"/>
        <v>5090404.0234824317</v>
      </c>
      <c r="V177" s="52">
        <f t="shared" ca="1" si="115"/>
        <v>5149409.0840897989</v>
      </c>
      <c r="W177" s="52">
        <f t="shared" ca="1" si="115"/>
        <v>5208414.144697166</v>
      </c>
      <c r="X177" s="52">
        <f t="shared" ca="1" si="115"/>
        <v>5289229.5097442828</v>
      </c>
      <c r="Y177" s="52">
        <f t="shared" ca="1" si="115"/>
        <v>5326424.2659118995</v>
      </c>
      <c r="Z177" s="52">
        <f t="shared" ca="1" si="115"/>
        <v>5363619.0220795162</v>
      </c>
      <c r="AA177" s="52">
        <f t="shared" ca="1" si="115"/>
        <v>5400813.7782471329</v>
      </c>
      <c r="AB177" s="52">
        <f t="shared" ca="1" si="115"/>
        <v>5438008.5344147496</v>
      </c>
      <c r="AC177" s="52">
        <f t="shared" ca="1" si="115"/>
        <v>5475203.2905823663</v>
      </c>
      <c r="AD177" s="52">
        <f t="shared" ca="1" si="115"/>
        <v>5585636.7373025827</v>
      </c>
      <c r="AE177" s="52">
        <f t="shared" ca="1" si="115"/>
        <v>5532028.1523375995</v>
      </c>
      <c r="AF177" s="52">
        <f t="shared" ca="1" si="115"/>
        <v>4912373.1482411632</v>
      </c>
      <c r="AG177" s="52">
        <f t="shared" ca="1" si="115"/>
        <v>5016424.2041447274</v>
      </c>
      <c r="AH177" s="52">
        <f t="shared" ca="1" si="115"/>
        <v>5120475.2600482907</v>
      </c>
      <c r="AI177" s="52">
        <f t="shared" ca="1" si="115"/>
        <v>5224526.3159518549</v>
      </c>
      <c r="AJ177" s="52">
        <f t="shared" ca="1" si="115"/>
        <v>5546866.7514231689</v>
      </c>
      <c r="AK177" s="52">
        <f t="shared" ca="1" si="115"/>
        <v>5602380.7880855976</v>
      </c>
      <c r="AL177" s="52">
        <f t="shared" ref="AL177:BQ177" ca="1" si="116">AL175+AL176</f>
        <v>5954045.5459064264</v>
      </c>
      <c r="AM177" s="52">
        <f t="shared" ca="1" si="116"/>
        <v>5973540.7091685347</v>
      </c>
      <c r="AN177" s="52">
        <f t="shared" ca="1" si="116"/>
        <v>5955535.8724306431</v>
      </c>
      <c r="AO177" s="52">
        <f t="shared" ca="1" si="116"/>
        <v>6070410.1011554012</v>
      </c>
      <c r="AP177" s="52">
        <f t="shared" ca="1" si="116"/>
        <v>6128892.4511620309</v>
      </c>
      <c r="AQ177" s="52">
        <f t="shared" ca="1" si="116"/>
        <v>6142374.8011686606</v>
      </c>
      <c r="AR177" s="52">
        <f t="shared" ca="1" si="116"/>
        <v>6200857.1511752903</v>
      </c>
      <c r="AS177" s="52">
        <f t="shared" ca="1" si="116"/>
        <v>6367691.4011819195</v>
      </c>
      <c r="AT177" s="52">
        <f t="shared" ca="1" si="116"/>
        <v>6489525.6511885487</v>
      </c>
      <c r="AU177" s="52">
        <f t="shared" ca="1" si="116"/>
        <v>6928845.486548678</v>
      </c>
      <c r="AV177" s="52">
        <f t="shared" ca="1" si="116"/>
        <v>6923105.5324980905</v>
      </c>
      <c r="AW177" s="52">
        <f t="shared" ca="1" si="116"/>
        <v>6917365.578447503</v>
      </c>
      <c r="AX177" s="52">
        <f t="shared" ca="1" si="116"/>
        <v>6911625.6243969165</v>
      </c>
      <c r="AY177" s="52">
        <f t="shared" ca="1" si="116"/>
        <v>6905885.670346329</v>
      </c>
      <c r="AZ177" s="52">
        <f t="shared" ca="1" si="116"/>
        <v>6900145.7162957415</v>
      </c>
      <c r="BA177" s="52">
        <f t="shared" ca="1" si="116"/>
        <v>6984699.012245154</v>
      </c>
      <c r="BB177" s="52">
        <f t="shared" ca="1" si="116"/>
        <v>7112908.4269628515</v>
      </c>
      <c r="BC177" s="52">
        <f t="shared" ca="1" si="116"/>
        <v>7098031.3416805491</v>
      </c>
      <c r="BD177" s="52">
        <f t="shared" ca="1" si="116"/>
        <v>7083154.2563982476</v>
      </c>
      <c r="BE177" s="52">
        <f t="shared" ca="1" si="116"/>
        <v>7304422.3211159455</v>
      </c>
      <c r="BF177" s="52">
        <f t="shared" ca="1" si="116"/>
        <v>7262603.8858336434</v>
      </c>
      <c r="BG177" s="52">
        <f t="shared" ca="1" si="116"/>
        <v>7356078.7005513413</v>
      </c>
      <c r="BH177" s="52">
        <f t="shared" ca="1" si="116"/>
        <v>7520405.4152690386</v>
      </c>
      <c r="BI177" s="52">
        <f t="shared" ca="1" si="116"/>
        <v>7844757.8550423365</v>
      </c>
      <c r="BJ177" s="52">
        <f t="shared" ca="1" si="116"/>
        <v>7725014.3788914876</v>
      </c>
      <c r="BK177" s="52">
        <f t="shared" ca="1" si="116"/>
        <v>7859474.7027406385</v>
      </c>
      <c r="BL177" s="52">
        <f t="shared" ca="1" si="116"/>
        <v>7732231.2265897896</v>
      </c>
      <c r="BM177" s="52">
        <f t="shared" ca="1" si="116"/>
        <v>7740281.0004389407</v>
      </c>
      <c r="BN177" s="52">
        <f t="shared" ca="1" si="116"/>
        <v>7701510.900431741</v>
      </c>
      <c r="BO177" s="52">
        <f t="shared" ca="1" si="116"/>
        <v>7808592.7004245417</v>
      </c>
      <c r="BP177" s="52">
        <f t="shared" ca="1" si="116"/>
        <v>7870674.5004173424</v>
      </c>
      <c r="BQ177" s="52">
        <f t="shared" ca="1" si="116"/>
        <v>7977756.3004101431</v>
      </c>
      <c r="BR177" s="52">
        <f t="shared" ref="BR177:CW177" ca="1" si="117">BR175+BR176</f>
        <v>8084838.1004029438</v>
      </c>
      <c r="BS177" s="52">
        <f t="shared" ca="1" si="117"/>
        <v>8282213.1503957445</v>
      </c>
      <c r="BT177" s="52">
        <f t="shared" ca="1" si="117"/>
        <v>8299001.7003885452</v>
      </c>
      <c r="BU177" s="52">
        <f t="shared" ca="1" si="117"/>
        <v>8424142.1503813453</v>
      </c>
      <c r="BV177" s="52">
        <f t="shared" ca="1" si="117"/>
        <v>8504282.6003741454</v>
      </c>
      <c r="BW177" s="52">
        <f t="shared" ca="1" si="117"/>
        <v>8737774.9503669459</v>
      </c>
      <c r="BX177" s="52">
        <f t="shared" ca="1" si="117"/>
        <v>8754563.5003597457</v>
      </c>
      <c r="BY177" s="52">
        <f t="shared" ca="1" si="117"/>
        <v>8861645.3003525455</v>
      </c>
      <c r="BZ177" s="52">
        <f t="shared" ca="1" si="117"/>
        <v>8778634.3290118687</v>
      </c>
      <c r="CA177" s="52">
        <f t="shared" ca="1" si="117"/>
        <v>8894268.5076711923</v>
      </c>
      <c r="CB177" s="52">
        <f t="shared" ca="1" si="117"/>
        <v>8784316.1863305159</v>
      </c>
      <c r="CC177" s="52">
        <f t="shared" ca="1" si="117"/>
        <v>8936796.8658956923</v>
      </c>
      <c r="CD177" s="52">
        <f t="shared" ca="1" si="117"/>
        <v>8816285.8945550155</v>
      </c>
      <c r="CE177" s="52">
        <f t="shared" ca="1" si="117"/>
        <v>8913861.4232143387</v>
      </c>
      <c r="CF177" s="52">
        <f t="shared" ca="1" si="117"/>
        <v>8793350.451873662</v>
      </c>
      <c r="CG177" s="52">
        <f t="shared" ca="1" si="117"/>
        <v>8927043.2805329859</v>
      </c>
      <c r="CH177" s="52">
        <f t="shared" ca="1" si="117"/>
        <v>8799032.3091923092</v>
      </c>
      <c r="CI177" s="52">
        <f t="shared" ca="1" si="117"/>
        <v>8806314.5878516324</v>
      </c>
      <c r="CJ177" s="52">
        <f t="shared" ca="1" si="117"/>
        <v>8776096.8665109556</v>
      </c>
      <c r="CK177" s="52">
        <f t="shared" ca="1" si="117"/>
        <v>8783379.1451702788</v>
      </c>
      <c r="CL177" s="52">
        <f t="shared" ca="1" si="117"/>
        <v>8780965.027069455</v>
      </c>
      <c r="CM177" s="52">
        <f t="shared" ca="1" si="117"/>
        <v>8886902.8089686297</v>
      </c>
      <c r="CN177" s="52">
        <f t="shared" ca="1" si="117"/>
        <v>8776136.7908678055</v>
      </c>
      <c r="CO177" s="52">
        <f t="shared" ca="1" si="117"/>
        <v>8665370.7727669813</v>
      </c>
      <c r="CP177" s="52">
        <f t="shared" ca="1" si="117"/>
        <v>8554604.7546661571</v>
      </c>
      <c r="CQ177" s="52">
        <f t="shared" ca="1" si="117"/>
        <v>8443838.7365653329</v>
      </c>
      <c r="CR177" s="52">
        <f t="shared" ca="1" si="117"/>
        <v>8333072.7184645087</v>
      </c>
      <c r="CS177" s="52">
        <f t="shared" ca="1" si="117"/>
        <v>8330658.6003636848</v>
      </c>
      <c r="CT177" s="52">
        <f t="shared" ca="1" si="117"/>
        <v>8111540.6822628602</v>
      </c>
      <c r="CU177" s="52">
        <f t="shared" ca="1" si="117"/>
        <v>8039936.1155293863</v>
      </c>
      <c r="CV177" s="52">
        <f t="shared" ca="1" si="117"/>
        <v>7787745.0487959124</v>
      </c>
      <c r="CW177" s="52">
        <f t="shared" ca="1" si="117"/>
        <v>7625847.2320624385</v>
      </c>
      <c r="CX177" s="52">
        <f t="shared" ref="CX177:EC177" ca="1" si="118">CX175+CX176</f>
        <v>7274616.992660962</v>
      </c>
      <c r="CY177" s="52">
        <f t="shared" ca="1" si="118"/>
        <v>7031738.653259486</v>
      </c>
      <c r="CZ177" s="52">
        <f t="shared" ca="1" si="118"/>
        <v>6572156.5138580101</v>
      </c>
      <c r="DA177" s="52">
        <f t="shared" ca="1" si="118"/>
        <v>6240367.6244565342</v>
      </c>
      <c r="DB177" s="52">
        <f t="shared" ca="1" si="118"/>
        <v>5690492.2350550583</v>
      </c>
      <c r="DC177" s="52">
        <f t="shared" ca="1" si="118"/>
        <v>5140616.8456535824</v>
      </c>
      <c r="DD177" s="52">
        <f t="shared" ca="1" si="118"/>
        <v>4590741.4562521065</v>
      </c>
      <c r="DE177" s="52">
        <f t="shared" ca="1" si="118"/>
        <v>4040866.0668506301</v>
      </c>
      <c r="DF177" s="52">
        <f t="shared" ca="1" si="118"/>
        <v>3490990.6774491537</v>
      </c>
    </row>
    <row r="178" spans="1:110" ht="15" customHeight="1" x14ac:dyDescent="0.25">
      <c r="A178" s="302"/>
      <c r="B178" s="30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</row>
    <row r="179" spans="1:110" ht="15" customHeight="1" x14ac:dyDescent="0.25">
      <c r="A179" s="315" t="s">
        <v>179</v>
      </c>
      <c r="B179" s="315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16"/>
      <c r="Z179" s="316"/>
      <c r="AA179" s="316"/>
      <c r="AB179" s="316"/>
      <c r="AC179" s="316"/>
      <c r="AD179" s="316"/>
      <c r="AE179" s="316"/>
      <c r="AF179" s="316"/>
      <c r="AG179" s="316"/>
      <c r="AH179" s="316"/>
      <c r="AI179" s="316"/>
      <c r="AJ179" s="316"/>
      <c r="AK179" s="316"/>
      <c r="AL179" s="316"/>
      <c r="AM179" s="316"/>
      <c r="AN179" s="316"/>
      <c r="AO179" s="316"/>
      <c r="AP179" s="316"/>
      <c r="AQ179" s="316"/>
      <c r="AR179" s="316"/>
      <c r="AS179" s="316"/>
      <c r="AT179" s="316"/>
      <c r="AU179" s="316"/>
      <c r="AV179" s="316"/>
      <c r="AW179" s="316"/>
      <c r="AX179" s="316"/>
      <c r="AY179" s="316"/>
      <c r="AZ179" s="316"/>
      <c r="BA179" s="316"/>
      <c r="BB179" s="316"/>
      <c r="BC179" s="316"/>
      <c r="BD179" s="316"/>
      <c r="BE179" s="316"/>
      <c r="BF179" s="316"/>
      <c r="BG179" s="316"/>
      <c r="BH179" s="316"/>
      <c r="BI179" s="316"/>
      <c r="BJ179" s="316"/>
      <c r="BK179" s="316"/>
      <c r="BL179" s="316"/>
      <c r="BM179" s="316"/>
      <c r="BN179" s="316"/>
      <c r="BO179" s="316"/>
      <c r="BP179" s="316"/>
      <c r="BQ179" s="316"/>
      <c r="BR179" s="316"/>
      <c r="BS179" s="316"/>
      <c r="BT179" s="316"/>
      <c r="BU179" s="316"/>
      <c r="BV179" s="316"/>
      <c r="BW179" s="316"/>
      <c r="BX179" s="316"/>
      <c r="BY179" s="316"/>
      <c r="BZ179" s="316"/>
      <c r="CA179" s="316"/>
      <c r="CB179" s="316"/>
      <c r="CC179" s="316"/>
      <c r="CD179" s="316"/>
      <c r="CE179" s="316"/>
      <c r="CF179" s="316"/>
      <c r="CG179" s="316"/>
      <c r="CH179" s="316"/>
      <c r="CI179" s="316"/>
      <c r="CJ179" s="316"/>
      <c r="CK179" s="316"/>
      <c r="CL179" s="316"/>
      <c r="CM179" s="316"/>
      <c r="CN179" s="316"/>
      <c r="CO179" s="316"/>
      <c r="CP179" s="316"/>
      <c r="CQ179" s="316"/>
      <c r="CR179" s="316"/>
      <c r="CS179" s="316"/>
      <c r="CT179" s="316"/>
      <c r="CU179" s="316"/>
      <c r="CV179" s="316"/>
      <c r="CW179" s="316"/>
      <c r="CX179" s="316"/>
      <c r="CY179" s="316"/>
      <c r="CZ179" s="316"/>
      <c r="DA179" s="316"/>
      <c r="DB179" s="316"/>
      <c r="DC179" s="316"/>
      <c r="DD179" s="316"/>
      <c r="DE179" s="316"/>
      <c r="DF179" s="316"/>
    </row>
    <row r="180" spans="1:110" ht="15" customHeight="1" x14ac:dyDescent="0.25">
      <c r="A180" s="13" t="s">
        <v>180</v>
      </c>
      <c r="B180" s="302"/>
      <c r="C180" s="3"/>
      <c r="D180" s="3"/>
      <c r="E180" s="3"/>
      <c r="F180" s="3">
        <f>Assumptions!$B$30</f>
        <v>237987</v>
      </c>
      <c r="G180" s="3">
        <f t="shared" ref="G180:AL180" si="119">F185</f>
        <v>88624.740000000049</v>
      </c>
      <c r="H180" s="3">
        <f t="shared" si="119"/>
        <v>54149.228333333391</v>
      </c>
      <c r="I180" s="3">
        <f t="shared" si="119"/>
        <v>19673.716666666733</v>
      </c>
      <c r="J180" s="3">
        <f t="shared" si="119"/>
        <v>-14801.794999999925</v>
      </c>
      <c r="K180" s="3">
        <f t="shared" si="119"/>
        <v>-49277.306666666584</v>
      </c>
      <c r="L180" s="3">
        <f t="shared" si="119"/>
        <v>-84586.148333333243</v>
      </c>
      <c r="M180" s="3">
        <f t="shared" si="119"/>
        <v>-249894.9899999999</v>
      </c>
      <c r="N180" s="3">
        <f t="shared" si="119"/>
        <v>-424578.83166666655</v>
      </c>
      <c r="O180" s="3">
        <f t="shared" si="119"/>
        <v>-599262.67333333322</v>
      </c>
      <c r="P180" s="3">
        <f t="shared" si="119"/>
        <v>-750814.2845999999</v>
      </c>
      <c r="Q180" s="3">
        <f t="shared" ca="1" si="119"/>
        <v>-1158616.0958666666</v>
      </c>
      <c r="R180" s="3">
        <f t="shared" ca="1" si="119"/>
        <v>-1316417.9071333334</v>
      </c>
      <c r="S180" s="3">
        <f t="shared" ca="1" si="119"/>
        <v>-1475781.5202333333</v>
      </c>
      <c r="T180" s="3">
        <f t="shared" ca="1" si="119"/>
        <v>-1639645.1333333333</v>
      </c>
      <c r="U180" s="3">
        <f t="shared" ca="1" si="119"/>
        <v>-1803508.7464333333</v>
      </c>
      <c r="V180" s="3">
        <f t="shared" ca="1" si="119"/>
        <v>-1974706.3471333333</v>
      </c>
      <c r="W180" s="3">
        <f t="shared" ca="1" si="119"/>
        <v>-2129331.6854333333</v>
      </c>
      <c r="X180" s="3">
        <f t="shared" ca="1" si="119"/>
        <v>-2267384.7613333333</v>
      </c>
      <c r="Y180" s="3">
        <f t="shared" ca="1" si="119"/>
        <v>-2395310.8608333333</v>
      </c>
      <c r="Z180" s="3">
        <f t="shared" ca="1" si="119"/>
        <v>-2507700.4583333335</v>
      </c>
      <c r="AA180" s="3">
        <f t="shared" ca="1" si="119"/>
        <v>-2483147.8091187784</v>
      </c>
      <c r="AB180" s="3">
        <f t="shared" ca="1" si="119"/>
        <v>-2434464.4266187786</v>
      </c>
      <c r="AC180" s="3">
        <f t="shared" ca="1" si="119"/>
        <v>-2620244.5481187785</v>
      </c>
      <c r="AD180" s="3">
        <f t="shared" ca="1" si="119"/>
        <v>-2483113.1676187785</v>
      </c>
      <c r="AE180" s="3">
        <f t="shared" ca="1" si="119"/>
        <v>-2402158.7319887783</v>
      </c>
      <c r="AF180" s="3">
        <f t="shared" ca="1" si="119"/>
        <v>-2306962.5028587785</v>
      </c>
      <c r="AG180" s="3">
        <f t="shared" ca="1" si="119"/>
        <v>-2121101.1487287786</v>
      </c>
      <c r="AH180" s="3">
        <f t="shared" ca="1" si="119"/>
        <v>-2041740.0245987787</v>
      </c>
      <c r="AI180" s="3">
        <f t="shared" ca="1" si="119"/>
        <v>-1961948.7344687786</v>
      </c>
      <c r="AJ180" s="3">
        <f t="shared" ca="1" si="119"/>
        <v>-1881727.2893387787</v>
      </c>
      <c r="AK180" s="3">
        <f t="shared" ca="1" si="119"/>
        <v>-1810575.6837087786</v>
      </c>
      <c r="AL180" s="3">
        <f t="shared" ca="1" si="119"/>
        <v>-1738993.9230787787</v>
      </c>
      <c r="AM180" s="3">
        <f t="shared" ref="AM180:BR180" ca="1" si="120">AL185</f>
        <v>-1652740.2139487786</v>
      </c>
      <c r="AN180" s="3">
        <f t="shared" ca="1" si="120"/>
        <v>-1580298.1268187785</v>
      </c>
      <c r="AO180" s="3">
        <f t="shared" ca="1" si="120"/>
        <v>-1771667.6671887785</v>
      </c>
      <c r="AP180" s="3">
        <f t="shared" ca="1" si="120"/>
        <v>-1726848.8350587785</v>
      </c>
      <c r="AQ180" s="3">
        <f t="shared" ca="1" si="120"/>
        <v>-1697466.5345561786</v>
      </c>
      <c r="AR180" s="3">
        <f t="shared" ca="1" si="120"/>
        <v>-1689708.6295535786</v>
      </c>
      <c r="AS180" s="3">
        <f t="shared" ca="1" si="120"/>
        <v>-1694506.7495509787</v>
      </c>
      <c r="AT180" s="3">
        <f t="shared" ca="1" si="120"/>
        <v>-1711860.8995483785</v>
      </c>
      <c r="AU180" s="3">
        <f t="shared" ca="1" si="120"/>
        <v>-1741771.0695457784</v>
      </c>
      <c r="AV180" s="3">
        <f t="shared" ca="1" si="120"/>
        <v>-1784721.8510431785</v>
      </c>
      <c r="AW180" s="3">
        <f t="shared" ca="1" si="120"/>
        <v>-1786794.6310405785</v>
      </c>
      <c r="AX180" s="3">
        <f t="shared" ca="1" si="120"/>
        <v>-1801814.4860379784</v>
      </c>
      <c r="AY180" s="3">
        <f t="shared" ca="1" si="120"/>
        <v>-1842627.7035353784</v>
      </c>
      <c r="AZ180" s="3">
        <f t="shared" ca="1" si="120"/>
        <v>-1883871.0815327785</v>
      </c>
      <c r="BA180" s="3">
        <f t="shared" ca="1" si="120"/>
        <v>-2175544.6255301787</v>
      </c>
      <c r="BB180" s="3">
        <f t="shared" ca="1" si="120"/>
        <v>-2217648.3245275784</v>
      </c>
      <c r="BC180" s="3">
        <f t="shared" ca="1" si="120"/>
        <v>-2261839.5806249264</v>
      </c>
      <c r="BD180" s="3">
        <f t="shared" ca="1" si="120"/>
        <v>-2306460.9972222745</v>
      </c>
      <c r="BE180" s="3">
        <f t="shared" ca="1" si="120"/>
        <v>-2351512.5743196225</v>
      </c>
      <c r="BF180" s="3">
        <f t="shared" ca="1" si="120"/>
        <v>-2396994.3119169706</v>
      </c>
      <c r="BG180" s="3">
        <f t="shared" ca="1" si="120"/>
        <v>-2442906.2100143186</v>
      </c>
      <c r="BH180" s="3">
        <f t="shared" ca="1" si="120"/>
        <v>-2489248.2686116667</v>
      </c>
      <c r="BI180" s="3">
        <f t="shared" ca="1" si="120"/>
        <v>-2536020.4877090147</v>
      </c>
      <c r="BJ180" s="3">
        <f t="shared" ca="1" si="120"/>
        <v>-2583222.8673063628</v>
      </c>
      <c r="BK180" s="3">
        <f t="shared" ca="1" si="120"/>
        <v>-2630855.4019037108</v>
      </c>
      <c r="BL180" s="3">
        <f t="shared" ca="1" si="120"/>
        <v>-2655417.602501059</v>
      </c>
      <c r="BM180" s="3">
        <f t="shared" ca="1" si="120"/>
        <v>-2680409.9635984069</v>
      </c>
      <c r="BN180" s="3">
        <f t="shared" ca="1" si="120"/>
        <v>-2652006.195195755</v>
      </c>
      <c r="BO180" s="3">
        <f t="shared" ca="1" si="120"/>
        <v>-2738223.9663250498</v>
      </c>
      <c r="BP180" s="3">
        <f t="shared" ca="1" si="120"/>
        <v>-2824441.7374543445</v>
      </c>
      <c r="BQ180" s="3">
        <f t="shared" ca="1" si="120"/>
        <v>-2910659.5085836393</v>
      </c>
      <c r="BR180" s="3">
        <f t="shared" ca="1" si="120"/>
        <v>-2996877.279712934</v>
      </c>
      <c r="BS180" s="3">
        <f t="shared" ref="BS180:CX180" ca="1" si="121">BR185</f>
        <v>-3083095.0508422288</v>
      </c>
      <c r="BT180" s="3">
        <f t="shared" ca="1" si="121"/>
        <v>-3117799.3019715236</v>
      </c>
      <c r="BU180" s="3">
        <f t="shared" ca="1" si="121"/>
        <v>-3204017.0731008183</v>
      </c>
      <c r="BV180" s="3">
        <f t="shared" ca="1" si="121"/>
        <v>-3290234.8442301131</v>
      </c>
      <c r="BW180" s="3">
        <f t="shared" ca="1" si="121"/>
        <v>-3308690.6153594078</v>
      </c>
      <c r="BX180" s="3">
        <f t="shared" ca="1" si="121"/>
        <v>-3394908.3864887026</v>
      </c>
      <c r="BY180" s="3">
        <f t="shared" ca="1" si="121"/>
        <v>-3481126.1576179974</v>
      </c>
      <c r="BZ180" s="3">
        <f t="shared" ca="1" si="121"/>
        <v>-3499581.9287472921</v>
      </c>
      <c r="CA180" s="3">
        <f t="shared" ca="1" si="121"/>
        <v>-3587524.0552991731</v>
      </c>
      <c r="CB180" s="3">
        <f t="shared" ca="1" si="121"/>
        <v>-3675466.1818510541</v>
      </c>
      <c r="CC180" s="3">
        <f t="shared" ca="1" si="121"/>
        <v>-3695646.308402935</v>
      </c>
      <c r="CD180" s="3">
        <f t="shared" ca="1" si="121"/>
        <v>-3783588.434954816</v>
      </c>
      <c r="CE180" s="3">
        <f t="shared" ca="1" si="121"/>
        <v>-3871530.561506697</v>
      </c>
      <c r="CF180" s="3">
        <f t="shared" ca="1" si="121"/>
        <v>-3882973.6880585779</v>
      </c>
      <c r="CG180" s="3">
        <f t="shared" ca="1" si="121"/>
        <v>-3970915.8146104589</v>
      </c>
      <c r="CH180" s="3">
        <f t="shared" ca="1" si="121"/>
        <v>-4058857.9411623399</v>
      </c>
      <c r="CI180" s="3">
        <f t="shared" ca="1" si="121"/>
        <v>-4070301.0677142208</v>
      </c>
      <c r="CJ180" s="3">
        <f t="shared" ca="1" si="121"/>
        <v>-4158243.1942661018</v>
      </c>
      <c r="CK180" s="3">
        <f t="shared" ca="1" si="121"/>
        <v>-4246185.3208179828</v>
      </c>
      <c r="CL180" s="3">
        <f t="shared" ca="1" si="121"/>
        <v>-4251020.4207633846</v>
      </c>
      <c r="CM180" s="3">
        <f t="shared" ca="1" si="121"/>
        <v>-4182860.389846303</v>
      </c>
      <c r="CN180" s="3">
        <f t="shared" ca="1" si="121"/>
        <v>-4114700.3589292215</v>
      </c>
      <c r="CO180" s="3">
        <f t="shared" ca="1" si="121"/>
        <v>-4046540.32801214</v>
      </c>
      <c r="CP180" s="3">
        <f t="shared" ca="1" si="121"/>
        <v>-3978380.2970950585</v>
      </c>
      <c r="CQ180" s="3">
        <f t="shared" ca="1" si="121"/>
        <v>-3910220.266177977</v>
      </c>
      <c r="CR180" s="3">
        <f t="shared" ca="1" si="121"/>
        <v>-3842060.2352608955</v>
      </c>
      <c r="CS180" s="3">
        <f t="shared" ca="1" si="121"/>
        <v>-3773900.2043438139</v>
      </c>
      <c r="CT180" s="3">
        <f t="shared" ca="1" si="121"/>
        <v>-3705740.1734267324</v>
      </c>
      <c r="CU180" s="3">
        <f t="shared" ca="1" si="121"/>
        <v>-3637580.1425096509</v>
      </c>
      <c r="CV180" s="3">
        <f t="shared" ca="1" si="121"/>
        <v>-3567511.6182176732</v>
      </c>
      <c r="CW180" s="3">
        <f t="shared" ca="1" si="121"/>
        <v>-3497443.0939256949</v>
      </c>
      <c r="CX180" s="3">
        <f t="shared" ca="1" si="121"/>
        <v>-3427374.5696337167</v>
      </c>
      <c r="CY180" s="3">
        <f t="shared" ref="CY180:DF180" ca="1" si="122">CX185</f>
        <v>-3303353.7437923062</v>
      </c>
      <c r="CZ180" s="3">
        <f t="shared" ca="1" si="122"/>
        <v>-3161886.0690144887</v>
      </c>
      <c r="DA180" s="3">
        <f t="shared" ca="1" si="122"/>
        <v>-3020418.3942366713</v>
      </c>
      <c r="DB180" s="3">
        <f t="shared" ca="1" si="122"/>
        <v>-2878950.7194588538</v>
      </c>
      <c r="DC180" s="3">
        <f t="shared" ca="1" si="122"/>
        <v>-2737483.0446810364</v>
      </c>
      <c r="DD180" s="3">
        <f t="shared" ca="1" si="122"/>
        <v>-2596015.3699032189</v>
      </c>
      <c r="DE180" s="3">
        <f t="shared" ca="1" si="122"/>
        <v>-2454547.6951254015</v>
      </c>
      <c r="DF180" s="3">
        <f t="shared" ca="1" si="122"/>
        <v>-2313080.020347584</v>
      </c>
    </row>
    <row r="181" spans="1:110" ht="15" customHeight="1" x14ac:dyDescent="0.25">
      <c r="A181" s="13" t="s">
        <v>181</v>
      </c>
      <c r="B181" s="302"/>
      <c r="C181" s="3"/>
      <c r="D181" s="3"/>
      <c r="E181" s="3"/>
      <c r="F181" s="3">
        <f t="shared" ref="F181:AK181" si="123">F113</f>
        <v>-149362.25999999995</v>
      </c>
      <c r="G181" s="3">
        <f t="shared" si="123"/>
        <v>-34475.511666666658</v>
      </c>
      <c r="H181" s="3">
        <f t="shared" si="123"/>
        <v>-34475.511666666658</v>
      </c>
      <c r="I181" s="3">
        <f t="shared" si="123"/>
        <v>-34475.511666666658</v>
      </c>
      <c r="J181" s="3">
        <f t="shared" si="123"/>
        <v>-34475.511666666658</v>
      </c>
      <c r="K181" s="3">
        <f t="shared" si="123"/>
        <v>-35308.84166666666</v>
      </c>
      <c r="L181" s="3">
        <f t="shared" si="123"/>
        <v>-35308.84166666666</v>
      </c>
      <c r="M181" s="3">
        <f t="shared" si="123"/>
        <v>-44683.84166666666</v>
      </c>
      <c r="N181" s="3">
        <f t="shared" si="123"/>
        <v>-44683.84166666666</v>
      </c>
      <c r="O181" s="3">
        <f t="shared" si="123"/>
        <v>-21551.61126666666</v>
      </c>
      <c r="P181" s="3">
        <f t="shared" si="123"/>
        <v>-27801.811266666657</v>
      </c>
      <c r="Q181" s="3">
        <f t="shared" si="123"/>
        <v>-27801.811266666657</v>
      </c>
      <c r="R181" s="3">
        <f t="shared" si="123"/>
        <v>-29363.613100000002</v>
      </c>
      <c r="S181" s="3">
        <f t="shared" si="123"/>
        <v>-33863.613100000002</v>
      </c>
      <c r="T181" s="3">
        <f t="shared" si="123"/>
        <v>-33863.613100000002</v>
      </c>
      <c r="U181" s="3">
        <f t="shared" si="123"/>
        <v>-41197.60070000001</v>
      </c>
      <c r="V181" s="3">
        <f t="shared" si="123"/>
        <v>-24625.33830000001</v>
      </c>
      <c r="W181" s="3">
        <f t="shared" si="123"/>
        <v>-8053.0759000000107</v>
      </c>
      <c r="X181" s="3">
        <f t="shared" si="123"/>
        <v>2073.9004999999888</v>
      </c>
      <c r="Y181" s="3">
        <f t="shared" si="123"/>
        <v>17610.402499999997</v>
      </c>
      <c r="Z181" s="3">
        <f t="shared" si="123"/>
        <v>90521.892499999987</v>
      </c>
      <c r="AA181" s="3">
        <f t="shared" si="123"/>
        <v>48683.382499999992</v>
      </c>
      <c r="AB181" s="3">
        <f t="shared" si="123"/>
        <v>64219.878499999992</v>
      </c>
      <c r="AC181" s="3">
        <f t="shared" si="123"/>
        <v>137131.38049999997</v>
      </c>
      <c r="AD181" s="3">
        <f t="shared" si="123"/>
        <v>80954.435629999993</v>
      </c>
      <c r="AE181" s="3">
        <f t="shared" si="123"/>
        <v>95196.229129999992</v>
      </c>
      <c r="AF181" s="3">
        <f t="shared" si="123"/>
        <v>185861.35412999999</v>
      </c>
      <c r="AG181" s="3">
        <f t="shared" si="123"/>
        <v>79361.124130000011</v>
      </c>
      <c r="AH181" s="3">
        <f t="shared" si="123"/>
        <v>79791.290129999979</v>
      </c>
      <c r="AI181" s="3">
        <f t="shared" si="123"/>
        <v>80221.445129999978</v>
      </c>
      <c r="AJ181" s="3">
        <f t="shared" si="123"/>
        <v>71151.605630000005</v>
      </c>
      <c r="AK181" s="3">
        <f t="shared" si="123"/>
        <v>71581.760629999975</v>
      </c>
      <c r="AL181" s="3">
        <f t="shared" ref="AL181:BQ181" si="124">AL113</f>
        <v>86253.709130000003</v>
      </c>
      <c r="AM181" s="3">
        <f t="shared" si="124"/>
        <v>72442.08713</v>
      </c>
      <c r="AN181" s="3">
        <f t="shared" si="124"/>
        <v>58630.459629999998</v>
      </c>
      <c r="AO181" s="3">
        <f t="shared" si="124"/>
        <v>44818.832129999995</v>
      </c>
      <c r="AP181" s="3">
        <f t="shared" si="124"/>
        <v>29382.300502600017</v>
      </c>
      <c r="AQ181" s="3">
        <f t="shared" si="124"/>
        <v>7757.9050026000186</v>
      </c>
      <c r="AR181" s="3">
        <f t="shared" si="124"/>
        <v>-4798.1199973999755</v>
      </c>
      <c r="AS181" s="3">
        <f t="shared" si="124"/>
        <v>-17354.149997399989</v>
      </c>
      <c r="AT181" s="3">
        <f t="shared" si="124"/>
        <v>-29910.169997399978</v>
      </c>
      <c r="AU181" s="3">
        <f t="shared" si="124"/>
        <v>-42950.781497399992</v>
      </c>
      <c r="AV181" s="3">
        <f t="shared" si="124"/>
        <v>-2072.779997399979</v>
      </c>
      <c r="AW181" s="3">
        <f t="shared" si="124"/>
        <v>-15019.854997399976</v>
      </c>
      <c r="AX181" s="3">
        <f t="shared" si="124"/>
        <v>-40813.217497399994</v>
      </c>
      <c r="AY181" s="3">
        <f t="shared" si="124"/>
        <v>-41243.377997399984</v>
      </c>
      <c r="AZ181" s="3">
        <f t="shared" si="124"/>
        <v>-41673.543997399982</v>
      </c>
      <c r="BA181" s="3">
        <f t="shared" si="124"/>
        <v>-42103.698997400003</v>
      </c>
      <c r="BB181" s="3">
        <f t="shared" si="124"/>
        <v>-44191.256097347999</v>
      </c>
      <c r="BC181" s="3">
        <f t="shared" si="124"/>
        <v>-44621.416597347998</v>
      </c>
      <c r="BD181" s="3">
        <f t="shared" si="124"/>
        <v>-45051.577097347938</v>
      </c>
      <c r="BE181" s="3">
        <f t="shared" si="124"/>
        <v>-45481.737597347994</v>
      </c>
      <c r="BF181" s="3">
        <f t="shared" si="124"/>
        <v>-45911.898097347992</v>
      </c>
      <c r="BG181" s="3">
        <f t="shared" si="124"/>
        <v>-46342.05859734799</v>
      </c>
      <c r="BH181" s="3">
        <f t="shared" si="124"/>
        <v>-46772.219097347996</v>
      </c>
      <c r="BI181" s="3">
        <f t="shared" si="124"/>
        <v>-47202.379597348001</v>
      </c>
      <c r="BJ181" s="3">
        <f t="shared" si="124"/>
        <v>-47632.534597347985</v>
      </c>
      <c r="BK181" s="3">
        <f t="shared" si="124"/>
        <v>-24562.20059734799</v>
      </c>
      <c r="BL181" s="3">
        <f t="shared" si="124"/>
        <v>-24992.361097347988</v>
      </c>
      <c r="BM181" s="3">
        <f t="shared" si="124"/>
        <v>28403.768402652</v>
      </c>
      <c r="BN181" s="3">
        <f t="shared" si="124"/>
        <v>-86217.771129294968</v>
      </c>
      <c r="BO181" s="3">
        <f t="shared" si="124"/>
        <v>-86217.771129294968</v>
      </c>
      <c r="BP181" s="3">
        <f t="shared" si="124"/>
        <v>-86217.771129294968</v>
      </c>
      <c r="BQ181" s="3">
        <f t="shared" si="124"/>
        <v>-86217.771129294968</v>
      </c>
      <c r="BR181" s="3">
        <f t="shared" ref="BR181:CW181" si="125">BR113</f>
        <v>-86217.771129294968</v>
      </c>
      <c r="BS181" s="3">
        <f t="shared" si="125"/>
        <v>-34704.251129294949</v>
      </c>
      <c r="BT181" s="3">
        <f t="shared" si="125"/>
        <v>-86217.771129294968</v>
      </c>
      <c r="BU181" s="3">
        <f t="shared" si="125"/>
        <v>-86217.771129294968</v>
      </c>
      <c r="BV181" s="3">
        <f t="shared" si="125"/>
        <v>-18455.771129294968</v>
      </c>
      <c r="BW181" s="3">
        <f t="shared" si="125"/>
        <v>-86217.771129294968</v>
      </c>
      <c r="BX181" s="3">
        <f t="shared" si="125"/>
        <v>-86217.771129294968</v>
      </c>
      <c r="BY181" s="3">
        <f t="shared" si="125"/>
        <v>-18455.771129294968</v>
      </c>
      <c r="BZ181" s="3">
        <f t="shared" si="125"/>
        <v>-87942.126551880865</v>
      </c>
      <c r="CA181" s="3">
        <f t="shared" si="125"/>
        <v>-87942.126551880865</v>
      </c>
      <c r="CB181" s="3">
        <f t="shared" si="125"/>
        <v>-20180.12655188085</v>
      </c>
      <c r="CC181" s="3">
        <f t="shared" si="125"/>
        <v>-87942.126551880865</v>
      </c>
      <c r="CD181" s="3">
        <f t="shared" si="125"/>
        <v>-87942.126551880865</v>
      </c>
      <c r="CE181" s="3">
        <f t="shared" si="125"/>
        <v>-11443.12655188085</v>
      </c>
      <c r="CF181" s="3">
        <f t="shared" si="125"/>
        <v>-87942.126551880865</v>
      </c>
      <c r="CG181" s="3">
        <f t="shared" si="125"/>
        <v>-87942.126551880865</v>
      </c>
      <c r="CH181" s="3">
        <f t="shared" si="125"/>
        <v>-11443.12655188085</v>
      </c>
      <c r="CI181" s="3">
        <f t="shared" si="125"/>
        <v>-87942.126551880865</v>
      </c>
      <c r="CJ181" s="3">
        <f t="shared" si="125"/>
        <v>-87942.126551880865</v>
      </c>
      <c r="CK181" s="3">
        <f t="shared" si="125"/>
        <v>-4835.0999454016564</v>
      </c>
      <c r="CL181" s="3">
        <f t="shared" si="125"/>
        <v>68160.030917081516</v>
      </c>
      <c r="CM181" s="3">
        <f t="shared" si="125"/>
        <v>68160.030917081516</v>
      </c>
      <c r="CN181" s="3">
        <f t="shared" si="125"/>
        <v>68160.030917081516</v>
      </c>
      <c r="CO181" s="3">
        <f t="shared" si="125"/>
        <v>68160.030917081516</v>
      </c>
      <c r="CP181" s="3">
        <f t="shared" si="125"/>
        <v>68160.030917081516</v>
      </c>
      <c r="CQ181" s="3">
        <f t="shared" si="125"/>
        <v>68160.030917081516</v>
      </c>
      <c r="CR181" s="3">
        <f t="shared" si="125"/>
        <v>68160.030917081516</v>
      </c>
      <c r="CS181" s="3">
        <f t="shared" si="125"/>
        <v>68160.030917081516</v>
      </c>
      <c r="CT181" s="3">
        <f t="shared" si="125"/>
        <v>68160.030917081516</v>
      </c>
      <c r="CU181" s="3">
        <f t="shared" si="125"/>
        <v>70068.524291977985</v>
      </c>
      <c r="CV181" s="3">
        <f t="shared" si="125"/>
        <v>70068.524291977985</v>
      </c>
      <c r="CW181" s="3">
        <f t="shared" si="125"/>
        <v>70068.524291977985</v>
      </c>
      <c r="CX181" s="3">
        <f t="shared" ref="CX181:DF181" si="126">CX113</f>
        <v>124020.82584141038</v>
      </c>
      <c r="CY181" s="3">
        <f t="shared" si="126"/>
        <v>141467.67477781756</v>
      </c>
      <c r="CZ181" s="3">
        <f t="shared" si="126"/>
        <v>141467.67477781756</v>
      </c>
      <c r="DA181" s="3">
        <f t="shared" si="126"/>
        <v>141467.67477781756</v>
      </c>
      <c r="DB181" s="3">
        <f t="shared" si="126"/>
        <v>141467.67477781756</v>
      </c>
      <c r="DC181" s="3">
        <f t="shared" si="126"/>
        <v>141467.67477781756</v>
      </c>
      <c r="DD181" s="3">
        <f t="shared" si="126"/>
        <v>141467.67477781756</v>
      </c>
      <c r="DE181" s="3">
        <f t="shared" si="126"/>
        <v>141467.67477781756</v>
      </c>
      <c r="DF181" s="3">
        <f t="shared" si="126"/>
        <v>141467.67477781756</v>
      </c>
    </row>
    <row r="182" spans="1:110" ht="15" customHeight="1" x14ac:dyDescent="0.25">
      <c r="A182" s="13" t="s">
        <v>182</v>
      </c>
      <c r="B182" s="302"/>
      <c r="C182" s="3"/>
      <c r="D182" s="3"/>
      <c r="E182" s="3"/>
      <c r="F182" s="3">
        <f t="shared" ref="F182:AK182" si="127">F130</f>
        <v>0</v>
      </c>
      <c r="G182" s="3">
        <f t="shared" si="127"/>
        <v>0</v>
      </c>
      <c r="H182" s="3">
        <f t="shared" si="127"/>
        <v>0</v>
      </c>
      <c r="I182" s="3">
        <f t="shared" si="127"/>
        <v>0</v>
      </c>
      <c r="J182" s="3">
        <f t="shared" si="127"/>
        <v>0</v>
      </c>
      <c r="K182" s="3">
        <f t="shared" si="127"/>
        <v>0</v>
      </c>
      <c r="L182" s="3">
        <f t="shared" si="127"/>
        <v>-130000</v>
      </c>
      <c r="M182" s="3">
        <f t="shared" si="127"/>
        <v>-130000</v>
      </c>
      <c r="N182" s="3">
        <f t="shared" si="127"/>
        <v>-130000</v>
      </c>
      <c r="O182" s="3">
        <f t="shared" si="127"/>
        <v>-130000</v>
      </c>
      <c r="P182" s="3">
        <f t="shared" si="127"/>
        <v>-130000</v>
      </c>
      <c r="Q182" s="3">
        <f t="shared" si="127"/>
        <v>-130000</v>
      </c>
      <c r="R182" s="3">
        <f t="shared" si="127"/>
        <v>-130000</v>
      </c>
      <c r="S182" s="3">
        <f t="shared" si="127"/>
        <v>-130000</v>
      </c>
      <c r="T182" s="3">
        <f t="shared" si="127"/>
        <v>-130000</v>
      </c>
      <c r="U182" s="3">
        <f t="shared" si="127"/>
        <v>-130000</v>
      </c>
      <c r="V182" s="3">
        <f t="shared" si="127"/>
        <v>-130000</v>
      </c>
      <c r="W182" s="3">
        <f t="shared" si="127"/>
        <v>-130000</v>
      </c>
      <c r="X182" s="3">
        <f t="shared" si="127"/>
        <v>-130000</v>
      </c>
      <c r="Y182" s="3">
        <f t="shared" si="127"/>
        <v>-130000</v>
      </c>
      <c r="Z182" s="3">
        <f t="shared" si="127"/>
        <v>-65969.24328544506</v>
      </c>
      <c r="AA182" s="3">
        <f t="shared" si="127"/>
        <v>0</v>
      </c>
      <c r="AB182" s="3">
        <f t="shared" si="127"/>
        <v>0</v>
      </c>
      <c r="AC182" s="3">
        <f t="shared" si="127"/>
        <v>0</v>
      </c>
      <c r="AD182" s="3">
        <f t="shared" si="127"/>
        <v>0</v>
      </c>
      <c r="AE182" s="3">
        <f t="shared" si="127"/>
        <v>0</v>
      </c>
      <c r="AF182" s="3">
        <f t="shared" si="127"/>
        <v>0</v>
      </c>
      <c r="AG182" s="3">
        <f t="shared" si="127"/>
        <v>0</v>
      </c>
      <c r="AH182" s="3">
        <f t="shared" si="127"/>
        <v>0</v>
      </c>
      <c r="AI182" s="3">
        <f t="shared" si="127"/>
        <v>0</v>
      </c>
      <c r="AJ182" s="3">
        <f t="shared" si="127"/>
        <v>0</v>
      </c>
      <c r="AK182" s="3">
        <f t="shared" si="127"/>
        <v>0</v>
      </c>
      <c r="AL182" s="3">
        <f t="shared" ref="AL182:BQ182" si="128">AL130</f>
        <v>0</v>
      </c>
      <c r="AM182" s="3">
        <f t="shared" si="128"/>
        <v>0</v>
      </c>
      <c r="AN182" s="3">
        <f t="shared" si="128"/>
        <v>0</v>
      </c>
      <c r="AO182" s="3">
        <f t="shared" si="128"/>
        <v>0</v>
      </c>
      <c r="AP182" s="3">
        <f t="shared" si="128"/>
        <v>0</v>
      </c>
      <c r="AQ182" s="3">
        <f t="shared" si="128"/>
        <v>0</v>
      </c>
      <c r="AR182" s="3">
        <f t="shared" si="128"/>
        <v>0</v>
      </c>
      <c r="AS182" s="3">
        <f t="shared" si="128"/>
        <v>0</v>
      </c>
      <c r="AT182" s="3">
        <f t="shared" si="128"/>
        <v>0</v>
      </c>
      <c r="AU182" s="3">
        <f t="shared" si="128"/>
        <v>0</v>
      </c>
      <c r="AV182" s="3">
        <f t="shared" si="128"/>
        <v>0</v>
      </c>
      <c r="AW182" s="3">
        <f t="shared" si="128"/>
        <v>0</v>
      </c>
      <c r="AX182" s="3">
        <f t="shared" si="128"/>
        <v>0</v>
      </c>
      <c r="AY182" s="3">
        <f t="shared" si="128"/>
        <v>0</v>
      </c>
      <c r="AZ182" s="3">
        <f t="shared" si="128"/>
        <v>0</v>
      </c>
      <c r="BA182" s="3">
        <f t="shared" si="128"/>
        <v>0</v>
      </c>
      <c r="BB182" s="3">
        <f t="shared" si="128"/>
        <v>0</v>
      </c>
      <c r="BC182" s="3">
        <f t="shared" si="128"/>
        <v>0</v>
      </c>
      <c r="BD182" s="3">
        <f t="shared" si="128"/>
        <v>0</v>
      </c>
      <c r="BE182" s="3">
        <f t="shared" si="128"/>
        <v>0</v>
      </c>
      <c r="BF182" s="3">
        <f t="shared" si="128"/>
        <v>0</v>
      </c>
      <c r="BG182" s="3">
        <f t="shared" si="128"/>
        <v>0</v>
      </c>
      <c r="BH182" s="3">
        <f t="shared" si="128"/>
        <v>0</v>
      </c>
      <c r="BI182" s="3">
        <f t="shared" si="128"/>
        <v>0</v>
      </c>
      <c r="BJ182" s="3">
        <f t="shared" si="128"/>
        <v>0</v>
      </c>
      <c r="BK182" s="3">
        <f t="shared" si="128"/>
        <v>0</v>
      </c>
      <c r="BL182" s="3">
        <f t="shared" si="128"/>
        <v>0</v>
      </c>
      <c r="BM182" s="3">
        <f t="shared" si="128"/>
        <v>0</v>
      </c>
      <c r="BN182" s="3">
        <f t="shared" si="128"/>
        <v>0</v>
      </c>
      <c r="BO182" s="3">
        <f t="shared" si="128"/>
        <v>0</v>
      </c>
      <c r="BP182" s="3">
        <f t="shared" si="128"/>
        <v>0</v>
      </c>
      <c r="BQ182" s="3">
        <f t="shared" si="128"/>
        <v>0</v>
      </c>
      <c r="BR182" s="3">
        <f t="shared" ref="BR182:CW182" si="129">BR130</f>
        <v>0</v>
      </c>
      <c r="BS182" s="3">
        <f t="shared" si="129"/>
        <v>0</v>
      </c>
      <c r="BT182" s="3">
        <f t="shared" si="129"/>
        <v>0</v>
      </c>
      <c r="BU182" s="3">
        <f t="shared" si="129"/>
        <v>0</v>
      </c>
      <c r="BV182" s="3">
        <f t="shared" si="129"/>
        <v>0</v>
      </c>
      <c r="BW182" s="3">
        <f t="shared" si="129"/>
        <v>0</v>
      </c>
      <c r="BX182" s="3">
        <f t="shared" si="129"/>
        <v>0</v>
      </c>
      <c r="BY182" s="3">
        <f t="shared" si="129"/>
        <v>0</v>
      </c>
      <c r="BZ182" s="3">
        <f t="shared" si="129"/>
        <v>0</v>
      </c>
      <c r="CA182" s="3">
        <f t="shared" si="129"/>
        <v>0</v>
      </c>
      <c r="CB182" s="3">
        <f t="shared" si="129"/>
        <v>0</v>
      </c>
      <c r="CC182" s="3">
        <f t="shared" si="129"/>
        <v>0</v>
      </c>
      <c r="CD182" s="3">
        <f t="shared" si="129"/>
        <v>0</v>
      </c>
      <c r="CE182" s="3">
        <f t="shared" si="129"/>
        <v>0</v>
      </c>
      <c r="CF182" s="3">
        <f t="shared" si="129"/>
        <v>0</v>
      </c>
      <c r="CG182" s="3">
        <f t="shared" si="129"/>
        <v>0</v>
      </c>
      <c r="CH182" s="3">
        <f t="shared" si="129"/>
        <v>0</v>
      </c>
      <c r="CI182" s="3">
        <f t="shared" si="129"/>
        <v>0</v>
      </c>
      <c r="CJ182" s="3">
        <f t="shared" si="129"/>
        <v>0</v>
      </c>
      <c r="CK182" s="3">
        <f t="shared" si="129"/>
        <v>0</v>
      </c>
      <c r="CL182" s="3">
        <f t="shared" si="129"/>
        <v>0</v>
      </c>
      <c r="CM182" s="3">
        <f t="shared" si="129"/>
        <v>0</v>
      </c>
      <c r="CN182" s="3">
        <f t="shared" si="129"/>
        <v>0</v>
      </c>
      <c r="CO182" s="3">
        <f t="shared" si="129"/>
        <v>0</v>
      </c>
      <c r="CP182" s="3">
        <f t="shared" si="129"/>
        <v>0</v>
      </c>
      <c r="CQ182" s="3">
        <f t="shared" si="129"/>
        <v>0</v>
      </c>
      <c r="CR182" s="3">
        <f t="shared" si="129"/>
        <v>0</v>
      </c>
      <c r="CS182" s="3">
        <f t="shared" si="129"/>
        <v>0</v>
      </c>
      <c r="CT182" s="3">
        <f t="shared" si="129"/>
        <v>0</v>
      </c>
      <c r="CU182" s="3">
        <f t="shared" si="129"/>
        <v>0</v>
      </c>
      <c r="CV182" s="3">
        <f t="shared" si="129"/>
        <v>0</v>
      </c>
      <c r="CW182" s="3">
        <f t="shared" si="129"/>
        <v>0</v>
      </c>
      <c r="CX182" s="3">
        <f t="shared" ref="CX182:DF182" si="130">CX130</f>
        <v>0</v>
      </c>
      <c r="CY182" s="3">
        <f t="shared" si="130"/>
        <v>0</v>
      </c>
      <c r="CZ182" s="3">
        <f t="shared" si="130"/>
        <v>0</v>
      </c>
      <c r="DA182" s="3">
        <f t="shared" si="130"/>
        <v>0</v>
      </c>
      <c r="DB182" s="3">
        <f t="shared" si="130"/>
        <v>0</v>
      </c>
      <c r="DC182" s="3">
        <f t="shared" si="130"/>
        <v>0</v>
      </c>
      <c r="DD182" s="3">
        <f t="shared" si="130"/>
        <v>0</v>
      </c>
      <c r="DE182" s="3">
        <f t="shared" si="130"/>
        <v>0</v>
      </c>
      <c r="DF182" s="3">
        <f t="shared" si="130"/>
        <v>0</v>
      </c>
    </row>
    <row r="183" spans="1:110" ht="15" customHeight="1" x14ac:dyDescent="0.25">
      <c r="A183" s="13" t="s">
        <v>183</v>
      </c>
      <c r="B183" s="302"/>
      <c r="C183" s="3"/>
      <c r="D183" s="3"/>
      <c r="E183" s="3"/>
      <c r="F183" s="3">
        <f t="shared" ref="F183:AK183" si="131">F136</f>
        <v>0</v>
      </c>
      <c r="G183" s="3">
        <f t="shared" si="131"/>
        <v>0</v>
      </c>
      <c r="H183" s="3">
        <f t="shared" si="131"/>
        <v>0</v>
      </c>
      <c r="I183" s="3">
        <f t="shared" si="131"/>
        <v>0</v>
      </c>
      <c r="J183" s="3">
        <f t="shared" si="131"/>
        <v>0</v>
      </c>
      <c r="K183" s="3">
        <f t="shared" si="131"/>
        <v>0</v>
      </c>
      <c r="L183" s="3">
        <f t="shared" si="131"/>
        <v>0</v>
      </c>
      <c r="M183" s="3">
        <f t="shared" si="131"/>
        <v>0</v>
      </c>
      <c r="N183" s="3">
        <f t="shared" si="131"/>
        <v>0</v>
      </c>
      <c r="O183" s="3">
        <f t="shared" si="131"/>
        <v>0</v>
      </c>
      <c r="P183" s="3">
        <f t="shared" ca="1" si="131"/>
        <v>-250000</v>
      </c>
      <c r="Q183" s="3">
        <f t="shared" si="131"/>
        <v>0</v>
      </c>
      <c r="R183" s="3">
        <f t="shared" si="131"/>
        <v>0</v>
      </c>
      <c r="S183" s="3">
        <f t="shared" si="131"/>
        <v>0</v>
      </c>
      <c r="T183" s="3">
        <f t="shared" si="131"/>
        <v>0</v>
      </c>
      <c r="U183" s="3">
        <f t="shared" si="131"/>
        <v>0</v>
      </c>
      <c r="V183" s="3">
        <f t="shared" si="131"/>
        <v>0</v>
      </c>
      <c r="W183" s="3">
        <f t="shared" si="131"/>
        <v>0</v>
      </c>
      <c r="X183" s="3">
        <f t="shared" si="131"/>
        <v>0</v>
      </c>
      <c r="Y183" s="3">
        <f t="shared" si="131"/>
        <v>0</v>
      </c>
      <c r="Z183" s="3">
        <f t="shared" si="131"/>
        <v>0</v>
      </c>
      <c r="AA183" s="3">
        <f t="shared" si="131"/>
        <v>0</v>
      </c>
      <c r="AB183" s="3">
        <f t="shared" ca="1" si="131"/>
        <v>-250000</v>
      </c>
      <c r="AC183" s="3">
        <f t="shared" si="131"/>
        <v>0</v>
      </c>
      <c r="AD183" s="3">
        <f t="shared" si="131"/>
        <v>0</v>
      </c>
      <c r="AE183" s="3">
        <f t="shared" si="131"/>
        <v>0</v>
      </c>
      <c r="AF183" s="3">
        <f t="shared" si="131"/>
        <v>0</v>
      </c>
      <c r="AG183" s="3">
        <f t="shared" si="131"/>
        <v>0</v>
      </c>
      <c r="AH183" s="3">
        <f t="shared" si="131"/>
        <v>0</v>
      </c>
      <c r="AI183" s="3">
        <f t="shared" si="131"/>
        <v>0</v>
      </c>
      <c r="AJ183" s="3">
        <f t="shared" si="131"/>
        <v>0</v>
      </c>
      <c r="AK183" s="3">
        <f t="shared" si="131"/>
        <v>0</v>
      </c>
      <c r="AL183" s="3">
        <f t="shared" ref="AL183:BQ183" si="132">AL136</f>
        <v>0</v>
      </c>
      <c r="AM183" s="3">
        <f t="shared" si="132"/>
        <v>0</v>
      </c>
      <c r="AN183" s="3">
        <f t="shared" ca="1" si="132"/>
        <v>-250000</v>
      </c>
      <c r="AO183" s="3">
        <f t="shared" si="132"/>
        <v>0</v>
      </c>
      <c r="AP183" s="3">
        <f t="shared" si="132"/>
        <v>0</v>
      </c>
      <c r="AQ183" s="3">
        <f t="shared" si="132"/>
        <v>0</v>
      </c>
      <c r="AR183" s="3">
        <f t="shared" si="132"/>
        <v>0</v>
      </c>
      <c r="AS183" s="3">
        <f t="shared" si="132"/>
        <v>0</v>
      </c>
      <c r="AT183" s="3">
        <f t="shared" si="132"/>
        <v>0</v>
      </c>
      <c r="AU183" s="3">
        <f t="shared" si="132"/>
        <v>0</v>
      </c>
      <c r="AV183" s="3">
        <f t="shared" si="132"/>
        <v>0</v>
      </c>
      <c r="AW183" s="3">
        <f t="shared" si="132"/>
        <v>0</v>
      </c>
      <c r="AX183" s="3">
        <f t="shared" si="132"/>
        <v>0</v>
      </c>
      <c r="AY183" s="3">
        <f t="shared" si="132"/>
        <v>0</v>
      </c>
      <c r="AZ183" s="3">
        <f t="shared" ca="1" si="132"/>
        <v>-250000</v>
      </c>
      <c r="BA183" s="3">
        <f t="shared" si="132"/>
        <v>0</v>
      </c>
      <c r="BB183" s="3">
        <f t="shared" si="132"/>
        <v>0</v>
      </c>
      <c r="BC183" s="3">
        <f t="shared" si="132"/>
        <v>0</v>
      </c>
      <c r="BD183" s="3">
        <f t="shared" si="132"/>
        <v>0</v>
      </c>
      <c r="BE183" s="3">
        <f t="shared" si="132"/>
        <v>0</v>
      </c>
      <c r="BF183" s="3">
        <f t="shared" si="132"/>
        <v>0</v>
      </c>
      <c r="BG183" s="3">
        <f t="shared" si="132"/>
        <v>0</v>
      </c>
      <c r="BH183" s="3">
        <f t="shared" si="132"/>
        <v>0</v>
      </c>
      <c r="BI183" s="3">
        <f t="shared" si="132"/>
        <v>0</v>
      </c>
      <c r="BJ183" s="3">
        <f t="shared" si="132"/>
        <v>0</v>
      </c>
      <c r="BK183" s="3">
        <f t="shared" si="132"/>
        <v>0</v>
      </c>
      <c r="BL183" s="3">
        <f t="shared" ca="1" si="132"/>
        <v>0</v>
      </c>
      <c r="BM183" s="3">
        <f t="shared" si="132"/>
        <v>0</v>
      </c>
      <c r="BN183" s="3">
        <f t="shared" si="132"/>
        <v>0</v>
      </c>
      <c r="BO183" s="3">
        <f t="shared" si="132"/>
        <v>0</v>
      </c>
      <c r="BP183" s="3">
        <f t="shared" si="132"/>
        <v>0</v>
      </c>
      <c r="BQ183" s="3">
        <f t="shared" si="132"/>
        <v>0</v>
      </c>
      <c r="BR183" s="3">
        <f t="shared" ref="BR183:CW183" si="133">BR136</f>
        <v>0</v>
      </c>
      <c r="BS183" s="3">
        <f t="shared" si="133"/>
        <v>0</v>
      </c>
      <c r="BT183" s="3">
        <f t="shared" si="133"/>
        <v>0</v>
      </c>
      <c r="BU183" s="3">
        <f t="shared" si="133"/>
        <v>0</v>
      </c>
      <c r="BV183" s="3">
        <f t="shared" si="133"/>
        <v>0</v>
      </c>
      <c r="BW183" s="3">
        <f t="shared" si="133"/>
        <v>0</v>
      </c>
      <c r="BX183" s="3">
        <f t="shared" ca="1" si="133"/>
        <v>0</v>
      </c>
      <c r="BY183" s="3">
        <f t="shared" si="133"/>
        <v>0</v>
      </c>
      <c r="BZ183" s="3">
        <f t="shared" si="133"/>
        <v>0</v>
      </c>
      <c r="CA183" s="3">
        <f t="shared" si="133"/>
        <v>0</v>
      </c>
      <c r="CB183" s="3">
        <f t="shared" si="133"/>
        <v>0</v>
      </c>
      <c r="CC183" s="3">
        <f t="shared" si="133"/>
        <v>0</v>
      </c>
      <c r="CD183" s="3">
        <f t="shared" si="133"/>
        <v>0</v>
      </c>
      <c r="CE183" s="3">
        <f t="shared" si="133"/>
        <v>0</v>
      </c>
      <c r="CF183" s="3">
        <f t="shared" si="133"/>
        <v>0</v>
      </c>
      <c r="CG183" s="3">
        <f t="shared" si="133"/>
        <v>0</v>
      </c>
      <c r="CH183" s="3">
        <f t="shared" si="133"/>
        <v>0</v>
      </c>
      <c r="CI183" s="3">
        <f t="shared" si="133"/>
        <v>0</v>
      </c>
      <c r="CJ183" s="3">
        <f t="shared" ca="1" si="133"/>
        <v>0</v>
      </c>
      <c r="CK183" s="3">
        <f t="shared" si="133"/>
        <v>0</v>
      </c>
      <c r="CL183" s="3">
        <f t="shared" si="133"/>
        <v>0</v>
      </c>
      <c r="CM183" s="3">
        <f t="shared" si="133"/>
        <v>0</v>
      </c>
      <c r="CN183" s="3">
        <f t="shared" si="133"/>
        <v>0</v>
      </c>
      <c r="CO183" s="3">
        <f t="shared" si="133"/>
        <v>0</v>
      </c>
      <c r="CP183" s="3">
        <f t="shared" si="133"/>
        <v>0</v>
      </c>
      <c r="CQ183" s="3">
        <f t="shared" si="133"/>
        <v>0</v>
      </c>
      <c r="CR183" s="3">
        <f t="shared" si="133"/>
        <v>0</v>
      </c>
      <c r="CS183" s="3">
        <f t="shared" si="133"/>
        <v>0</v>
      </c>
      <c r="CT183" s="3">
        <f t="shared" si="133"/>
        <v>0</v>
      </c>
      <c r="CU183" s="3">
        <f t="shared" si="133"/>
        <v>0</v>
      </c>
      <c r="CV183" s="3">
        <f t="shared" si="133"/>
        <v>0</v>
      </c>
      <c r="CW183" s="3">
        <f t="shared" si="133"/>
        <v>0</v>
      </c>
      <c r="CX183" s="3">
        <f t="shared" ref="CX183:DF183" si="134">CX136</f>
        <v>0</v>
      </c>
      <c r="CY183" s="3">
        <f t="shared" si="134"/>
        <v>0</v>
      </c>
      <c r="CZ183" s="3">
        <f t="shared" si="134"/>
        <v>0</v>
      </c>
      <c r="DA183" s="3">
        <f t="shared" si="134"/>
        <v>0</v>
      </c>
      <c r="DB183" s="3">
        <f t="shared" si="134"/>
        <v>0</v>
      </c>
      <c r="DC183" s="3">
        <f t="shared" si="134"/>
        <v>0</v>
      </c>
      <c r="DD183" s="3">
        <f t="shared" si="134"/>
        <v>0</v>
      </c>
      <c r="DE183" s="3">
        <f t="shared" si="134"/>
        <v>0</v>
      </c>
      <c r="DF183" s="3">
        <f t="shared" si="134"/>
        <v>0</v>
      </c>
    </row>
    <row r="184" spans="1:110" ht="15" customHeight="1" x14ac:dyDescent="0.25">
      <c r="A184" s="13" t="s">
        <v>184</v>
      </c>
      <c r="B184" s="302"/>
      <c r="C184" s="3"/>
      <c r="D184" s="3"/>
      <c r="E184" s="3"/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0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0</v>
      </c>
      <c r="BA184" s="3">
        <v>0</v>
      </c>
      <c r="BB184" s="3">
        <v>0</v>
      </c>
      <c r="BC184" s="3">
        <v>0</v>
      </c>
      <c r="BD184" s="3">
        <v>0</v>
      </c>
      <c r="BE184" s="3">
        <v>0</v>
      </c>
      <c r="BF184" s="3">
        <v>0</v>
      </c>
      <c r="BG184" s="3">
        <v>0</v>
      </c>
      <c r="BH184" s="3">
        <v>0</v>
      </c>
      <c r="BI184" s="3">
        <v>0</v>
      </c>
      <c r="BJ184" s="3">
        <v>0</v>
      </c>
      <c r="BK184" s="3">
        <v>0</v>
      </c>
      <c r="BL184" s="3">
        <v>0</v>
      </c>
      <c r="BM184" s="3">
        <v>0</v>
      </c>
      <c r="BN184" s="3">
        <v>0</v>
      </c>
      <c r="BO184" s="3">
        <v>0</v>
      </c>
      <c r="BP184" s="3">
        <v>0</v>
      </c>
      <c r="BQ184" s="3">
        <v>0</v>
      </c>
      <c r="BR184" s="3">
        <v>0</v>
      </c>
      <c r="BS184" s="3">
        <v>0</v>
      </c>
      <c r="BT184" s="3">
        <v>0</v>
      </c>
      <c r="BU184" s="3">
        <v>0</v>
      </c>
      <c r="BV184" s="3">
        <v>0</v>
      </c>
      <c r="BW184" s="3">
        <v>0</v>
      </c>
      <c r="BX184" s="3">
        <v>0</v>
      </c>
      <c r="BY184" s="3">
        <v>0</v>
      </c>
      <c r="BZ184" s="3">
        <v>0</v>
      </c>
      <c r="CA184" s="3">
        <v>0</v>
      </c>
      <c r="CB184" s="3">
        <v>0</v>
      </c>
      <c r="CC184" s="3">
        <v>0</v>
      </c>
      <c r="CD184" s="3">
        <v>0</v>
      </c>
      <c r="CE184" s="3">
        <v>0</v>
      </c>
      <c r="CF184" s="3">
        <v>0</v>
      </c>
      <c r="CG184" s="3">
        <v>0</v>
      </c>
      <c r="CH184" s="3">
        <v>0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0</v>
      </c>
      <c r="CS184" s="3">
        <v>0</v>
      </c>
      <c r="CT184" s="3">
        <v>0</v>
      </c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</row>
    <row r="185" spans="1:110" ht="15" customHeight="1" x14ac:dyDescent="0.25">
      <c r="A185" s="51" t="s">
        <v>49</v>
      </c>
      <c r="B185" s="326"/>
      <c r="C185" s="52"/>
      <c r="D185" s="52"/>
      <c r="E185" s="52"/>
      <c r="F185" s="52">
        <f t="shared" ref="F185:AK185" si="135">F180+F181+F182+F183+F184</f>
        <v>88624.740000000049</v>
      </c>
      <c r="G185" s="52">
        <f t="shared" si="135"/>
        <v>54149.228333333391</v>
      </c>
      <c r="H185" s="52">
        <f t="shared" si="135"/>
        <v>19673.716666666733</v>
      </c>
      <c r="I185" s="52">
        <f t="shared" si="135"/>
        <v>-14801.794999999925</v>
      </c>
      <c r="J185" s="52">
        <f t="shared" si="135"/>
        <v>-49277.306666666584</v>
      </c>
      <c r="K185" s="52">
        <f t="shared" si="135"/>
        <v>-84586.148333333243</v>
      </c>
      <c r="L185" s="52">
        <f t="shared" si="135"/>
        <v>-249894.9899999999</v>
      </c>
      <c r="M185" s="52">
        <f t="shared" si="135"/>
        <v>-424578.83166666655</v>
      </c>
      <c r="N185" s="52">
        <f t="shared" si="135"/>
        <v>-599262.67333333322</v>
      </c>
      <c r="O185" s="52">
        <f t="shared" si="135"/>
        <v>-750814.2845999999</v>
      </c>
      <c r="P185" s="52">
        <f t="shared" ca="1" si="135"/>
        <v>-1158616.0958666666</v>
      </c>
      <c r="Q185" s="52">
        <f t="shared" ca="1" si="135"/>
        <v>-1316417.9071333334</v>
      </c>
      <c r="R185" s="52">
        <f t="shared" ca="1" si="135"/>
        <v>-1475781.5202333333</v>
      </c>
      <c r="S185" s="52">
        <f t="shared" ca="1" si="135"/>
        <v>-1639645.1333333333</v>
      </c>
      <c r="T185" s="52">
        <f t="shared" ca="1" si="135"/>
        <v>-1803508.7464333333</v>
      </c>
      <c r="U185" s="52">
        <f t="shared" ca="1" si="135"/>
        <v>-1974706.3471333333</v>
      </c>
      <c r="V185" s="52">
        <f t="shared" ca="1" si="135"/>
        <v>-2129331.6854333333</v>
      </c>
      <c r="W185" s="52">
        <f t="shared" ca="1" si="135"/>
        <v>-2267384.7613333333</v>
      </c>
      <c r="X185" s="52">
        <f t="shared" ca="1" si="135"/>
        <v>-2395310.8608333333</v>
      </c>
      <c r="Y185" s="52">
        <f t="shared" ca="1" si="135"/>
        <v>-2507700.4583333335</v>
      </c>
      <c r="Z185" s="52">
        <f t="shared" ca="1" si="135"/>
        <v>-2483147.8091187784</v>
      </c>
      <c r="AA185" s="52">
        <f t="shared" ca="1" si="135"/>
        <v>-2434464.4266187786</v>
      </c>
      <c r="AB185" s="52">
        <f t="shared" ca="1" si="135"/>
        <v>-2620244.5481187785</v>
      </c>
      <c r="AC185" s="52">
        <f t="shared" ca="1" si="135"/>
        <v>-2483113.1676187785</v>
      </c>
      <c r="AD185" s="52">
        <f t="shared" ca="1" si="135"/>
        <v>-2402158.7319887783</v>
      </c>
      <c r="AE185" s="52">
        <f t="shared" ca="1" si="135"/>
        <v>-2306962.5028587785</v>
      </c>
      <c r="AF185" s="52">
        <f t="shared" ca="1" si="135"/>
        <v>-2121101.1487287786</v>
      </c>
      <c r="AG185" s="52">
        <f t="shared" ca="1" si="135"/>
        <v>-2041740.0245987787</v>
      </c>
      <c r="AH185" s="52">
        <f t="shared" ca="1" si="135"/>
        <v>-1961948.7344687786</v>
      </c>
      <c r="AI185" s="52">
        <f t="shared" ca="1" si="135"/>
        <v>-1881727.2893387787</v>
      </c>
      <c r="AJ185" s="52">
        <f t="shared" ca="1" si="135"/>
        <v>-1810575.6837087786</v>
      </c>
      <c r="AK185" s="52">
        <f t="shared" ca="1" si="135"/>
        <v>-1738993.9230787787</v>
      </c>
      <c r="AL185" s="52">
        <f t="shared" ref="AL185:BQ185" ca="1" si="136">AL180+AL181+AL182+AL183+AL184</f>
        <v>-1652740.2139487786</v>
      </c>
      <c r="AM185" s="52">
        <f t="shared" ca="1" si="136"/>
        <v>-1580298.1268187785</v>
      </c>
      <c r="AN185" s="52">
        <f t="shared" ca="1" si="136"/>
        <v>-1771667.6671887785</v>
      </c>
      <c r="AO185" s="52">
        <f t="shared" ca="1" si="136"/>
        <v>-1726848.8350587785</v>
      </c>
      <c r="AP185" s="52">
        <f t="shared" ca="1" si="136"/>
        <v>-1697466.5345561786</v>
      </c>
      <c r="AQ185" s="52">
        <f t="shared" ca="1" si="136"/>
        <v>-1689708.6295535786</v>
      </c>
      <c r="AR185" s="52">
        <f t="shared" ca="1" si="136"/>
        <v>-1694506.7495509787</v>
      </c>
      <c r="AS185" s="52">
        <f t="shared" ca="1" si="136"/>
        <v>-1711860.8995483785</v>
      </c>
      <c r="AT185" s="52">
        <f t="shared" ca="1" si="136"/>
        <v>-1741771.0695457784</v>
      </c>
      <c r="AU185" s="52">
        <f t="shared" ca="1" si="136"/>
        <v>-1784721.8510431785</v>
      </c>
      <c r="AV185" s="52">
        <f t="shared" ca="1" si="136"/>
        <v>-1786794.6310405785</v>
      </c>
      <c r="AW185" s="52">
        <f t="shared" ca="1" si="136"/>
        <v>-1801814.4860379784</v>
      </c>
      <c r="AX185" s="52">
        <f t="shared" ca="1" si="136"/>
        <v>-1842627.7035353784</v>
      </c>
      <c r="AY185" s="52">
        <f t="shared" ca="1" si="136"/>
        <v>-1883871.0815327785</v>
      </c>
      <c r="AZ185" s="52">
        <f t="shared" ca="1" si="136"/>
        <v>-2175544.6255301787</v>
      </c>
      <c r="BA185" s="52">
        <f t="shared" ca="1" si="136"/>
        <v>-2217648.3245275784</v>
      </c>
      <c r="BB185" s="52">
        <f t="shared" ca="1" si="136"/>
        <v>-2261839.5806249264</v>
      </c>
      <c r="BC185" s="52">
        <f t="shared" ca="1" si="136"/>
        <v>-2306460.9972222745</v>
      </c>
      <c r="BD185" s="52">
        <f t="shared" ca="1" si="136"/>
        <v>-2351512.5743196225</v>
      </c>
      <c r="BE185" s="52">
        <f t="shared" ca="1" si="136"/>
        <v>-2396994.3119169706</v>
      </c>
      <c r="BF185" s="52">
        <f t="shared" ca="1" si="136"/>
        <v>-2442906.2100143186</v>
      </c>
      <c r="BG185" s="52">
        <f t="shared" ca="1" si="136"/>
        <v>-2489248.2686116667</v>
      </c>
      <c r="BH185" s="52">
        <f t="shared" ca="1" si="136"/>
        <v>-2536020.4877090147</v>
      </c>
      <c r="BI185" s="52">
        <f t="shared" ca="1" si="136"/>
        <v>-2583222.8673063628</v>
      </c>
      <c r="BJ185" s="52">
        <f t="shared" ca="1" si="136"/>
        <v>-2630855.4019037108</v>
      </c>
      <c r="BK185" s="52">
        <f t="shared" ca="1" si="136"/>
        <v>-2655417.602501059</v>
      </c>
      <c r="BL185" s="52">
        <f t="shared" ca="1" si="136"/>
        <v>-2680409.9635984069</v>
      </c>
      <c r="BM185" s="52">
        <f t="shared" ca="1" si="136"/>
        <v>-2652006.195195755</v>
      </c>
      <c r="BN185" s="52">
        <f t="shared" ca="1" si="136"/>
        <v>-2738223.9663250498</v>
      </c>
      <c r="BO185" s="52">
        <f t="shared" ca="1" si="136"/>
        <v>-2824441.7374543445</v>
      </c>
      <c r="BP185" s="52">
        <f t="shared" ca="1" si="136"/>
        <v>-2910659.5085836393</v>
      </c>
      <c r="BQ185" s="52">
        <f t="shared" ca="1" si="136"/>
        <v>-2996877.279712934</v>
      </c>
      <c r="BR185" s="52">
        <f t="shared" ref="BR185:CW185" ca="1" si="137">BR180+BR181+BR182+BR183+BR184</f>
        <v>-3083095.0508422288</v>
      </c>
      <c r="BS185" s="52">
        <f t="shared" ca="1" si="137"/>
        <v>-3117799.3019715236</v>
      </c>
      <c r="BT185" s="52">
        <f t="shared" ca="1" si="137"/>
        <v>-3204017.0731008183</v>
      </c>
      <c r="BU185" s="52">
        <f t="shared" ca="1" si="137"/>
        <v>-3290234.8442301131</v>
      </c>
      <c r="BV185" s="52">
        <f t="shared" ca="1" si="137"/>
        <v>-3308690.6153594078</v>
      </c>
      <c r="BW185" s="52">
        <f t="shared" ca="1" si="137"/>
        <v>-3394908.3864887026</v>
      </c>
      <c r="BX185" s="52">
        <f t="shared" ca="1" si="137"/>
        <v>-3481126.1576179974</v>
      </c>
      <c r="BY185" s="52">
        <f t="shared" ca="1" si="137"/>
        <v>-3499581.9287472921</v>
      </c>
      <c r="BZ185" s="52">
        <f t="shared" ca="1" si="137"/>
        <v>-3587524.0552991731</v>
      </c>
      <c r="CA185" s="52">
        <f t="shared" ca="1" si="137"/>
        <v>-3675466.1818510541</v>
      </c>
      <c r="CB185" s="52">
        <f t="shared" ca="1" si="137"/>
        <v>-3695646.308402935</v>
      </c>
      <c r="CC185" s="52">
        <f t="shared" ca="1" si="137"/>
        <v>-3783588.434954816</v>
      </c>
      <c r="CD185" s="52">
        <f t="shared" ca="1" si="137"/>
        <v>-3871530.561506697</v>
      </c>
      <c r="CE185" s="52">
        <f t="shared" ca="1" si="137"/>
        <v>-3882973.6880585779</v>
      </c>
      <c r="CF185" s="52">
        <f t="shared" ca="1" si="137"/>
        <v>-3970915.8146104589</v>
      </c>
      <c r="CG185" s="52">
        <f t="shared" ca="1" si="137"/>
        <v>-4058857.9411623399</v>
      </c>
      <c r="CH185" s="52">
        <f t="shared" ca="1" si="137"/>
        <v>-4070301.0677142208</v>
      </c>
      <c r="CI185" s="52">
        <f t="shared" ca="1" si="137"/>
        <v>-4158243.1942661018</v>
      </c>
      <c r="CJ185" s="52">
        <f t="shared" ca="1" si="137"/>
        <v>-4246185.3208179828</v>
      </c>
      <c r="CK185" s="52">
        <f t="shared" ca="1" si="137"/>
        <v>-4251020.4207633846</v>
      </c>
      <c r="CL185" s="52">
        <f t="shared" ca="1" si="137"/>
        <v>-4182860.389846303</v>
      </c>
      <c r="CM185" s="52">
        <f t="shared" ca="1" si="137"/>
        <v>-4114700.3589292215</v>
      </c>
      <c r="CN185" s="52">
        <f t="shared" ca="1" si="137"/>
        <v>-4046540.32801214</v>
      </c>
      <c r="CO185" s="52">
        <f t="shared" ca="1" si="137"/>
        <v>-3978380.2970950585</v>
      </c>
      <c r="CP185" s="52">
        <f t="shared" ca="1" si="137"/>
        <v>-3910220.266177977</v>
      </c>
      <c r="CQ185" s="52">
        <f t="shared" ca="1" si="137"/>
        <v>-3842060.2352608955</v>
      </c>
      <c r="CR185" s="52">
        <f t="shared" ca="1" si="137"/>
        <v>-3773900.2043438139</v>
      </c>
      <c r="CS185" s="52">
        <f t="shared" ca="1" si="137"/>
        <v>-3705740.1734267324</v>
      </c>
      <c r="CT185" s="52">
        <f t="shared" ca="1" si="137"/>
        <v>-3637580.1425096509</v>
      </c>
      <c r="CU185" s="52">
        <f t="shared" ca="1" si="137"/>
        <v>-3567511.6182176732</v>
      </c>
      <c r="CV185" s="52">
        <f t="shared" ca="1" si="137"/>
        <v>-3497443.0939256949</v>
      </c>
      <c r="CW185" s="52">
        <f t="shared" ca="1" si="137"/>
        <v>-3427374.5696337167</v>
      </c>
      <c r="CX185" s="52">
        <f t="shared" ref="CX185:EC185" ca="1" si="138">CX180+CX181+CX182+CX183+CX184</f>
        <v>-3303353.7437923062</v>
      </c>
      <c r="CY185" s="52">
        <f t="shared" ca="1" si="138"/>
        <v>-3161886.0690144887</v>
      </c>
      <c r="CZ185" s="52">
        <f t="shared" ca="1" si="138"/>
        <v>-3020418.3942366713</v>
      </c>
      <c r="DA185" s="52">
        <f t="shared" ca="1" si="138"/>
        <v>-2878950.7194588538</v>
      </c>
      <c r="DB185" s="52">
        <f t="shared" ca="1" si="138"/>
        <v>-2737483.0446810364</v>
      </c>
      <c r="DC185" s="52">
        <f t="shared" ca="1" si="138"/>
        <v>-2596015.3699032189</v>
      </c>
      <c r="DD185" s="52">
        <f t="shared" ca="1" si="138"/>
        <v>-2454547.6951254015</v>
      </c>
      <c r="DE185" s="52">
        <f t="shared" ca="1" si="138"/>
        <v>-2313080.020347584</v>
      </c>
      <c r="DF185" s="52">
        <f t="shared" ca="1" si="138"/>
        <v>-2171612.3455697666</v>
      </c>
    </row>
    <row r="186" spans="1:110" ht="15" customHeight="1" x14ac:dyDescent="0.25">
      <c r="A186" s="302"/>
      <c r="B186" s="30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</row>
    <row r="187" spans="1:110" ht="15" customHeight="1" x14ac:dyDescent="0.25">
      <c r="A187" s="315" t="s">
        <v>185</v>
      </c>
      <c r="B187" s="315"/>
      <c r="C187" s="316"/>
      <c r="D187" s="316"/>
      <c r="E187" s="316"/>
      <c r="F187" s="316"/>
      <c r="G187" s="316"/>
      <c r="H187" s="316"/>
      <c r="I187" s="316"/>
      <c r="J187" s="316"/>
      <c r="K187" s="316"/>
      <c r="L187" s="316"/>
      <c r="M187" s="316"/>
      <c r="N187" s="316"/>
      <c r="O187" s="316"/>
      <c r="P187" s="316"/>
      <c r="Q187" s="316"/>
      <c r="R187" s="316"/>
      <c r="S187" s="316"/>
      <c r="T187" s="316"/>
      <c r="U187" s="316"/>
      <c r="V187" s="316"/>
      <c r="W187" s="316"/>
      <c r="X187" s="316"/>
      <c r="Y187" s="316"/>
      <c r="Z187" s="316"/>
      <c r="AA187" s="316"/>
      <c r="AB187" s="316"/>
      <c r="AC187" s="316"/>
      <c r="AD187" s="316"/>
      <c r="AE187" s="316"/>
      <c r="AF187" s="316"/>
      <c r="AG187" s="316"/>
      <c r="AH187" s="316"/>
      <c r="AI187" s="316"/>
      <c r="AJ187" s="316"/>
      <c r="AK187" s="316"/>
      <c r="AL187" s="316"/>
      <c r="AM187" s="316"/>
      <c r="AN187" s="316"/>
      <c r="AO187" s="316"/>
      <c r="AP187" s="316"/>
      <c r="AQ187" s="316"/>
      <c r="AR187" s="316"/>
      <c r="AS187" s="316"/>
      <c r="AT187" s="316"/>
      <c r="AU187" s="316"/>
      <c r="AV187" s="316"/>
      <c r="AW187" s="316"/>
      <c r="AX187" s="316"/>
      <c r="AY187" s="316"/>
      <c r="AZ187" s="316"/>
      <c r="BA187" s="316"/>
      <c r="BB187" s="316"/>
      <c r="BC187" s="316"/>
      <c r="BD187" s="316"/>
      <c r="BE187" s="316"/>
      <c r="BF187" s="316"/>
      <c r="BG187" s="316"/>
      <c r="BH187" s="316"/>
      <c r="BI187" s="316"/>
      <c r="BJ187" s="316"/>
      <c r="BK187" s="316"/>
      <c r="BL187" s="316"/>
      <c r="BM187" s="316"/>
      <c r="BN187" s="316"/>
      <c r="BO187" s="316"/>
      <c r="BP187" s="316"/>
      <c r="BQ187" s="316"/>
      <c r="BR187" s="316"/>
      <c r="BS187" s="316"/>
      <c r="BT187" s="316"/>
      <c r="BU187" s="316"/>
      <c r="BV187" s="316"/>
      <c r="BW187" s="316"/>
      <c r="BX187" s="316"/>
      <c r="BY187" s="316"/>
      <c r="BZ187" s="316"/>
      <c r="CA187" s="316"/>
      <c r="CB187" s="316"/>
      <c r="CC187" s="316"/>
      <c r="CD187" s="316"/>
      <c r="CE187" s="316"/>
      <c r="CF187" s="316"/>
      <c r="CG187" s="316"/>
      <c r="CH187" s="316"/>
      <c r="CI187" s="316"/>
      <c r="CJ187" s="316"/>
      <c r="CK187" s="316"/>
      <c r="CL187" s="316"/>
      <c r="CM187" s="316"/>
      <c r="CN187" s="316"/>
      <c r="CO187" s="316"/>
      <c r="CP187" s="316"/>
      <c r="CQ187" s="316"/>
      <c r="CR187" s="316"/>
      <c r="CS187" s="316"/>
      <c r="CT187" s="316"/>
      <c r="CU187" s="316"/>
      <c r="CV187" s="316"/>
      <c r="CW187" s="316"/>
      <c r="CX187" s="316"/>
      <c r="CY187" s="316"/>
      <c r="CZ187" s="316"/>
      <c r="DA187" s="316"/>
      <c r="DB187" s="316"/>
      <c r="DC187" s="316"/>
      <c r="DD187" s="316"/>
      <c r="DE187" s="316"/>
      <c r="DF187" s="316"/>
    </row>
    <row r="188" spans="1:110" ht="15" customHeight="1" x14ac:dyDescent="0.25">
      <c r="A188" s="13" t="s">
        <v>186</v>
      </c>
      <c r="B188" s="302"/>
      <c r="C188" s="3"/>
      <c r="D188" s="3"/>
      <c r="E188" s="3"/>
      <c r="F188" s="3">
        <f t="shared" ref="F188:AK188" si="139">F175+F180</f>
        <v>1263529</v>
      </c>
      <c r="G188" s="3">
        <f t="shared" ca="1" si="139"/>
        <v>1489703.3399999996</v>
      </c>
      <c r="H188" s="3">
        <f t="shared" ca="1" si="139"/>
        <v>1460023.4195875959</v>
      </c>
      <c r="I188" s="3">
        <f t="shared" ca="1" si="139"/>
        <v>1400968.4991751919</v>
      </c>
      <c r="J188" s="3">
        <f t="shared" ca="1" si="139"/>
        <v>1845381.7402964416</v>
      </c>
      <c r="K188" s="3">
        <f t="shared" ca="1" si="139"/>
        <v>1982734.7766176914</v>
      </c>
      <c r="L188" s="3">
        <f t="shared" ca="1" si="139"/>
        <v>2119254.4829389411</v>
      </c>
      <c r="M188" s="3">
        <f t="shared" ca="1" si="139"/>
        <v>2430824.7578958021</v>
      </c>
      <c r="N188" s="3">
        <f t="shared" ca="1" si="139"/>
        <v>2764020.966860048</v>
      </c>
      <c r="O188" s="3">
        <f t="shared" ca="1" si="139"/>
        <v>2844842.0917382003</v>
      </c>
      <c r="P188" s="3">
        <f t="shared" ca="1" si="139"/>
        <v>2948795.4470163528</v>
      </c>
      <c r="Q188" s="3">
        <f t="shared" ca="1" si="139"/>
        <v>2796498.6022945051</v>
      </c>
      <c r="R188" s="3">
        <f t="shared" ca="1" si="139"/>
        <v>2894201.7575726574</v>
      </c>
      <c r="S188" s="3">
        <f t="shared" ca="1" si="139"/>
        <v>2322872.0505746929</v>
      </c>
      <c r="T188" s="3">
        <f t="shared" ca="1" si="139"/>
        <v>2563210.8185767294</v>
      </c>
      <c r="U188" s="3">
        <f t="shared" ca="1" si="139"/>
        <v>2962211.4648649655</v>
      </c>
      <c r="V188" s="3">
        <f t="shared" ca="1" si="139"/>
        <v>3115697.6763490983</v>
      </c>
      <c r="W188" s="3">
        <f t="shared" ca="1" si="139"/>
        <v>3020077.3986564656</v>
      </c>
      <c r="X188" s="3">
        <f t="shared" ca="1" si="139"/>
        <v>2941029.3833638327</v>
      </c>
      <c r="Y188" s="3">
        <f t="shared" ca="1" si="139"/>
        <v>2893918.6489109495</v>
      </c>
      <c r="Z188" s="3">
        <f t="shared" ca="1" si="139"/>
        <v>2818723.807578566</v>
      </c>
      <c r="AA188" s="3">
        <f t="shared" ca="1" si="139"/>
        <v>2880471.2129607378</v>
      </c>
      <c r="AB188" s="3">
        <f t="shared" ca="1" si="139"/>
        <v>2966349.3516283543</v>
      </c>
      <c r="AC188" s="3">
        <f t="shared" ca="1" si="139"/>
        <v>2817763.9862959711</v>
      </c>
      <c r="AD188" s="3">
        <f t="shared" ca="1" si="139"/>
        <v>2992090.1229635878</v>
      </c>
      <c r="AE188" s="3">
        <f t="shared" ca="1" si="139"/>
        <v>3183478.0053138044</v>
      </c>
      <c r="AF188" s="3">
        <f t="shared" ca="1" si="139"/>
        <v>3225065.6494788211</v>
      </c>
      <c r="AG188" s="3">
        <f t="shared" ca="1" si="139"/>
        <v>2791271.9995123846</v>
      </c>
      <c r="AH188" s="3">
        <f t="shared" ca="1" si="139"/>
        <v>2974684.1795459487</v>
      </c>
      <c r="AI188" s="3">
        <f t="shared" ca="1" si="139"/>
        <v>3158526.5255795121</v>
      </c>
      <c r="AJ188" s="3">
        <f t="shared" ca="1" si="139"/>
        <v>3342799.0266130762</v>
      </c>
      <c r="AK188" s="3">
        <f t="shared" ca="1" si="139"/>
        <v>3736291.0677143903</v>
      </c>
      <c r="AL188" s="3">
        <f t="shared" ref="AL188:BQ188" ca="1" si="140">AL175+AL180</f>
        <v>3863386.8650068189</v>
      </c>
      <c r="AM188" s="3">
        <f t="shared" ca="1" si="140"/>
        <v>4301305.3319576476</v>
      </c>
      <c r="AN188" s="3">
        <f t="shared" ca="1" si="140"/>
        <v>4393242.5823497567</v>
      </c>
      <c r="AO188" s="3">
        <f t="shared" ca="1" si="140"/>
        <v>4183868.2052418645</v>
      </c>
      <c r="AP188" s="3">
        <f t="shared" ca="1" si="140"/>
        <v>4343561.2660966227</v>
      </c>
      <c r="AQ188" s="3">
        <f t="shared" ca="1" si="140"/>
        <v>4431425.9166058525</v>
      </c>
      <c r="AR188" s="3">
        <f t="shared" ca="1" si="140"/>
        <v>4452666.1716150818</v>
      </c>
      <c r="AS188" s="3">
        <f t="shared" ca="1" si="140"/>
        <v>4506350.4016243117</v>
      </c>
      <c r="AT188" s="3">
        <f t="shared" ca="1" si="140"/>
        <v>4655830.5016335407</v>
      </c>
      <c r="AU188" s="3">
        <f t="shared" ca="1" si="140"/>
        <v>4747754.5816427702</v>
      </c>
      <c r="AV188" s="3">
        <f t="shared" ca="1" si="140"/>
        <v>5144123.6355054993</v>
      </c>
      <c r="AW188" s="3">
        <f t="shared" ca="1" si="140"/>
        <v>5136310.9014575118</v>
      </c>
      <c r="AX188" s="3">
        <f t="shared" ca="1" si="140"/>
        <v>5115551.0924095251</v>
      </c>
      <c r="AY188" s="3">
        <f t="shared" ca="1" si="140"/>
        <v>5068997.9208615385</v>
      </c>
      <c r="AZ188" s="3">
        <f t="shared" ca="1" si="140"/>
        <v>5022014.5888135508</v>
      </c>
      <c r="BA188" s="3">
        <f t="shared" ca="1" si="140"/>
        <v>4724601.0907655628</v>
      </c>
      <c r="BB188" s="3">
        <f t="shared" ca="1" si="140"/>
        <v>4767050.6877175756</v>
      </c>
      <c r="BC188" s="3">
        <f t="shared" ca="1" si="140"/>
        <v>4851068.8463379256</v>
      </c>
      <c r="BD188" s="3">
        <f t="shared" ca="1" si="140"/>
        <v>4791570.3444582745</v>
      </c>
      <c r="BE188" s="3">
        <f t="shared" ca="1" si="140"/>
        <v>4731641.6820786251</v>
      </c>
      <c r="BF188" s="3">
        <f t="shared" ca="1" si="140"/>
        <v>4907428.0091989748</v>
      </c>
      <c r="BG188" s="3">
        <f t="shared" ca="1" si="140"/>
        <v>4819697.6758193243</v>
      </c>
      <c r="BH188" s="3">
        <f t="shared" ca="1" si="140"/>
        <v>4866830.4319396745</v>
      </c>
      <c r="BI188" s="3">
        <f t="shared" ca="1" si="140"/>
        <v>4984384.927560024</v>
      </c>
      <c r="BJ188" s="3">
        <f t="shared" ca="1" si="140"/>
        <v>5261534.9877359737</v>
      </c>
      <c r="BK188" s="3">
        <f t="shared" ca="1" si="140"/>
        <v>5094158.9769877773</v>
      </c>
      <c r="BL188" s="3">
        <f t="shared" ca="1" si="140"/>
        <v>5204057.1002395796</v>
      </c>
      <c r="BM188" s="3">
        <f t="shared" ca="1" si="140"/>
        <v>5051821.2629913827</v>
      </c>
      <c r="BN188" s="3">
        <f t="shared" ca="1" si="140"/>
        <v>5088274.8052431857</v>
      </c>
      <c r="BO188" s="3">
        <f t="shared" ca="1" si="140"/>
        <v>4963286.9341066908</v>
      </c>
      <c r="BP188" s="3">
        <f t="shared" ca="1" si="140"/>
        <v>4984150.9629701972</v>
      </c>
      <c r="BQ188" s="3">
        <f t="shared" ca="1" si="140"/>
        <v>4960014.9918337036</v>
      </c>
      <c r="BR188" s="3">
        <f t="shared" ref="BR188:CW188" ca="1" si="141">BR175+BR180</f>
        <v>4980879.0206972091</v>
      </c>
      <c r="BS188" s="3">
        <f t="shared" ca="1" si="141"/>
        <v>5001743.0495607145</v>
      </c>
      <c r="BT188" s="3">
        <f t="shared" ca="1" si="141"/>
        <v>5164413.8484242205</v>
      </c>
      <c r="BU188" s="3">
        <f t="shared" ca="1" si="141"/>
        <v>5094984.6272877268</v>
      </c>
      <c r="BV188" s="3">
        <f t="shared" ca="1" si="141"/>
        <v>5133907.3061512318</v>
      </c>
      <c r="BW188" s="3">
        <f t="shared" ca="1" si="141"/>
        <v>5195591.9850147376</v>
      </c>
      <c r="BX188" s="3">
        <f t="shared" ca="1" si="141"/>
        <v>5342866.5638782438</v>
      </c>
      <c r="BY188" s="3">
        <f t="shared" ca="1" si="141"/>
        <v>5273437.3427417483</v>
      </c>
      <c r="BZ188" s="3">
        <f t="shared" ca="1" si="141"/>
        <v>5362063.3716052528</v>
      </c>
      <c r="CA188" s="3">
        <f t="shared" ca="1" si="141"/>
        <v>5191110.2737126956</v>
      </c>
      <c r="CB188" s="3">
        <f t="shared" ca="1" si="141"/>
        <v>5218802.3258201387</v>
      </c>
      <c r="CC188" s="3">
        <f t="shared" ca="1" si="141"/>
        <v>5088669.8779275808</v>
      </c>
      <c r="CD188" s="3">
        <f t="shared" ca="1" si="141"/>
        <v>5153208.4309408758</v>
      </c>
      <c r="CE188" s="3">
        <f t="shared" ca="1" si="141"/>
        <v>4944755.3330483185</v>
      </c>
      <c r="CF188" s="3">
        <f t="shared" ca="1" si="141"/>
        <v>5030887.7351557612</v>
      </c>
      <c r="CG188" s="3">
        <f t="shared" ca="1" si="141"/>
        <v>4822434.637263203</v>
      </c>
      <c r="CH188" s="3">
        <f t="shared" ca="1" si="141"/>
        <v>4868185.3393706456</v>
      </c>
      <c r="CI188" s="3">
        <f t="shared" ca="1" si="141"/>
        <v>4728731.2414780883</v>
      </c>
      <c r="CJ188" s="3">
        <f t="shared" ca="1" si="141"/>
        <v>4648071.393585531</v>
      </c>
      <c r="CK188" s="3">
        <f t="shared" ca="1" si="141"/>
        <v>4529911.5456929728</v>
      </c>
      <c r="CL188" s="3">
        <f t="shared" ca="1" si="141"/>
        <v>4532358.7244068943</v>
      </c>
      <c r="CM188" s="3">
        <f t="shared" ca="1" si="141"/>
        <v>4598104.6372231524</v>
      </c>
      <c r="CN188" s="3">
        <f t="shared" ca="1" si="141"/>
        <v>4772202.4500394082</v>
      </c>
      <c r="CO188" s="3">
        <f t="shared" ca="1" si="141"/>
        <v>4729596.462855665</v>
      </c>
      <c r="CP188" s="3">
        <f t="shared" ca="1" si="141"/>
        <v>4686990.4756719228</v>
      </c>
      <c r="CQ188" s="3">
        <f t="shared" ca="1" si="141"/>
        <v>4644384.4884881806</v>
      </c>
      <c r="CR188" s="3">
        <f t="shared" ca="1" si="141"/>
        <v>4601778.5013044374</v>
      </c>
      <c r="CS188" s="3">
        <f t="shared" ca="1" si="141"/>
        <v>4559172.5141206942</v>
      </c>
      <c r="CT188" s="3">
        <f t="shared" ca="1" si="141"/>
        <v>4624918.4269369524</v>
      </c>
      <c r="CU188" s="3">
        <f t="shared" ca="1" si="141"/>
        <v>4473960.5397532098</v>
      </c>
      <c r="CV188" s="3">
        <f t="shared" ca="1" si="141"/>
        <v>4472424.4973117132</v>
      </c>
      <c r="CW188" s="3">
        <f t="shared" ca="1" si="141"/>
        <v>4290301.9548702175</v>
      </c>
      <c r="CX188" s="3">
        <f t="shared" ref="CX188:DF188" ca="1" si="142">CX175+CX180</f>
        <v>4198472.6624287218</v>
      </c>
      <c r="CY188" s="3">
        <f t="shared" ca="1" si="142"/>
        <v>3971263.2488686559</v>
      </c>
      <c r="CZ188" s="3">
        <f t="shared" ca="1" si="142"/>
        <v>3869852.5842449972</v>
      </c>
      <c r="DA188" s="3">
        <f t="shared" ca="1" si="142"/>
        <v>3551738.1196213388</v>
      </c>
      <c r="DB188" s="3">
        <f t="shared" ca="1" si="142"/>
        <v>3361416.9049976803</v>
      </c>
      <c r="DC188" s="3">
        <f t="shared" ca="1" si="142"/>
        <v>2953009.1903740219</v>
      </c>
      <c r="DD188" s="3">
        <f t="shared" ca="1" si="142"/>
        <v>2544601.4757503634</v>
      </c>
      <c r="DE188" s="3">
        <f t="shared" ca="1" si="142"/>
        <v>2136193.761126705</v>
      </c>
      <c r="DF188" s="3">
        <f t="shared" ca="1" si="142"/>
        <v>1727786.0465030461</v>
      </c>
    </row>
    <row r="189" spans="1:110" ht="15" customHeight="1" x14ac:dyDescent="0.25">
      <c r="A189" s="13" t="s">
        <v>50</v>
      </c>
      <c r="B189" s="302"/>
      <c r="C189" s="3"/>
      <c r="D189" s="3"/>
      <c r="E189" s="3"/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f ca="1">IF((F122+G122+H122+I122+J122+K122+L122+M122+N122)&gt;0,-(F122+G122+H122+I122+J122+K122+L122+M122+N122)*0.3,0)</f>
        <v>-591393.92752146022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f ca="1">IF((O122+P122+Q122+R122+S122+T122+U122+V122+W122+X122+Y122+Z122)&gt;0,-(O122+P122+Q122+R122+S122+T122+U122+V122+W122+X122+Y122+Z122)*0.3,0)</f>
        <v>-534479.50935239531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f ca="1">IF((AA122+AB122+AC122+AD122+AE122+AF122+AG122+AH122+AI122+AJ122+AK122+AL122)&gt;0,-(AA122+AB122+AC122+AD122+AE122+AF122+AG122+AH122+AI122+AJ122+AK122+AL122)*0.3,0)</f>
        <v>-501250.23569907347</v>
      </c>
      <c r="AP189" s="3">
        <v>0</v>
      </c>
      <c r="AQ189" s="3">
        <v>0</v>
      </c>
      <c r="AR189" s="3">
        <v>0</v>
      </c>
      <c r="AS189" s="3">
        <v>0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0</v>
      </c>
      <c r="BA189" s="3">
        <f ca="1">IF((AM122+AN122+AO122+AP122+AQ122+AR122+AS122+AT122+AU122+AV122+AW122+AX122)&gt;0,-(AM122+AN122+AO122+AP122+AQ122+AR122+AS122+AT122+AU122+AV122+AW122+AX122)*0.3,0)</f>
        <v>-305307.77667116839</v>
      </c>
      <c r="BB189" s="3">
        <v>0</v>
      </c>
      <c r="BC189" s="3">
        <v>0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f ca="1">IF((AY122+AZ122+BA122+BB122+BC122+BD122+BE122+BF122+BG122+BH122+BI122+BJ122)&gt;0,-(AY122+AZ122+BA122+BB122+BC122+BD122+BE122+BF122+BG122+BH122+BI122+BJ122)*0.3,0)</f>
        <v>-82548.316837871462</v>
      </c>
      <c r="BN189" s="3">
        <v>0</v>
      </c>
      <c r="BO189" s="3">
        <v>0</v>
      </c>
      <c r="BP189" s="3">
        <v>0</v>
      </c>
      <c r="BQ189" s="3">
        <v>0</v>
      </c>
      <c r="BR189" s="3">
        <v>0</v>
      </c>
      <c r="BS189" s="3">
        <v>0</v>
      </c>
      <c r="BT189" s="3">
        <v>0</v>
      </c>
      <c r="BU189" s="3">
        <v>0</v>
      </c>
      <c r="BV189" s="3">
        <v>0</v>
      </c>
      <c r="BW189" s="3">
        <v>0</v>
      </c>
      <c r="BX189" s="3">
        <v>0</v>
      </c>
      <c r="BY189" s="3">
        <f ca="1">IF((BK122+BL122+BM122+BN122+BO122+BP122+BQ122+BR122+BS122+BT122+BU122+BV122)&gt;0,-(BK122+BL122+BM122+BN122+BO122+BP122+BQ122+BR122+BS122+BT122+BU122+BV122)*0.3,0)</f>
        <v>-30429.902408087146</v>
      </c>
      <c r="BZ189" s="3">
        <v>0</v>
      </c>
      <c r="CA189" s="3">
        <v>0</v>
      </c>
      <c r="CB189" s="3">
        <v>0</v>
      </c>
      <c r="CC189" s="3">
        <v>0</v>
      </c>
      <c r="CD189" s="3">
        <v>0</v>
      </c>
      <c r="CE189" s="3">
        <v>0</v>
      </c>
      <c r="CF189" s="3">
        <v>0</v>
      </c>
      <c r="CG189" s="3">
        <v>0</v>
      </c>
      <c r="CH189" s="3">
        <v>0</v>
      </c>
      <c r="CI189" s="3">
        <v>0</v>
      </c>
      <c r="CJ189" s="3">
        <v>0</v>
      </c>
      <c r="CK189" s="3">
        <f t="shared" ref="CK189:DF189" ca="1" si="143">IF((BW122+BX122+BY122+BZ122+CA122+CB122+CC122+CD122+CE122+CF122+CG122+CH122)&gt;0,-(BW122+BX122+BY122+BZ122+CA122+CB122+CC122+CD122+CE122+CF122+CG122+CH122)*0.3,0)</f>
        <v>0</v>
      </c>
      <c r="CL189" s="3">
        <f t="shared" ca="1" si="143"/>
        <v>0</v>
      </c>
      <c r="CM189" s="3">
        <f t="shared" ca="1" si="143"/>
        <v>0</v>
      </c>
      <c r="CN189" s="3">
        <f t="shared" ca="1" si="143"/>
        <v>0</v>
      </c>
      <c r="CO189" s="3">
        <f t="shared" ca="1" si="143"/>
        <v>0</v>
      </c>
      <c r="CP189" s="3">
        <f t="shared" ca="1" si="143"/>
        <v>0</v>
      </c>
      <c r="CQ189" s="3">
        <f t="shared" ca="1" si="143"/>
        <v>0</v>
      </c>
      <c r="CR189" s="3">
        <f t="shared" ca="1" si="143"/>
        <v>0</v>
      </c>
      <c r="CS189" s="3">
        <f t="shared" ca="1" si="143"/>
        <v>0</v>
      </c>
      <c r="CT189" s="3">
        <f t="shared" ca="1" si="143"/>
        <v>0</v>
      </c>
      <c r="CU189" s="3">
        <f t="shared" ca="1" si="143"/>
        <v>0</v>
      </c>
      <c r="CV189" s="3">
        <f t="shared" ca="1" si="143"/>
        <v>0</v>
      </c>
      <c r="CW189" s="3">
        <f t="shared" ca="1" si="143"/>
        <v>0</v>
      </c>
      <c r="CX189" s="3">
        <f t="shared" ca="1" si="143"/>
        <v>0</v>
      </c>
      <c r="CY189" s="3">
        <f t="shared" ca="1" si="143"/>
        <v>0</v>
      </c>
      <c r="CZ189" s="3">
        <f t="shared" ca="1" si="143"/>
        <v>0</v>
      </c>
      <c r="DA189" s="3">
        <f t="shared" ca="1" si="143"/>
        <v>0</v>
      </c>
      <c r="DB189" s="3">
        <f t="shared" ca="1" si="143"/>
        <v>0</v>
      </c>
      <c r="DC189" s="3">
        <f t="shared" ca="1" si="143"/>
        <v>0</v>
      </c>
      <c r="DD189" s="3">
        <f t="shared" ca="1" si="143"/>
        <v>0</v>
      </c>
      <c r="DE189" s="3">
        <f t="shared" ca="1" si="143"/>
        <v>0</v>
      </c>
      <c r="DF189" s="3">
        <f t="shared" ca="1" si="143"/>
        <v>0</v>
      </c>
    </row>
    <row r="190" spans="1:110" ht="15" customHeight="1" x14ac:dyDescent="0.25">
      <c r="A190" s="51" t="s">
        <v>51</v>
      </c>
      <c r="B190" s="326"/>
      <c r="C190" s="52"/>
      <c r="D190" s="52"/>
      <c r="E190" s="52"/>
      <c r="F190" s="52">
        <f t="shared" ref="F190:AK190" ca="1" si="144">F188+F176+F181+F182+F183+F184+F189</f>
        <v>1489703.3399999996</v>
      </c>
      <c r="G190" s="52">
        <f t="shared" ca="1" si="144"/>
        <v>1460023.4195875959</v>
      </c>
      <c r="H190" s="52">
        <f t="shared" ca="1" si="144"/>
        <v>1400968.4991751919</v>
      </c>
      <c r="I190" s="52">
        <f t="shared" ca="1" si="144"/>
        <v>1845381.7402964416</v>
      </c>
      <c r="J190" s="52">
        <f t="shared" ca="1" si="144"/>
        <v>1982734.7766176914</v>
      </c>
      <c r="K190" s="52">
        <f t="shared" ca="1" si="144"/>
        <v>2119254.4829389411</v>
      </c>
      <c r="L190" s="52">
        <f t="shared" ca="1" si="144"/>
        <v>2430824.7578958017</v>
      </c>
      <c r="M190" s="52">
        <f t="shared" ca="1" si="144"/>
        <v>2764020.9668600485</v>
      </c>
      <c r="N190" s="52">
        <f t="shared" ca="1" si="144"/>
        <v>2844842.0917382007</v>
      </c>
      <c r="O190" s="52">
        <f t="shared" ca="1" si="144"/>
        <v>2948795.4470163533</v>
      </c>
      <c r="P190" s="52">
        <f t="shared" ca="1" si="144"/>
        <v>2796498.6022945051</v>
      </c>
      <c r="Q190" s="52">
        <f t="shared" ca="1" si="144"/>
        <v>2302807.8300511977</v>
      </c>
      <c r="R190" s="52">
        <f t="shared" ca="1" si="144"/>
        <v>2322872.0505746929</v>
      </c>
      <c r="S190" s="52">
        <f t="shared" ca="1" si="144"/>
        <v>2563210.8185767285</v>
      </c>
      <c r="T190" s="52">
        <f t="shared" ca="1" si="144"/>
        <v>2962211.464864966</v>
      </c>
      <c r="U190" s="52">
        <f t="shared" ca="1" si="144"/>
        <v>3115697.6763490983</v>
      </c>
      <c r="V190" s="52">
        <f t="shared" ca="1" si="144"/>
        <v>3020077.398656466</v>
      </c>
      <c r="W190" s="52">
        <f t="shared" ca="1" si="144"/>
        <v>2941029.3833638332</v>
      </c>
      <c r="X190" s="52">
        <f t="shared" ca="1" si="144"/>
        <v>2893918.6489109495</v>
      </c>
      <c r="Y190" s="52">
        <f t="shared" ca="1" si="144"/>
        <v>2818723.8075785665</v>
      </c>
      <c r="Z190" s="52">
        <f t="shared" ca="1" si="144"/>
        <v>2880471.2129607382</v>
      </c>
      <c r="AA190" s="52">
        <f t="shared" ca="1" si="144"/>
        <v>2966349.3516283543</v>
      </c>
      <c r="AB190" s="52">
        <f t="shared" ca="1" si="144"/>
        <v>2817763.9862959716</v>
      </c>
      <c r="AC190" s="52">
        <f t="shared" ca="1" si="144"/>
        <v>2457610.6136111924</v>
      </c>
      <c r="AD190" s="52">
        <f t="shared" ca="1" si="144"/>
        <v>3183478.0053138048</v>
      </c>
      <c r="AE190" s="52">
        <f t="shared" ca="1" si="144"/>
        <v>3225065.6494788215</v>
      </c>
      <c r="AF190" s="52">
        <f t="shared" ca="1" si="144"/>
        <v>2791271.9995123846</v>
      </c>
      <c r="AG190" s="52">
        <f t="shared" ca="1" si="144"/>
        <v>2974684.1795459483</v>
      </c>
      <c r="AH190" s="52">
        <f t="shared" ca="1" si="144"/>
        <v>3158526.5255795126</v>
      </c>
      <c r="AI190" s="52">
        <f t="shared" ca="1" si="144"/>
        <v>3342799.0266130762</v>
      </c>
      <c r="AJ190" s="52">
        <f t="shared" ca="1" si="144"/>
        <v>3736291.0677143903</v>
      </c>
      <c r="AK190" s="52">
        <f t="shared" ca="1" si="144"/>
        <v>3863386.8650068189</v>
      </c>
      <c r="AL190" s="52">
        <f t="shared" ref="AL190:BQ190" ca="1" si="145">AL188+AL176+AL181+AL182+AL183+AL184+AL189</f>
        <v>4301305.3319576476</v>
      </c>
      <c r="AM190" s="52">
        <f t="shared" ca="1" si="145"/>
        <v>4393242.5823497558</v>
      </c>
      <c r="AN190" s="52">
        <f t="shared" ca="1" si="145"/>
        <v>4183868.2052418655</v>
      </c>
      <c r="AO190" s="52">
        <f t="shared" ca="1" si="145"/>
        <v>3842311.0303975493</v>
      </c>
      <c r="AP190" s="52">
        <f t="shared" ca="1" si="145"/>
        <v>4431425.9166058525</v>
      </c>
      <c r="AQ190" s="52">
        <f t="shared" ca="1" si="145"/>
        <v>4452666.1716150818</v>
      </c>
      <c r="AR190" s="52">
        <f t="shared" ca="1" si="145"/>
        <v>4506350.4016243117</v>
      </c>
      <c r="AS190" s="52">
        <f t="shared" ca="1" si="145"/>
        <v>4655830.5016335407</v>
      </c>
      <c r="AT190" s="52">
        <f t="shared" ca="1" si="145"/>
        <v>4747754.5816427702</v>
      </c>
      <c r="AU190" s="52">
        <f t="shared" ca="1" si="145"/>
        <v>5144123.6355054993</v>
      </c>
      <c r="AV190" s="52">
        <f t="shared" ca="1" si="145"/>
        <v>5136310.9014575118</v>
      </c>
      <c r="AW190" s="52">
        <f t="shared" ca="1" si="145"/>
        <v>5115551.0924095241</v>
      </c>
      <c r="AX190" s="52">
        <f t="shared" ca="1" si="145"/>
        <v>5068997.9208615385</v>
      </c>
      <c r="AY190" s="52">
        <f t="shared" ca="1" si="145"/>
        <v>5022014.5888135508</v>
      </c>
      <c r="AZ190" s="52">
        <f t="shared" ca="1" si="145"/>
        <v>4724601.0907655628</v>
      </c>
      <c r="BA190" s="52">
        <f t="shared" ca="1" si="145"/>
        <v>4461742.9110464072</v>
      </c>
      <c r="BB190" s="52">
        <f t="shared" ca="1" si="145"/>
        <v>4851068.8463379247</v>
      </c>
      <c r="BC190" s="52">
        <f t="shared" ca="1" si="145"/>
        <v>4791570.3444582755</v>
      </c>
      <c r="BD190" s="52">
        <f t="shared" ca="1" si="145"/>
        <v>4731641.6820786251</v>
      </c>
      <c r="BE190" s="52">
        <f t="shared" ca="1" si="145"/>
        <v>4907428.0091989748</v>
      </c>
      <c r="BF190" s="52">
        <f t="shared" ca="1" si="145"/>
        <v>4819697.6758193243</v>
      </c>
      <c r="BG190" s="52">
        <f t="shared" ca="1" si="145"/>
        <v>4866830.4319396745</v>
      </c>
      <c r="BH190" s="52">
        <f t="shared" ca="1" si="145"/>
        <v>4984384.927560024</v>
      </c>
      <c r="BI190" s="52">
        <f t="shared" ca="1" si="145"/>
        <v>5261534.9877359737</v>
      </c>
      <c r="BJ190" s="52">
        <f t="shared" ca="1" si="145"/>
        <v>5094158.9769877763</v>
      </c>
      <c r="BK190" s="52">
        <f t="shared" ca="1" si="145"/>
        <v>5204057.1002395805</v>
      </c>
      <c r="BL190" s="52">
        <f t="shared" ca="1" si="145"/>
        <v>5051821.2629913827</v>
      </c>
      <c r="BM190" s="52">
        <f t="shared" ca="1" si="145"/>
        <v>5005726.4884053143</v>
      </c>
      <c r="BN190" s="52">
        <f t="shared" ca="1" si="145"/>
        <v>4963286.9341066908</v>
      </c>
      <c r="BO190" s="52">
        <f t="shared" ca="1" si="145"/>
        <v>4984150.9629701963</v>
      </c>
      <c r="BP190" s="52">
        <f t="shared" ca="1" si="145"/>
        <v>4960014.9918337027</v>
      </c>
      <c r="BQ190" s="52">
        <f t="shared" ca="1" si="145"/>
        <v>4980879.0206972091</v>
      </c>
      <c r="BR190" s="52">
        <f t="shared" ref="BR190:CW190" ca="1" si="146">BR188+BR176+BR181+BR182+BR183+BR184+BR189</f>
        <v>5001743.0495607145</v>
      </c>
      <c r="BS190" s="52">
        <f t="shared" ca="1" si="146"/>
        <v>5164413.8484242205</v>
      </c>
      <c r="BT190" s="52">
        <f t="shared" ca="1" si="146"/>
        <v>5094984.6272877259</v>
      </c>
      <c r="BU190" s="52">
        <f t="shared" ca="1" si="146"/>
        <v>5133907.3061512318</v>
      </c>
      <c r="BV190" s="52">
        <f t="shared" ca="1" si="146"/>
        <v>5195591.9850147367</v>
      </c>
      <c r="BW190" s="52">
        <f t="shared" ca="1" si="146"/>
        <v>5342866.5638782429</v>
      </c>
      <c r="BX190" s="52">
        <f t="shared" ca="1" si="146"/>
        <v>5273437.3427417492</v>
      </c>
      <c r="BY190" s="52">
        <f t="shared" ca="1" si="146"/>
        <v>5331633.4691971671</v>
      </c>
      <c r="BZ190" s="52">
        <f t="shared" ca="1" si="146"/>
        <v>5191110.2737126956</v>
      </c>
      <c r="CA190" s="52">
        <f t="shared" ca="1" si="146"/>
        <v>5218802.3258201387</v>
      </c>
      <c r="CB190" s="52">
        <f t="shared" ca="1" si="146"/>
        <v>5088669.8779275818</v>
      </c>
      <c r="CC190" s="52">
        <f t="shared" ca="1" si="146"/>
        <v>5153208.4309408776</v>
      </c>
      <c r="CD190" s="52">
        <f t="shared" ca="1" si="146"/>
        <v>4944755.3330483185</v>
      </c>
      <c r="CE190" s="52">
        <f t="shared" ca="1" si="146"/>
        <v>5030887.7351557612</v>
      </c>
      <c r="CF190" s="52">
        <f t="shared" ca="1" si="146"/>
        <v>4822434.637263204</v>
      </c>
      <c r="CG190" s="52">
        <f t="shared" ca="1" si="146"/>
        <v>4868185.3393706456</v>
      </c>
      <c r="CH190" s="52">
        <f t="shared" ca="1" si="146"/>
        <v>4728731.2414780883</v>
      </c>
      <c r="CI190" s="52">
        <f t="shared" ca="1" si="146"/>
        <v>4648071.393585531</v>
      </c>
      <c r="CJ190" s="52">
        <f t="shared" ca="1" si="146"/>
        <v>4529911.5456929738</v>
      </c>
      <c r="CK190" s="52">
        <f t="shared" ca="1" si="146"/>
        <v>4532358.7244068943</v>
      </c>
      <c r="CL190" s="52">
        <f t="shared" ca="1" si="146"/>
        <v>4598104.6372231524</v>
      </c>
      <c r="CM190" s="52">
        <f t="shared" ca="1" si="146"/>
        <v>4772202.4500394091</v>
      </c>
      <c r="CN190" s="52">
        <f t="shared" ca="1" si="146"/>
        <v>4729596.462855665</v>
      </c>
      <c r="CO190" s="52">
        <f t="shared" ca="1" si="146"/>
        <v>4686990.4756719228</v>
      </c>
      <c r="CP190" s="52">
        <f t="shared" ca="1" si="146"/>
        <v>4644384.4884881806</v>
      </c>
      <c r="CQ190" s="52">
        <f t="shared" ca="1" si="146"/>
        <v>4601778.5013044383</v>
      </c>
      <c r="CR190" s="52">
        <f t="shared" ca="1" si="146"/>
        <v>4559172.5141206942</v>
      </c>
      <c r="CS190" s="52">
        <f t="shared" ca="1" si="146"/>
        <v>4624918.4269369524</v>
      </c>
      <c r="CT190" s="52">
        <f t="shared" ca="1" si="146"/>
        <v>4473960.5397532098</v>
      </c>
      <c r="CU190" s="52">
        <f t="shared" ca="1" si="146"/>
        <v>4472424.4973117141</v>
      </c>
      <c r="CV190" s="52">
        <f t="shared" ca="1" si="146"/>
        <v>4290301.9548702175</v>
      </c>
      <c r="CW190" s="52">
        <f t="shared" ca="1" si="146"/>
        <v>4198472.6624287218</v>
      </c>
      <c r="CX190" s="52">
        <f t="shared" ref="CX190:EC190" ca="1" si="147">CX188+CX176+CX181+CX182+CX183+CX184+CX189</f>
        <v>3971263.2488686559</v>
      </c>
      <c r="CY190" s="52">
        <f t="shared" ca="1" si="147"/>
        <v>3869852.5842449972</v>
      </c>
      <c r="CZ190" s="52">
        <f t="shared" ca="1" si="147"/>
        <v>3551738.1196213383</v>
      </c>
      <c r="DA190" s="52">
        <f t="shared" ca="1" si="147"/>
        <v>3361416.9049976799</v>
      </c>
      <c r="DB190" s="52">
        <f t="shared" ca="1" si="147"/>
        <v>2953009.1903740214</v>
      </c>
      <c r="DC190" s="52">
        <f t="shared" ca="1" si="147"/>
        <v>2544601.475750363</v>
      </c>
      <c r="DD190" s="52">
        <f t="shared" ca="1" si="147"/>
        <v>2136193.7611267045</v>
      </c>
      <c r="DE190" s="52">
        <f t="shared" ca="1" si="147"/>
        <v>1727786.0465030461</v>
      </c>
      <c r="DF190" s="52">
        <f t="shared" ca="1" si="147"/>
        <v>1319378.3318793871</v>
      </c>
    </row>
    <row r="191" spans="1:110" ht="15" customHeight="1" x14ac:dyDescent="0.25">
      <c r="A191" s="302"/>
      <c r="B191" s="30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</row>
    <row r="192" spans="1:110" ht="15" customHeight="1" x14ac:dyDescent="0.25">
      <c r="A192" s="53" t="s">
        <v>187</v>
      </c>
      <c r="B192" s="30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</row>
    <row r="193" spans="1:110" ht="15" customHeight="1" x14ac:dyDescent="0.25">
      <c r="A193" s="54" t="s">
        <v>188</v>
      </c>
      <c r="B193" s="30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</row>
    <row r="194" spans="1:110" ht="15" customHeight="1" x14ac:dyDescent="0.25">
      <c r="A194" s="55" t="s">
        <v>189</v>
      </c>
      <c r="B194" s="30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</row>
    <row r="195" spans="1:110" ht="15" customHeight="1" x14ac:dyDescent="0.25">
      <c r="A195" s="55" t="s">
        <v>190</v>
      </c>
      <c r="B195" s="30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</row>
    <row r="196" spans="1:110" ht="15" customHeight="1" x14ac:dyDescent="0.25">
      <c r="A196" s="55" t="s">
        <v>191</v>
      </c>
      <c r="B196" s="30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</row>
    <row r="197" spans="1:110" ht="15" customHeight="1" x14ac:dyDescent="0.25">
      <c r="A197" s="195"/>
      <c r="B197" s="195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/>
      <c r="BD197" s="327"/>
      <c r="BE197" s="327"/>
      <c r="BF197" s="327"/>
      <c r="BG197" s="327"/>
      <c r="BH197" s="327"/>
      <c r="BI197" s="327"/>
      <c r="BJ197" s="327"/>
      <c r="BK197" s="327"/>
      <c r="BL197" s="327"/>
      <c r="BM197" s="327"/>
      <c r="BN197" s="327"/>
      <c r="BO197" s="327"/>
      <c r="BP197" s="327"/>
      <c r="BQ197" s="327"/>
      <c r="BR197" s="327"/>
      <c r="BS197" s="327"/>
      <c r="BT197" s="327"/>
      <c r="BU197" s="327"/>
      <c r="BV197" s="327"/>
      <c r="BW197" s="327"/>
      <c r="BX197" s="327"/>
      <c r="BY197" s="327"/>
      <c r="BZ197" s="327"/>
      <c r="CA197" s="327"/>
      <c r="CB197" s="327"/>
      <c r="CC197" s="327"/>
      <c r="CD197" s="327"/>
      <c r="CE197" s="327"/>
      <c r="CF197" s="327"/>
      <c r="CG197" s="327"/>
      <c r="CH197" s="327"/>
      <c r="CI197" s="327"/>
      <c r="CJ197" s="327"/>
      <c r="CK197" s="327"/>
      <c r="CL197" s="327"/>
      <c r="CM197" s="327"/>
      <c r="CN197" s="327"/>
      <c r="CO197" s="327"/>
      <c r="CP197" s="327"/>
      <c r="CQ197" s="327"/>
      <c r="CR197" s="327"/>
      <c r="CS197" s="327"/>
      <c r="CT197" s="327"/>
      <c r="CU197" s="327"/>
      <c r="CV197" s="327"/>
      <c r="CW197" s="327"/>
      <c r="CX197" s="327"/>
      <c r="CY197" s="327"/>
      <c r="CZ197" s="327"/>
      <c r="DA197" s="327"/>
      <c r="DB197" s="327"/>
      <c r="DC197" s="327"/>
      <c r="DD197" s="327"/>
      <c r="DE197" s="327"/>
      <c r="DF197" s="327"/>
    </row>
    <row r="198" spans="1:110" ht="15" customHeight="1" x14ac:dyDescent="0.25">
      <c r="A198" s="195"/>
      <c r="B198" s="195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/>
      <c r="BD198" s="327"/>
      <c r="BE198" s="327"/>
      <c r="BF198" s="327"/>
      <c r="BG198" s="327"/>
      <c r="BH198" s="327"/>
      <c r="BI198" s="327"/>
      <c r="BJ198" s="327"/>
      <c r="BK198" s="327"/>
      <c r="BL198" s="327"/>
      <c r="BM198" s="327"/>
      <c r="BN198" s="327"/>
      <c r="BO198" s="327"/>
      <c r="BP198" s="327"/>
      <c r="BQ198" s="327"/>
      <c r="BR198" s="327"/>
      <c r="BS198" s="327"/>
      <c r="BT198" s="327"/>
      <c r="BU198" s="327"/>
      <c r="BV198" s="327"/>
      <c r="BW198" s="327"/>
      <c r="BX198" s="327"/>
      <c r="BY198" s="327"/>
      <c r="BZ198" s="327"/>
      <c r="CA198" s="327"/>
      <c r="CB198" s="327"/>
      <c r="CC198" s="327"/>
      <c r="CD198" s="327"/>
      <c r="CE198" s="327"/>
      <c r="CF198" s="327"/>
      <c r="CG198" s="327"/>
      <c r="CH198" s="327"/>
      <c r="CI198" s="327"/>
      <c r="CJ198" s="327"/>
      <c r="CK198" s="327"/>
      <c r="CL198" s="327"/>
      <c r="CM198" s="327"/>
      <c r="CN198" s="327"/>
      <c r="CO198" s="327"/>
      <c r="CP198" s="327"/>
      <c r="CQ198" s="327"/>
      <c r="CR198" s="327"/>
      <c r="CS198" s="327"/>
      <c r="CT198" s="327"/>
      <c r="CU198" s="327"/>
      <c r="CV198" s="327"/>
      <c r="CW198" s="327"/>
      <c r="CX198" s="327"/>
      <c r="CY198" s="327"/>
      <c r="CZ198" s="327"/>
      <c r="DA198" s="327"/>
      <c r="DB198" s="327"/>
      <c r="DC198" s="327"/>
      <c r="DD198" s="327"/>
      <c r="DE198" s="327"/>
      <c r="DF198" s="327"/>
    </row>
    <row r="199" spans="1:110" ht="15" customHeight="1" x14ac:dyDescent="0.25">
      <c r="A199" s="97"/>
      <c r="B199" s="195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  <c r="AX199" s="327"/>
      <c r="AY199" s="327"/>
      <c r="AZ199" s="327"/>
      <c r="BA199" s="327"/>
      <c r="BB199" s="327"/>
      <c r="BC199" s="327"/>
      <c r="BD199" s="327"/>
      <c r="BE199" s="327"/>
      <c r="BF199" s="327"/>
      <c r="BG199" s="327"/>
      <c r="BH199" s="327"/>
      <c r="BI199" s="327"/>
      <c r="BJ199" s="327"/>
      <c r="BK199" s="327"/>
      <c r="BL199" s="327"/>
      <c r="BM199" s="327"/>
      <c r="BN199" s="327"/>
      <c r="BO199" s="327"/>
      <c r="BP199" s="327"/>
      <c r="BQ199" s="327"/>
      <c r="BR199" s="327"/>
      <c r="BS199" s="327"/>
      <c r="BT199" s="327"/>
      <c r="BU199" s="327"/>
      <c r="BV199" s="327"/>
      <c r="BW199" s="327"/>
      <c r="BX199" s="327"/>
      <c r="BY199" s="327"/>
      <c r="BZ199" s="327"/>
      <c r="CA199" s="327"/>
      <c r="CB199" s="327"/>
      <c r="CC199" s="327"/>
      <c r="CD199" s="327"/>
      <c r="CE199" s="327"/>
      <c r="CF199" s="327"/>
      <c r="CG199" s="327"/>
      <c r="CH199" s="327"/>
      <c r="CI199" s="327"/>
      <c r="CJ199" s="327"/>
      <c r="CK199" s="327"/>
      <c r="CL199" s="327"/>
      <c r="CM199" s="327"/>
      <c r="CN199" s="327"/>
      <c r="CO199" s="327"/>
      <c r="CP199" s="327"/>
      <c r="CQ199" s="327"/>
      <c r="CR199" s="327"/>
      <c r="CS199" s="327"/>
      <c r="CT199" s="327"/>
      <c r="CU199" s="327"/>
      <c r="CV199" s="327"/>
      <c r="CW199" s="327"/>
      <c r="CX199" s="327"/>
      <c r="CY199" s="327"/>
      <c r="CZ199" s="327"/>
      <c r="DA199" s="327"/>
      <c r="DB199" s="327"/>
      <c r="DC199" s="327"/>
      <c r="DD199" s="327"/>
      <c r="DE199" s="327"/>
      <c r="DF199" s="327"/>
    </row>
    <row r="200" spans="1:110" ht="15" customHeight="1" x14ac:dyDescent="0.25">
      <c r="A200" s="195"/>
      <c r="B200" s="195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/>
      <c r="BD200" s="327"/>
      <c r="BE200" s="327"/>
      <c r="BF200" s="327"/>
      <c r="BG200" s="327"/>
      <c r="BH200" s="327"/>
      <c r="BI200" s="327"/>
      <c r="BJ200" s="327"/>
      <c r="BK200" s="327"/>
      <c r="BL200" s="327"/>
      <c r="BM200" s="327"/>
      <c r="BN200" s="327"/>
      <c r="BO200" s="327"/>
      <c r="BP200" s="327"/>
      <c r="BQ200" s="327"/>
      <c r="BR200" s="327"/>
      <c r="BS200" s="327"/>
      <c r="BT200" s="327"/>
      <c r="BU200" s="327"/>
      <c r="BV200" s="327"/>
      <c r="BW200" s="327"/>
      <c r="BX200" s="327"/>
      <c r="BY200" s="327"/>
      <c r="BZ200" s="327"/>
      <c r="CA200" s="327"/>
      <c r="CB200" s="327"/>
      <c r="CC200" s="327"/>
      <c r="CD200" s="327"/>
      <c r="CE200" s="327"/>
      <c r="CF200" s="327"/>
      <c r="CG200" s="327"/>
      <c r="CH200" s="327"/>
      <c r="CI200" s="327"/>
      <c r="CJ200" s="327"/>
      <c r="CK200" s="327"/>
      <c r="CL200" s="327"/>
      <c r="CM200" s="327"/>
      <c r="CN200" s="327"/>
      <c r="CO200" s="327"/>
      <c r="CP200" s="327"/>
      <c r="CQ200" s="327"/>
      <c r="CR200" s="327"/>
      <c r="CS200" s="327"/>
      <c r="CT200" s="327"/>
      <c r="CU200" s="327"/>
      <c r="CV200" s="327"/>
      <c r="CW200" s="327"/>
      <c r="CX200" s="327"/>
      <c r="CY200" s="327"/>
      <c r="CZ200" s="327"/>
      <c r="DA200" s="327"/>
      <c r="DB200" s="327"/>
      <c r="DC200" s="327"/>
      <c r="DD200" s="327"/>
      <c r="DE200" s="327"/>
      <c r="DF200" s="327"/>
    </row>
    <row r="201" spans="1:110" ht="15" customHeight="1" x14ac:dyDescent="0.25">
      <c r="A201" s="56"/>
      <c r="B201" s="5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/>
      <c r="BD201" s="327"/>
      <c r="BE201" s="327"/>
      <c r="BF201" s="327"/>
      <c r="BG201" s="327"/>
      <c r="BH201" s="327"/>
      <c r="BI201" s="327"/>
      <c r="BJ201" s="327"/>
      <c r="BK201" s="327"/>
      <c r="BL201" s="327"/>
      <c r="BM201" s="327"/>
      <c r="BN201" s="327"/>
      <c r="BO201" s="327"/>
      <c r="BP201" s="327"/>
      <c r="BQ201" s="327"/>
      <c r="BR201" s="327"/>
      <c r="BS201" s="327"/>
      <c r="BT201" s="327"/>
      <c r="BU201" s="327"/>
      <c r="BV201" s="327"/>
      <c r="BW201" s="327"/>
      <c r="BX201" s="327"/>
      <c r="BY201" s="327"/>
      <c r="BZ201" s="327"/>
      <c r="CA201" s="327"/>
      <c r="CB201" s="327"/>
      <c r="CC201" s="327"/>
      <c r="CD201" s="327"/>
      <c r="CE201" s="327"/>
      <c r="CF201" s="327"/>
      <c r="CG201" s="327"/>
      <c r="CH201" s="327"/>
      <c r="CI201" s="327"/>
      <c r="CJ201" s="327"/>
      <c r="CK201" s="327"/>
      <c r="CL201" s="327"/>
      <c r="CM201" s="327"/>
      <c r="CN201" s="327"/>
      <c r="CO201" s="327"/>
      <c r="CP201" s="327"/>
      <c r="CQ201" s="327"/>
      <c r="CR201" s="327"/>
      <c r="CS201" s="327"/>
      <c r="CT201" s="327"/>
      <c r="CU201" s="327"/>
      <c r="CV201" s="327"/>
      <c r="CW201" s="327"/>
      <c r="CX201" s="327"/>
      <c r="CY201" s="327"/>
      <c r="CZ201" s="327"/>
      <c r="DA201" s="327"/>
      <c r="DB201" s="327"/>
      <c r="DC201" s="327"/>
      <c r="DD201" s="327"/>
      <c r="DE201" s="327"/>
      <c r="DF201" s="327"/>
    </row>
    <row r="202" spans="1:110" ht="15" customHeight="1" x14ac:dyDescent="0.25">
      <c r="A202" s="56"/>
      <c r="B202" s="5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7"/>
      <c r="BF202" s="327"/>
      <c r="BG202" s="327"/>
      <c r="BH202" s="327"/>
      <c r="BI202" s="327"/>
      <c r="BJ202" s="327"/>
      <c r="BK202" s="327"/>
      <c r="BL202" s="327"/>
      <c r="BM202" s="327"/>
      <c r="BN202" s="327"/>
      <c r="BO202" s="327"/>
      <c r="BP202" s="327"/>
      <c r="BQ202" s="327"/>
      <c r="BR202" s="327"/>
      <c r="BS202" s="327"/>
      <c r="BT202" s="327"/>
      <c r="BU202" s="327"/>
      <c r="BV202" s="327"/>
      <c r="BW202" s="327"/>
      <c r="BX202" s="327"/>
      <c r="BY202" s="327"/>
      <c r="BZ202" s="327"/>
      <c r="CA202" s="327"/>
      <c r="CB202" s="327"/>
      <c r="CC202" s="327"/>
      <c r="CD202" s="327"/>
      <c r="CE202" s="327"/>
      <c r="CF202" s="327"/>
      <c r="CG202" s="327"/>
      <c r="CH202" s="327"/>
      <c r="CI202" s="327"/>
      <c r="CJ202" s="327"/>
      <c r="CK202" s="327"/>
      <c r="CL202" s="327"/>
      <c r="CM202" s="327"/>
      <c r="CN202" s="327"/>
      <c r="CO202" s="327"/>
      <c r="CP202" s="327"/>
      <c r="CQ202" s="327"/>
      <c r="CR202" s="327"/>
      <c r="CS202" s="327"/>
      <c r="CT202" s="327"/>
      <c r="CU202" s="327"/>
      <c r="CV202" s="327"/>
      <c r="CW202" s="327"/>
      <c r="CX202" s="327"/>
      <c r="CY202" s="327"/>
      <c r="CZ202" s="327"/>
      <c r="DA202" s="327"/>
      <c r="DB202" s="327"/>
      <c r="DC202" s="327"/>
      <c r="DD202" s="327"/>
      <c r="DE202" s="327"/>
      <c r="DF202" s="327"/>
    </row>
    <row r="203" spans="1:110" ht="15" customHeight="1" x14ac:dyDescent="0.25">
      <c r="A203" s="56"/>
      <c r="B203" s="5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D203" s="327"/>
      <c r="CE203" s="327"/>
      <c r="CF203" s="327"/>
      <c r="CG203" s="327"/>
      <c r="CH203" s="327"/>
      <c r="CI203" s="327"/>
      <c r="CJ203" s="327"/>
      <c r="CK203" s="327"/>
      <c r="CL203" s="327"/>
      <c r="CM203" s="327"/>
      <c r="CN203" s="327"/>
      <c r="CO203" s="327"/>
      <c r="CP203" s="327"/>
      <c r="CQ203" s="327"/>
      <c r="CR203" s="327"/>
      <c r="CS203" s="327"/>
      <c r="CT203" s="327"/>
      <c r="CU203" s="327"/>
      <c r="CV203" s="327"/>
      <c r="CW203" s="327"/>
      <c r="CX203" s="327"/>
      <c r="CY203" s="327"/>
      <c r="CZ203" s="327"/>
      <c r="DA203" s="327"/>
      <c r="DB203" s="327"/>
      <c r="DC203" s="327"/>
      <c r="DD203" s="327"/>
      <c r="DE203" s="327"/>
      <c r="DF203" s="327"/>
    </row>
    <row r="204" spans="1:110" ht="15" customHeight="1" x14ac:dyDescent="0.25">
      <c r="A204" s="97"/>
      <c r="B204" s="58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/>
      <c r="BD204" s="327"/>
      <c r="BE204" s="327"/>
      <c r="BF204" s="327"/>
      <c r="BG204" s="327"/>
      <c r="BH204" s="327"/>
      <c r="BI204" s="327"/>
      <c r="BJ204" s="327"/>
      <c r="BK204" s="327"/>
      <c r="BL204" s="327"/>
      <c r="BM204" s="327"/>
      <c r="BN204" s="327"/>
      <c r="BO204" s="327"/>
      <c r="BP204" s="327"/>
      <c r="BQ204" s="327"/>
      <c r="BR204" s="327"/>
      <c r="BS204" s="327"/>
      <c r="BT204" s="327"/>
      <c r="BU204" s="327"/>
      <c r="BV204" s="327"/>
      <c r="BW204" s="327"/>
      <c r="BX204" s="327"/>
      <c r="BY204" s="327"/>
      <c r="BZ204" s="327"/>
      <c r="CA204" s="327"/>
      <c r="CB204" s="327"/>
      <c r="CC204" s="327"/>
      <c r="CD204" s="327"/>
      <c r="CE204" s="327"/>
      <c r="CF204" s="327"/>
      <c r="CG204" s="327"/>
      <c r="CH204" s="327"/>
      <c r="CI204" s="327"/>
      <c r="CJ204" s="327"/>
      <c r="CK204" s="327"/>
      <c r="CL204" s="327"/>
      <c r="CM204" s="327"/>
      <c r="CN204" s="327"/>
      <c r="CO204" s="327"/>
      <c r="CP204" s="327"/>
      <c r="CQ204" s="327"/>
      <c r="CR204" s="327"/>
      <c r="CS204" s="327"/>
      <c r="CT204" s="327"/>
      <c r="CU204" s="327"/>
      <c r="CV204" s="327"/>
      <c r="CW204" s="327"/>
      <c r="CX204" s="327"/>
      <c r="CY204" s="327"/>
      <c r="CZ204" s="327"/>
      <c r="DA204" s="327"/>
      <c r="DB204" s="327"/>
      <c r="DC204" s="327"/>
      <c r="DD204" s="327"/>
      <c r="DE204" s="327"/>
      <c r="DF204" s="327"/>
    </row>
    <row r="205" spans="1:110" ht="15" customHeight="1" x14ac:dyDescent="0.25">
      <c r="A205" s="56"/>
      <c r="B205" s="5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  <c r="AX205" s="327"/>
      <c r="AY205" s="327"/>
      <c r="AZ205" s="327"/>
      <c r="BA205" s="327"/>
      <c r="BB205" s="327"/>
      <c r="BC205" s="327"/>
      <c r="BD205" s="327"/>
      <c r="BE205" s="327"/>
      <c r="BF205" s="327"/>
      <c r="BG205" s="327"/>
      <c r="BH205" s="327"/>
      <c r="BI205" s="327"/>
      <c r="BJ205" s="327"/>
      <c r="BK205" s="327"/>
      <c r="BL205" s="327"/>
      <c r="BM205" s="327"/>
      <c r="BN205" s="327"/>
      <c r="BO205" s="327"/>
      <c r="BP205" s="327"/>
      <c r="BQ205" s="327"/>
      <c r="BR205" s="327"/>
      <c r="BS205" s="327"/>
      <c r="BT205" s="327"/>
      <c r="BU205" s="327"/>
      <c r="BV205" s="327"/>
      <c r="BW205" s="327"/>
      <c r="BX205" s="327"/>
      <c r="BY205" s="327"/>
      <c r="BZ205" s="327"/>
      <c r="CA205" s="327"/>
      <c r="CB205" s="327"/>
      <c r="CC205" s="327"/>
      <c r="CD205" s="327"/>
      <c r="CE205" s="327"/>
      <c r="CF205" s="327"/>
      <c r="CG205" s="327"/>
      <c r="CH205" s="327"/>
      <c r="CI205" s="327"/>
      <c r="CJ205" s="327"/>
      <c r="CK205" s="327"/>
      <c r="CL205" s="327"/>
      <c r="CM205" s="327"/>
      <c r="CN205" s="327"/>
      <c r="CO205" s="327"/>
      <c r="CP205" s="327"/>
      <c r="CQ205" s="327"/>
      <c r="CR205" s="327"/>
      <c r="CS205" s="327"/>
      <c r="CT205" s="327"/>
      <c r="CU205" s="327"/>
      <c r="CV205" s="327"/>
      <c r="CW205" s="327"/>
      <c r="CX205" s="327"/>
      <c r="CY205" s="327"/>
      <c r="CZ205" s="327"/>
      <c r="DA205" s="327"/>
      <c r="DB205" s="327"/>
      <c r="DC205" s="327"/>
      <c r="DD205" s="327"/>
      <c r="DE205" s="327"/>
      <c r="DF205" s="327"/>
    </row>
    <row r="206" spans="1:110" ht="15" customHeight="1" x14ac:dyDescent="0.25">
      <c r="A206" s="56"/>
      <c r="B206" s="57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</row>
    <row r="207" spans="1:110" ht="15" customHeight="1" x14ac:dyDescent="0.25">
      <c r="A207" s="56"/>
      <c r="B207" s="57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</row>
    <row r="208" spans="1:110" ht="15" customHeight="1" x14ac:dyDescent="0.25">
      <c r="A208" s="56"/>
      <c r="B208" s="57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</row>
    <row r="209" spans="1:110" ht="15" customHeight="1" x14ac:dyDescent="0.25">
      <c r="A209" s="56"/>
      <c r="B209" s="57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</row>
    <row r="210" spans="1:110" ht="15" customHeight="1" x14ac:dyDescent="0.25">
      <c r="A210" s="56"/>
      <c r="B210" s="57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  <c r="BN210" s="61"/>
      <c r="BO210" s="61"/>
      <c r="BP210" s="61"/>
      <c r="BQ210" s="61"/>
      <c r="BR210" s="61"/>
      <c r="BS210" s="61"/>
      <c r="BT210" s="61"/>
      <c r="BU210" s="61"/>
      <c r="BV210" s="61"/>
      <c r="BW210" s="61"/>
      <c r="BX210" s="61"/>
      <c r="BY210" s="61"/>
      <c r="BZ210" s="61"/>
      <c r="CA210" s="61"/>
      <c r="CB210" s="61"/>
      <c r="CC210" s="61"/>
      <c r="CD210" s="61"/>
      <c r="CE210" s="61"/>
      <c r="CF210" s="61"/>
      <c r="CG210" s="61"/>
      <c r="CH210" s="61"/>
      <c r="CI210" s="61"/>
      <c r="CJ210" s="61"/>
      <c r="CK210" s="61"/>
      <c r="CL210" s="61"/>
      <c r="CM210" s="61"/>
      <c r="CN210" s="61"/>
      <c r="CO210" s="61"/>
      <c r="CP210" s="61"/>
      <c r="CQ210" s="61"/>
      <c r="CR210" s="61"/>
      <c r="CS210" s="61"/>
      <c r="CT210" s="61"/>
      <c r="CU210" s="61"/>
      <c r="CV210" s="61"/>
      <c r="CW210" s="61"/>
      <c r="CX210" s="61"/>
      <c r="CY210" s="61"/>
      <c r="CZ210" s="61"/>
      <c r="DA210" s="61"/>
      <c r="DB210" s="61"/>
      <c r="DC210" s="61"/>
      <c r="DD210" s="61"/>
      <c r="DE210" s="61"/>
      <c r="DF210" s="61"/>
    </row>
    <row r="211" spans="1:110" ht="15" customHeight="1" x14ac:dyDescent="0.25">
      <c r="A211" s="56"/>
      <c r="B211" s="5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  <c r="AX211" s="327"/>
      <c r="AY211" s="327"/>
      <c r="AZ211" s="327"/>
      <c r="BA211" s="327"/>
      <c r="BB211" s="327"/>
      <c r="BC211" s="327"/>
      <c r="BD211" s="327"/>
      <c r="BE211" s="327"/>
      <c r="BF211" s="327"/>
      <c r="BG211" s="327"/>
      <c r="BH211" s="327"/>
      <c r="BI211" s="327"/>
      <c r="BJ211" s="327"/>
      <c r="BK211" s="327"/>
      <c r="BL211" s="327"/>
      <c r="BM211" s="327"/>
      <c r="BN211" s="327"/>
      <c r="BO211" s="327"/>
      <c r="BP211" s="327"/>
      <c r="BQ211" s="327"/>
      <c r="BR211" s="327"/>
      <c r="BS211" s="327"/>
      <c r="BT211" s="327"/>
      <c r="BU211" s="327"/>
      <c r="BV211" s="327"/>
      <c r="BW211" s="327"/>
      <c r="BX211" s="327"/>
      <c r="BY211" s="327"/>
      <c r="BZ211" s="327"/>
      <c r="CA211" s="327"/>
      <c r="CB211" s="327"/>
      <c r="CC211" s="327"/>
      <c r="CD211" s="327"/>
      <c r="CE211" s="327"/>
      <c r="CF211" s="327"/>
      <c r="CG211" s="327"/>
      <c r="CH211" s="327"/>
      <c r="CI211" s="327"/>
      <c r="CJ211" s="327"/>
      <c r="CK211" s="327"/>
      <c r="CL211" s="327"/>
      <c r="CM211" s="327"/>
      <c r="CN211" s="327"/>
      <c r="CO211" s="327"/>
      <c r="CP211" s="327"/>
      <c r="CQ211" s="327"/>
      <c r="CR211" s="327"/>
      <c r="CS211" s="327"/>
      <c r="CT211" s="327"/>
      <c r="CU211" s="327"/>
      <c r="CV211" s="327"/>
      <c r="CW211" s="327"/>
      <c r="CX211" s="327"/>
      <c r="CY211" s="327"/>
      <c r="CZ211" s="327"/>
      <c r="DA211" s="327"/>
      <c r="DB211" s="327"/>
      <c r="DC211" s="327"/>
      <c r="DD211" s="327"/>
      <c r="DE211" s="327"/>
      <c r="DF211" s="327"/>
    </row>
    <row r="212" spans="1:110" ht="15" customHeight="1" x14ac:dyDescent="0.25">
      <c r="A212" s="56"/>
      <c r="B212" s="58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/>
      <c r="BD212" s="327"/>
      <c r="BE212" s="327"/>
      <c r="BF212" s="327"/>
      <c r="BG212" s="327"/>
      <c r="BH212" s="327"/>
      <c r="BI212" s="327"/>
      <c r="BJ212" s="327"/>
      <c r="BK212" s="327"/>
      <c r="BL212" s="327"/>
      <c r="BM212" s="327"/>
      <c r="BN212" s="327"/>
      <c r="BO212" s="327"/>
      <c r="BP212" s="327"/>
      <c r="BQ212" s="327"/>
      <c r="BR212" s="327"/>
      <c r="BS212" s="327"/>
      <c r="BT212" s="327"/>
      <c r="BU212" s="327"/>
      <c r="BV212" s="327"/>
      <c r="BW212" s="327"/>
      <c r="BX212" s="327"/>
      <c r="BY212" s="327"/>
      <c r="BZ212" s="327"/>
      <c r="CA212" s="327"/>
      <c r="CB212" s="327"/>
      <c r="CC212" s="327"/>
      <c r="CD212" s="327"/>
      <c r="CE212" s="327"/>
      <c r="CF212" s="327"/>
      <c r="CG212" s="327"/>
      <c r="CH212" s="327"/>
      <c r="CI212" s="327"/>
      <c r="CJ212" s="327"/>
      <c r="CK212" s="327"/>
      <c r="CL212" s="327"/>
      <c r="CM212" s="327"/>
      <c r="CN212" s="327"/>
      <c r="CO212" s="327"/>
      <c r="CP212" s="327"/>
      <c r="CQ212" s="327"/>
      <c r="CR212" s="327"/>
      <c r="CS212" s="327"/>
      <c r="CT212" s="327"/>
      <c r="CU212" s="327"/>
      <c r="CV212" s="327"/>
      <c r="CW212" s="327"/>
      <c r="CX212" s="327"/>
      <c r="CY212" s="327"/>
      <c r="CZ212" s="327"/>
      <c r="DA212" s="327"/>
      <c r="DB212" s="327"/>
      <c r="DC212" s="327"/>
      <c r="DD212" s="327"/>
      <c r="DE212" s="327"/>
      <c r="DF212" s="327"/>
    </row>
    <row r="213" spans="1:110" ht="15" customHeight="1" x14ac:dyDescent="0.25">
      <c r="A213" s="56"/>
      <c r="B213" s="5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  <c r="Z213" s="327"/>
      <c r="AA213" s="327"/>
      <c r="AB213" s="327"/>
      <c r="AC213" s="327"/>
      <c r="AD213" s="327"/>
      <c r="AE213" s="327"/>
      <c r="AF213" s="327"/>
      <c r="AG213" s="327"/>
      <c r="AH213" s="327"/>
      <c r="AI213" s="327"/>
      <c r="AJ213" s="327"/>
      <c r="AK213" s="327"/>
      <c r="AL213" s="327"/>
      <c r="AM213" s="327"/>
      <c r="AN213" s="327"/>
      <c r="AO213" s="327"/>
      <c r="AP213" s="327"/>
      <c r="AQ213" s="327"/>
      <c r="AR213" s="327"/>
      <c r="AS213" s="327"/>
      <c r="AT213" s="327"/>
      <c r="AU213" s="327"/>
      <c r="AV213" s="327"/>
      <c r="AW213" s="327"/>
      <c r="AX213" s="327"/>
      <c r="AY213" s="327"/>
      <c r="AZ213" s="327"/>
      <c r="BA213" s="327"/>
      <c r="BB213" s="327"/>
      <c r="BC213" s="327"/>
      <c r="BD213" s="327"/>
      <c r="BE213" s="327"/>
      <c r="BF213" s="327"/>
      <c r="BG213" s="327"/>
      <c r="BH213" s="327"/>
      <c r="BI213" s="327"/>
      <c r="BJ213" s="327"/>
      <c r="BK213" s="327"/>
      <c r="BL213" s="327"/>
      <c r="BM213" s="327"/>
      <c r="BN213" s="327"/>
      <c r="BO213" s="327"/>
      <c r="BP213" s="327"/>
      <c r="BQ213" s="327"/>
      <c r="BR213" s="327"/>
      <c r="BS213" s="327"/>
      <c r="BT213" s="327"/>
      <c r="BU213" s="327"/>
      <c r="BV213" s="327"/>
      <c r="BW213" s="327"/>
      <c r="BX213" s="327"/>
      <c r="BY213" s="327"/>
      <c r="BZ213" s="327"/>
      <c r="CA213" s="327"/>
      <c r="CB213" s="327"/>
      <c r="CC213" s="327"/>
      <c r="CD213" s="327"/>
      <c r="CE213" s="327"/>
      <c r="CF213" s="327"/>
      <c r="CG213" s="327"/>
      <c r="CH213" s="327"/>
      <c r="CI213" s="327"/>
      <c r="CJ213" s="327"/>
      <c r="CK213" s="327"/>
      <c r="CL213" s="327"/>
      <c r="CM213" s="327"/>
      <c r="CN213" s="327"/>
      <c r="CO213" s="327"/>
      <c r="CP213" s="327"/>
      <c r="CQ213" s="327"/>
      <c r="CR213" s="327"/>
      <c r="CS213" s="327"/>
      <c r="CT213" s="327"/>
      <c r="CU213" s="327"/>
      <c r="CV213" s="327"/>
      <c r="CW213" s="327"/>
      <c r="CX213" s="327"/>
      <c r="CY213" s="327"/>
      <c r="CZ213" s="327"/>
      <c r="DA213" s="327"/>
      <c r="DB213" s="327"/>
      <c r="DC213" s="327"/>
      <c r="DD213" s="327"/>
      <c r="DE213" s="327"/>
      <c r="DF213" s="327"/>
    </row>
    <row r="214" spans="1:110" ht="15" customHeight="1" x14ac:dyDescent="0.25">
      <c r="A214" s="56"/>
      <c r="B214" s="5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  <c r="Z214" s="327"/>
      <c r="AA214" s="327"/>
      <c r="AB214" s="327"/>
      <c r="AC214" s="327"/>
      <c r="AD214" s="327"/>
      <c r="AE214" s="327"/>
      <c r="AF214" s="327"/>
      <c r="AG214" s="327"/>
      <c r="AH214" s="327"/>
      <c r="AI214" s="327"/>
      <c r="AJ214" s="327"/>
      <c r="AK214" s="327"/>
      <c r="AL214" s="327"/>
      <c r="AM214" s="327"/>
      <c r="AN214" s="327"/>
      <c r="AO214" s="327"/>
      <c r="AP214" s="327"/>
      <c r="AQ214" s="327"/>
      <c r="AR214" s="327"/>
      <c r="AS214" s="327"/>
      <c r="AT214" s="327"/>
      <c r="AU214" s="327"/>
      <c r="AV214" s="327"/>
      <c r="AW214" s="327"/>
      <c r="AX214" s="327"/>
      <c r="AY214" s="327"/>
      <c r="AZ214" s="327"/>
      <c r="BA214" s="327"/>
      <c r="BB214" s="327"/>
      <c r="BC214" s="327"/>
      <c r="BD214" s="327"/>
      <c r="BE214" s="327"/>
      <c r="BF214" s="327"/>
      <c r="BG214" s="327"/>
      <c r="BH214" s="327"/>
      <c r="BI214" s="327"/>
      <c r="BJ214" s="327"/>
      <c r="BK214" s="327"/>
      <c r="BL214" s="327"/>
      <c r="BM214" s="327"/>
      <c r="BN214" s="327"/>
      <c r="BO214" s="327"/>
      <c r="BP214" s="327"/>
      <c r="BQ214" s="327"/>
      <c r="BR214" s="327"/>
      <c r="BS214" s="327"/>
      <c r="BT214" s="327"/>
      <c r="BU214" s="327"/>
      <c r="BV214" s="327"/>
      <c r="BW214" s="327"/>
      <c r="BX214" s="327"/>
      <c r="BY214" s="327"/>
      <c r="BZ214" s="327"/>
      <c r="CA214" s="327"/>
      <c r="CB214" s="327"/>
      <c r="CC214" s="327"/>
      <c r="CD214" s="327"/>
      <c r="CE214" s="327"/>
      <c r="CF214" s="327"/>
      <c r="CG214" s="327"/>
      <c r="CH214" s="327"/>
      <c r="CI214" s="327"/>
      <c r="CJ214" s="327"/>
      <c r="CK214" s="327"/>
      <c r="CL214" s="327"/>
      <c r="CM214" s="327"/>
      <c r="CN214" s="327"/>
      <c r="CO214" s="327"/>
      <c r="CP214" s="327"/>
      <c r="CQ214" s="327"/>
      <c r="CR214" s="327"/>
      <c r="CS214" s="327"/>
      <c r="CT214" s="327"/>
      <c r="CU214" s="327"/>
      <c r="CV214" s="327"/>
      <c r="CW214" s="327"/>
      <c r="CX214" s="327"/>
      <c r="CY214" s="327"/>
      <c r="CZ214" s="327"/>
      <c r="DA214" s="327"/>
      <c r="DB214" s="327"/>
      <c r="DC214" s="327"/>
      <c r="DD214" s="327"/>
      <c r="DE214" s="327"/>
      <c r="DF214" s="327"/>
    </row>
    <row r="215" spans="1:110" ht="15" customHeight="1" x14ac:dyDescent="0.25">
      <c r="A215" s="56"/>
      <c r="B215" s="5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  <c r="Z215" s="327"/>
      <c r="AA215" s="327"/>
      <c r="AB215" s="327"/>
      <c r="AC215" s="327"/>
      <c r="AD215" s="327"/>
      <c r="AE215" s="327"/>
      <c r="AF215" s="327"/>
      <c r="AG215" s="327"/>
      <c r="AH215" s="327"/>
      <c r="AI215" s="327"/>
      <c r="AJ215" s="327"/>
      <c r="AK215" s="327"/>
      <c r="AL215" s="327"/>
      <c r="AM215" s="327"/>
      <c r="AN215" s="327"/>
      <c r="AO215" s="327"/>
      <c r="AP215" s="327"/>
      <c r="AQ215" s="327"/>
      <c r="AR215" s="327"/>
      <c r="AS215" s="327"/>
      <c r="AT215" s="327"/>
      <c r="AU215" s="327"/>
      <c r="AV215" s="327"/>
      <c r="AW215" s="327"/>
      <c r="AX215" s="327"/>
      <c r="AY215" s="327"/>
      <c r="AZ215" s="327"/>
      <c r="BA215" s="327"/>
      <c r="BB215" s="327"/>
      <c r="BC215" s="327"/>
      <c r="BD215" s="327"/>
      <c r="BE215" s="327"/>
      <c r="BF215" s="327"/>
      <c r="BG215" s="327"/>
      <c r="BH215" s="327"/>
      <c r="BI215" s="327"/>
      <c r="BJ215" s="327"/>
      <c r="BK215" s="327"/>
      <c r="BL215" s="327"/>
      <c r="BM215" s="327"/>
      <c r="BN215" s="327"/>
      <c r="BO215" s="327"/>
      <c r="BP215" s="327"/>
      <c r="BQ215" s="327"/>
      <c r="BR215" s="327"/>
      <c r="BS215" s="327"/>
      <c r="BT215" s="327"/>
      <c r="BU215" s="327"/>
      <c r="BV215" s="327"/>
      <c r="BW215" s="327"/>
      <c r="BX215" s="327"/>
      <c r="BY215" s="327"/>
      <c r="BZ215" s="327"/>
      <c r="CA215" s="327"/>
      <c r="CB215" s="327"/>
      <c r="CC215" s="327"/>
      <c r="CD215" s="327"/>
      <c r="CE215" s="327"/>
      <c r="CF215" s="327"/>
      <c r="CG215" s="327"/>
      <c r="CH215" s="327"/>
      <c r="CI215" s="327"/>
      <c r="CJ215" s="327"/>
      <c r="CK215" s="327"/>
      <c r="CL215" s="327"/>
      <c r="CM215" s="327"/>
      <c r="CN215" s="327"/>
      <c r="CO215" s="327"/>
      <c r="CP215" s="327"/>
      <c r="CQ215" s="327"/>
      <c r="CR215" s="327"/>
      <c r="CS215" s="327"/>
      <c r="CT215" s="327"/>
      <c r="CU215" s="327"/>
      <c r="CV215" s="327"/>
      <c r="CW215" s="327"/>
      <c r="CX215" s="327"/>
      <c r="CY215" s="327"/>
      <c r="CZ215" s="327"/>
      <c r="DA215" s="327"/>
      <c r="DB215" s="327"/>
      <c r="DC215" s="327"/>
      <c r="DD215" s="327"/>
      <c r="DE215" s="327"/>
      <c r="DF215" s="327"/>
    </row>
    <row r="216" spans="1:110" x14ac:dyDescent="0.25">
      <c r="A216" s="56"/>
      <c r="B216" s="5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  <c r="Z216" s="327"/>
      <c r="AA216" s="327"/>
      <c r="AB216" s="327"/>
      <c r="AC216" s="327"/>
      <c r="AD216" s="327"/>
      <c r="AE216" s="327"/>
      <c r="AF216" s="327"/>
      <c r="AG216" s="327"/>
      <c r="AH216" s="327"/>
      <c r="AI216" s="327"/>
      <c r="AJ216" s="327"/>
      <c r="AK216" s="327"/>
      <c r="AL216" s="327"/>
      <c r="AM216" s="327"/>
      <c r="AN216" s="327"/>
      <c r="AO216" s="327"/>
      <c r="AP216" s="327"/>
      <c r="AQ216" s="327"/>
      <c r="AR216" s="327"/>
      <c r="AS216" s="327"/>
      <c r="AT216" s="327"/>
      <c r="AU216" s="327"/>
      <c r="AV216" s="327"/>
      <c r="AW216" s="327"/>
      <c r="AX216" s="327"/>
      <c r="AY216" s="327"/>
      <c r="AZ216" s="327"/>
      <c r="BA216" s="327"/>
      <c r="BB216" s="327"/>
      <c r="BC216" s="327"/>
      <c r="BD216" s="327"/>
      <c r="BE216" s="327"/>
      <c r="BF216" s="327"/>
      <c r="BG216" s="327"/>
      <c r="BH216" s="327"/>
      <c r="BI216" s="327"/>
      <c r="BJ216" s="327"/>
      <c r="BK216" s="327"/>
      <c r="BL216" s="327"/>
      <c r="BM216" s="327"/>
      <c r="BN216" s="327"/>
      <c r="BO216" s="327"/>
      <c r="BP216" s="327"/>
      <c r="BQ216" s="327"/>
      <c r="BR216" s="327"/>
      <c r="BS216" s="327"/>
      <c r="BT216" s="327"/>
      <c r="BU216" s="327"/>
      <c r="BV216" s="327"/>
      <c r="BW216" s="327"/>
      <c r="BX216" s="327"/>
      <c r="BY216" s="327"/>
      <c r="BZ216" s="327"/>
      <c r="CA216" s="327"/>
      <c r="CB216" s="327"/>
      <c r="CC216" s="327"/>
      <c r="CD216" s="327"/>
      <c r="CE216" s="327"/>
      <c r="CF216" s="327"/>
      <c r="CG216" s="327"/>
      <c r="CH216" s="327"/>
      <c r="CI216" s="327"/>
      <c r="CJ216" s="327"/>
      <c r="CK216" s="327"/>
      <c r="CL216" s="327"/>
      <c r="CM216" s="327"/>
      <c r="CN216" s="327"/>
      <c r="CO216" s="327"/>
      <c r="CP216" s="327"/>
      <c r="CQ216" s="327"/>
      <c r="CR216" s="327"/>
      <c r="CS216" s="327"/>
      <c r="CT216" s="327"/>
      <c r="CU216" s="327"/>
      <c r="CV216" s="327"/>
      <c r="CW216" s="327"/>
      <c r="CX216" s="327"/>
      <c r="CY216" s="327"/>
      <c r="CZ216" s="327"/>
      <c r="DA216" s="327"/>
      <c r="DB216" s="327"/>
      <c r="DC216" s="327"/>
      <c r="DD216" s="327"/>
      <c r="DE216" s="327"/>
      <c r="DF216" s="327"/>
    </row>
    <row r="217" spans="1:110" x14ac:dyDescent="0.25">
      <c r="A217" s="62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3"/>
      <c r="BH217" s="63"/>
      <c r="BI217" s="63"/>
      <c r="BJ217" s="63"/>
      <c r="BK217" s="63"/>
      <c r="BL217" s="63"/>
      <c r="BM217" s="63"/>
      <c r="BN217" s="63"/>
      <c r="BO217" s="63"/>
      <c r="BP217" s="63"/>
      <c r="BQ217" s="63"/>
      <c r="BR217" s="63"/>
      <c r="BS217" s="63"/>
      <c r="BT217" s="63"/>
      <c r="BU217" s="63"/>
      <c r="BV217" s="63"/>
      <c r="BW217" s="63"/>
      <c r="BX217" s="63"/>
      <c r="BY217" s="63"/>
      <c r="BZ217" s="63"/>
      <c r="CA217" s="63"/>
      <c r="CB217" s="63"/>
      <c r="CC217" s="63"/>
      <c r="CD217" s="63"/>
      <c r="CE217" s="63"/>
      <c r="CF217" s="63"/>
      <c r="CG217" s="63"/>
      <c r="CH217" s="63"/>
      <c r="CI217" s="63"/>
      <c r="CJ217" s="63"/>
      <c r="CK217" s="63"/>
      <c r="CL217" s="63"/>
      <c r="CM217" s="63"/>
      <c r="CN217" s="63"/>
      <c r="CO217" s="63"/>
      <c r="CP217" s="63"/>
      <c r="CQ217" s="63"/>
      <c r="CR217" s="63"/>
      <c r="CS217" s="63"/>
      <c r="CT217" s="63"/>
      <c r="CU217" s="63"/>
      <c r="CV217" s="63"/>
      <c r="CW217" s="63"/>
      <c r="CX217" s="63"/>
      <c r="CY217" s="63"/>
      <c r="CZ217" s="63"/>
      <c r="DA217" s="63"/>
      <c r="DB217" s="63"/>
      <c r="DC217" s="63"/>
      <c r="DD217" s="63"/>
      <c r="DE217" s="63"/>
      <c r="DF217" s="63"/>
    </row>
    <row r="218" spans="1:110" x14ac:dyDescent="0.25">
      <c r="A218" s="62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63"/>
      <c r="AE218" s="63"/>
      <c r="AF218" s="63"/>
      <c r="AG218" s="63"/>
      <c r="AH218" s="63"/>
      <c r="AI218" s="63"/>
      <c r="AJ218" s="63"/>
      <c r="AK218" s="63"/>
      <c r="AL218" s="63"/>
      <c r="AM218" s="63"/>
      <c r="AN218" s="63"/>
      <c r="AO218" s="63"/>
      <c r="AP218" s="63"/>
      <c r="AQ218" s="63"/>
      <c r="AR218" s="63"/>
      <c r="AS218" s="63"/>
      <c r="AT218" s="63"/>
      <c r="AU218" s="63"/>
      <c r="AV218" s="63"/>
      <c r="AW218" s="63"/>
      <c r="AX218" s="63"/>
      <c r="AY218" s="63"/>
      <c r="AZ218" s="63"/>
      <c r="BA218" s="63"/>
      <c r="BB218" s="63"/>
      <c r="BC218" s="63"/>
      <c r="BD218" s="63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3"/>
      <c r="BS218" s="63"/>
      <c r="BT218" s="63"/>
      <c r="BU218" s="63"/>
      <c r="BV218" s="63"/>
      <c r="BW218" s="63"/>
      <c r="BX218" s="63"/>
      <c r="BY218" s="63"/>
      <c r="BZ218" s="63"/>
      <c r="CA218" s="63"/>
      <c r="CB218" s="63"/>
      <c r="CC218" s="63"/>
      <c r="CD218" s="63"/>
      <c r="CE218" s="63"/>
      <c r="CF218" s="63"/>
      <c r="CG218" s="63"/>
      <c r="CH218" s="63"/>
      <c r="CI218" s="63"/>
      <c r="CJ218" s="63"/>
      <c r="CK218" s="63"/>
      <c r="CL218" s="63"/>
      <c r="CM218" s="63"/>
      <c r="CN218" s="63"/>
      <c r="CO218" s="63"/>
      <c r="CP218" s="63"/>
      <c r="CQ218" s="63"/>
      <c r="CR218" s="63"/>
      <c r="CS218" s="63"/>
      <c r="CT218" s="63"/>
      <c r="CU218" s="63"/>
      <c r="CV218" s="63"/>
      <c r="CW218" s="63"/>
      <c r="CX218" s="63"/>
      <c r="CY218" s="63"/>
      <c r="CZ218" s="63"/>
      <c r="DA218" s="63"/>
      <c r="DB218" s="63"/>
      <c r="DC218" s="63"/>
      <c r="DD218" s="63"/>
      <c r="DE218" s="63"/>
      <c r="DF218" s="63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2C3A51"/>
  </sheetPr>
  <dimension ref="A1:CH107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86" width="27" customWidth="1"/>
  </cols>
  <sheetData>
    <row r="1" spans="1:11" ht="15" customHeight="1" x14ac:dyDescent="0.25">
      <c r="A1" s="172" t="s">
        <v>421</v>
      </c>
    </row>
    <row r="2" spans="1:11" ht="15" customHeight="1" x14ac:dyDescent="0.25">
      <c r="A2" s="136" t="s">
        <v>301</v>
      </c>
      <c r="B2" s="94" t="s">
        <v>315</v>
      </c>
    </row>
    <row r="4" spans="1:11" ht="15" customHeight="1" x14ac:dyDescent="0.25">
      <c r="A4" s="341" t="s">
        <v>422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15" customHeight="1" x14ac:dyDescent="0.25">
      <c r="A5" s="136" t="s">
        <v>423</v>
      </c>
      <c r="B5" s="136" t="s">
        <v>421</v>
      </c>
    </row>
    <row r="6" spans="1:11" ht="15" customHeight="1" x14ac:dyDescent="0.25">
      <c r="A6" s="136" t="s">
        <v>424</v>
      </c>
      <c r="B6" s="136" t="s">
        <v>425</v>
      </c>
    </row>
    <row r="7" spans="1:11" ht="15" customHeight="1" x14ac:dyDescent="0.25">
      <c r="A7" s="136" t="s">
        <v>426</v>
      </c>
      <c r="B7" s="173">
        <v>60</v>
      </c>
    </row>
    <row r="8" spans="1:11" ht="15" customHeight="1" x14ac:dyDescent="0.25">
      <c r="A8" s="136" t="s">
        <v>427</v>
      </c>
      <c r="B8" s="136" t="s">
        <v>428</v>
      </c>
    </row>
    <row r="9" spans="1:11" ht="15" customHeight="1" x14ac:dyDescent="0.25">
      <c r="A9" s="136" t="s">
        <v>429</v>
      </c>
      <c r="B9" s="174">
        <v>1400000</v>
      </c>
    </row>
    <row r="10" spans="1:11" ht="15" customHeight="1" x14ac:dyDescent="0.25">
      <c r="A10" s="136" t="s">
        <v>430</v>
      </c>
      <c r="B10" s="174">
        <v>1609391</v>
      </c>
    </row>
    <row r="11" spans="1:11" ht="15" customHeight="1" x14ac:dyDescent="0.25">
      <c r="A11" s="136" t="s">
        <v>431</v>
      </c>
      <c r="B11" s="174">
        <v>3419763</v>
      </c>
    </row>
    <row r="12" spans="1:11" ht="15" customHeight="1" x14ac:dyDescent="0.25">
      <c r="A12" s="136" t="s">
        <v>310</v>
      </c>
      <c r="B12" s="175">
        <f>B16</f>
        <v>9009665</v>
      </c>
    </row>
    <row r="14" spans="1:11" ht="15" customHeight="1" x14ac:dyDescent="0.25">
      <c r="A14" s="342" t="s">
        <v>432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</row>
    <row r="15" spans="1:11" ht="15" customHeight="1" x14ac:dyDescent="0.25">
      <c r="B15" s="176" t="s">
        <v>433</v>
      </c>
      <c r="C15" s="176" t="s">
        <v>2</v>
      </c>
      <c r="D15" s="176" t="s">
        <v>3</v>
      </c>
      <c r="E15" s="176" t="s">
        <v>4</v>
      </c>
      <c r="F15" s="176" t="s">
        <v>5</v>
      </c>
      <c r="G15" s="176" t="s">
        <v>6</v>
      </c>
      <c r="H15" s="176" t="s">
        <v>7</v>
      </c>
      <c r="I15" s="176" t="s">
        <v>8</v>
      </c>
      <c r="J15" s="176" t="s">
        <v>9</v>
      </c>
    </row>
    <row r="16" spans="1:11" ht="15" customHeight="1" x14ac:dyDescent="0.25">
      <c r="A16" s="136" t="s">
        <v>310</v>
      </c>
      <c r="B16" s="175">
        <f t="shared" ref="B16:B24" si="0">C16+D16+E16+F16+G16+H16+I16+J16</f>
        <v>9009665</v>
      </c>
      <c r="C16" s="174">
        <f t="shared" ref="C16:C24" si="1">SUM(C99:K99)</f>
        <v>0</v>
      </c>
      <c r="D16" s="174">
        <f t="shared" ref="D16:D24" si="2">SUM(L99:W99)</f>
        <v>1084381.6599999999</v>
      </c>
      <c r="E16" s="174">
        <f t="shared" ref="E16:E24" si="3">SUM(X99:AI99)</f>
        <v>3698017.3899999997</v>
      </c>
      <c r="F16" s="174">
        <f t="shared" ref="F16:F24" si="4">SUM(AJ99:AU99)</f>
        <v>2427299.0100000002</v>
      </c>
      <c r="G16" s="174">
        <f t="shared" ref="G16:G24" si="5">SUM(AV99:BG99)</f>
        <v>1369332.42</v>
      </c>
      <c r="H16" s="174">
        <f t="shared" ref="H16:H24" si="6">SUM(BH99:BS99)</f>
        <v>430634.52</v>
      </c>
      <c r="I16" s="174">
        <f t="shared" ref="I16:I24" si="7">SUM(BT99:CE99)</f>
        <v>0</v>
      </c>
      <c r="J16" s="174">
        <f t="shared" ref="J16:J24" si="8">SUM(CF99:CH99)</f>
        <v>0</v>
      </c>
    </row>
    <row r="17" spans="1:11" ht="15" customHeight="1" x14ac:dyDescent="0.25">
      <c r="A17" s="136" t="s">
        <v>434</v>
      </c>
      <c r="B17" s="175">
        <f t="shared" si="0"/>
        <v>-1500039</v>
      </c>
      <c r="C17" s="174">
        <f t="shared" si="1"/>
        <v>0</v>
      </c>
      <c r="D17" s="174">
        <f t="shared" si="2"/>
        <v>-202088</v>
      </c>
      <c r="E17" s="174">
        <f t="shared" si="3"/>
        <v>-397927</v>
      </c>
      <c r="F17" s="174">
        <f t="shared" si="4"/>
        <v>-450012</v>
      </c>
      <c r="G17" s="174">
        <f t="shared" si="5"/>
        <v>-450012</v>
      </c>
      <c r="H17" s="174">
        <f t="shared" si="6"/>
        <v>0</v>
      </c>
      <c r="I17" s="174">
        <f t="shared" si="7"/>
        <v>0</v>
      </c>
      <c r="J17" s="174">
        <f t="shared" si="8"/>
        <v>0</v>
      </c>
    </row>
    <row r="18" spans="1:11" ht="15" customHeight="1" x14ac:dyDescent="0.25">
      <c r="A18" s="136" t="s">
        <v>435</v>
      </c>
      <c r="B18" s="175">
        <f t="shared" si="0"/>
        <v>-456000</v>
      </c>
      <c r="C18" s="174">
        <f t="shared" si="1"/>
        <v>0</v>
      </c>
      <c r="D18" s="174">
        <f t="shared" si="2"/>
        <v>-114000</v>
      </c>
      <c r="E18" s="174">
        <f t="shared" si="3"/>
        <v>-114000</v>
      </c>
      <c r="F18" s="174">
        <f t="shared" si="4"/>
        <v>-114000</v>
      </c>
      <c r="G18" s="174">
        <f t="shared" si="5"/>
        <v>-114000</v>
      </c>
      <c r="H18" s="174">
        <f t="shared" si="6"/>
        <v>0</v>
      </c>
      <c r="I18" s="174">
        <f t="shared" si="7"/>
        <v>0</v>
      </c>
      <c r="J18" s="174">
        <f t="shared" si="8"/>
        <v>0</v>
      </c>
    </row>
    <row r="19" spans="1:11" ht="15" customHeight="1" x14ac:dyDescent="0.25">
      <c r="A19" s="177" t="s">
        <v>436</v>
      </c>
      <c r="B19" s="178">
        <f t="shared" si="0"/>
        <v>7053626</v>
      </c>
      <c r="C19" s="178">
        <f t="shared" si="1"/>
        <v>0</v>
      </c>
      <c r="D19" s="178">
        <f t="shared" si="2"/>
        <v>768293.65999999992</v>
      </c>
      <c r="E19" s="178">
        <f t="shared" si="3"/>
        <v>3186090.3899999997</v>
      </c>
      <c r="F19" s="178">
        <f t="shared" si="4"/>
        <v>1863287.0100000002</v>
      </c>
      <c r="G19" s="178">
        <f t="shared" si="5"/>
        <v>805320.42000000016</v>
      </c>
      <c r="H19" s="178">
        <f t="shared" si="6"/>
        <v>430634.52</v>
      </c>
      <c r="I19" s="178">
        <f t="shared" si="7"/>
        <v>0</v>
      </c>
      <c r="J19" s="178">
        <f t="shared" si="8"/>
        <v>0</v>
      </c>
    </row>
    <row r="20" spans="1:11" ht="15" customHeight="1" x14ac:dyDescent="0.25">
      <c r="A20" s="136" t="s">
        <v>437</v>
      </c>
      <c r="B20" s="175">
        <f t="shared" si="0"/>
        <v>563192.61699999997</v>
      </c>
      <c r="C20" s="174">
        <f t="shared" si="1"/>
        <v>0</v>
      </c>
      <c r="D20" s="174">
        <f t="shared" si="2"/>
        <v>93581.82</v>
      </c>
      <c r="E20" s="174">
        <f t="shared" si="3"/>
        <v>150000</v>
      </c>
      <c r="F20" s="174">
        <f t="shared" si="4"/>
        <v>148450.302</v>
      </c>
      <c r="G20" s="174">
        <f t="shared" si="5"/>
        <v>136933.242</v>
      </c>
      <c r="H20" s="174">
        <f t="shared" si="6"/>
        <v>34227.253000000004</v>
      </c>
      <c r="I20" s="174">
        <f t="shared" si="7"/>
        <v>0</v>
      </c>
      <c r="J20" s="174">
        <f t="shared" si="8"/>
        <v>0</v>
      </c>
    </row>
    <row r="21" spans="1:11" ht="15" customHeight="1" x14ac:dyDescent="0.25">
      <c r="A21" s="177" t="s">
        <v>438</v>
      </c>
      <c r="B21" s="178">
        <f t="shared" si="0"/>
        <v>6490433.3829999994</v>
      </c>
      <c r="C21" s="178">
        <f t="shared" si="1"/>
        <v>0</v>
      </c>
      <c r="D21" s="178">
        <f t="shared" si="2"/>
        <v>674711.83999999985</v>
      </c>
      <c r="E21" s="178">
        <f t="shared" si="3"/>
        <v>3036090.3899999997</v>
      </c>
      <c r="F21" s="178">
        <f t="shared" si="4"/>
        <v>1714836.7080000001</v>
      </c>
      <c r="G21" s="178">
        <f t="shared" si="5"/>
        <v>668387.17799999996</v>
      </c>
      <c r="H21" s="178">
        <f t="shared" si="6"/>
        <v>396407.26699999999</v>
      </c>
      <c r="I21" s="178">
        <f t="shared" si="7"/>
        <v>0</v>
      </c>
      <c r="J21" s="178">
        <f t="shared" si="8"/>
        <v>0</v>
      </c>
    </row>
    <row r="22" spans="1:11" ht="15" customHeight="1" x14ac:dyDescent="0.25">
      <c r="A22" s="136" t="s">
        <v>439</v>
      </c>
      <c r="B22" s="175">
        <f t="shared" si="0"/>
        <v>2951665.926</v>
      </c>
      <c r="C22" s="174">
        <f t="shared" si="1"/>
        <v>0</v>
      </c>
      <c r="D22" s="174">
        <f t="shared" si="2"/>
        <v>269884.73600000003</v>
      </c>
      <c r="E22" s="174">
        <f t="shared" si="3"/>
        <v>1335772.7319999998</v>
      </c>
      <c r="F22" s="174">
        <f t="shared" si="4"/>
        <v>813611.23549999995</v>
      </c>
      <c r="G22" s="174">
        <f t="shared" si="5"/>
        <v>334193.58899999998</v>
      </c>
      <c r="H22" s="174">
        <f t="shared" si="6"/>
        <v>198203.6335</v>
      </c>
      <c r="I22" s="174">
        <f t="shared" si="7"/>
        <v>0</v>
      </c>
      <c r="J22" s="174">
        <f t="shared" si="8"/>
        <v>0</v>
      </c>
    </row>
    <row r="23" spans="1:11" ht="15" customHeight="1" x14ac:dyDescent="0.25">
      <c r="A23" s="136" t="s">
        <v>440</v>
      </c>
      <c r="B23" s="175">
        <f t="shared" si="0"/>
        <v>3538767.4570000004</v>
      </c>
      <c r="C23" s="174">
        <f t="shared" si="1"/>
        <v>0</v>
      </c>
      <c r="D23" s="174">
        <f t="shared" si="2"/>
        <v>404827.10399999993</v>
      </c>
      <c r="E23" s="174">
        <f t="shared" si="3"/>
        <v>1700317.6580000001</v>
      </c>
      <c r="F23" s="174">
        <f t="shared" si="4"/>
        <v>901225.47249999992</v>
      </c>
      <c r="G23" s="174">
        <f t="shared" si="5"/>
        <v>334193.58899999998</v>
      </c>
      <c r="H23" s="174">
        <f t="shared" si="6"/>
        <v>198203.6335</v>
      </c>
      <c r="I23" s="174">
        <f t="shared" si="7"/>
        <v>0</v>
      </c>
      <c r="J23" s="174">
        <f t="shared" si="8"/>
        <v>0</v>
      </c>
    </row>
    <row r="24" spans="1:11" ht="15" customHeight="1" x14ac:dyDescent="0.25">
      <c r="A24" s="179" t="s">
        <v>441</v>
      </c>
      <c r="B24" s="180">
        <f t="shared" si="0"/>
        <v>4101960.074</v>
      </c>
      <c r="C24" s="180">
        <f t="shared" si="1"/>
        <v>0</v>
      </c>
      <c r="D24" s="180">
        <f t="shared" si="2"/>
        <v>498408.924</v>
      </c>
      <c r="E24" s="180">
        <f t="shared" si="3"/>
        <v>1850317.6580000001</v>
      </c>
      <c r="F24" s="180">
        <f t="shared" si="4"/>
        <v>1049675.7745000001</v>
      </c>
      <c r="G24" s="180">
        <f t="shared" si="5"/>
        <v>471126.83100000001</v>
      </c>
      <c r="H24" s="180">
        <f t="shared" si="6"/>
        <v>232430.88650000002</v>
      </c>
      <c r="I24" s="180">
        <f t="shared" si="7"/>
        <v>0</v>
      </c>
      <c r="J24" s="180">
        <f t="shared" si="8"/>
        <v>0</v>
      </c>
    </row>
    <row r="26" spans="1:11" ht="15" customHeight="1" x14ac:dyDescent="0.25">
      <c r="A26" s="343" t="s">
        <v>442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ht="15" customHeight="1" x14ac:dyDescent="0.25">
      <c r="A27" s="181" t="s">
        <v>443</v>
      </c>
      <c r="B27" s="181" t="s">
        <v>444</v>
      </c>
      <c r="C27" s="181" t="s">
        <v>445</v>
      </c>
      <c r="D27" s="181" t="s">
        <v>429</v>
      </c>
      <c r="E27" s="181" t="s">
        <v>446</v>
      </c>
    </row>
    <row r="28" spans="1:11" ht="15" customHeight="1" x14ac:dyDescent="0.25">
      <c r="A28" s="136" t="s">
        <v>447</v>
      </c>
      <c r="B28" s="173">
        <v>6</v>
      </c>
      <c r="C28" s="136" t="s">
        <v>448</v>
      </c>
      <c r="D28" s="174">
        <v>1400000</v>
      </c>
      <c r="E28" s="182" t="s">
        <v>449</v>
      </c>
    </row>
    <row r="29" spans="1:11" ht="15" customHeight="1" x14ac:dyDescent="0.25">
      <c r="A29" s="136" t="s">
        <v>450</v>
      </c>
      <c r="B29" s="173">
        <v>18</v>
      </c>
      <c r="C29" s="136" t="s">
        <v>451</v>
      </c>
      <c r="D29" s="174">
        <v>1400000</v>
      </c>
      <c r="E29" s="182" t="s">
        <v>452</v>
      </c>
    </row>
    <row r="30" spans="1:11" ht="15" customHeight="1" x14ac:dyDescent="0.25">
      <c r="A30" s="136" t="s">
        <v>453</v>
      </c>
      <c r="B30" s="173">
        <v>18</v>
      </c>
      <c r="C30" s="136" t="s">
        <v>454</v>
      </c>
      <c r="D30" s="174">
        <v>1400000</v>
      </c>
      <c r="E30" s="182" t="s">
        <v>455</v>
      </c>
    </row>
    <row r="31" spans="1:11" ht="15" customHeight="1" x14ac:dyDescent="0.25">
      <c r="A31" s="136" t="s">
        <v>456</v>
      </c>
      <c r="B31" s="173">
        <v>18</v>
      </c>
      <c r="C31" s="136" t="s">
        <v>457</v>
      </c>
      <c r="D31" s="174">
        <v>1400000</v>
      </c>
      <c r="E31" s="182" t="s">
        <v>458</v>
      </c>
    </row>
    <row r="32" spans="1:11" ht="15" customHeight="1" x14ac:dyDescent="0.25">
      <c r="A32" s="181" t="s">
        <v>433</v>
      </c>
      <c r="B32" s="183">
        <v>60</v>
      </c>
      <c r="C32" s="181" t="s">
        <v>459</v>
      </c>
      <c r="D32" s="184">
        <v>1400000</v>
      </c>
    </row>
    <row r="34" spans="1:11" ht="15" customHeight="1" x14ac:dyDescent="0.25">
      <c r="A34" s="344" t="s">
        <v>460</v>
      </c>
      <c r="B34" s="344"/>
      <c r="C34" s="344"/>
      <c r="D34" s="344"/>
      <c r="E34" s="344"/>
      <c r="F34" s="344"/>
      <c r="G34" s="344"/>
      <c r="H34" s="344"/>
      <c r="I34" s="344"/>
      <c r="J34" s="344"/>
      <c r="K34" s="344"/>
    </row>
    <row r="35" spans="1:11" ht="15" customHeight="1" x14ac:dyDescent="0.25">
      <c r="A35" s="185" t="s">
        <v>461</v>
      </c>
      <c r="B35" s="185" t="s">
        <v>462</v>
      </c>
      <c r="C35" s="185" t="s">
        <v>463</v>
      </c>
      <c r="D35" s="185" t="s">
        <v>464</v>
      </c>
      <c r="E35" s="185" t="s">
        <v>465</v>
      </c>
      <c r="F35" s="185" t="s">
        <v>466</v>
      </c>
    </row>
    <row r="36" spans="1:11" ht="15" customHeight="1" x14ac:dyDescent="0.25">
      <c r="A36" s="136" t="s">
        <v>467</v>
      </c>
      <c r="B36" s="136" t="s">
        <v>468</v>
      </c>
      <c r="C36" s="136" t="s">
        <v>469</v>
      </c>
      <c r="D36" s="174">
        <v>14000</v>
      </c>
      <c r="E36" s="174">
        <v>840000</v>
      </c>
      <c r="F36" s="186" t="s">
        <v>470</v>
      </c>
    </row>
    <row r="37" spans="1:11" ht="15" customHeight="1" x14ac:dyDescent="0.25">
      <c r="A37" s="136" t="s">
        <v>471</v>
      </c>
      <c r="B37" s="136" t="s">
        <v>472</v>
      </c>
      <c r="C37" s="136" t="s">
        <v>473</v>
      </c>
      <c r="D37" s="174">
        <v>96563</v>
      </c>
      <c r="E37" s="174">
        <v>5793808</v>
      </c>
      <c r="F37" s="186" t="s">
        <v>474</v>
      </c>
    </row>
    <row r="38" spans="1:11" ht="15" customHeight="1" x14ac:dyDescent="0.25">
      <c r="A38" s="136" t="s">
        <v>475</v>
      </c>
      <c r="B38" s="136" t="s">
        <v>476</v>
      </c>
      <c r="C38" s="136" t="s">
        <v>477</v>
      </c>
      <c r="D38" s="174">
        <v>5400</v>
      </c>
      <c r="E38" s="174">
        <v>324000</v>
      </c>
      <c r="F38" s="186" t="s">
        <v>478</v>
      </c>
    </row>
    <row r="39" spans="1:11" ht="15" customHeight="1" x14ac:dyDescent="0.25">
      <c r="A39" s="136" t="s">
        <v>479</v>
      </c>
      <c r="B39" s="136" t="s">
        <v>468</v>
      </c>
      <c r="C39" s="136" t="s">
        <v>480</v>
      </c>
      <c r="D39" s="174">
        <v>34198</v>
      </c>
      <c r="E39" s="174">
        <v>2051858</v>
      </c>
      <c r="F39" s="186" t="s">
        <v>481</v>
      </c>
    </row>
    <row r="40" spans="1:11" ht="15" customHeight="1" x14ac:dyDescent="0.25">
      <c r="A40" s="185" t="s">
        <v>310</v>
      </c>
      <c r="D40" s="187">
        <v>150161</v>
      </c>
      <c r="E40" s="187">
        <v>9009665</v>
      </c>
    </row>
    <row r="42" spans="1:11" ht="15" customHeight="1" x14ac:dyDescent="0.25">
      <c r="A42" s="345" t="s">
        <v>482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45"/>
    </row>
    <row r="43" spans="1:11" ht="15" customHeight="1" x14ac:dyDescent="0.25">
      <c r="A43" s="188" t="s">
        <v>354</v>
      </c>
      <c r="B43" s="188" t="s">
        <v>483</v>
      </c>
      <c r="C43" s="188" t="s">
        <v>484</v>
      </c>
      <c r="D43" s="188" t="s">
        <v>485</v>
      </c>
      <c r="E43" s="188" t="s">
        <v>486</v>
      </c>
      <c r="F43" s="188" t="s">
        <v>487</v>
      </c>
      <c r="G43" s="188" t="s">
        <v>488</v>
      </c>
    </row>
    <row r="44" spans="1:11" ht="15" customHeight="1" x14ac:dyDescent="0.25">
      <c r="A44" s="136" t="s">
        <v>489</v>
      </c>
      <c r="B44" s="174">
        <v>125000</v>
      </c>
      <c r="C44" s="174">
        <v>10417</v>
      </c>
      <c r="D44" s="136" t="s">
        <v>490</v>
      </c>
      <c r="E44" s="136" t="s">
        <v>491</v>
      </c>
      <c r="F44" s="136">
        <v>47</v>
      </c>
      <c r="G44" s="174">
        <f>C44*F44</f>
        <v>489599</v>
      </c>
    </row>
    <row r="45" spans="1:11" ht="15" customHeight="1" x14ac:dyDescent="0.25">
      <c r="A45" s="136" t="s">
        <v>382</v>
      </c>
      <c r="B45" s="174">
        <v>90000</v>
      </c>
      <c r="C45" s="174">
        <v>7500</v>
      </c>
      <c r="D45" s="136" t="s">
        <v>492</v>
      </c>
      <c r="E45" s="136" t="s">
        <v>491</v>
      </c>
      <c r="F45" s="136">
        <v>44</v>
      </c>
      <c r="G45" s="174">
        <f>C45*F45</f>
        <v>330000</v>
      </c>
    </row>
    <row r="46" spans="1:11" ht="15" customHeight="1" x14ac:dyDescent="0.25">
      <c r="A46" s="136" t="s">
        <v>493</v>
      </c>
      <c r="B46" s="174">
        <v>110000</v>
      </c>
      <c r="C46" s="174">
        <v>9167</v>
      </c>
      <c r="D46" s="136" t="s">
        <v>494</v>
      </c>
      <c r="E46" s="136" t="s">
        <v>491</v>
      </c>
      <c r="F46" s="136">
        <v>39</v>
      </c>
      <c r="G46" s="174">
        <f>C46*F46</f>
        <v>357513</v>
      </c>
    </row>
    <row r="47" spans="1:11" ht="15" customHeight="1" x14ac:dyDescent="0.25">
      <c r="A47" s="136" t="s">
        <v>495</v>
      </c>
      <c r="B47" s="174">
        <v>125000</v>
      </c>
      <c r="C47" s="174">
        <v>10417</v>
      </c>
      <c r="D47" s="136" t="s">
        <v>496</v>
      </c>
      <c r="E47" s="136" t="s">
        <v>491</v>
      </c>
      <c r="F47" s="136">
        <v>31</v>
      </c>
      <c r="G47" s="174">
        <f>C47*F47</f>
        <v>322927</v>
      </c>
    </row>
    <row r="48" spans="1:11" ht="15" customHeight="1" x14ac:dyDescent="0.25">
      <c r="A48" s="188" t="s">
        <v>497</v>
      </c>
      <c r="G48" s="189">
        <f>SUM(G44:G47)</f>
        <v>1500039</v>
      </c>
    </row>
    <row r="50" spans="1:11" ht="15" customHeight="1" x14ac:dyDescent="0.25">
      <c r="A50" s="346" t="s">
        <v>498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</row>
    <row r="51" spans="1:11" ht="15" customHeight="1" x14ac:dyDescent="0.25">
      <c r="A51" s="190" t="s">
        <v>499</v>
      </c>
      <c r="B51" s="190" t="s">
        <v>500</v>
      </c>
      <c r="C51" s="190" t="s">
        <v>484</v>
      </c>
      <c r="D51" s="190" t="s">
        <v>501</v>
      </c>
      <c r="E51" s="190" t="s">
        <v>433</v>
      </c>
    </row>
    <row r="52" spans="1:11" ht="15" customHeight="1" x14ac:dyDescent="0.25">
      <c r="A52" s="136" t="s">
        <v>502</v>
      </c>
      <c r="B52" s="174">
        <v>40000</v>
      </c>
      <c r="C52" s="174">
        <v>3333</v>
      </c>
      <c r="D52" s="136">
        <v>4</v>
      </c>
      <c r="E52" s="174">
        <v>160000</v>
      </c>
    </row>
    <row r="53" spans="1:11" ht="15" customHeight="1" x14ac:dyDescent="0.25">
      <c r="A53" s="136" t="s">
        <v>503</v>
      </c>
      <c r="B53" s="174">
        <v>20000</v>
      </c>
      <c r="C53" s="174">
        <v>1667</v>
      </c>
      <c r="D53" s="136">
        <v>4</v>
      </c>
      <c r="E53" s="174">
        <v>80000</v>
      </c>
    </row>
    <row r="54" spans="1:11" ht="15" customHeight="1" x14ac:dyDescent="0.25">
      <c r="A54" s="136" t="s">
        <v>504</v>
      </c>
      <c r="B54" s="174">
        <v>30000</v>
      </c>
      <c r="C54" s="174">
        <v>2500</v>
      </c>
      <c r="D54" s="136">
        <v>4</v>
      </c>
      <c r="E54" s="174">
        <v>120000</v>
      </c>
    </row>
    <row r="55" spans="1:11" ht="15" customHeight="1" x14ac:dyDescent="0.25">
      <c r="A55" s="136" t="s">
        <v>505</v>
      </c>
      <c r="B55" s="174">
        <v>24000</v>
      </c>
      <c r="C55" s="174">
        <v>2000</v>
      </c>
      <c r="D55" s="136">
        <v>4</v>
      </c>
      <c r="E55" s="174">
        <v>96000</v>
      </c>
    </row>
    <row r="56" spans="1:11" ht="15" customHeight="1" x14ac:dyDescent="0.25">
      <c r="A56" s="190" t="s">
        <v>506</v>
      </c>
      <c r="E56" s="191">
        <v>456000</v>
      </c>
    </row>
    <row r="57" spans="1:11" ht="15" customHeight="1" x14ac:dyDescent="0.25">
      <c r="A57" s="192" t="s">
        <v>507</v>
      </c>
    </row>
    <row r="59" spans="1:11" ht="15" customHeight="1" x14ac:dyDescent="0.25">
      <c r="A59" s="194" t="s">
        <v>508</v>
      </c>
      <c r="B59" s="194"/>
      <c r="C59" s="194"/>
      <c r="D59" s="194"/>
      <c r="E59" s="194"/>
      <c r="F59" s="194"/>
      <c r="G59" s="194"/>
      <c r="H59" s="194"/>
      <c r="I59" s="194"/>
      <c r="J59" s="194"/>
      <c r="K59" s="194"/>
    </row>
    <row r="60" spans="1:11" ht="15" customHeight="1" x14ac:dyDescent="0.25">
      <c r="A60" s="136" t="s">
        <v>509</v>
      </c>
      <c r="B60" s="174">
        <f>B16</f>
        <v>9009665</v>
      </c>
    </row>
    <row r="61" spans="1:11" ht="15" customHeight="1" x14ac:dyDescent="0.25">
      <c r="A61" s="136" t="s">
        <v>434</v>
      </c>
      <c r="B61" s="174">
        <f>B17</f>
        <v>-1500039</v>
      </c>
    </row>
    <row r="62" spans="1:11" ht="15" customHeight="1" x14ac:dyDescent="0.25">
      <c r="A62" s="136" t="s">
        <v>435</v>
      </c>
      <c r="B62" s="174">
        <f>B18</f>
        <v>-456000</v>
      </c>
    </row>
    <row r="63" spans="1:11" ht="15" customHeight="1" x14ac:dyDescent="0.25">
      <c r="A63" s="181" t="s">
        <v>436</v>
      </c>
      <c r="B63" s="184">
        <f>B60+B61+B62</f>
        <v>7053626</v>
      </c>
    </row>
    <row r="64" spans="1:11" ht="15" customHeight="1" x14ac:dyDescent="0.25">
      <c r="A64" s="136" t="s">
        <v>510</v>
      </c>
      <c r="B64" s="174">
        <f>-B20</f>
        <v>-563192.61699999997</v>
      </c>
    </row>
    <row r="65" spans="1:11" ht="15" customHeight="1" x14ac:dyDescent="0.25">
      <c r="A65" s="181" t="s">
        <v>438</v>
      </c>
      <c r="B65" s="184">
        <f>B63+B64</f>
        <v>6490433.3830000004</v>
      </c>
    </row>
    <row r="66" spans="1:11" ht="15" customHeight="1" x14ac:dyDescent="0.25">
      <c r="A66" s="136" t="s">
        <v>511</v>
      </c>
      <c r="B66" s="174">
        <f>-B22</f>
        <v>-2951665.926</v>
      </c>
    </row>
    <row r="67" spans="1:11" ht="15" customHeight="1" x14ac:dyDescent="0.25">
      <c r="A67" s="181" t="s">
        <v>440</v>
      </c>
      <c r="B67" s="184">
        <f>B65+B66</f>
        <v>3538767.4570000004</v>
      </c>
    </row>
    <row r="68" spans="1:11" ht="15" customHeight="1" x14ac:dyDescent="0.25">
      <c r="A68" s="136" t="s">
        <v>437</v>
      </c>
      <c r="B68" s="174">
        <f>B20</f>
        <v>563192.61699999997</v>
      </c>
    </row>
    <row r="69" spans="1:11" ht="15" customHeight="1" x14ac:dyDescent="0.25">
      <c r="A69" s="181" t="s">
        <v>441</v>
      </c>
      <c r="B69" s="184">
        <f>B67+B68</f>
        <v>4101960.0740000005</v>
      </c>
    </row>
    <row r="71" spans="1:11" ht="15" customHeight="1" x14ac:dyDescent="0.25">
      <c r="A71" s="344" t="s">
        <v>512</v>
      </c>
      <c r="B71" s="344"/>
      <c r="C71" s="344"/>
      <c r="D71" s="344"/>
      <c r="E71" s="344"/>
      <c r="F71" s="344"/>
      <c r="G71" s="344"/>
      <c r="H71" s="344"/>
      <c r="I71" s="344"/>
      <c r="J71" s="344"/>
      <c r="K71" s="344"/>
    </row>
    <row r="72" spans="1:11" ht="15" customHeight="1" x14ac:dyDescent="0.25">
      <c r="A72" s="185" t="s">
        <v>353</v>
      </c>
      <c r="B72" s="185" t="s">
        <v>354</v>
      </c>
      <c r="C72" s="185" t="s">
        <v>513</v>
      </c>
    </row>
    <row r="73" spans="1:11" ht="31.5" customHeight="1" x14ac:dyDescent="0.25">
      <c r="A73" s="94" t="s">
        <v>413</v>
      </c>
      <c r="B73" s="136" t="s">
        <v>514</v>
      </c>
      <c r="C73" s="361" t="s">
        <v>515</v>
      </c>
      <c r="D73" s="356"/>
      <c r="E73" s="356"/>
      <c r="F73" s="356"/>
      <c r="G73" s="356"/>
    </row>
    <row r="74" spans="1:11" ht="31.5" customHeight="1" x14ac:dyDescent="0.25">
      <c r="A74" s="94" t="s">
        <v>406</v>
      </c>
      <c r="B74" s="136" t="s">
        <v>516</v>
      </c>
      <c r="C74" s="361" t="s">
        <v>517</v>
      </c>
      <c r="D74" s="356"/>
      <c r="E74" s="356"/>
      <c r="F74" s="356"/>
      <c r="G74" s="356"/>
    </row>
    <row r="75" spans="1:11" ht="31.5" customHeight="1" x14ac:dyDescent="0.25">
      <c r="A75" s="94" t="s">
        <v>415</v>
      </c>
      <c r="B75" s="136" t="s">
        <v>518</v>
      </c>
      <c r="C75" s="361" t="s">
        <v>519</v>
      </c>
      <c r="D75" s="356"/>
      <c r="E75" s="356"/>
      <c r="F75" s="356"/>
      <c r="G75" s="356"/>
    </row>
    <row r="76" spans="1:11" ht="31.5" customHeight="1" x14ac:dyDescent="0.25">
      <c r="A76" s="94" t="s">
        <v>419</v>
      </c>
      <c r="B76" s="136" t="s">
        <v>520</v>
      </c>
      <c r="C76" s="361" t="s">
        <v>521</v>
      </c>
      <c r="D76" s="356"/>
      <c r="E76" s="356"/>
      <c r="F76" s="356"/>
      <c r="G76" s="356"/>
    </row>
    <row r="77" spans="1:11" ht="31.5" customHeight="1" x14ac:dyDescent="0.25">
      <c r="A77" s="94" t="s">
        <v>417</v>
      </c>
      <c r="B77" s="136" t="s">
        <v>520</v>
      </c>
      <c r="C77" s="361" t="s">
        <v>522</v>
      </c>
      <c r="D77" s="356"/>
      <c r="E77" s="356"/>
      <c r="F77" s="356"/>
      <c r="G77" s="356"/>
    </row>
    <row r="78" spans="1:11" ht="31.5" customHeight="1" x14ac:dyDescent="0.25">
      <c r="A78" s="94" t="s">
        <v>411</v>
      </c>
      <c r="B78" s="136" t="s">
        <v>523</v>
      </c>
      <c r="C78" s="361" t="s">
        <v>524</v>
      </c>
      <c r="D78" s="356"/>
      <c r="E78" s="356"/>
      <c r="F78" s="356"/>
      <c r="G78" s="356"/>
    </row>
    <row r="80" spans="1:11" ht="15" customHeight="1" x14ac:dyDescent="0.25">
      <c r="A80" s="347" t="s">
        <v>525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</row>
    <row r="81" spans="1:11" ht="27.75" customHeight="1" x14ac:dyDescent="0.25">
      <c r="A81" s="94" t="s">
        <v>526</v>
      </c>
      <c r="B81" s="361" t="s">
        <v>527</v>
      </c>
      <c r="C81" s="356"/>
      <c r="D81" s="356"/>
      <c r="E81" s="356"/>
      <c r="F81" s="356"/>
      <c r="G81" s="356"/>
    </row>
    <row r="82" spans="1:11" ht="27.75" customHeight="1" x14ac:dyDescent="0.25">
      <c r="A82" s="94" t="s">
        <v>528</v>
      </c>
      <c r="B82" s="361" t="s">
        <v>529</v>
      </c>
      <c r="C82" s="356"/>
      <c r="D82" s="356"/>
      <c r="E82" s="356"/>
      <c r="F82" s="356"/>
      <c r="G82" s="356"/>
    </row>
    <row r="83" spans="1:11" ht="27.75" customHeight="1" x14ac:dyDescent="0.25">
      <c r="A83" s="94" t="s">
        <v>530</v>
      </c>
      <c r="B83" s="361" t="s">
        <v>531</v>
      </c>
      <c r="C83" s="356"/>
      <c r="D83" s="356"/>
      <c r="E83" s="356"/>
      <c r="F83" s="356"/>
      <c r="G83" s="356"/>
    </row>
    <row r="84" spans="1:11" ht="27.75" customHeight="1" x14ac:dyDescent="0.25">
      <c r="A84" s="94" t="s">
        <v>532</v>
      </c>
      <c r="B84" s="361" t="s">
        <v>533</v>
      </c>
      <c r="C84" s="356"/>
      <c r="D84" s="356"/>
      <c r="E84" s="356"/>
      <c r="F84" s="356"/>
      <c r="G84" s="356"/>
    </row>
    <row r="85" spans="1:11" ht="27.75" customHeight="1" x14ac:dyDescent="0.25">
      <c r="A85" s="94" t="s">
        <v>534</v>
      </c>
      <c r="B85" s="361" t="s">
        <v>535</v>
      </c>
      <c r="C85" s="356"/>
      <c r="D85" s="356"/>
      <c r="E85" s="356"/>
      <c r="F85" s="356"/>
      <c r="G85" s="356"/>
    </row>
    <row r="86" spans="1:11" ht="27.75" customHeight="1" x14ac:dyDescent="0.25">
      <c r="A86" s="94" t="s">
        <v>536</v>
      </c>
      <c r="B86" s="361" t="s">
        <v>537</v>
      </c>
      <c r="C86" s="356"/>
      <c r="D86" s="356"/>
      <c r="E86" s="356"/>
      <c r="F86" s="356"/>
      <c r="G86" s="356"/>
    </row>
    <row r="87" spans="1:11" ht="27.75" customHeight="1" x14ac:dyDescent="0.25">
      <c r="A87" s="94" t="s">
        <v>538</v>
      </c>
      <c r="B87" s="361" t="s">
        <v>539</v>
      </c>
      <c r="C87" s="356"/>
      <c r="D87" s="356"/>
      <c r="E87" s="356"/>
      <c r="F87" s="356"/>
      <c r="G87" s="356"/>
    </row>
    <row r="88" spans="1:11" ht="27.75" customHeight="1" x14ac:dyDescent="0.25">
      <c r="A88" s="94" t="s">
        <v>540</v>
      </c>
      <c r="B88" s="361" t="s">
        <v>541</v>
      </c>
      <c r="C88" s="356"/>
      <c r="D88" s="356"/>
      <c r="E88" s="356"/>
      <c r="F88" s="356"/>
      <c r="G88" s="356"/>
    </row>
    <row r="89" spans="1:11" ht="27.75" customHeight="1" x14ac:dyDescent="0.25">
      <c r="A89" s="94" t="s">
        <v>542</v>
      </c>
      <c r="B89" s="361" t="s">
        <v>543</v>
      </c>
      <c r="C89" s="356"/>
      <c r="D89" s="356"/>
      <c r="E89" s="356"/>
      <c r="F89" s="356"/>
      <c r="G89" s="356"/>
    </row>
    <row r="90" spans="1:11" ht="27.75" customHeight="1" x14ac:dyDescent="0.25">
      <c r="A90" s="94" t="s">
        <v>544</v>
      </c>
      <c r="B90" s="361" t="s">
        <v>545</v>
      </c>
      <c r="C90" s="356"/>
      <c r="D90" s="356"/>
      <c r="E90" s="356"/>
      <c r="F90" s="356"/>
      <c r="G90" s="356"/>
    </row>
    <row r="91" spans="1:11" ht="15" customHeight="1" x14ac:dyDescent="0.25">
      <c r="A91" s="195" t="s">
        <v>546</v>
      </c>
      <c r="B91" s="195" t="s">
        <v>547</v>
      </c>
    </row>
    <row r="93" spans="1:11" ht="15" customHeight="1" x14ac:dyDescent="0.25">
      <c r="A93" s="343" t="s">
        <v>548</v>
      </c>
      <c r="B93" s="343"/>
      <c r="C93" s="343"/>
      <c r="D93" s="343"/>
      <c r="E93" s="343"/>
      <c r="F93" s="343"/>
      <c r="G93" s="343"/>
      <c r="H93" s="343"/>
      <c r="I93" s="343"/>
      <c r="J93" s="343"/>
      <c r="K93" s="343"/>
    </row>
    <row r="94" spans="1:11" ht="15" customHeight="1" x14ac:dyDescent="0.25">
      <c r="A94" s="136" t="s">
        <v>549</v>
      </c>
      <c r="B94" s="193">
        <v>0.1</v>
      </c>
    </row>
    <row r="95" spans="1:11" ht="15" customHeight="1" x14ac:dyDescent="0.25">
      <c r="A95" s="136" t="s">
        <v>550</v>
      </c>
      <c r="B95" s="193">
        <v>150000</v>
      </c>
    </row>
    <row r="96" spans="1:11" ht="15" customHeight="1" x14ac:dyDescent="0.25">
      <c r="A96" s="195" t="s">
        <v>551</v>
      </c>
      <c r="B96" s="195" t="s">
        <v>552</v>
      </c>
    </row>
    <row r="97" spans="1:86" ht="15" customHeight="1" x14ac:dyDescent="0.25">
      <c r="A97" s="194" t="s">
        <v>553</v>
      </c>
      <c r="B97" s="194"/>
      <c r="C97" s="194"/>
      <c r="D97" s="194"/>
      <c r="E97" s="194"/>
      <c r="F97" s="194"/>
      <c r="G97" s="194"/>
      <c r="H97" s="194"/>
      <c r="I97" s="194"/>
      <c r="J97" s="194"/>
      <c r="K97" s="194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5"/>
      <c r="BN97" s="195"/>
      <c r="BO97" s="195"/>
      <c r="BP97" s="195"/>
      <c r="BQ97" s="195"/>
      <c r="BR97" s="195"/>
      <c r="BS97" s="195"/>
      <c r="BT97" s="195"/>
      <c r="BU97" s="195"/>
      <c r="BV97" s="195"/>
      <c r="BW97" s="195"/>
      <c r="BX97" s="195"/>
      <c r="BY97" s="195"/>
      <c r="BZ97" s="195"/>
      <c r="CA97" s="195"/>
      <c r="CB97" s="195"/>
      <c r="CC97" s="195"/>
      <c r="CD97" s="195"/>
      <c r="CE97" s="195"/>
      <c r="CF97" s="195"/>
      <c r="CG97" s="195"/>
      <c r="CH97" s="195"/>
    </row>
    <row r="98" spans="1:86" ht="15" customHeight="1" x14ac:dyDescent="0.25">
      <c r="A98" s="195"/>
      <c r="C98" s="96">
        <v>1</v>
      </c>
      <c r="D98" s="96">
        <v>2</v>
      </c>
      <c r="E98" s="96">
        <v>3</v>
      </c>
      <c r="F98" s="96">
        <v>4</v>
      </c>
      <c r="G98" s="96">
        <v>5</v>
      </c>
      <c r="H98" s="96">
        <v>6</v>
      </c>
      <c r="I98" s="96">
        <v>7</v>
      </c>
      <c r="J98" s="96">
        <v>8</v>
      </c>
      <c r="K98" s="96">
        <v>9</v>
      </c>
      <c r="L98" s="96">
        <v>10</v>
      </c>
      <c r="M98" s="96">
        <v>11</v>
      </c>
      <c r="N98" s="96">
        <v>12</v>
      </c>
      <c r="O98" s="96">
        <v>13</v>
      </c>
      <c r="P98" s="96">
        <v>14</v>
      </c>
      <c r="Q98" s="96">
        <v>15</v>
      </c>
      <c r="R98" s="96">
        <v>16</v>
      </c>
      <c r="S98" s="96">
        <v>17</v>
      </c>
      <c r="T98" s="96">
        <v>18</v>
      </c>
      <c r="U98" s="96">
        <v>19</v>
      </c>
      <c r="V98" s="96">
        <v>20</v>
      </c>
      <c r="W98" s="96">
        <v>21</v>
      </c>
      <c r="X98" s="96">
        <v>22</v>
      </c>
      <c r="Y98" s="96">
        <v>23</v>
      </c>
      <c r="Z98" s="96">
        <v>24</v>
      </c>
      <c r="AA98" s="96">
        <v>25</v>
      </c>
      <c r="AB98" s="96">
        <v>26</v>
      </c>
      <c r="AC98" s="96">
        <v>27</v>
      </c>
      <c r="AD98" s="96">
        <v>28</v>
      </c>
      <c r="AE98" s="96">
        <v>29</v>
      </c>
      <c r="AF98" s="96">
        <v>30</v>
      </c>
      <c r="AG98" s="96">
        <v>31</v>
      </c>
      <c r="AH98" s="96">
        <v>32</v>
      </c>
      <c r="AI98" s="96">
        <v>33</v>
      </c>
      <c r="AJ98" s="96">
        <v>34</v>
      </c>
      <c r="AK98" s="96">
        <v>35</v>
      </c>
      <c r="AL98" s="96">
        <v>36</v>
      </c>
      <c r="AM98" s="96">
        <v>37</v>
      </c>
      <c r="AN98" s="96">
        <v>38</v>
      </c>
      <c r="AO98" s="96">
        <v>39</v>
      </c>
      <c r="AP98" s="96">
        <v>40</v>
      </c>
      <c r="AQ98" s="96">
        <v>41</v>
      </c>
      <c r="AR98" s="96">
        <v>42</v>
      </c>
      <c r="AS98" s="96">
        <v>43</v>
      </c>
      <c r="AT98" s="96">
        <v>44</v>
      </c>
      <c r="AU98" s="96">
        <v>45</v>
      </c>
      <c r="AV98" s="96">
        <v>46</v>
      </c>
      <c r="AW98" s="96">
        <v>47</v>
      </c>
      <c r="AX98" s="96">
        <v>48</v>
      </c>
      <c r="AY98" s="96">
        <v>49</v>
      </c>
      <c r="AZ98" s="96">
        <v>50</v>
      </c>
      <c r="BA98" s="96">
        <v>51</v>
      </c>
      <c r="BB98" s="96">
        <v>52</v>
      </c>
      <c r="BC98" s="96">
        <v>53</v>
      </c>
      <c r="BD98" s="96">
        <v>54</v>
      </c>
      <c r="BE98" s="96">
        <v>55</v>
      </c>
      <c r="BF98" s="96">
        <v>56</v>
      </c>
      <c r="BG98" s="96">
        <v>57</v>
      </c>
      <c r="BH98" s="96">
        <v>58</v>
      </c>
      <c r="BI98" s="96">
        <v>59</v>
      </c>
      <c r="BJ98" s="96">
        <v>60</v>
      </c>
      <c r="BK98" s="96">
        <v>61</v>
      </c>
      <c r="BL98" s="96">
        <v>62</v>
      </c>
      <c r="BM98" s="96">
        <v>63</v>
      </c>
      <c r="BN98" s="96">
        <v>64</v>
      </c>
      <c r="BO98" s="96">
        <v>65</v>
      </c>
      <c r="BP98" s="96">
        <v>66</v>
      </c>
      <c r="BQ98" s="96">
        <v>67</v>
      </c>
      <c r="BR98" s="96">
        <v>68</v>
      </c>
      <c r="BS98" s="96">
        <v>69</v>
      </c>
      <c r="BT98" s="96">
        <v>70</v>
      </c>
      <c r="BU98" s="96">
        <v>71</v>
      </c>
      <c r="BV98" s="96">
        <v>72</v>
      </c>
      <c r="BW98" s="96">
        <v>73</v>
      </c>
      <c r="BX98" s="96">
        <v>74</v>
      </c>
      <c r="BY98" s="96">
        <v>75</v>
      </c>
      <c r="BZ98" s="96">
        <v>76</v>
      </c>
      <c r="CA98" s="96">
        <v>77</v>
      </c>
      <c r="CB98" s="96">
        <v>78</v>
      </c>
      <c r="CC98" s="96">
        <v>79</v>
      </c>
      <c r="CD98" s="96">
        <v>80</v>
      </c>
      <c r="CE98" s="96">
        <v>81</v>
      </c>
      <c r="CF98" s="96">
        <v>82</v>
      </c>
      <c r="CG98" s="96">
        <v>83</v>
      </c>
      <c r="CH98" s="96">
        <v>84</v>
      </c>
    </row>
    <row r="99" spans="1:86" ht="15" customHeight="1" x14ac:dyDescent="0.25">
      <c r="A99" s="96" t="s">
        <v>310</v>
      </c>
      <c r="B99" s="196">
        <f t="shared" ref="B99:B105" si="9">SUM(C99:CH99)</f>
        <v>9009664.9999999981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7">
        <v>45050.36</v>
      </c>
      <c r="M99" s="197">
        <v>45050.36</v>
      </c>
      <c r="N99" s="197">
        <v>45050.36</v>
      </c>
      <c r="O99" s="197">
        <v>45050.36</v>
      </c>
      <c r="P99" s="197">
        <v>45050.36</v>
      </c>
      <c r="Q99" s="197">
        <v>45050.36</v>
      </c>
      <c r="R99" s="197">
        <v>70944.52</v>
      </c>
      <c r="S99" s="197">
        <v>96838.68</v>
      </c>
      <c r="T99" s="197">
        <v>122732.84</v>
      </c>
      <c r="U99" s="197">
        <v>148626.99</v>
      </c>
      <c r="V99" s="197">
        <v>174521.16</v>
      </c>
      <c r="W99" s="197">
        <v>200415.31</v>
      </c>
      <c r="X99" s="197">
        <v>226309.46</v>
      </c>
      <c r="Y99" s="197">
        <v>252203.62</v>
      </c>
      <c r="Z99" s="197">
        <v>278097.78999999998</v>
      </c>
      <c r="AA99" s="197">
        <v>303991.94</v>
      </c>
      <c r="AB99" s="197">
        <v>329886.11</v>
      </c>
      <c r="AC99" s="197">
        <v>400830.61</v>
      </c>
      <c r="AD99" s="197">
        <v>311512.01</v>
      </c>
      <c r="AE99" s="197">
        <v>312294.13</v>
      </c>
      <c r="AF99" s="197">
        <v>313076.23</v>
      </c>
      <c r="AG99" s="197">
        <v>313858.34000000003</v>
      </c>
      <c r="AH99" s="197">
        <v>314640.44</v>
      </c>
      <c r="AI99" s="197">
        <v>341316.71</v>
      </c>
      <c r="AJ99" s="197">
        <v>316204.67</v>
      </c>
      <c r="AK99" s="197">
        <v>291092.62</v>
      </c>
      <c r="AL99" s="197">
        <v>265980.57</v>
      </c>
      <c r="AM99" s="197">
        <v>240868.51</v>
      </c>
      <c r="AN99" s="197">
        <v>215756.47</v>
      </c>
      <c r="AO99" s="197">
        <v>190644.42</v>
      </c>
      <c r="AP99" s="197">
        <v>165532.35999999999</v>
      </c>
      <c r="AQ99" s="197">
        <v>140420.32</v>
      </c>
      <c r="AR99" s="197">
        <v>115308.27</v>
      </c>
      <c r="AS99" s="197">
        <v>196095.1</v>
      </c>
      <c r="AT99" s="197">
        <v>170200.95</v>
      </c>
      <c r="AU99" s="197">
        <v>119194.75</v>
      </c>
      <c r="AV99" s="197">
        <v>118412.64</v>
      </c>
      <c r="AW99" s="197">
        <v>117630.52</v>
      </c>
      <c r="AX99" s="197">
        <v>116848.42</v>
      </c>
      <c r="AY99" s="197">
        <v>116066.31</v>
      </c>
      <c r="AZ99" s="197">
        <v>115284.2</v>
      </c>
      <c r="BA99" s="197">
        <v>114502.09</v>
      </c>
      <c r="BB99" s="197">
        <v>113719.98</v>
      </c>
      <c r="BC99" s="197">
        <v>112937.87</v>
      </c>
      <c r="BD99" s="197">
        <v>112155.76</v>
      </c>
      <c r="BE99" s="197">
        <v>111373.65</v>
      </c>
      <c r="BF99" s="197">
        <v>110591.54</v>
      </c>
      <c r="BG99" s="197">
        <v>109809.44</v>
      </c>
      <c r="BH99" s="197">
        <v>109027.32</v>
      </c>
      <c r="BI99" s="197">
        <v>108245.21</v>
      </c>
      <c r="BJ99" s="197">
        <v>213361.99</v>
      </c>
      <c r="BK99" s="195"/>
      <c r="BL99" s="195"/>
      <c r="BM99" s="195"/>
      <c r="BN99" s="195"/>
      <c r="BO99" s="195"/>
      <c r="BP99" s="195"/>
      <c r="BQ99" s="195"/>
      <c r="BR99" s="195"/>
      <c r="BS99" s="195"/>
      <c r="BT99" s="195"/>
      <c r="BU99" s="195"/>
      <c r="BV99" s="195"/>
      <c r="BW99" s="195"/>
      <c r="BX99" s="195"/>
      <c r="BY99" s="195"/>
      <c r="BZ99" s="195"/>
      <c r="CA99" s="195"/>
      <c r="CB99" s="195"/>
      <c r="CC99" s="195"/>
      <c r="CD99" s="195"/>
      <c r="CE99" s="195"/>
      <c r="CF99" s="195"/>
      <c r="CG99" s="195"/>
      <c r="CH99" s="195"/>
    </row>
    <row r="100" spans="1:86" ht="15" customHeight="1" x14ac:dyDescent="0.25">
      <c r="A100" s="96" t="s">
        <v>434</v>
      </c>
      <c r="B100" s="196">
        <f t="shared" si="9"/>
        <v>-1500039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7">
        <v>0</v>
      </c>
      <c r="M100" s="197">
        <v>-10417</v>
      </c>
      <c r="N100" s="197">
        <v>-10417</v>
      </c>
      <c r="O100" s="197">
        <v>-10417</v>
      </c>
      <c r="P100" s="197">
        <v>-17917</v>
      </c>
      <c r="Q100" s="197">
        <v>-17917</v>
      </c>
      <c r="R100" s="197">
        <v>-17917</v>
      </c>
      <c r="S100" s="197">
        <v>-17917</v>
      </c>
      <c r="T100" s="197">
        <v>-17917</v>
      </c>
      <c r="U100" s="197">
        <v>-27084</v>
      </c>
      <c r="V100" s="197">
        <v>-27084</v>
      </c>
      <c r="W100" s="197">
        <v>-27084</v>
      </c>
      <c r="X100" s="197">
        <v>-27084</v>
      </c>
      <c r="Y100" s="197">
        <v>-27084</v>
      </c>
      <c r="Z100" s="197">
        <v>-27084</v>
      </c>
      <c r="AA100" s="197">
        <v>-27084</v>
      </c>
      <c r="AB100" s="197">
        <v>-27084</v>
      </c>
      <c r="AC100" s="197">
        <v>-37501</v>
      </c>
      <c r="AD100" s="197">
        <v>-37501</v>
      </c>
      <c r="AE100" s="197">
        <v>-37501</v>
      </c>
      <c r="AF100" s="197">
        <v>-37501</v>
      </c>
      <c r="AG100" s="197">
        <v>-37501</v>
      </c>
      <c r="AH100" s="197">
        <v>-37501</v>
      </c>
      <c r="AI100" s="197">
        <v>-37501</v>
      </c>
      <c r="AJ100" s="197">
        <v>-37501</v>
      </c>
      <c r="AK100" s="197">
        <v>-37501</v>
      </c>
      <c r="AL100" s="197">
        <v>-37501</v>
      </c>
      <c r="AM100" s="197">
        <v>-37501</v>
      </c>
      <c r="AN100" s="197">
        <v>-37501</v>
      </c>
      <c r="AO100" s="197">
        <v>-37501</v>
      </c>
      <c r="AP100" s="197">
        <v>-37501</v>
      </c>
      <c r="AQ100" s="197">
        <v>-37501</v>
      </c>
      <c r="AR100" s="197">
        <v>-37501</v>
      </c>
      <c r="AS100" s="197">
        <v>-37501</v>
      </c>
      <c r="AT100" s="197">
        <v>-37501</v>
      </c>
      <c r="AU100" s="197">
        <v>-37501</v>
      </c>
      <c r="AV100" s="197">
        <v>-37501</v>
      </c>
      <c r="AW100" s="197">
        <v>-37501</v>
      </c>
      <c r="AX100" s="197">
        <v>-37501</v>
      </c>
      <c r="AY100" s="197">
        <v>-37501</v>
      </c>
      <c r="AZ100" s="197">
        <v>-37501</v>
      </c>
      <c r="BA100" s="197">
        <v>-37501</v>
      </c>
      <c r="BB100" s="197">
        <v>-37501</v>
      </c>
      <c r="BC100" s="197">
        <v>-37501</v>
      </c>
      <c r="BD100" s="197">
        <v>-37501</v>
      </c>
      <c r="BE100" s="197">
        <v>-37501</v>
      </c>
      <c r="BF100" s="197">
        <v>-37501</v>
      </c>
      <c r="BG100" s="197">
        <v>-37501</v>
      </c>
      <c r="BH100" s="195">
        <v>0</v>
      </c>
      <c r="BI100" s="195">
        <v>0</v>
      </c>
      <c r="BJ100" s="195">
        <v>0</v>
      </c>
      <c r="BK100" s="195">
        <v>0</v>
      </c>
      <c r="BL100" s="195">
        <v>0</v>
      </c>
      <c r="BM100" s="195">
        <v>0</v>
      </c>
      <c r="BN100" s="195">
        <v>0</v>
      </c>
      <c r="BO100" s="195">
        <v>0</v>
      </c>
      <c r="BP100" s="195">
        <v>0</v>
      </c>
      <c r="BQ100" s="195">
        <v>0</v>
      </c>
      <c r="BR100" s="195">
        <v>0</v>
      </c>
      <c r="BS100" s="195">
        <v>0</v>
      </c>
      <c r="BT100" s="195">
        <v>0</v>
      </c>
      <c r="BU100" s="195">
        <v>0</v>
      </c>
      <c r="BV100" s="195">
        <v>0</v>
      </c>
      <c r="BW100" s="195">
        <v>0</v>
      </c>
      <c r="BX100" s="195">
        <v>0</v>
      </c>
      <c r="BY100" s="195">
        <v>0</v>
      </c>
      <c r="BZ100" s="195">
        <v>0</v>
      </c>
      <c r="CA100" s="195">
        <v>0</v>
      </c>
      <c r="CB100" s="195">
        <v>0</v>
      </c>
      <c r="CC100" s="195">
        <v>0</v>
      </c>
      <c r="CD100" s="195">
        <v>0</v>
      </c>
      <c r="CE100" s="195">
        <v>0</v>
      </c>
      <c r="CF100" s="195">
        <v>0</v>
      </c>
      <c r="CG100" s="195">
        <v>0</v>
      </c>
      <c r="CH100" s="195"/>
    </row>
    <row r="101" spans="1:86" ht="15" customHeight="1" x14ac:dyDescent="0.25">
      <c r="A101" s="96" t="s">
        <v>435</v>
      </c>
      <c r="B101" s="196">
        <f t="shared" si="9"/>
        <v>-456000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7">
        <v>-9500</v>
      </c>
      <c r="M101" s="197">
        <v>-9500</v>
      </c>
      <c r="N101" s="197">
        <v>-9500</v>
      </c>
      <c r="O101" s="197">
        <v>-9500</v>
      </c>
      <c r="P101" s="197">
        <v>-9500</v>
      </c>
      <c r="Q101" s="197">
        <v>-9500</v>
      </c>
      <c r="R101" s="197">
        <v>-9500</v>
      </c>
      <c r="S101" s="197">
        <v>-9500</v>
      </c>
      <c r="T101" s="197">
        <v>-9500</v>
      </c>
      <c r="U101" s="197">
        <v>-9500</v>
      </c>
      <c r="V101" s="197">
        <v>-9500</v>
      </c>
      <c r="W101" s="197">
        <v>-9500</v>
      </c>
      <c r="X101" s="197">
        <v>-9500</v>
      </c>
      <c r="Y101" s="197">
        <v>-9500</v>
      </c>
      <c r="Z101" s="197">
        <v>-9500</v>
      </c>
      <c r="AA101" s="197">
        <v>-9500</v>
      </c>
      <c r="AB101" s="197">
        <v>-9500</v>
      </c>
      <c r="AC101" s="197">
        <v>-9500</v>
      </c>
      <c r="AD101" s="197">
        <v>-9500</v>
      </c>
      <c r="AE101" s="197">
        <v>-9500</v>
      </c>
      <c r="AF101" s="197">
        <v>-9500</v>
      </c>
      <c r="AG101" s="197">
        <v>-9500</v>
      </c>
      <c r="AH101" s="197">
        <v>-9500</v>
      </c>
      <c r="AI101" s="197">
        <v>-9500</v>
      </c>
      <c r="AJ101" s="197">
        <v>-9500</v>
      </c>
      <c r="AK101" s="197">
        <v>-9500</v>
      </c>
      <c r="AL101" s="197">
        <v>-9500</v>
      </c>
      <c r="AM101" s="197">
        <v>-9500</v>
      </c>
      <c r="AN101" s="197">
        <v>-9500</v>
      </c>
      <c r="AO101" s="197">
        <v>-9500</v>
      </c>
      <c r="AP101" s="197">
        <v>-9500</v>
      </c>
      <c r="AQ101" s="197">
        <v>-9500</v>
      </c>
      <c r="AR101" s="197">
        <v>-9500</v>
      </c>
      <c r="AS101" s="197">
        <v>-9500</v>
      </c>
      <c r="AT101" s="197">
        <v>-9500</v>
      </c>
      <c r="AU101" s="197">
        <v>-9500</v>
      </c>
      <c r="AV101" s="197">
        <v>-9500</v>
      </c>
      <c r="AW101" s="197">
        <v>-9500</v>
      </c>
      <c r="AX101" s="197">
        <v>-9500</v>
      </c>
      <c r="AY101" s="197">
        <v>-9500</v>
      </c>
      <c r="AZ101" s="197">
        <v>-9500</v>
      </c>
      <c r="BA101" s="197">
        <v>-9500</v>
      </c>
      <c r="BB101" s="197">
        <v>-9500</v>
      </c>
      <c r="BC101" s="197">
        <v>-9500</v>
      </c>
      <c r="BD101" s="197">
        <v>-9500</v>
      </c>
      <c r="BE101" s="197">
        <v>-9500</v>
      </c>
      <c r="BF101" s="197">
        <v>-9500</v>
      </c>
      <c r="BG101" s="197">
        <v>-9500</v>
      </c>
      <c r="BH101" s="195"/>
      <c r="BI101" s="195"/>
      <c r="BJ101" s="195"/>
      <c r="BK101" s="195"/>
      <c r="BL101" s="195"/>
      <c r="BM101" s="195"/>
      <c r="BN101" s="195"/>
      <c r="BO101" s="195"/>
      <c r="BP101" s="195"/>
      <c r="BQ101" s="195"/>
      <c r="BR101" s="195"/>
      <c r="BS101" s="195"/>
      <c r="BT101" s="195"/>
      <c r="BU101" s="195"/>
      <c r="BV101" s="195"/>
      <c r="BW101" s="195"/>
      <c r="BX101" s="195"/>
      <c r="BY101" s="195"/>
      <c r="BZ101" s="195"/>
      <c r="CA101" s="195"/>
      <c r="CB101" s="195"/>
      <c r="CC101" s="195"/>
      <c r="CD101" s="195"/>
      <c r="CE101" s="195"/>
      <c r="CF101" s="195"/>
      <c r="CG101" s="195"/>
      <c r="CH101" s="195"/>
    </row>
    <row r="102" spans="1:86" ht="15" customHeight="1" x14ac:dyDescent="0.25">
      <c r="A102" s="96" t="s">
        <v>436</v>
      </c>
      <c r="B102" s="196">
        <f t="shared" si="9"/>
        <v>7053625.9999999991</v>
      </c>
      <c r="C102" s="198">
        <f t="shared" ref="C102:AH102" si="10">C99+C100+C101</f>
        <v>0</v>
      </c>
      <c r="D102" s="198">
        <f t="shared" si="10"/>
        <v>0</v>
      </c>
      <c r="E102" s="198">
        <f t="shared" si="10"/>
        <v>0</v>
      </c>
      <c r="F102" s="198">
        <f t="shared" si="10"/>
        <v>0</v>
      </c>
      <c r="G102" s="198">
        <f t="shared" si="10"/>
        <v>0</v>
      </c>
      <c r="H102" s="198">
        <f t="shared" si="10"/>
        <v>0</v>
      </c>
      <c r="I102" s="198">
        <f t="shared" si="10"/>
        <v>0</v>
      </c>
      <c r="J102" s="198">
        <f t="shared" si="10"/>
        <v>0</v>
      </c>
      <c r="K102" s="198">
        <f t="shared" si="10"/>
        <v>0</v>
      </c>
      <c r="L102" s="198">
        <f t="shared" si="10"/>
        <v>35550.36</v>
      </c>
      <c r="M102" s="198">
        <f t="shared" si="10"/>
        <v>25133.360000000001</v>
      </c>
      <c r="N102" s="198">
        <f t="shared" si="10"/>
        <v>25133.360000000001</v>
      </c>
      <c r="O102" s="198">
        <f t="shared" si="10"/>
        <v>25133.360000000001</v>
      </c>
      <c r="P102" s="198">
        <f t="shared" si="10"/>
        <v>17633.36</v>
      </c>
      <c r="Q102" s="198">
        <f t="shared" si="10"/>
        <v>17633.36</v>
      </c>
      <c r="R102" s="198">
        <f t="shared" si="10"/>
        <v>43527.520000000004</v>
      </c>
      <c r="S102" s="198">
        <f t="shared" si="10"/>
        <v>69421.679999999993</v>
      </c>
      <c r="T102" s="198">
        <f t="shared" si="10"/>
        <v>95315.839999999997</v>
      </c>
      <c r="U102" s="198">
        <f t="shared" si="10"/>
        <v>112042.98999999999</v>
      </c>
      <c r="V102" s="198">
        <f t="shared" si="10"/>
        <v>137937.16</v>
      </c>
      <c r="W102" s="198">
        <f t="shared" si="10"/>
        <v>163831.31</v>
      </c>
      <c r="X102" s="198">
        <f t="shared" si="10"/>
        <v>189725.46</v>
      </c>
      <c r="Y102" s="198">
        <f t="shared" si="10"/>
        <v>215619.62</v>
      </c>
      <c r="Z102" s="198">
        <f t="shared" si="10"/>
        <v>241513.78999999998</v>
      </c>
      <c r="AA102" s="198">
        <f t="shared" si="10"/>
        <v>267407.94</v>
      </c>
      <c r="AB102" s="198">
        <f t="shared" si="10"/>
        <v>293302.11</v>
      </c>
      <c r="AC102" s="198">
        <f t="shared" si="10"/>
        <v>353829.61</v>
      </c>
      <c r="AD102" s="198">
        <f t="shared" si="10"/>
        <v>264511.01</v>
      </c>
      <c r="AE102" s="198">
        <f t="shared" si="10"/>
        <v>265293.13</v>
      </c>
      <c r="AF102" s="198">
        <f t="shared" si="10"/>
        <v>266075.23</v>
      </c>
      <c r="AG102" s="198">
        <f t="shared" si="10"/>
        <v>266857.34000000003</v>
      </c>
      <c r="AH102" s="198">
        <f t="shared" si="10"/>
        <v>267639.44</v>
      </c>
      <c r="AI102" s="198">
        <f t="shared" ref="AI102:BN102" si="11">AI99+AI100+AI101</f>
        <v>294315.71000000002</v>
      </c>
      <c r="AJ102" s="198">
        <f t="shared" si="11"/>
        <v>269203.67</v>
      </c>
      <c r="AK102" s="198">
        <f t="shared" si="11"/>
        <v>244091.62</v>
      </c>
      <c r="AL102" s="198">
        <f t="shared" si="11"/>
        <v>218979.57</v>
      </c>
      <c r="AM102" s="198">
        <f t="shared" si="11"/>
        <v>193867.51</v>
      </c>
      <c r="AN102" s="198">
        <f t="shared" si="11"/>
        <v>168755.47</v>
      </c>
      <c r="AO102" s="198">
        <f t="shared" si="11"/>
        <v>143643.42000000001</v>
      </c>
      <c r="AP102" s="198">
        <f t="shared" si="11"/>
        <v>118531.35999999999</v>
      </c>
      <c r="AQ102" s="198">
        <f t="shared" si="11"/>
        <v>93419.32</v>
      </c>
      <c r="AR102" s="198">
        <f t="shared" si="11"/>
        <v>68307.27</v>
      </c>
      <c r="AS102" s="198">
        <f t="shared" si="11"/>
        <v>149094.1</v>
      </c>
      <c r="AT102" s="198">
        <f t="shared" si="11"/>
        <v>123199.95000000001</v>
      </c>
      <c r="AU102" s="198">
        <f t="shared" si="11"/>
        <v>72193.75</v>
      </c>
      <c r="AV102" s="198">
        <f t="shared" si="11"/>
        <v>71411.64</v>
      </c>
      <c r="AW102" s="198">
        <f t="shared" si="11"/>
        <v>70629.52</v>
      </c>
      <c r="AX102" s="198">
        <f t="shared" si="11"/>
        <v>69847.42</v>
      </c>
      <c r="AY102" s="198">
        <f t="shared" si="11"/>
        <v>69065.31</v>
      </c>
      <c r="AZ102" s="198">
        <f t="shared" si="11"/>
        <v>68283.199999999997</v>
      </c>
      <c r="BA102" s="198">
        <f t="shared" si="11"/>
        <v>67501.09</v>
      </c>
      <c r="BB102" s="198">
        <f t="shared" si="11"/>
        <v>66718.98</v>
      </c>
      <c r="BC102" s="198">
        <f t="shared" si="11"/>
        <v>65936.87</v>
      </c>
      <c r="BD102" s="198">
        <f t="shared" si="11"/>
        <v>65154.759999999995</v>
      </c>
      <c r="BE102" s="198">
        <f t="shared" si="11"/>
        <v>64372.649999999994</v>
      </c>
      <c r="BF102" s="198">
        <f t="shared" si="11"/>
        <v>63590.539999999994</v>
      </c>
      <c r="BG102" s="198">
        <f t="shared" si="11"/>
        <v>62808.44</v>
      </c>
      <c r="BH102" s="198">
        <f t="shared" si="11"/>
        <v>109027.32</v>
      </c>
      <c r="BI102" s="198">
        <f t="shared" si="11"/>
        <v>108245.21</v>
      </c>
      <c r="BJ102" s="198">
        <f t="shared" si="11"/>
        <v>213361.99</v>
      </c>
      <c r="BK102" s="198">
        <f t="shared" si="11"/>
        <v>0</v>
      </c>
      <c r="BL102" s="198">
        <f t="shared" si="11"/>
        <v>0</v>
      </c>
      <c r="BM102" s="198">
        <f t="shared" si="11"/>
        <v>0</v>
      </c>
      <c r="BN102" s="198">
        <f t="shared" si="11"/>
        <v>0</v>
      </c>
      <c r="BO102" s="198">
        <f t="shared" ref="BO102:CT102" si="12">BO99+BO100+BO101</f>
        <v>0</v>
      </c>
      <c r="BP102" s="198">
        <f t="shared" si="12"/>
        <v>0</v>
      </c>
      <c r="BQ102" s="198">
        <f t="shared" si="12"/>
        <v>0</v>
      </c>
      <c r="BR102" s="198">
        <f t="shared" si="12"/>
        <v>0</v>
      </c>
      <c r="BS102" s="198">
        <f t="shared" si="12"/>
        <v>0</v>
      </c>
      <c r="BT102" s="198">
        <f t="shared" si="12"/>
        <v>0</v>
      </c>
      <c r="BU102" s="198">
        <f t="shared" si="12"/>
        <v>0</v>
      </c>
      <c r="BV102" s="198">
        <f t="shared" si="12"/>
        <v>0</v>
      </c>
      <c r="BW102" s="198">
        <f t="shared" si="12"/>
        <v>0</v>
      </c>
      <c r="BX102" s="198">
        <f t="shared" si="12"/>
        <v>0</v>
      </c>
      <c r="BY102" s="198">
        <f t="shared" si="12"/>
        <v>0</v>
      </c>
      <c r="BZ102" s="198">
        <f t="shared" si="12"/>
        <v>0</v>
      </c>
      <c r="CA102" s="198">
        <f t="shared" si="12"/>
        <v>0</v>
      </c>
      <c r="CB102" s="198">
        <f t="shared" si="12"/>
        <v>0</v>
      </c>
      <c r="CC102" s="198">
        <f t="shared" si="12"/>
        <v>0</v>
      </c>
      <c r="CD102" s="198">
        <f t="shared" si="12"/>
        <v>0</v>
      </c>
      <c r="CE102" s="198">
        <f t="shared" si="12"/>
        <v>0</v>
      </c>
      <c r="CF102" s="198">
        <f t="shared" si="12"/>
        <v>0</v>
      </c>
      <c r="CG102" s="198">
        <f t="shared" si="12"/>
        <v>0</v>
      </c>
      <c r="CH102" s="198">
        <f t="shared" si="12"/>
        <v>0</v>
      </c>
    </row>
    <row r="103" spans="1:86" ht="15" customHeight="1" x14ac:dyDescent="0.25">
      <c r="A103" s="96" t="s">
        <v>437</v>
      </c>
      <c r="B103" s="196">
        <f t="shared" si="9"/>
        <v>563192.61699999985</v>
      </c>
      <c r="C103" s="198">
        <f t="shared" ref="C103:K103" si="13">C99*$B$94</f>
        <v>0</v>
      </c>
      <c r="D103" s="198">
        <f t="shared" si="13"/>
        <v>0</v>
      </c>
      <c r="E103" s="198">
        <f t="shared" si="13"/>
        <v>0</v>
      </c>
      <c r="F103" s="198">
        <f t="shared" si="13"/>
        <v>0</v>
      </c>
      <c r="G103" s="198">
        <f t="shared" si="13"/>
        <v>0</v>
      </c>
      <c r="H103" s="198">
        <f t="shared" si="13"/>
        <v>0</v>
      </c>
      <c r="I103" s="198">
        <f t="shared" si="13"/>
        <v>0</v>
      </c>
      <c r="J103" s="198">
        <f t="shared" si="13"/>
        <v>0</v>
      </c>
      <c r="K103" s="198">
        <f t="shared" si="13"/>
        <v>0</v>
      </c>
      <c r="L103" s="198">
        <f t="shared" ref="L103:AQ103" si="14">MIN(L99*$B$94,12500)</f>
        <v>4505.0360000000001</v>
      </c>
      <c r="M103" s="198">
        <f t="shared" si="14"/>
        <v>4505.0360000000001</v>
      </c>
      <c r="N103" s="198">
        <f t="shared" si="14"/>
        <v>4505.0360000000001</v>
      </c>
      <c r="O103" s="198">
        <f t="shared" si="14"/>
        <v>4505.0360000000001</v>
      </c>
      <c r="P103" s="198">
        <f t="shared" si="14"/>
        <v>4505.0360000000001</v>
      </c>
      <c r="Q103" s="198">
        <f t="shared" si="14"/>
        <v>4505.0360000000001</v>
      </c>
      <c r="R103" s="198">
        <f t="shared" si="14"/>
        <v>7094.4520000000011</v>
      </c>
      <c r="S103" s="198">
        <f t="shared" si="14"/>
        <v>9683.8680000000004</v>
      </c>
      <c r="T103" s="198">
        <f t="shared" si="14"/>
        <v>12273.284</v>
      </c>
      <c r="U103" s="198">
        <f t="shared" si="14"/>
        <v>12500</v>
      </c>
      <c r="V103" s="198">
        <f t="shared" si="14"/>
        <v>12500</v>
      </c>
      <c r="W103" s="198">
        <f t="shared" si="14"/>
        <v>12500</v>
      </c>
      <c r="X103" s="198">
        <f t="shared" si="14"/>
        <v>12500</v>
      </c>
      <c r="Y103" s="198">
        <f t="shared" si="14"/>
        <v>12500</v>
      </c>
      <c r="Z103" s="198">
        <f t="shared" si="14"/>
        <v>12500</v>
      </c>
      <c r="AA103" s="198">
        <f t="shared" si="14"/>
        <v>12500</v>
      </c>
      <c r="AB103" s="198">
        <f t="shared" si="14"/>
        <v>12500</v>
      </c>
      <c r="AC103" s="198">
        <f t="shared" si="14"/>
        <v>12500</v>
      </c>
      <c r="AD103" s="198">
        <f t="shared" si="14"/>
        <v>12500</v>
      </c>
      <c r="AE103" s="198">
        <f t="shared" si="14"/>
        <v>12500</v>
      </c>
      <c r="AF103" s="198">
        <f t="shared" si="14"/>
        <v>12500</v>
      </c>
      <c r="AG103" s="198">
        <f t="shared" si="14"/>
        <v>12500</v>
      </c>
      <c r="AH103" s="198">
        <f t="shared" si="14"/>
        <v>12500</v>
      </c>
      <c r="AI103" s="198">
        <f t="shared" si="14"/>
        <v>12500</v>
      </c>
      <c r="AJ103" s="198">
        <f t="shared" si="14"/>
        <v>12500</v>
      </c>
      <c r="AK103" s="198">
        <f t="shared" si="14"/>
        <v>12500</v>
      </c>
      <c r="AL103" s="198">
        <f t="shared" si="14"/>
        <v>12500</v>
      </c>
      <c r="AM103" s="198">
        <f t="shared" si="14"/>
        <v>12500</v>
      </c>
      <c r="AN103" s="198">
        <f t="shared" si="14"/>
        <v>12500</v>
      </c>
      <c r="AO103" s="198">
        <f t="shared" si="14"/>
        <v>12500</v>
      </c>
      <c r="AP103" s="198">
        <f t="shared" si="14"/>
        <v>12500</v>
      </c>
      <c r="AQ103" s="198">
        <f t="shared" si="14"/>
        <v>12500</v>
      </c>
      <c r="AR103" s="198">
        <f t="shared" ref="AR103:BW103" si="15">MIN(AR99*$B$94,12500)</f>
        <v>11530.827000000001</v>
      </c>
      <c r="AS103" s="198">
        <f t="shared" si="15"/>
        <v>12500</v>
      </c>
      <c r="AT103" s="198">
        <f t="shared" si="15"/>
        <v>12500</v>
      </c>
      <c r="AU103" s="198">
        <f t="shared" si="15"/>
        <v>11919.475</v>
      </c>
      <c r="AV103" s="198">
        <f t="shared" si="15"/>
        <v>11841.264000000001</v>
      </c>
      <c r="AW103" s="198">
        <f t="shared" si="15"/>
        <v>11763.052000000001</v>
      </c>
      <c r="AX103" s="198">
        <f t="shared" si="15"/>
        <v>11684.842000000001</v>
      </c>
      <c r="AY103" s="198">
        <f t="shared" si="15"/>
        <v>11606.631000000001</v>
      </c>
      <c r="AZ103" s="198">
        <f t="shared" si="15"/>
        <v>11528.42</v>
      </c>
      <c r="BA103" s="198">
        <f t="shared" si="15"/>
        <v>11450.209000000001</v>
      </c>
      <c r="BB103" s="198">
        <f t="shared" si="15"/>
        <v>11371.998</v>
      </c>
      <c r="BC103" s="198">
        <f t="shared" si="15"/>
        <v>11293.787</v>
      </c>
      <c r="BD103" s="198">
        <f t="shared" si="15"/>
        <v>11215.576000000001</v>
      </c>
      <c r="BE103" s="198">
        <f t="shared" si="15"/>
        <v>11137.365</v>
      </c>
      <c r="BF103" s="198">
        <f t="shared" si="15"/>
        <v>11059.154</v>
      </c>
      <c r="BG103" s="198">
        <f t="shared" si="15"/>
        <v>10980.944000000001</v>
      </c>
      <c r="BH103" s="198">
        <f t="shared" si="15"/>
        <v>10902.732000000002</v>
      </c>
      <c r="BI103" s="198">
        <f t="shared" si="15"/>
        <v>10824.521000000001</v>
      </c>
      <c r="BJ103" s="198">
        <f t="shared" si="15"/>
        <v>12500</v>
      </c>
      <c r="BK103" s="198">
        <f t="shared" si="15"/>
        <v>0</v>
      </c>
      <c r="BL103" s="198">
        <f t="shared" si="15"/>
        <v>0</v>
      </c>
      <c r="BM103" s="198">
        <f t="shared" si="15"/>
        <v>0</v>
      </c>
      <c r="BN103" s="198">
        <f t="shared" si="15"/>
        <v>0</v>
      </c>
      <c r="BO103" s="198">
        <f t="shared" si="15"/>
        <v>0</v>
      </c>
      <c r="BP103" s="198">
        <f t="shared" si="15"/>
        <v>0</v>
      </c>
      <c r="BQ103" s="198">
        <f t="shared" si="15"/>
        <v>0</v>
      </c>
      <c r="BR103" s="198">
        <f t="shared" si="15"/>
        <v>0</v>
      </c>
      <c r="BS103" s="198">
        <f t="shared" si="15"/>
        <v>0</v>
      </c>
      <c r="BT103" s="198">
        <f t="shared" si="15"/>
        <v>0</v>
      </c>
      <c r="BU103" s="198">
        <f t="shared" si="15"/>
        <v>0</v>
      </c>
      <c r="BV103" s="198">
        <f t="shared" si="15"/>
        <v>0</v>
      </c>
      <c r="BW103" s="198">
        <f t="shared" si="15"/>
        <v>0</v>
      </c>
      <c r="BX103" s="198">
        <f t="shared" ref="BX103:CG103" si="16">MIN(BX99*$B$94,12500)</f>
        <v>0</v>
      </c>
      <c r="BY103" s="198">
        <f t="shared" si="16"/>
        <v>0</v>
      </c>
      <c r="BZ103" s="198">
        <f t="shared" si="16"/>
        <v>0</v>
      </c>
      <c r="CA103" s="198">
        <f t="shared" si="16"/>
        <v>0</v>
      </c>
      <c r="CB103" s="198">
        <f t="shared" si="16"/>
        <v>0</v>
      </c>
      <c r="CC103" s="198">
        <f t="shared" si="16"/>
        <v>0</v>
      </c>
      <c r="CD103" s="198">
        <f t="shared" si="16"/>
        <v>0</v>
      </c>
      <c r="CE103" s="198">
        <f t="shared" si="16"/>
        <v>0</v>
      </c>
      <c r="CF103" s="198">
        <f t="shared" si="16"/>
        <v>0</v>
      </c>
      <c r="CG103" s="198">
        <f t="shared" si="16"/>
        <v>0</v>
      </c>
      <c r="CH103" s="198">
        <f>CH99*$B$94</f>
        <v>0</v>
      </c>
    </row>
    <row r="104" spans="1:86" ht="15" customHeight="1" x14ac:dyDescent="0.25">
      <c r="A104" s="96" t="s">
        <v>438</v>
      </c>
      <c r="B104" s="196">
        <f t="shared" si="9"/>
        <v>6490433.3830000013</v>
      </c>
      <c r="C104" s="198">
        <f t="shared" ref="C104:AH104" si="17">C102-C103</f>
        <v>0</v>
      </c>
      <c r="D104" s="198">
        <f t="shared" si="17"/>
        <v>0</v>
      </c>
      <c r="E104" s="198">
        <f t="shared" si="17"/>
        <v>0</v>
      </c>
      <c r="F104" s="198">
        <f t="shared" si="17"/>
        <v>0</v>
      </c>
      <c r="G104" s="198">
        <f t="shared" si="17"/>
        <v>0</v>
      </c>
      <c r="H104" s="198">
        <f t="shared" si="17"/>
        <v>0</v>
      </c>
      <c r="I104" s="198">
        <f t="shared" si="17"/>
        <v>0</v>
      </c>
      <c r="J104" s="198">
        <f t="shared" si="17"/>
        <v>0</v>
      </c>
      <c r="K104" s="198">
        <f t="shared" si="17"/>
        <v>0</v>
      </c>
      <c r="L104" s="198">
        <f t="shared" si="17"/>
        <v>31045.324000000001</v>
      </c>
      <c r="M104" s="198">
        <f t="shared" si="17"/>
        <v>20628.324000000001</v>
      </c>
      <c r="N104" s="198">
        <f t="shared" si="17"/>
        <v>20628.324000000001</v>
      </c>
      <c r="O104" s="198">
        <f t="shared" si="17"/>
        <v>20628.324000000001</v>
      </c>
      <c r="P104" s="198">
        <f t="shared" si="17"/>
        <v>13128.324000000001</v>
      </c>
      <c r="Q104" s="198">
        <f t="shared" si="17"/>
        <v>13128.324000000001</v>
      </c>
      <c r="R104" s="198">
        <f t="shared" si="17"/>
        <v>36433.067999999999</v>
      </c>
      <c r="S104" s="198">
        <f t="shared" si="17"/>
        <v>59737.811999999991</v>
      </c>
      <c r="T104" s="198">
        <f t="shared" si="17"/>
        <v>83042.555999999997</v>
      </c>
      <c r="U104" s="198">
        <f t="shared" si="17"/>
        <v>99542.989999999991</v>
      </c>
      <c r="V104" s="198">
        <f t="shared" si="17"/>
        <v>125437.16</v>
      </c>
      <c r="W104" s="198">
        <f t="shared" si="17"/>
        <v>151331.31</v>
      </c>
      <c r="X104" s="198">
        <f t="shared" si="17"/>
        <v>177225.46</v>
      </c>
      <c r="Y104" s="198">
        <f t="shared" si="17"/>
        <v>203119.62</v>
      </c>
      <c r="Z104" s="198">
        <f t="shared" si="17"/>
        <v>229013.78999999998</v>
      </c>
      <c r="AA104" s="198">
        <f t="shared" si="17"/>
        <v>254907.94</v>
      </c>
      <c r="AB104" s="198">
        <f t="shared" si="17"/>
        <v>280802.11</v>
      </c>
      <c r="AC104" s="198">
        <f t="shared" si="17"/>
        <v>341329.61</v>
      </c>
      <c r="AD104" s="198">
        <f t="shared" si="17"/>
        <v>252011.01</v>
      </c>
      <c r="AE104" s="198">
        <f t="shared" si="17"/>
        <v>252793.13</v>
      </c>
      <c r="AF104" s="198">
        <f t="shared" si="17"/>
        <v>253575.22999999998</v>
      </c>
      <c r="AG104" s="198">
        <f t="shared" si="17"/>
        <v>254357.34000000003</v>
      </c>
      <c r="AH104" s="198">
        <f t="shared" si="17"/>
        <v>255139.44</v>
      </c>
      <c r="AI104" s="198">
        <f t="shared" ref="AI104:BN104" si="18">AI102-AI103</f>
        <v>281815.71000000002</v>
      </c>
      <c r="AJ104" s="198">
        <f t="shared" si="18"/>
        <v>256703.66999999998</v>
      </c>
      <c r="AK104" s="198">
        <f t="shared" si="18"/>
        <v>231591.62</v>
      </c>
      <c r="AL104" s="198">
        <f t="shared" si="18"/>
        <v>206479.57</v>
      </c>
      <c r="AM104" s="198">
        <f t="shared" si="18"/>
        <v>181367.51</v>
      </c>
      <c r="AN104" s="198">
        <f t="shared" si="18"/>
        <v>156255.47</v>
      </c>
      <c r="AO104" s="198">
        <f t="shared" si="18"/>
        <v>131143.42000000001</v>
      </c>
      <c r="AP104" s="198">
        <f t="shared" si="18"/>
        <v>106031.35999999999</v>
      </c>
      <c r="AQ104" s="198">
        <f t="shared" si="18"/>
        <v>80919.320000000007</v>
      </c>
      <c r="AR104" s="198">
        <f t="shared" si="18"/>
        <v>56776.442999999999</v>
      </c>
      <c r="AS104" s="198">
        <f t="shared" si="18"/>
        <v>136594.1</v>
      </c>
      <c r="AT104" s="198">
        <f t="shared" si="18"/>
        <v>110699.95000000001</v>
      </c>
      <c r="AU104" s="198">
        <f t="shared" si="18"/>
        <v>60274.275000000001</v>
      </c>
      <c r="AV104" s="198">
        <f t="shared" si="18"/>
        <v>59570.375999999997</v>
      </c>
      <c r="AW104" s="198">
        <f t="shared" si="18"/>
        <v>58866.468000000001</v>
      </c>
      <c r="AX104" s="198">
        <f t="shared" si="18"/>
        <v>58162.577999999994</v>
      </c>
      <c r="AY104" s="198">
        <f t="shared" si="18"/>
        <v>57458.678999999996</v>
      </c>
      <c r="AZ104" s="198">
        <f t="shared" si="18"/>
        <v>56754.78</v>
      </c>
      <c r="BA104" s="198">
        <f t="shared" si="18"/>
        <v>56050.880999999994</v>
      </c>
      <c r="BB104" s="198">
        <f t="shared" si="18"/>
        <v>55346.981999999996</v>
      </c>
      <c r="BC104" s="198">
        <f t="shared" si="18"/>
        <v>54643.082999999999</v>
      </c>
      <c r="BD104" s="198">
        <f t="shared" si="18"/>
        <v>53939.183999999994</v>
      </c>
      <c r="BE104" s="198">
        <f t="shared" si="18"/>
        <v>53235.284999999996</v>
      </c>
      <c r="BF104" s="198">
        <f t="shared" si="18"/>
        <v>52531.385999999991</v>
      </c>
      <c r="BG104" s="198">
        <f t="shared" si="18"/>
        <v>51827.495999999999</v>
      </c>
      <c r="BH104" s="198">
        <f t="shared" si="18"/>
        <v>98124.588000000003</v>
      </c>
      <c r="BI104" s="198">
        <f t="shared" si="18"/>
        <v>97420.689000000013</v>
      </c>
      <c r="BJ104" s="198">
        <f t="shared" si="18"/>
        <v>200861.99</v>
      </c>
      <c r="BK104" s="198">
        <f t="shared" si="18"/>
        <v>0</v>
      </c>
      <c r="BL104" s="198">
        <f t="shared" si="18"/>
        <v>0</v>
      </c>
      <c r="BM104" s="198">
        <f t="shared" si="18"/>
        <v>0</v>
      </c>
      <c r="BN104" s="198">
        <f t="shared" si="18"/>
        <v>0</v>
      </c>
      <c r="BO104" s="198">
        <f t="shared" ref="BO104:CT104" si="19">BO102-BO103</f>
        <v>0</v>
      </c>
      <c r="BP104" s="198">
        <f t="shared" si="19"/>
        <v>0</v>
      </c>
      <c r="BQ104" s="198">
        <f t="shared" si="19"/>
        <v>0</v>
      </c>
      <c r="BR104" s="198">
        <f t="shared" si="19"/>
        <v>0</v>
      </c>
      <c r="BS104" s="198">
        <f t="shared" si="19"/>
        <v>0</v>
      </c>
      <c r="BT104" s="198">
        <f t="shared" si="19"/>
        <v>0</v>
      </c>
      <c r="BU104" s="198">
        <f t="shared" si="19"/>
        <v>0</v>
      </c>
      <c r="BV104" s="198">
        <f t="shared" si="19"/>
        <v>0</v>
      </c>
      <c r="BW104" s="198">
        <f t="shared" si="19"/>
        <v>0</v>
      </c>
      <c r="BX104" s="198">
        <f t="shared" si="19"/>
        <v>0</v>
      </c>
      <c r="BY104" s="198">
        <f t="shared" si="19"/>
        <v>0</v>
      </c>
      <c r="BZ104" s="198">
        <f t="shared" si="19"/>
        <v>0</v>
      </c>
      <c r="CA104" s="198">
        <f t="shared" si="19"/>
        <v>0</v>
      </c>
      <c r="CB104" s="198">
        <f t="shared" si="19"/>
        <v>0</v>
      </c>
      <c r="CC104" s="198">
        <f t="shared" si="19"/>
        <v>0</v>
      </c>
      <c r="CD104" s="198">
        <f t="shared" si="19"/>
        <v>0</v>
      </c>
      <c r="CE104" s="198">
        <f t="shared" si="19"/>
        <v>0</v>
      </c>
      <c r="CF104" s="198">
        <f t="shared" si="19"/>
        <v>0</v>
      </c>
      <c r="CG104" s="198">
        <f t="shared" si="19"/>
        <v>0</v>
      </c>
      <c r="CH104" s="198">
        <f t="shared" si="19"/>
        <v>0</v>
      </c>
    </row>
    <row r="105" spans="1:86" ht="15" customHeight="1" x14ac:dyDescent="0.25">
      <c r="A105" s="96" t="s">
        <v>439</v>
      </c>
      <c r="B105" s="196">
        <f t="shared" si="9"/>
        <v>2951665.9260000009</v>
      </c>
      <c r="C105" s="198">
        <v>0</v>
      </c>
      <c r="D105" s="198">
        <v>0</v>
      </c>
      <c r="E105" s="198">
        <v>0</v>
      </c>
      <c r="F105" s="198">
        <v>0</v>
      </c>
      <c r="G105" s="198">
        <v>0</v>
      </c>
      <c r="H105" s="198">
        <v>0</v>
      </c>
      <c r="I105" s="198">
        <v>0</v>
      </c>
      <c r="J105" s="198">
        <v>0</v>
      </c>
      <c r="K105" s="198">
        <v>0</v>
      </c>
      <c r="L105" s="198">
        <f t="shared" ref="L105:Z105" si="20">MAX(0,L104)*0.4</f>
        <v>12418.1296</v>
      </c>
      <c r="M105" s="198">
        <f t="shared" si="20"/>
        <v>8251.3296000000009</v>
      </c>
      <c r="N105" s="198">
        <f t="shared" si="20"/>
        <v>8251.3296000000009</v>
      </c>
      <c r="O105" s="198">
        <f t="shared" si="20"/>
        <v>8251.3296000000009</v>
      </c>
      <c r="P105" s="198">
        <f t="shared" si="20"/>
        <v>5251.3296000000009</v>
      </c>
      <c r="Q105" s="198">
        <f t="shared" si="20"/>
        <v>5251.3296000000009</v>
      </c>
      <c r="R105" s="198">
        <f t="shared" si="20"/>
        <v>14573.227200000001</v>
      </c>
      <c r="S105" s="198">
        <f t="shared" si="20"/>
        <v>23895.124799999998</v>
      </c>
      <c r="T105" s="198">
        <f t="shared" si="20"/>
        <v>33217.022400000002</v>
      </c>
      <c r="U105" s="198">
        <f t="shared" si="20"/>
        <v>39817.195999999996</v>
      </c>
      <c r="V105" s="198">
        <f t="shared" si="20"/>
        <v>50174.864000000001</v>
      </c>
      <c r="W105" s="198">
        <f t="shared" si="20"/>
        <v>60532.524000000005</v>
      </c>
      <c r="X105" s="198">
        <f t="shared" si="20"/>
        <v>70890.183999999994</v>
      </c>
      <c r="Y105" s="198">
        <f t="shared" si="20"/>
        <v>81247.847999999998</v>
      </c>
      <c r="Z105" s="198">
        <f t="shared" si="20"/>
        <v>91605.516000000003</v>
      </c>
      <c r="AA105" s="198">
        <f t="shared" ref="AA105:AM105" si="21">MAX(0,AA104)*0.45</f>
        <v>114708.573</v>
      </c>
      <c r="AB105" s="198">
        <f t="shared" si="21"/>
        <v>126360.9495</v>
      </c>
      <c r="AC105" s="198">
        <f t="shared" si="21"/>
        <v>153598.32449999999</v>
      </c>
      <c r="AD105" s="198">
        <f t="shared" si="21"/>
        <v>113404.95450000001</v>
      </c>
      <c r="AE105" s="198">
        <f t="shared" si="21"/>
        <v>113756.90850000001</v>
      </c>
      <c r="AF105" s="198">
        <f t="shared" si="21"/>
        <v>114108.8535</v>
      </c>
      <c r="AG105" s="198">
        <f t="shared" si="21"/>
        <v>114460.80300000001</v>
      </c>
      <c r="AH105" s="198">
        <f t="shared" si="21"/>
        <v>114812.74800000001</v>
      </c>
      <c r="AI105" s="198">
        <f t="shared" si="21"/>
        <v>126817.06950000001</v>
      </c>
      <c r="AJ105" s="198">
        <f t="shared" si="21"/>
        <v>115516.65149999999</v>
      </c>
      <c r="AK105" s="198">
        <f t="shared" si="21"/>
        <v>104216.22900000001</v>
      </c>
      <c r="AL105" s="198">
        <f t="shared" si="21"/>
        <v>92915.806500000006</v>
      </c>
      <c r="AM105" s="198">
        <f t="shared" si="21"/>
        <v>81615.37950000001</v>
      </c>
      <c r="AN105" s="198">
        <f t="shared" ref="AN105:CG105" si="22">MAX(0,AN104)*0.5</f>
        <v>78127.735000000001</v>
      </c>
      <c r="AO105" s="198">
        <f t="shared" si="22"/>
        <v>65571.710000000006</v>
      </c>
      <c r="AP105" s="198">
        <f t="shared" si="22"/>
        <v>53015.679999999993</v>
      </c>
      <c r="AQ105" s="198">
        <f t="shared" si="22"/>
        <v>40459.660000000003</v>
      </c>
      <c r="AR105" s="198">
        <f t="shared" si="22"/>
        <v>28388.2215</v>
      </c>
      <c r="AS105" s="198">
        <f t="shared" si="22"/>
        <v>68297.05</v>
      </c>
      <c r="AT105" s="198">
        <f t="shared" si="22"/>
        <v>55349.975000000006</v>
      </c>
      <c r="AU105" s="198">
        <f t="shared" si="22"/>
        <v>30137.137500000001</v>
      </c>
      <c r="AV105" s="198">
        <f t="shared" si="22"/>
        <v>29785.187999999998</v>
      </c>
      <c r="AW105" s="198">
        <f t="shared" si="22"/>
        <v>29433.234</v>
      </c>
      <c r="AX105" s="198">
        <f t="shared" si="22"/>
        <v>29081.288999999997</v>
      </c>
      <c r="AY105" s="198">
        <f t="shared" si="22"/>
        <v>28729.339499999998</v>
      </c>
      <c r="AZ105" s="198">
        <f t="shared" si="22"/>
        <v>28377.39</v>
      </c>
      <c r="BA105" s="198">
        <f t="shared" si="22"/>
        <v>28025.440499999997</v>
      </c>
      <c r="BB105" s="198">
        <f t="shared" si="22"/>
        <v>27673.490999999998</v>
      </c>
      <c r="BC105" s="198">
        <f t="shared" si="22"/>
        <v>27321.541499999999</v>
      </c>
      <c r="BD105" s="198">
        <f t="shared" si="22"/>
        <v>26969.591999999997</v>
      </c>
      <c r="BE105" s="198">
        <f t="shared" si="22"/>
        <v>26617.642499999998</v>
      </c>
      <c r="BF105" s="198">
        <f t="shared" si="22"/>
        <v>26265.692999999996</v>
      </c>
      <c r="BG105" s="198">
        <f t="shared" si="22"/>
        <v>25913.748</v>
      </c>
      <c r="BH105" s="198">
        <f t="shared" si="22"/>
        <v>49062.294000000002</v>
      </c>
      <c r="BI105" s="198">
        <f t="shared" si="22"/>
        <v>48710.344500000007</v>
      </c>
      <c r="BJ105" s="198">
        <f t="shared" si="22"/>
        <v>100430.995</v>
      </c>
      <c r="BK105" s="198">
        <f t="shared" si="22"/>
        <v>0</v>
      </c>
      <c r="BL105" s="198">
        <f t="shared" si="22"/>
        <v>0</v>
      </c>
      <c r="BM105" s="198">
        <f t="shared" si="22"/>
        <v>0</v>
      </c>
      <c r="BN105" s="198">
        <f t="shared" si="22"/>
        <v>0</v>
      </c>
      <c r="BO105" s="198">
        <f t="shared" si="22"/>
        <v>0</v>
      </c>
      <c r="BP105" s="198">
        <f t="shared" si="22"/>
        <v>0</v>
      </c>
      <c r="BQ105" s="198">
        <f t="shared" si="22"/>
        <v>0</v>
      </c>
      <c r="BR105" s="198">
        <f t="shared" si="22"/>
        <v>0</v>
      </c>
      <c r="BS105" s="198">
        <f t="shared" si="22"/>
        <v>0</v>
      </c>
      <c r="BT105" s="198">
        <f t="shared" si="22"/>
        <v>0</v>
      </c>
      <c r="BU105" s="198">
        <f t="shared" si="22"/>
        <v>0</v>
      </c>
      <c r="BV105" s="198">
        <f t="shared" si="22"/>
        <v>0</v>
      </c>
      <c r="BW105" s="198">
        <f t="shared" si="22"/>
        <v>0</v>
      </c>
      <c r="BX105" s="198">
        <f t="shared" si="22"/>
        <v>0</v>
      </c>
      <c r="BY105" s="198">
        <f t="shared" si="22"/>
        <v>0</v>
      </c>
      <c r="BZ105" s="198">
        <f t="shared" si="22"/>
        <v>0</v>
      </c>
      <c r="CA105" s="198">
        <f t="shared" si="22"/>
        <v>0</v>
      </c>
      <c r="CB105" s="198">
        <f t="shared" si="22"/>
        <v>0</v>
      </c>
      <c r="CC105" s="198">
        <f t="shared" si="22"/>
        <v>0</v>
      </c>
      <c r="CD105" s="198">
        <f t="shared" si="22"/>
        <v>0</v>
      </c>
      <c r="CE105" s="198">
        <f t="shared" si="22"/>
        <v>0</v>
      </c>
      <c r="CF105" s="198">
        <f t="shared" si="22"/>
        <v>0</v>
      </c>
      <c r="CG105" s="198">
        <f t="shared" si="22"/>
        <v>0</v>
      </c>
      <c r="CH105" s="198">
        <f>MAX(0,CH104)*$B$95</f>
        <v>0</v>
      </c>
    </row>
    <row r="106" spans="1:86" ht="15" customHeight="1" x14ac:dyDescent="0.25">
      <c r="A106" s="96" t="s">
        <v>440</v>
      </c>
      <c r="B106" s="196">
        <f t="shared" ref="B106:AG106" si="23">B104-B105</f>
        <v>3538767.4570000004</v>
      </c>
      <c r="C106" s="198">
        <f t="shared" si="23"/>
        <v>0</v>
      </c>
      <c r="D106" s="198">
        <f t="shared" si="23"/>
        <v>0</v>
      </c>
      <c r="E106" s="198">
        <f t="shared" si="23"/>
        <v>0</v>
      </c>
      <c r="F106" s="198">
        <f t="shared" si="23"/>
        <v>0</v>
      </c>
      <c r="G106" s="198">
        <f t="shared" si="23"/>
        <v>0</v>
      </c>
      <c r="H106" s="198">
        <f t="shared" si="23"/>
        <v>0</v>
      </c>
      <c r="I106" s="198">
        <f t="shared" si="23"/>
        <v>0</v>
      </c>
      <c r="J106" s="198">
        <f t="shared" si="23"/>
        <v>0</v>
      </c>
      <c r="K106" s="198">
        <f t="shared" si="23"/>
        <v>0</v>
      </c>
      <c r="L106" s="198">
        <f t="shared" si="23"/>
        <v>18627.1944</v>
      </c>
      <c r="M106" s="198">
        <f t="shared" si="23"/>
        <v>12376.9944</v>
      </c>
      <c r="N106" s="198">
        <f t="shared" si="23"/>
        <v>12376.9944</v>
      </c>
      <c r="O106" s="198">
        <f t="shared" si="23"/>
        <v>12376.9944</v>
      </c>
      <c r="P106" s="198">
        <f t="shared" si="23"/>
        <v>7876.9943999999996</v>
      </c>
      <c r="Q106" s="198">
        <f t="shared" si="23"/>
        <v>7876.9943999999996</v>
      </c>
      <c r="R106" s="198">
        <f t="shared" si="23"/>
        <v>21859.840799999998</v>
      </c>
      <c r="S106" s="198">
        <f t="shared" si="23"/>
        <v>35842.687199999993</v>
      </c>
      <c r="T106" s="198">
        <f t="shared" si="23"/>
        <v>49825.533599999995</v>
      </c>
      <c r="U106" s="198">
        <f t="shared" si="23"/>
        <v>59725.793999999994</v>
      </c>
      <c r="V106" s="198">
        <f t="shared" si="23"/>
        <v>75262.296000000002</v>
      </c>
      <c r="W106" s="198">
        <f t="shared" si="23"/>
        <v>90798.785999999993</v>
      </c>
      <c r="X106" s="198">
        <f t="shared" si="23"/>
        <v>106335.276</v>
      </c>
      <c r="Y106" s="198">
        <f t="shared" si="23"/>
        <v>121871.772</v>
      </c>
      <c r="Z106" s="198">
        <f t="shared" si="23"/>
        <v>137408.27399999998</v>
      </c>
      <c r="AA106" s="198">
        <f t="shared" si="23"/>
        <v>140199.367</v>
      </c>
      <c r="AB106" s="198">
        <f t="shared" si="23"/>
        <v>154441.1605</v>
      </c>
      <c r="AC106" s="198">
        <f t="shared" si="23"/>
        <v>187731.2855</v>
      </c>
      <c r="AD106" s="198">
        <f t="shared" si="23"/>
        <v>138606.05550000002</v>
      </c>
      <c r="AE106" s="198">
        <f t="shared" si="23"/>
        <v>139036.22149999999</v>
      </c>
      <c r="AF106" s="198">
        <f t="shared" si="23"/>
        <v>139466.37649999998</v>
      </c>
      <c r="AG106" s="198">
        <f t="shared" si="23"/>
        <v>139896.53700000001</v>
      </c>
      <c r="AH106" s="198">
        <f t="shared" ref="AH106:BM106" si="24">AH104-AH105</f>
        <v>140326.69199999998</v>
      </c>
      <c r="AI106" s="198">
        <f t="shared" si="24"/>
        <v>154998.64050000001</v>
      </c>
      <c r="AJ106" s="198">
        <f t="shared" si="24"/>
        <v>141187.01850000001</v>
      </c>
      <c r="AK106" s="198">
        <f t="shared" si="24"/>
        <v>127375.39099999999</v>
      </c>
      <c r="AL106" s="198">
        <f t="shared" si="24"/>
        <v>113563.7635</v>
      </c>
      <c r="AM106" s="198">
        <f t="shared" si="24"/>
        <v>99752.130499999999</v>
      </c>
      <c r="AN106" s="198">
        <f t="shared" si="24"/>
        <v>78127.735000000001</v>
      </c>
      <c r="AO106" s="198">
        <f t="shared" si="24"/>
        <v>65571.710000000006</v>
      </c>
      <c r="AP106" s="198">
        <f t="shared" si="24"/>
        <v>53015.679999999993</v>
      </c>
      <c r="AQ106" s="198">
        <f t="shared" si="24"/>
        <v>40459.660000000003</v>
      </c>
      <c r="AR106" s="198">
        <f t="shared" si="24"/>
        <v>28388.2215</v>
      </c>
      <c r="AS106" s="198">
        <f t="shared" si="24"/>
        <v>68297.05</v>
      </c>
      <c r="AT106" s="198">
        <f t="shared" si="24"/>
        <v>55349.975000000006</v>
      </c>
      <c r="AU106" s="198">
        <f t="shared" si="24"/>
        <v>30137.137500000001</v>
      </c>
      <c r="AV106" s="198">
        <f t="shared" si="24"/>
        <v>29785.187999999998</v>
      </c>
      <c r="AW106" s="198">
        <f t="shared" si="24"/>
        <v>29433.234</v>
      </c>
      <c r="AX106" s="198">
        <f t="shared" si="24"/>
        <v>29081.288999999997</v>
      </c>
      <c r="AY106" s="198">
        <f t="shared" si="24"/>
        <v>28729.339499999998</v>
      </c>
      <c r="AZ106" s="198">
        <f t="shared" si="24"/>
        <v>28377.39</v>
      </c>
      <c r="BA106" s="198">
        <f t="shared" si="24"/>
        <v>28025.440499999997</v>
      </c>
      <c r="BB106" s="198">
        <f t="shared" si="24"/>
        <v>27673.490999999998</v>
      </c>
      <c r="BC106" s="198">
        <f t="shared" si="24"/>
        <v>27321.541499999999</v>
      </c>
      <c r="BD106" s="198">
        <f t="shared" si="24"/>
        <v>26969.591999999997</v>
      </c>
      <c r="BE106" s="198">
        <f t="shared" si="24"/>
        <v>26617.642499999998</v>
      </c>
      <c r="BF106" s="198">
        <f t="shared" si="24"/>
        <v>26265.692999999996</v>
      </c>
      <c r="BG106" s="198">
        <f t="shared" si="24"/>
        <v>25913.748</v>
      </c>
      <c r="BH106" s="198">
        <f t="shared" si="24"/>
        <v>49062.294000000002</v>
      </c>
      <c r="BI106" s="198">
        <f t="shared" si="24"/>
        <v>48710.344500000007</v>
      </c>
      <c r="BJ106" s="198">
        <f t="shared" si="24"/>
        <v>100430.995</v>
      </c>
      <c r="BK106" s="198">
        <f t="shared" si="24"/>
        <v>0</v>
      </c>
      <c r="BL106" s="198">
        <f t="shared" si="24"/>
        <v>0</v>
      </c>
      <c r="BM106" s="198">
        <f t="shared" si="24"/>
        <v>0</v>
      </c>
      <c r="BN106" s="198">
        <f t="shared" ref="BN106:CS106" si="25">BN104-BN105</f>
        <v>0</v>
      </c>
      <c r="BO106" s="198">
        <f t="shared" si="25"/>
        <v>0</v>
      </c>
      <c r="BP106" s="198">
        <f t="shared" si="25"/>
        <v>0</v>
      </c>
      <c r="BQ106" s="198">
        <f t="shared" si="25"/>
        <v>0</v>
      </c>
      <c r="BR106" s="198">
        <f t="shared" si="25"/>
        <v>0</v>
      </c>
      <c r="BS106" s="198">
        <f t="shared" si="25"/>
        <v>0</v>
      </c>
      <c r="BT106" s="198">
        <f t="shared" si="25"/>
        <v>0</v>
      </c>
      <c r="BU106" s="198">
        <f t="shared" si="25"/>
        <v>0</v>
      </c>
      <c r="BV106" s="198">
        <f t="shared" si="25"/>
        <v>0</v>
      </c>
      <c r="BW106" s="198">
        <f t="shared" si="25"/>
        <v>0</v>
      </c>
      <c r="BX106" s="198">
        <f t="shared" si="25"/>
        <v>0</v>
      </c>
      <c r="BY106" s="198">
        <f t="shared" si="25"/>
        <v>0</v>
      </c>
      <c r="BZ106" s="198">
        <f t="shared" si="25"/>
        <v>0</v>
      </c>
      <c r="CA106" s="198">
        <f t="shared" si="25"/>
        <v>0</v>
      </c>
      <c r="CB106" s="198">
        <f t="shared" si="25"/>
        <v>0</v>
      </c>
      <c r="CC106" s="198">
        <f t="shared" si="25"/>
        <v>0</v>
      </c>
      <c r="CD106" s="198">
        <f t="shared" si="25"/>
        <v>0</v>
      </c>
      <c r="CE106" s="198">
        <f t="shared" si="25"/>
        <v>0</v>
      </c>
      <c r="CF106" s="198">
        <f t="shared" si="25"/>
        <v>0</v>
      </c>
      <c r="CG106" s="198">
        <f t="shared" si="25"/>
        <v>0</v>
      </c>
      <c r="CH106" s="198">
        <f t="shared" si="25"/>
        <v>0</v>
      </c>
    </row>
    <row r="107" spans="1:86" ht="15" customHeight="1" x14ac:dyDescent="0.25">
      <c r="A107" s="96" t="s">
        <v>441</v>
      </c>
      <c r="B107" s="196">
        <f t="shared" ref="B107:AG107" si="26">B103+B106</f>
        <v>4101960.074</v>
      </c>
      <c r="C107" s="198">
        <f t="shared" si="26"/>
        <v>0</v>
      </c>
      <c r="D107" s="198">
        <f t="shared" si="26"/>
        <v>0</v>
      </c>
      <c r="E107" s="198">
        <f t="shared" si="26"/>
        <v>0</v>
      </c>
      <c r="F107" s="198">
        <f t="shared" si="26"/>
        <v>0</v>
      </c>
      <c r="G107" s="198">
        <f t="shared" si="26"/>
        <v>0</v>
      </c>
      <c r="H107" s="198">
        <f t="shared" si="26"/>
        <v>0</v>
      </c>
      <c r="I107" s="198">
        <f t="shared" si="26"/>
        <v>0</v>
      </c>
      <c r="J107" s="198">
        <f t="shared" si="26"/>
        <v>0</v>
      </c>
      <c r="K107" s="198">
        <f t="shared" si="26"/>
        <v>0</v>
      </c>
      <c r="L107" s="198">
        <f t="shared" si="26"/>
        <v>23132.2304</v>
      </c>
      <c r="M107" s="198">
        <f t="shared" si="26"/>
        <v>16882.0304</v>
      </c>
      <c r="N107" s="198">
        <f t="shared" si="26"/>
        <v>16882.0304</v>
      </c>
      <c r="O107" s="198">
        <f t="shared" si="26"/>
        <v>16882.0304</v>
      </c>
      <c r="P107" s="198">
        <f t="shared" si="26"/>
        <v>12382.0304</v>
      </c>
      <c r="Q107" s="198">
        <f t="shared" si="26"/>
        <v>12382.0304</v>
      </c>
      <c r="R107" s="198">
        <f t="shared" si="26"/>
        <v>28954.292799999999</v>
      </c>
      <c r="S107" s="198">
        <f t="shared" si="26"/>
        <v>45526.555199999995</v>
      </c>
      <c r="T107" s="198">
        <f t="shared" si="26"/>
        <v>62098.817599999995</v>
      </c>
      <c r="U107" s="198">
        <f t="shared" si="26"/>
        <v>72225.793999999994</v>
      </c>
      <c r="V107" s="198">
        <f t="shared" si="26"/>
        <v>87762.296000000002</v>
      </c>
      <c r="W107" s="198">
        <f t="shared" si="26"/>
        <v>103298.78599999999</v>
      </c>
      <c r="X107" s="198">
        <f t="shared" si="26"/>
        <v>118835.276</v>
      </c>
      <c r="Y107" s="198">
        <f t="shared" si="26"/>
        <v>134371.772</v>
      </c>
      <c r="Z107" s="198">
        <f t="shared" si="26"/>
        <v>149908.27399999998</v>
      </c>
      <c r="AA107" s="198">
        <f t="shared" si="26"/>
        <v>152699.367</v>
      </c>
      <c r="AB107" s="198">
        <f t="shared" si="26"/>
        <v>166941.1605</v>
      </c>
      <c r="AC107" s="198">
        <f t="shared" si="26"/>
        <v>200231.2855</v>
      </c>
      <c r="AD107" s="198">
        <f t="shared" si="26"/>
        <v>151106.05550000002</v>
      </c>
      <c r="AE107" s="198">
        <f t="shared" si="26"/>
        <v>151536.22149999999</v>
      </c>
      <c r="AF107" s="198">
        <f t="shared" si="26"/>
        <v>151966.37649999998</v>
      </c>
      <c r="AG107" s="198">
        <f t="shared" si="26"/>
        <v>152396.53700000001</v>
      </c>
      <c r="AH107" s="198">
        <f t="shared" ref="AH107:BM107" si="27">AH103+AH106</f>
        <v>152826.69199999998</v>
      </c>
      <c r="AI107" s="198">
        <f t="shared" si="27"/>
        <v>167498.64050000001</v>
      </c>
      <c r="AJ107" s="198">
        <f t="shared" si="27"/>
        <v>153687.01850000001</v>
      </c>
      <c r="AK107" s="198">
        <f t="shared" si="27"/>
        <v>139875.391</v>
      </c>
      <c r="AL107" s="198">
        <f t="shared" si="27"/>
        <v>126063.7635</v>
      </c>
      <c r="AM107" s="198">
        <f t="shared" si="27"/>
        <v>112252.1305</v>
      </c>
      <c r="AN107" s="198">
        <f t="shared" si="27"/>
        <v>90627.735000000001</v>
      </c>
      <c r="AO107" s="198">
        <f t="shared" si="27"/>
        <v>78071.710000000006</v>
      </c>
      <c r="AP107" s="198">
        <f t="shared" si="27"/>
        <v>65515.679999999993</v>
      </c>
      <c r="AQ107" s="198">
        <f t="shared" si="27"/>
        <v>52959.66</v>
      </c>
      <c r="AR107" s="198">
        <f t="shared" si="27"/>
        <v>39919.048500000004</v>
      </c>
      <c r="AS107" s="198">
        <f t="shared" si="27"/>
        <v>80797.05</v>
      </c>
      <c r="AT107" s="198">
        <f t="shared" si="27"/>
        <v>67849.975000000006</v>
      </c>
      <c r="AU107" s="198">
        <f t="shared" si="27"/>
        <v>42056.612500000003</v>
      </c>
      <c r="AV107" s="198">
        <f t="shared" si="27"/>
        <v>41626.451999999997</v>
      </c>
      <c r="AW107" s="198">
        <f t="shared" si="27"/>
        <v>41196.286</v>
      </c>
      <c r="AX107" s="198">
        <f t="shared" si="27"/>
        <v>40766.130999999994</v>
      </c>
      <c r="AY107" s="198">
        <f t="shared" si="27"/>
        <v>40335.970499999996</v>
      </c>
      <c r="AZ107" s="198">
        <f t="shared" si="27"/>
        <v>39905.81</v>
      </c>
      <c r="BA107" s="198">
        <f t="shared" si="27"/>
        <v>39475.6495</v>
      </c>
      <c r="BB107" s="198">
        <f t="shared" si="27"/>
        <v>39045.489000000001</v>
      </c>
      <c r="BC107" s="198">
        <f t="shared" si="27"/>
        <v>38615.328500000003</v>
      </c>
      <c r="BD107" s="198">
        <f t="shared" si="27"/>
        <v>38185.167999999998</v>
      </c>
      <c r="BE107" s="198">
        <f t="shared" si="27"/>
        <v>37755.0075</v>
      </c>
      <c r="BF107" s="198">
        <f t="shared" si="27"/>
        <v>37324.846999999994</v>
      </c>
      <c r="BG107" s="198">
        <f t="shared" si="27"/>
        <v>36894.692000000003</v>
      </c>
      <c r="BH107" s="198">
        <f t="shared" si="27"/>
        <v>59965.026000000005</v>
      </c>
      <c r="BI107" s="198">
        <f t="shared" si="27"/>
        <v>59534.865500000007</v>
      </c>
      <c r="BJ107" s="198">
        <f t="shared" si="27"/>
        <v>112930.995</v>
      </c>
      <c r="BK107" s="198">
        <f t="shared" si="27"/>
        <v>0</v>
      </c>
      <c r="BL107" s="198">
        <f t="shared" si="27"/>
        <v>0</v>
      </c>
      <c r="BM107" s="198">
        <f t="shared" si="27"/>
        <v>0</v>
      </c>
      <c r="BN107" s="198">
        <f t="shared" ref="BN107:CS107" si="28">BN103+BN106</f>
        <v>0</v>
      </c>
      <c r="BO107" s="198">
        <f t="shared" si="28"/>
        <v>0</v>
      </c>
      <c r="BP107" s="198">
        <f t="shared" si="28"/>
        <v>0</v>
      </c>
      <c r="BQ107" s="198">
        <f t="shared" si="28"/>
        <v>0</v>
      </c>
      <c r="BR107" s="198">
        <f t="shared" si="28"/>
        <v>0</v>
      </c>
      <c r="BS107" s="198">
        <f t="shared" si="28"/>
        <v>0</v>
      </c>
      <c r="BT107" s="198">
        <f t="shared" si="28"/>
        <v>0</v>
      </c>
      <c r="BU107" s="198">
        <f t="shared" si="28"/>
        <v>0</v>
      </c>
      <c r="BV107" s="198">
        <f t="shared" si="28"/>
        <v>0</v>
      </c>
      <c r="BW107" s="198">
        <f t="shared" si="28"/>
        <v>0</v>
      </c>
      <c r="BX107" s="198">
        <f t="shared" si="28"/>
        <v>0</v>
      </c>
      <c r="BY107" s="198">
        <f t="shared" si="28"/>
        <v>0</v>
      </c>
      <c r="BZ107" s="198">
        <f t="shared" si="28"/>
        <v>0</v>
      </c>
      <c r="CA107" s="198">
        <f t="shared" si="28"/>
        <v>0</v>
      </c>
      <c r="CB107" s="198">
        <f t="shared" si="28"/>
        <v>0</v>
      </c>
      <c r="CC107" s="198">
        <f t="shared" si="28"/>
        <v>0</v>
      </c>
      <c r="CD107" s="198">
        <f t="shared" si="28"/>
        <v>0</v>
      </c>
      <c r="CE107" s="198">
        <f t="shared" si="28"/>
        <v>0</v>
      </c>
      <c r="CF107" s="198">
        <f t="shared" si="28"/>
        <v>0</v>
      </c>
      <c r="CG107" s="198">
        <f t="shared" si="28"/>
        <v>0</v>
      </c>
      <c r="CH107" s="198">
        <f t="shared" si="28"/>
        <v>0</v>
      </c>
    </row>
  </sheetData>
  <mergeCells count="16">
    <mergeCell ref="C73:G73"/>
    <mergeCell ref="B81:G81"/>
    <mergeCell ref="C77:G77"/>
    <mergeCell ref="B89:G89"/>
    <mergeCell ref="B90:G90"/>
    <mergeCell ref="B85:G85"/>
    <mergeCell ref="B84:G84"/>
    <mergeCell ref="C76:G76"/>
    <mergeCell ref="C78:G78"/>
    <mergeCell ref="B83:G83"/>
    <mergeCell ref="B88:G88"/>
    <mergeCell ref="C75:G75"/>
    <mergeCell ref="C74:G74"/>
    <mergeCell ref="B86:G86"/>
    <mergeCell ref="B82:G82"/>
    <mergeCell ref="B87:G87"/>
  </mergeCells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5E7B9B"/>
  </sheetPr>
  <dimension ref="A1:CH57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28" customWidth="1"/>
    <col min="2" max="86" width="14" customWidth="1"/>
  </cols>
  <sheetData>
    <row r="1" spans="1:86" ht="17.25" customHeight="1" x14ac:dyDescent="0.3">
      <c r="A1" s="355" t="s">
        <v>554</v>
      </c>
      <c r="B1" s="356"/>
      <c r="C1" s="356"/>
      <c r="D1" s="356"/>
      <c r="E1" s="356"/>
      <c r="F1" s="356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  <c r="AY1" s="302"/>
      <c r="AZ1" s="302"/>
      <c r="BA1" s="302"/>
      <c r="BB1" s="302"/>
      <c r="BC1" s="302"/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2"/>
      <c r="BO1" s="302"/>
      <c r="BP1" s="302"/>
      <c r="BQ1" s="302"/>
      <c r="BR1" s="302"/>
      <c r="BS1" s="302"/>
      <c r="BT1" s="302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</row>
    <row r="2" spans="1:86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</row>
    <row r="3" spans="1:86" ht="15" customHeight="1" x14ac:dyDescent="0.25">
      <c r="A3" s="315" t="s">
        <v>313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15"/>
      <c r="BM3" s="315"/>
      <c r="BN3" s="315"/>
      <c r="BO3" s="315"/>
      <c r="BP3" s="315"/>
      <c r="BQ3" s="315"/>
      <c r="BR3" s="315"/>
      <c r="BS3" s="315"/>
      <c r="BT3" s="315"/>
      <c r="BU3" s="315"/>
      <c r="BV3" s="315"/>
      <c r="BW3" s="315"/>
      <c r="BX3" s="315"/>
      <c r="BY3" s="315"/>
      <c r="BZ3" s="315"/>
      <c r="CA3" s="315"/>
      <c r="CB3" s="315"/>
      <c r="CC3" s="315"/>
      <c r="CD3" s="315"/>
      <c r="CE3" s="315"/>
      <c r="CF3" s="315"/>
      <c r="CG3" s="315"/>
      <c r="CH3" s="315"/>
    </row>
    <row r="4" spans="1:86" ht="15" customHeight="1" x14ac:dyDescent="0.25">
      <c r="A4" s="2" t="s">
        <v>555</v>
      </c>
      <c r="B4" s="302"/>
      <c r="C4" s="199">
        <f>Model!F68</f>
        <v>9375</v>
      </c>
      <c r="D4" s="199">
        <f>Model!G68</f>
        <v>9375</v>
      </c>
      <c r="E4" s="199">
        <f>Model!H68</f>
        <v>9375</v>
      </c>
      <c r="F4" s="199">
        <f>Model!I68</f>
        <v>9375</v>
      </c>
      <c r="G4" s="199">
        <f>Model!J68</f>
        <v>9375</v>
      </c>
      <c r="H4" s="199">
        <f>Model!K68</f>
        <v>9375</v>
      </c>
      <c r="I4" s="199">
        <f>Model!L68</f>
        <v>9375</v>
      </c>
      <c r="J4" s="199">
        <f>Model!M68</f>
        <v>0</v>
      </c>
      <c r="K4" s="199">
        <f>Model!N68</f>
        <v>0</v>
      </c>
      <c r="L4" s="199">
        <f>Model!O68</f>
        <v>0</v>
      </c>
      <c r="M4" s="199">
        <f>Model!P68</f>
        <v>0</v>
      </c>
      <c r="N4" s="199">
        <f>Model!Q68</f>
        <v>0</v>
      </c>
      <c r="O4" s="199">
        <f>Model!R68</f>
        <v>0</v>
      </c>
      <c r="P4" s="199">
        <f>Model!S68</f>
        <v>0</v>
      </c>
      <c r="Q4" s="199">
        <f>Model!T68</f>
        <v>0</v>
      </c>
      <c r="R4" s="199">
        <f>Model!U68</f>
        <v>0</v>
      </c>
      <c r="S4" s="199">
        <f>Model!V68</f>
        <v>0</v>
      </c>
      <c r="T4" s="199">
        <f>Model!W68</f>
        <v>0</v>
      </c>
      <c r="U4" s="199">
        <f>Model!X68</f>
        <v>0</v>
      </c>
      <c r="V4" s="199">
        <f>Model!Y68</f>
        <v>0</v>
      </c>
      <c r="W4" s="199">
        <f>Model!Z68</f>
        <v>0</v>
      </c>
      <c r="X4" s="199">
        <f>Model!AA68</f>
        <v>0</v>
      </c>
      <c r="Y4" s="199">
        <f>Model!AB68</f>
        <v>0</v>
      </c>
      <c r="Z4" s="199">
        <f>Model!AC68</f>
        <v>0</v>
      </c>
      <c r="AA4" s="199">
        <f>Model!AD68</f>
        <v>0</v>
      </c>
      <c r="AB4" s="199">
        <f>Model!AE68</f>
        <v>0</v>
      </c>
      <c r="AC4" s="199">
        <f>Model!AF68</f>
        <v>0</v>
      </c>
      <c r="AD4" s="199">
        <f>Model!AG68</f>
        <v>0</v>
      </c>
      <c r="AE4" s="199">
        <f>Model!AH68</f>
        <v>0</v>
      </c>
      <c r="AF4" s="199">
        <f>Model!AI68</f>
        <v>0</v>
      </c>
      <c r="AG4" s="199">
        <f>Model!AJ68</f>
        <v>0</v>
      </c>
      <c r="AH4" s="199">
        <f>Model!AK68</f>
        <v>0</v>
      </c>
      <c r="AI4" s="199">
        <f>Model!AL68</f>
        <v>0</v>
      </c>
      <c r="AJ4" s="199">
        <f>Model!AM68</f>
        <v>0</v>
      </c>
      <c r="AK4" s="199">
        <f>Model!AN68</f>
        <v>0</v>
      </c>
      <c r="AL4" s="199">
        <f>Model!AO68</f>
        <v>0</v>
      </c>
      <c r="AM4" s="199">
        <f>Model!AP68</f>
        <v>0</v>
      </c>
      <c r="AN4" s="199">
        <f>Model!AQ68</f>
        <v>0</v>
      </c>
      <c r="AO4" s="199">
        <f>Model!AR68</f>
        <v>0</v>
      </c>
      <c r="AP4" s="199">
        <f>Model!AS68</f>
        <v>0</v>
      </c>
      <c r="AQ4" s="199">
        <f>Model!AT68</f>
        <v>0</v>
      </c>
      <c r="AR4" s="199">
        <f>Model!AU68</f>
        <v>0</v>
      </c>
      <c r="AS4" s="199">
        <f>Model!AV68</f>
        <v>0</v>
      </c>
      <c r="AT4" s="199">
        <f>Model!AW68</f>
        <v>0</v>
      </c>
      <c r="AU4" s="199">
        <f>Model!AX68</f>
        <v>0</v>
      </c>
      <c r="AV4" s="199">
        <f>Model!AY68</f>
        <v>0</v>
      </c>
      <c r="AW4" s="199">
        <f>Model!AZ68</f>
        <v>0</v>
      </c>
      <c r="AX4" s="199">
        <f>Model!BA68</f>
        <v>0</v>
      </c>
      <c r="AY4" s="199">
        <f>Model!BB68</f>
        <v>0</v>
      </c>
      <c r="AZ4" s="199">
        <f>Model!BC68</f>
        <v>0</v>
      </c>
      <c r="BA4" s="199">
        <f>Model!BD68</f>
        <v>0</v>
      </c>
      <c r="BB4" s="199">
        <f>Model!BE68</f>
        <v>0</v>
      </c>
      <c r="BC4" s="199">
        <f>Model!BF68</f>
        <v>0</v>
      </c>
      <c r="BD4" s="199">
        <f>Model!BG68</f>
        <v>0</v>
      </c>
      <c r="BE4" s="199">
        <f>Model!BH68</f>
        <v>0</v>
      </c>
      <c r="BF4" s="199">
        <f>Model!BI68</f>
        <v>0</v>
      </c>
      <c r="BG4" s="199">
        <f>Model!BJ68</f>
        <v>0</v>
      </c>
      <c r="BH4" s="199">
        <f>Model!BK68</f>
        <v>0</v>
      </c>
      <c r="BI4" s="199">
        <f>Model!BL68</f>
        <v>0</v>
      </c>
      <c r="BJ4" s="199">
        <f>Model!BM68</f>
        <v>0</v>
      </c>
      <c r="BK4" s="199">
        <f>Model!BN68</f>
        <v>0</v>
      </c>
      <c r="BL4" s="199">
        <f>Model!BO68</f>
        <v>0</v>
      </c>
      <c r="BM4" s="199">
        <f>Model!BP68</f>
        <v>0</v>
      </c>
      <c r="BN4" s="199">
        <f>Model!BQ68</f>
        <v>0</v>
      </c>
      <c r="BO4" s="199">
        <f>Model!BR68</f>
        <v>0</v>
      </c>
      <c r="BP4" s="199">
        <f>Model!BS68</f>
        <v>0</v>
      </c>
      <c r="BQ4" s="199">
        <f>Model!BT68</f>
        <v>0</v>
      </c>
      <c r="BR4" s="199">
        <f>Model!BU68</f>
        <v>0</v>
      </c>
      <c r="BS4" s="199">
        <f>Model!BV68</f>
        <v>0</v>
      </c>
      <c r="BT4" s="199">
        <f>Model!BW68</f>
        <v>0</v>
      </c>
      <c r="BU4" s="199">
        <f>Model!BX68</f>
        <v>0</v>
      </c>
      <c r="BV4" s="199">
        <f>Model!BY68</f>
        <v>0</v>
      </c>
      <c r="BW4" s="199">
        <f>Model!BZ68</f>
        <v>0</v>
      </c>
      <c r="BX4" s="199">
        <f>Model!CA68</f>
        <v>0</v>
      </c>
      <c r="BY4" s="199">
        <f>Model!CB68</f>
        <v>0</v>
      </c>
      <c r="BZ4" s="199">
        <f>Model!CC68</f>
        <v>0</v>
      </c>
      <c r="CA4" s="199">
        <f>Model!CD68</f>
        <v>0</v>
      </c>
      <c r="CB4" s="199">
        <f>Model!CE68</f>
        <v>0</v>
      </c>
      <c r="CC4" s="199">
        <f>Model!CF68</f>
        <v>0</v>
      </c>
      <c r="CD4" s="199">
        <f>Model!CG68</f>
        <v>0</v>
      </c>
      <c r="CE4" s="199">
        <f>Model!CH68</f>
        <v>0</v>
      </c>
      <c r="CF4" s="199">
        <f>Model!CI68</f>
        <v>0</v>
      </c>
      <c r="CG4" s="199">
        <f>Model!CJ68</f>
        <v>0</v>
      </c>
      <c r="CH4" s="199">
        <f>Model!CK68</f>
        <v>0</v>
      </c>
    </row>
    <row r="5" spans="1:86" ht="15" customHeight="1" x14ac:dyDescent="0.25">
      <c r="A5" s="19" t="s">
        <v>556</v>
      </c>
      <c r="B5" s="19"/>
      <c r="C5" s="200">
        <f t="shared" ref="C5:AH5" si="0">C4</f>
        <v>9375</v>
      </c>
      <c r="D5" s="200">
        <f t="shared" si="0"/>
        <v>9375</v>
      </c>
      <c r="E5" s="200">
        <f t="shared" si="0"/>
        <v>9375</v>
      </c>
      <c r="F5" s="200">
        <f t="shared" si="0"/>
        <v>9375</v>
      </c>
      <c r="G5" s="200">
        <f t="shared" si="0"/>
        <v>9375</v>
      </c>
      <c r="H5" s="200">
        <f t="shared" si="0"/>
        <v>9375</v>
      </c>
      <c r="I5" s="200">
        <f t="shared" si="0"/>
        <v>9375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0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 t="shared" si="0"/>
        <v>0</v>
      </c>
      <c r="W5" s="200">
        <f t="shared" si="0"/>
        <v>0</v>
      </c>
      <c r="X5" s="200">
        <f t="shared" si="0"/>
        <v>0</v>
      </c>
      <c r="Y5" s="200">
        <f t="shared" si="0"/>
        <v>0</v>
      </c>
      <c r="Z5" s="200">
        <f t="shared" si="0"/>
        <v>0</v>
      </c>
      <c r="AA5" s="200">
        <f t="shared" si="0"/>
        <v>0</v>
      </c>
      <c r="AB5" s="200">
        <f t="shared" si="0"/>
        <v>0</v>
      </c>
      <c r="AC5" s="200">
        <f t="shared" si="0"/>
        <v>0</v>
      </c>
      <c r="AD5" s="200">
        <f t="shared" si="0"/>
        <v>0</v>
      </c>
      <c r="AE5" s="200">
        <f t="shared" si="0"/>
        <v>0</v>
      </c>
      <c r="AF5" s="200">
        <f t="shared" si="0"/>
        <v>0</v>
      </c>
      <c r="AG5" s="200">
        <f t="shared" si="0"/>
        <v>0</v>
      </c>
      <c r="AH5" s="200">
        <f t="shared" si="0"/>
        <v>0</v>
      </c>
      <c r="AI5" s="200">
        <f t="shared" ref="AI5:BN5" si="1">AI4</f>
        <v>0</v>
      </c>
      <c r="AJ5" s="200">
        <f t="shared" si="1"/>
        <v>0</v>
      </c>
      <c r="AK5" s="200">
        <f t="shared" si="1"/>
        <v>0</v>
      </c>
      <c r="AL5" s="200">
        <f t="shared" si="1"/>
        <v>0</v>
      </c>
      <c r="AM5" s="200">
        <f t="shared" si="1"/>
        <v>0</v>
      </c>
      <c r="AN5" s="200">
        <f t="shared" si="1"/>
        <v>0</v>
      </c>
      <c r="AO5" s="200">
        <f t="shared" si="1"/>
        <v>0</v>
      </c>
      <c r="AP5" s="200">
        <f t="shared" si="1"/>
        <v>0</v>
      </c>
      <c r="AQ5" s="200">
        <f t="shared" si="1"/>
        <v>0</v>
      </c>
      <c r="AR5" s="200">
        <f t="shared" si="1"/>
        <v>0</v>
      </c>
      <c r="AS5" s="200">
        <f t="shared" si="1"/>
        <v>0</v>
      </c>
      <c r="AT5" s="200">
        <f t="shared" si="1"/>
        <v>0</v>
      </c>
      <c r="AU5" s="200">
        <f t="shared" si="1"/>
        <v>0</v>
      </c>
      <c r="AV5" s="200">
        <f t="shared" si="1"/>
        <v>0</v>
      </c>
      <c r="AW5" s="200">
        <f t="shared" si="1"/>
        <v>0</v>
      </c>
      <c r="AX5" s="200">
        <f t="shared" si="1"/>
        <v>0</v>
      </c>
      <c r="AY5" s="200">
        <f t="shared" si="1"/>
        <v>0</v>
      </c>
      <c r="AZ5" s="200">
        <f t="shared" si="1"/>
        <v>0</v>
      </c>
      <c r="BA5" s="200">
        <f t="shared" si="1"/>
        <v>0</v>
      </c>
      <c r="BB5" s="200">
        <f t="shared" si="1"/>
        <v>0</v>
      </c>
      <c r="BC5" s="200">
        <f t="shared" si="1"/>
        <v>0</v>
      </c>
      <c r="BD5" s="200">
        <f t="shared" si="1"/>
        <v>0</v>
      </c>
      <c r="BE5" s="200">
        <f t="shared" si="1"/>
        <v>0</v>
      </c>
      <c r="BF5" s="200">
        <f t="shared" si="1"/>
        <v>0</v>
      </c>
      <c r="BG5" s="200">
        <f t="shared" si="1"/>
        <v>0</v>
      </c>
      <c r="BH5" s="200">
        <f t="shared" si="1"/>
        <v>0</v>
      </c>
      <c r="BI5" s="200">
        <f t="shared" si="1"/>
        <v>0</v>
      </c>
      <c r="BJ5" s="200">
        <f t="shared" si="1"/>
        <v>0</v>
      </c>
      <c r="BK5" s="200">
        <f t="shared" si="1"/>
        <v>0</v>
      </c>
      <c r="BL5" s="200">
        <f t="shared" si="1"/>
        <v>0</v>
      </c>
      <c r="BM5" s="200">
        <f t="shared" si="1"/>
        <v>0</v>
      </c>
      <c r="BN5" s="200">
        <f t="shared" si="1"/>
        <v>0</v>
      </c>
      <c r="BO5" s="200">
        <f t="shared" ref="BO5:CT5" si="2">BO4</f>
        <v>0</v>
      </c>
      <c r="BP5" s="200">
        <f t="shared" si="2"/>
        <v>0</v>
      </c>
      <c r="BQ5" s="200">
        <f t="shared" si="2"/>
        <v>0</v>
      </c>
      <c r="BR5" s="200">
        <f t="shared" si="2"/>
        <v>0</v>
      </c>
      <c r="BS5" s="200">
        <f t="shared" si="2"/>
        <v>0</v>
      </c>
      <c r="BT5" s="200">
        <f t="shared" si="2"/>
        <v>0</v>
      </c>
      <c r="BU5" s="200">
        <f t="shared" si="2"/>
        <v>0</v>
      </c>
      <c r="BV5" s="200">
        <f t="shared" si="2"/>
        <v>0</v>
      </c>
      <c r="BW5" s="200">
        <f t="shared" si="2"/>
        <v>0</v>
      </c>
      <c r="BX5" s="200">
        <f t="shared" si="2"/>
        <v>0</v>
      </c>
      <c r="BY5" s="200">
        <f t="shared" si="2"/>
        <v>0</v>
      </c>
      <c r="BZ5" s="200">
        <f t="shared" si="2"/>
        <v>0</v>
      </c>
      <c r="CA5" s="200">
        <f t="shared" si="2"/>
        <v>0</v>
      </c>
      <c r="CB5" s="200">
        <f t="shared" si="2"/>
        <v>0</v>
      </c>
      <c r="CC5" s="200">
        <f t="shared" si="2"/>
        <v>0</v>
      </c>
      <c r="CD5" s="200">
        <f t="shared" si="2"/>
        <v>0</v>
      </c>
      <c r="CE5" s="200">
        <f t="shared" si="2"/>
        <v>0</v>
      </c>
      <c r="CF5" s="200">
        <f t="shared" si="2"/>
        <v>0</v>
      </c>
      <c r="CG5" s="200">
        <f t="shared" si="2"/>
        <v>0</v>
      </c>
      <c r="CH5" s="200">
        <f t="shared" si="2"/>
        <v>0</v>
      </c>
    </row>
    <row r="6" spans="1:86" ht="15" customHeight="1" x14ac:dyDescent="0.25">
      <c r="A6" s="53" t="s">
        <v>557</v>
      </c>
      <c r="B6" s="302"/>
      <c r="C6" s="201">
        <f>C5</f>
        <v>9375</v>
      </c>
      <c r="D6" s="201">
        <f t="shared" ref="D6:AI6" si="3">C6+D5</f>
        <v>18750</v>
      </c>
      <c r="E6" s="201">
        <f t="shared" si="3"/>
        <v>28125</v>
      </c>
      <c r="F6" s="201">
        <f t="shared" si="3"/>
        <v>37500</v>
      </c>
      <c r="G6" s="201">
        <f t="shared" si="3"/>
        <v>46875</v>
      </c>
      <c r="H6" s="201">
        <f t="shared" si="3"/>
        <v>56250</v>
      </c>
      <c r="I6" s="201">
        <f t="shared" si="3"/>
        <v>65625</v>
      </c>
      <c r="J6" s="201">
        <f t="shared" si="3"/>
        <v>65625</v>
      </c>
      <c r="K6" s="201">
        <f t="shared" si="3"/>
        <v>65625</v>
      </c>
      <c r="L6" s="201">
        <f t="shared" si="3"/>
        <v>65625</v>
      </c>
      <c r="M6" s="201">
        <f t="shared" si="3"/>
        <v>65625</v>
      </c>
      <c r="N6" s="201">
        <f t="shared" si="3"/>
        <v>65625</v>
      </c>
      <c r="O6" s="201">
        <f t="shared" si="3"/>
        <v>65625</v>
      </c>
      <c r="P6" s="201">
        <f t="shared" si="3"/>
        <v>65625</v>
      </c>
      <c r="Q6" s="201">
        <f t="shared" si="3"/>
        <v>65625</v>
      </c>
      <c r="R6" s="201">
        <f t="shared" si="3"/>
        <v>65625</v>
      </c>
      <c r="S6" s="201">
        <f t="shared" si="3"/>
        <v>65625</v>
      </c>
      <c r="T6" s="201">
        <f t="shared" si="3"/>
        <v>65625</v>
      </c>
      <c r="U6" s="201">
        <f t="shared" si="3"/>
        <v>65625</v>
      </c>
      <c r="V6" s="201">
        <f t="shared" si="3"/>
        <v>65625</v>
      </c>
      <c r="W6" s="201">
        <f t="shared" si="3"/>
        <v>65625</v>
      </c>
      <c r="X6" s="201">
        <f t="shared" si="3"/>
        <v>65625</v>
      </c>
      <c r="Y6" s="201">
        <f t="shared" si="3"/>
        <v>65625</v>
      </c>
      <c r="Z6" s="201">
        <f t="shared" si="3"/>
        <v>65625</v>
      </c>
      <c r="AA6" s="201">
        <f t="shared" si="3"/>
        <v>65625</v>
      </c>
      <c r="AB6" s="201">
        <f t="shared" si="3"/>
        <v>65625</v>
      </c>
      <c r="AC6" s="201">
        <f t="shared" si="3"/>
        <v>65625</v>
      </c>
      <c r="AD6" s="201">
        <f t="shared" si="3"/>
        <v>65625</v>
      </c>
      <c r="AE6" s="201">
        <f t="shared" si="3"/>
        <v>65625</v>
      </c>
      <c r="AF6" s="201">
        <f t="shared" si="3"/>
        <v>65625</v>
      </c>
      <c r="AG6" s="201">
        <f t="shared" si="3"/>
        <v>65625</v>
      </c>
      <c r="AH6" s="201">
        <f t="shared" si="3"/>
        <v>65625</v>
      </c>
      <c r="AI6" s="201">
        <f t="shared" si="3"/>
        <v>65625</v>
      </c>
      <c r="AJ6" s="201">
        <f t="shared" ref="AJ6:BO6" si="4">AI6+AJ5</f>
        <v>65625</v>
      </c>
      <c r="AK6" s="201">
        <f t="shared" si="4"/>
        <v>65625</v>
      </c>
      <c r="AL6" s="201">
        <f t="shared" si="4"/>
        <v>65625</v>
      </c>
      <c r="AM6" s="201">
        <f t="shared" si="4"/>
        <v>65625</v>
      </c>
      <c r="AN6" s="201">
        <f t="shared" si="4"/>
        <v>65625</v>
      </c>
      <c r="AO6" s="201">
        <f t="shared" si="4"/>
        <v>65625</v>
      </c>
      <c r="AP6" s="201">
        <f t="shared" si="4"/>
        <v>65625</v>
      </c>
      <c r="AQ6" s="201">
        <f t="shared" si="4"/>
        <v>65625</v>
      </c>
      <c r="AR6" s="201">
        <f t="shared" si="4"/>
        <v>65625</v>
      </c>
      <c r="AS6" s="201">
        <f t="shared" si="4"/>
        <v>65625</v>
      </c>
      <c r="AT6" s="201">
        <f t="shared" si="4"/>
        <v>65625</v>
      </c>
      <c r="AU6" s="201">
        <f t="shared" si="4"/>
        <v>65625</v>
      </c>
      <c r="AV6" s="201">
        <f t="shared" si="4"/>
        <v>65625</v>
      </c>
      <c r="AW6" s="201">
        <f t="shared" si="4"/>
        <v>65625</v>
      </c>
      <c r="AX6" s="201">
        <f t="shared" si="4"/>
        <v>65625</v>
      </c>
      <c r="AY6" s="201">
        <f t="shared" si="4"/>
        <v>65625</v>
      </c>
      <c r="AZ6" s="201">
        <f t="shared" si="4"/>
        <v>65625</v>
      </c>
      <c r="BA6" s="201">
        <f t="shared" si="4"/>
        <v>65625</v>
      </c>
      <c r="BB6" s="201">
        <f t="shared" si="4"/>
        <v>65625</v>
      </c>
      <c r="BC6" s="201">
        <f t="shared" si="4"/>
        <v>65625</v>
      </c>
      <c r="BD6" s="201">
        <f t="shared" si="4"/>
        <v>65625</v>
      </c>
      <c r="BE6" s="201">
        <f t="shared" si="4"/>
        <v>65625</v>
      </c>
      <c r="BF6" s="201">
        <f t="shared" si="4"/>
        <v>65625</v>
      </c>
      <c r="BG6" s="201">
        <f t="shared" si="4"/>
        <v>65625</v>
      </c>
      <c r="BH6" s="201">
        <f t="shared" si="4"/>
        <v>65625</v>
      </c>
      <c r="BI6" s="201">
        <f t="shared" si="4"/>
        <v>65625</v>
      </c>
      <c r="BJ6" s="201">
        <f t="shared" si="4"/>
        <v>65625</v>
      </c>
      <c r="BK6" s="201">
        <f t="shared" si="4"/>
        <v>65625</v>
      </c>
      <c r="BL6" s="201">
        <f t="shared" si="4"/>
        <v>65625</v>
      </c>
      <c r="BM6" s="201">
        <f t="shared" si="4"/>
        <v>65625</v>
      </c>
      <c r="BN6" s="201">
        <f t="shared" si="4"/>
        <v>65625</v>
      </c>
      <c r="BO6" s="201">
        <f t="shared" si="4"/>
        <v>65625</v>
      </c>
      <c r="BP6" s="201">
        <f t="shared" ref="BP6:CU6" si="5">BO6+BP5</f>
        <v>65625</v>
      </c>
      <c r="BQ6" s="201">
        <f t="shared" si="5"/>
        <v>65625</v>
      </c>
      <c r="BR6" s="201">
        <f t="shared" si="5"/>
        <v>65625</v>
      </c>
      <c r="BS6" s="201">
        <f t="shared" si="5"/>
        <v>65625</v>
      </c>
      <c r="BT6" s="201">
        <f t="shared" si="5"/>
        <v>65625</v>
      </c>
      <c r="BU6" s="201">
        <f t="shared" si="5"/>
        <v>65625</v>
      </c>
      <c r="BV6" s="201">
        <f t="shared" si="5"/>
        <v>65625</v>
      </c>
      <c r="BW6" s="201">
        <f t="shared" si="5"/>
        <v>65625</v>
      </c>
      <c r="BX6" s="201">
        <f t="shared" si="5"/>
        <v>65625</v>
      </c>
      <c r="BY6" s="201">
        <f t="shared" si="5"/>
        <v>65625</v>
      </c>
      <c r="BZ6" s="201">
        <f t="shared" si="5"/>
        <v>65625</v>
      </c>
      <c r="CA6" s="201">
        <f t="shared" si="5"/>
        <v>65625</v>
      </c>
      <c r="CB6" s="201">
        <f t="shared" si="5"/>
        <v>65625</v>
      </c>
      <c r="CC6" s="201">
        <f t="shared" si="5"/>
        <v>65625</v>
      </c>
      <c r="CD6" s="201">
        <f t="shared" si="5"/>
        <v>65625</v>
      </c>
      <c r="CE6" s="201">
        <f t="shared" si="5"/>
        <v>65625</v>
      </c>
      <c r="CF6" s="201">
        <f t="shared" si="5"/>
        <v>65625</v>
      </c>
      <c r="CG6" s="201">
        <f t="shared" si="5"/>
        <v>65625</v>
      </c>
      <c r="CH6" s="201">
        <f t="shared" si="5"/>
        <v>65625</v>
      </c>
    </row>
    <row r="7" spans="1:86" ht="15" customHeight="1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2"/>
      <c r="BE7" s="302"/>
      <c r="BF7" s="302"/>
      <c r="BG7" s="302"/>
      <c r="BH7" s="302"/>
      <c r="BI7" s="302"/>
      <c r="BJ7" s="302"/>
      <c r="BK7" s="302"/>
      <c r="BL7" s="302"/>
      <c r="BM7" s="302"/>
      <c r="BN7" s="302"/>
      <c r="BO7" s="302"/>
      <c r="BP7" s="302"/>
      <c r="BQ7" s="302"/>
      <c r="BR7" s="302"/>
      <c r="BS7" s="302"/>
      <c r="BT7" s="302"/>
      <c r="BU7" s="302"/>
      <c r="BV7" s="302"/>
      <c r="BW7" s="302"/>
      <c r="BX7" s="302"/>
      <c r="BY7" s="302"/>
      <c r="BZ7" s="302"/>
      <c r="CA7" s="302"/>
      <c r="CB7" s="302"/>
      <c r="CC7" s="302"/>
      <c r="CD7" s="302"/>
      <c r="CE7" s="302"/>
      <c r="CF7" s="302"/>
      <c r="CG7" s="302"/>
      <c r="CH7" s="302"/>
    </row>
    <row r="8" spans="1:86" ht="15" customHeight="1" x14ac:dyDescent="0.25">
      <c r="A8" s="315" t="s">
        <v>317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</row>
    <row r="9" spans="1:86" ht="15" customHeight="1" x14ac:dyDescent="0.25">
      <c r="A9" s="2" t="s">
        <v>555</v>
      </c>
      <c r="B9" s="302"/>
      <c r="C9" s="199">
        <f>Model!F64+Model!F65+Model!F66+Model!F67</f>
        <v>23906.25</v>
      </c>
      <c r="D9" s="199">
        <f>Model!G64+Model!G65+Model!G66+Model!G67</f>
        <v>23906.25</v>
      </c>
      <c r="E9" s="199">
        <f>Model!H64+Model!H65+Model!H66+Model!H67</f>
        <v>23906.25</v>
      </c>
      <c r="F9" s="199">
        <f>Model!I64+Model!I65+Model!I66+Model!I67</f>
        <v>23906.25</v>
      </c>
      <c r="G9" s="199">
        <f>Model!J64+Model!J65+Model!J66+Model!J67</f>
        <v>23906.25</v>
      </c>
      <c r="H9" s="199">
        <f>Model!K64+Model!K65+Model!K66+Model!K67</f>
        <v>23906.25</v>
      </c>
      <c r="I9" s="199">
        <f>Model!L64+Model!L65+Model!L66+Model!L67</f>
        <v>23906.25</v>
      </c>
      <c r="J9" s="199">
        <f>Model!M64+Model!M65+Model!M66+Model!M67</f>
        <v>23906.25</v>
      </c>
      <c r="K9" s="199">
        <f>Model!N64+Model!N65+Model!N66+Model!N67</f>
        <v>23906.25</v>
      </c>
      <c r="L9" s="199">
        <f>Model!O64+Model!O65+Model!O66+Model!O67</f>
        <v>23906.25</v>
      </c>
      <c r="M9" s="199">
        <f>Model!P64+Model!P65+Model!P66+Model!P67</f>
        <v>23906.25</v>
      </c>
      <c r="N9" s="199">
        <f>Model!Q64+Model!Q65+Model!Q66+Model!Q67</f>
        <v>23906.25</v>
      </c>
      <c r="O9" s="199">
        <f>Model!R64+Model!R65+Model!R66+Model!R67</f>
        <v>23906.25</v>
      </c>
      <c r="P9" s="199">
        <f>Model!S64+Model!S65+Model!S66+Model!S67</f>
        <v>23906.25</v>
      </c>
      <c r="Q9" s="199">
        <f>Model!T64+Model!T65+Model!T66+Model!T67</f>
        <v>23906.25</v>
      </c>
      <c r="R9" s="199">
        <f>Model!U64+Model!U65+Model!U66+Model!U67</f>
        <v>0</v>
      </c>
      <c r="S9" s="199">
        <f>Model!V64+Model!V65+Model!V66+Model!V67</f>
        <v>0</v>
      </c>
      <c r="T9" s="199">
        <f>Model!W64+Model!W65+Model!W66+Model!W67</f>
        <v>0</v>
      </c>
      <c r="U9" s="199">
        <f>Model!X64+Model!X65+Model!X66+Model!X67</f>
        <v>0</v>
      </c>
      <c r="V9" s="199">
        <f>Model!Y64+Model!Y65+Model!Y66+Model!Y67</f>
        <v>0</v>
      </c>
      <c r="W9" s="199">
        <f>Model!Z64+Model!Z65+Model!Z66+Model!Z67</f>
        <v>57375</v>
      </c>
      <c r="X9" s="199">
        <f>Model!AA64+Model!AA65+Model!AA66+Model!AA67</f>
        <v>0</v>
      </c>
      <c r="Y9" s="199">
        <f>Model!AB64+Model!AB65+Model!AB66+Model!AB67</f>
        <v>0</v>
      </c>
      <c r="Z9" s="199">
        <f>Model!AC64+Model!AC65+Model!AC66+Model!AC67</f>
        <v>57375</v>
      </c>
      <c r="AA9" s="199">
        <f>Model!AD64+Model!AD65+Model!AD66+Model!AD67</f>
        <v>0</v>
      </c>
      <c r="AB9" s="199">
        <f>Model!AE64+Model!AE65+Model!AE66+Model!AE67</f>
        <v>0</v>
      </c>
      <c r="AC9" s="199">
        <f>Model!AF64+Model!AF65+Model!AF66+Model!AF67</f>
        <v>57375</v>
      </c>
      <c r="AD9" s="199">
        <f>Model!AG64+Model!AG65+Model!AG66+Model!AG67</f>
        <v>0</v>
      </c>
      <c r="AE9" s="199">
        <f>Model!AH64+Model!AH65+Model!AH66+Model!AH67</f>
        <v>0</v>
      </c>
      <c r="AF9" s="199">
        <f>Model!AI64+Model!AI65+Model!AI66+Model!AI67</f>
        <v>0</v>
      </c>
      <c r="AG9" s="199">
        <f>Model!AJ64+Model!AJ65+Model!AJ66+Model!AJ67</f>
        <v>0</v>
      </c>
      <c r="AH9" s="199">
        <f>Model!AK64+Model!AK65+Model!AK66+Model!AK67</f>
        <v>0</v>
      </c>
      <c r="AI9" s="199">
        <f>Model!AL64+Model!AL65+Model!AL66+Model!AL67</f>
        <v>0</v>
      </c>
      <c r="AJ9" s="199">
        <f>Model!AM64+Model!AM65+Model!AM66+Model!AM67</f>
        <v>0</v>
      </c>
      <c r="AK9" s="199">
        <f>Model!AN64+Model!AN65+Model!AN66+Model!AN67</f>
        <v>0</v>
      </c>
      <c r="AL9" s="199">
        <f>Model!AO64+Model!AO65+Model!AO66+Model!AO67</f>
        <v>0</v>
      </c>
      <c r="AM9" s="199">
        <f>Model!AP64+Model!AP65+Model!AP66+Model!AP67</f>
        <v>0</v>
      </c>
      <c r="AN9" s="199">
        <f>Model!AQ64+Model!AQ65+Model!AQ66+Model!AQ67</f>
        <v>0</v>
      </c>
      <c r="AO9" s="199">
        <f>Model!AR64+Model!AR65+Model!AR66+Model!AR67</f>
        <v>0</v>
      </c>
      <c r="AP9" s="199">
        <f>Model!AS64+Model!AS65+Model!AS66+Model!AS67</f>
        <v>0</v>
      </c>
      <c r="AQ9" s="199">
        <f>Model!AT64+Model!AT65+Model!AT66+Model!AT67</f>
        <v>0</v>
      </c>
      <c r="AR9" s="199">
        <f>Model!AU64+Model!AU65+Model!AU66+Model!AU67</f>
        <v>0</v>
      </c>
      <c r="AS9" s="199">
        <f>Model!AV64+Model!AV65+Model!AV66+Model!AV67</f>
        <v>0</v>
      </c>
      <c r="AT9" s="199">
        <f>Model!AW64+Model!AW65+Model!AW66+Model!AW67</f>
        <v>0</v>
      </c>
      <c r="AU9" s="199">
        <f>Model!AX64+Model!AX65+Model!AX66+Model!AX67</f>
        <v>0</v>
      </c>
      <c r="AV9" s="199">
        <f>Model!AY64+Model!AY65+Model!AY66+Model!AY67</f>
        <v>0</v>
      </c>
      <c r="AW9" s="199">
        <f>Model!AZ64+Model!AZ65+Model!AZ66+Model!AZ67</f>
        <v>0</v>
      </c>
      <c r="AX9" s="199">
        <f>Model!BA64+Model!BA65+Model!BA66+Model!BA67</f>
        <v>0</v>
      </c>
      <c r="AY9" s="199">
        <f>Model!BB64+Model!BB65+Model!BB66+Model!BB67</f>
        <v>0</v>
      </c>
      <c r="AZ9" s="199">
        <f>Model!BC64+Model!BC65+Model!BC66+Model!BC67</f>
        <v>0</v>
      </c>
      <c r="BA9" s="199">
        <f>Model!BD64+Model!BD65+Model!BD66+Model!BD67</f>
        <v>0</v>
      </c>
      <c r="BB9" s="199">
        <f>Model!BE64+Model!BE65+Model!BE66+Model!BE67</f>
        <v>0</v>
      </c>
      <c r="BC9" s="199">
        <f>Model!BF64+Model!BF65+Model!BF66+Model!BF67</f>
        <v>0</v>
      </c>
      <c r="BD9" s="199">
        <f>Model!BG64+Model!BG65+Model!BG66+Model!BG67</f>
        <v>0</v>
      </c>
      <c r="BE9" s="199">
        <f>Model!BH64+Model!BH65+Model!BH66+Model!BH67</f>
        <v>0</v>
      </c>
      <c r="BF9" s="199">
        <f>Model!BI64+Model!BI65+Model!BI66+Model!BI67</f>
        <v>0</v>
      </c>
      <c r="BG9" s="199">
        <f>Model!BJ64+Model!BJ65+Model!BJ66+Model!BJ67</f>
        <v>0</v>
      </c>
      <c r="BH9" s="199">
        <f>Model!BK64+Model!BK65+Model!BK66+Model!BK67</f>
        <v>0</v>
      </c>
      <c r="BI9" s="199">
        <f>Model!BL64+Model!BL65+Model!BL66+Model!BL67</f>
        <v>0</v>
      </c>
      <c r="BJ9" s="199">
        <f>Model!BM64+Model!BM65+Model!BM66+Model!BM67</f>
        <v>0</v>
      </c>
      <c r="BK9" s="199">
        <f>Model!BN64+Model!BN65+Model!BN66+Model!BN67</f>
        <v>0</v>
      </c>
      <c r="BL9" s="199">
        <f>Model!BO64+Model!BO65+Model!BO66+Model!BO67</f>
        <v>0</v>
      </c>
      <c r="BM9" s="199">
        <f>Model!BP64+Model!BP65+Model!BP66+Model!BP67</f>
        <v>0</v>
      </c>
      <c r="BN9" s="199">
        <f>Model!BQ64+Model!BQ65+Model!BQ66+Model!BQ67</f>
        <v>0</v>
      </c>
      <c r="BO9" s="199">
        <f>Model!BR64+Model!BR65+Model!BR66+Model!BR67</f>
        <v>0</v>
      </c>
      <c r="BP9" s="199">
        <f>Model!BS64+Model!BS65+Model!BS66+Model!BS67</f>
        <v>0</v>
      </c>
      <c r="BQ9" s="199">
        <f>Model!BT64+Model!BT65+Model!BT66+Model!BT67</f>
        <v>0</v>
      </c>
      <c r="BR9" s="199">
        <f>Model!BU64+Model!BU65+Model!BU66+Model!BU67</f>
        <v>0</v>
      </c>
      <c r="BS9" s="199">
        <f>Model!BV64+Model!BV65+Model!BV66+Model!BV67</f>
        <v>0</v>
      </c>
      <c r="BT9" s="199">
        <f>Model!BW64+Model!BW65+Model!BW66+Model!BW67</f>
        <v>0</v>
      </c>
      <c r="BU9" s="199">
        <f>Model!BX64+Model!BX65+Model!BX66+Model!BX67</f>
        <v>0</v>
      </c>
      <c r="BV9" s="199">
        <f>Model!BY64+Model!BY65+Model!BY66+Model!BY67</f>
        <v>0</v>
      </c>
      <c r="BW9" s="199">
        <f>Model!BZ64+Model!BZ65+Model!BZ66+Model!BZ67</f>
        <v>0</v>
      </c>
      <c r="BX9" s="199">
        <f>Model!CA64+Model!CA65+Model!CA66+Model!CA67</f>
        <v>0</v>
      </c>
      <c r="BY9" s="199">
        <f>Model!CB64+Model!CB65+Model!CB66+Model!CB67</f>
        <v>0</v>
      </c>
      <c r="BZ9" s="199">
        <f>Model!CC64+Model!CC65+Model!CC66+Model!CC67</f>
        <v>0</v>
      </c>
      <c r="CA9" s="199">
        <f>Model!CD64+Model!CD65+Model!CD66+Model!CD67</f>
        <v>0</v>
      </c>
      <c r="CB9" s="199">
        <f>Model!CE64+Model!CE65+Model!CE66+Model!CE67</f>
        <v>0</v>
      </c>
      <c r="CC9" s="199">
        <f>Model!CF64+Model!CF65+Model!CF66+Model!CF67</f>
        <v>0</v>
      </c>
      <c r="CD9" s="199">
        <f>Model!CG64+Model!CG65+Model!CG66+Model!CG67</f>
        <v>0</v>
      </c>
      <c r="CE9" s="199">
        <f>Model!CH64+Model!CH65+Model!CH66+Model!CH67</f>
        <v>0</v>
      </c>
      <c r="CF9" s="199">
        <f>Model!CI64+Model!CI65+Model!CI66+Model!CI67</f>
        <v>0</v>
      </c>
      <c r="CG9" s="199">
        <f>Model!CJ64+Model!CJ65+Model!CJ66+Model!CJ67</f>
        <v>0</v>
      </c>
      <c r="CH9" s="199">
        <f>Model!CK64+Model!CK65+Model!CK66+Model!CK67</f>
        <v>0</v>
      </c>
    </row>
    <row r="10" spans="1:86" ht="15" customHeight="1" x14ac:dyDescent="0.25">
      <c r="A10" s="19" t="s">
        <v>556</v>
      </c>
      <c r="B10" s="19"/>
      <c r="C10" s="200">
        <f t="shared" ref="C10:AH10" si="6">C9</f>
        <v>23906.25</v>
      </c>
      <c r="D10" s="200">
        <f t="shared" si="6"/>
        <v>23906.25</v>
      </c>
      <c r="E10" s="200">
        <f t="shared" si="6"/>
        <v>23906.25</v>
      </c>
      <c r="F10" s="200">
        <f t="shared" si="6"/>
        <v>23906.25</v>
      </c>
      <c r="G10" s="200">
        <f t="shared" si="6"/>
        <v>23906.25</v>
      </c>
      <c r="H10" s="200">
        <f t="shared" si="6"/>
        <v>23906.25</v>
      </c>
      <c r="I10" s="200">
        <f t="shared" si="6"/>
        <v>23906.25</v>
      </c>
      <c r="J10" s="200">
        <f t="shared" si="6"/>
        <v>23906.25</v>
      </c>
      <c r="K10" s="200">
        <f t="shared" si="6"/>
        <v>23906.25</v>
      </c>
      <c r="L10" s="200">
        <f t="shared" si="6"/>
        <v>23906.25</v>
      </c>
      <c r="M10" s="200">
        <f t="shared" si="6"/>
        <v>23906.25</v>
      </c>
      <c r="N10" s="200">
        <f t="shared" si="6"/>
        <v>23906.25</v>
      </c>
      <c r="O10" s="200">
        <f t="shared" si="6"/>
        <v>23906.25</v>
      </c>
      <c r="P10" s="200">
        <f t="shared" si="6"/>
        <v>23906.25</v>
      </c>
      <c r="Q10" s="200">
        <f t="shared" si="6"/>
        <v>23906.25</v>
      </c>
      <c r="R10" s="200">
        <f t="shared" si="6"/>
        <v>0</v>
      </c>
      <c r="S10" s="200">
        <f t="shared" si="6"/>
        <v>0</v>
      </c>
      <c r="T10" s="200">
        <f t="shared" si="6"/>
        <v>0</v>
      </c>
      <c r="U10" s="200">
        <f t="shared" si="6"/>
        <v>0</v>
      </c>
      <c r="V10" s="200">
        <f t="shared" si="6"/>
        <v>0</v>
      </c>
      <c r="W10" s="200">
        <f t="shared" si="6"/>
        <v>57375</v>
      </c>
      <c r="X10" s="200">
        <f t="shared" si="6"/>
        <v>0</v>
      </c>
      <c r="Y10" s="200">
        <f t="shared" si="6"/>
        <v>0</v>
      </c>
      <c r="Z10" s="200">
        <f t="shared" si="6"/>
        <v>57375</v>
      </c>
      <c r="AA10" s="200">
        <f t="shared" si="6"/>
        <v>0</v>
      </c>
      <c r="AB10" s="200">
        <f t="shared" si="6"/>
        <v>0</v>
      </c>
      <c r="AC10" s="200">
        <f t="shared" si="6"/>
        <v>57375</v>
      </c>
      <c r="AD10" s="200">
        <f t="shared" si="6"/>
        <v>0</v>
      </c>
      <c r="AE10" s="200">
        <f t="shared" si="6"/>
        <v>0</v>
      </c>
      <c r="AF10" s="200">
        <f t="shared" si="6"/>
        <v>0</v>
      </c>
      <c r="AG10" s="200">
        <f t="shared" si="6"/>
        <v>0</v>
      </c>
      <c r="AH10" s="200">
        <f t="shared" si="6"/>
        <v>0</v>
      </c>
      <c r="AI10" s="200">
        <f t="shared" ref="AI10:BN10" si="7">AI9</f>
        <v>0</v>
      </c>
      <c r="AJ10" s="200">
        <f t="shared" si="7"/>
        <v>0</v>
      </c>
      <c r="AK10" s="200">
        <f t="shared" si="7"/>
        <v>0</v>
      </c>
      <c r="AL10" s="200">
        <f t="shared" si="7"/>
        <v>0</v>
      </c>
      <c r="AM10" s="200">
        <f t="shared" si="7"/>
        <v>0</v>
      </c>
      <c r="AN10" s="200">
        <f t="shared" si="7"/>
        <v>0</v>
      </c>
      <c r="AO10" s="200">
        <f t="shared" si="7"/>
        <v>0</v>
      </c>
      <c r="AP10" s="200">
        <f t="shared" si="7"/>
        <v>0</v>
      </c>
      <c r="AQ10" s="200">
        <f t="shared" si="7"/>
        <v>0</v>
      </c>
      <c r="AR10" s="200">
        <f t="shared" si="7"/>
        <v>0</v>
      </c>
      <c r="AS10" s="200">
        <f t="shared" si="7"/>
        <v>0</v>
      </c>
      <c r="AT10" s="200">
        <f t="shared" si="7"/>
        <v>0</v>
      </c>
      <c r="AU10" s="200">
        <f t="shared" si="7"/>
        <v>0</v>
      </c>
      <c r="AV10" s="200">
        <f t="shared" si="7"/>
        <v>0</v>
      </c>
      <c r="AW10" s="200">
        <f t="shared" si="7"/>
        <v>0</v>
      </c>
      <c r="AX10" s="200">
        <f t="shared" si="7"/>
        <v>0</v>
      </c>
      <c r="AY10" s="200">
        <f t="shared" si="7"/>
        <v>0</v>
      </c>
      <c r="AZ10" s="200">
        <f t="shared" si="7"/>
        <v>0</v>
      </c>
      <c r="BA10" s="200">
        <f t="shared" si="7"/>
        <v>0</v>
      </c>
      <c r="BB10" s="200">
        <f t="shared" si="7"/>
        <v>0</v>
      </c>
      <c r="BC10" s="200">
        <f t="shared" si="7"/>
        <v>0</v>
      </c>
      <c r="BD10" s="200">
        <f t="shared" si="7"/>
        <v>0</v>
      </c>
      <c r="BE10" s="200">
        <f t="shared" si="7"/>
        <v>0</v>
      </c>
      <c r="BF10" s="200">
        <f t="shared" si="7"/>
        <v>0</v>
      </c>
      <c r="BG10" s="200">
        <f t="shared" si="7"/>
        <v>0</v>
      </c>
      <c r="BH10" s="200">
        <f t="shared" si="7"/>
        <v>0</v>
      </c>
      <c r="BI10" s="200">
        <f t="shared" si="7"/>
        <v>0</v>
      </c>
      <c r="BJ10" s="200">
        <f t="shared" si="7"/>
        <v>0</v>
      </c>
      <c r="BK10" s="200">
        <f t="shared" si="7"/>
        <v>0</v>
      </c>
      <c r="BL10" s="200">
        <f t="shared" si="7"/>
        <v>0</v>
      </c>
      <c r="BM10" s="200">
        <f t="shared" si="7"/>
        <v>0</v>
      </c>
      <c r="BN10" s="200">
        <f t="shared" si="7"/>
        <v>0</v>
      </c>
      <c r="BO10" s="200">
        <f t="shared" ref="BO10:CT10" si="8">BO9</f>
        <v>0</v>
      </c>
      <c r="BP10" s="200">
        <f t="shared" si="8"/>
        <v>0</v>
      </c>
      <c r="BQ10" s="200">
        <f t="shared" si="8"/>
        <v>0</v>
      </c>
      <c r="BR10" s="200">
        <f t="shared" si="8"/>
        <v>0</v>
      </c>
      <c r="BS10" s="200">
        <f t="shared" si="8"/>
        <v>0</v>
      </c>
      <c r="BT10" s="200">
        <f t="shared" si="8"/>
        <v>0</v>
      </c>
      <c r="BU10" s="200">
        <f t="shared" si="8"/>
        <v>0</v>
      </c>
      <c r="BV10" s="200">
        <f t="shared" si="8"/>
        <v>0</v>
      </c>
      <c r="BW10" s="200">
        <f t="shared" si="8"/>
        <v>0</v>
      </c>
      <c r="BX10" s="200">
        <f t="shared" si="8"/>
        <v>0</v>
      </c>
      <c r="BY10" s="200">
        <f t="shared" si="8"/>
        <v>0</v>
      </c>
      <c r="BZ10" s="200">
        <f t="shared" si="8"/>
        <v>0</v>
      </c>
      <c r="CA10" s="200">
        <f t="shared" si="8"/>
        <v>0</v>
      </c>
      <c r="CB10" s="200">
        <f t="shared" si="8"/>
        <v>0</v>
      </c>
      <c r="CC10" s="200">
        <f t="shared" si="8"/>
        <v>0</v>
      </c>
      <c r="CD10" s="200">
        <f t="shared" si="8"/>
        <v>0</v>
      </c>
      <c r="CE10" s="200">
        <f t="shared" si="8"/>
        <v>0</v>
      </c>
      <c r="CF10" s="200">
        <f t="shared" si="8"/>
        <v>0</v>
      </c>
      <c r="CG10" s="200">
        <f t="shared" si="8"/>
        <v>0</v>
      </c>
      <c r="CH10" s="200">
        <f t="shared" si="8"/>
        <v>0</v>
      </c>
    </row>
    <row r="11" spans="1:86" ht="15" customHeight="1" x14ac:dyDescent="0.25">
      <c r="A11" s="53" t="s">
        <v>557</v>
      </c>
      <c r="B11" s="302"/>
      <c r="C11" s="201">
        <f>C10</f>
        <v>23906.25</v>
      </c>
      <c r="D11" s="201">
        <f t="shared" ref="D11:AI11" si="9">C11+D10</f>
        <v>47812.5</v>
      </c>
      <c r="E11" s="201">
        <f t="shared" si="9"/>
        <v>71718.75</v>
      </c>
      <c r="F11" s="201">
        <f t="shared" si="9"/>
        <v>95625</v>
      </c>
      <c r="G11" s="201">
        <f t="shared" si="9"/>
        <v>119531.25</v>
      </c>
      <c r="H11" s="201">
        <f t="shared" si="9"/>
        <v>143437.5</v>
      </c>
      <c r="I11" s="201">
        <f t="shared" si="9"/>
        <v>167343.75</v>
      </c>
      <c r="J11" s="201">
        <f t="shared" si="9"/>
        <v>191250</v>
      </c>
      <c r="K11" s="201">
        <f t="shared" si="9"/>
        <v>215156.25</v>
      </c>
      <c r="L11" s="201">
        <f t="shared" si="9"/>
        <v>239062.5</v>
      </c>
      <c r="M11" s="201">
        <f t="shared" si="9"/>
        <v>262968.75</v>
      </c>
      <c r="N11" s="201">
        <f t="shared" si="9"/>
        <v>286875</v>
      </c>
      <c r="O11" s="201">
        <f t="shared" si="9"/>
        <v>310781.25</v>
      </c>
      <c r="P11" s="201">
        <f t="shared" si="9"/>
        <v>334687.5</v>
      </c>
      <c r="Q11" s="201">
        <f t="shared" si="9"/>
        <v>358593.75</v>
      </c>
      <c r="R11" s="201">
        <f t="shared" si="9"/>
        <v>358593.75</v>
      </c>
      <c r="S11" s="201">
        <f t="shared" si="9"/>
        <v>358593.75</v>
      </c>
      <c r="T11" s="201">
        <f t="shared" si="9"/>
        <v>358593.75</v>
      </c>
      <c r="U11" s="201">
        <f t="shared" si="9"/>
        <v>358593.75</v>
      </c>
      <c r="V11" s="201">
        <f t="shared" si="9"/>
        <v>358593.75</v>
      </c>
      <c r="W11" s="201">
        <f t="shared" si="9"/>
        <v>415968.75</v>
      </c>
      <c r="X11" s="201">
        <f t="shared" si="9"/>
        <v>415968.75</v>
      </c>
      <c r="Y11" s="201">
        <f t="shared" si="9"/>
        <v>415968.75</v>
      </c>
      <c r="Z11" s="201">
        <f t="shared" si="9"/>
        <v>473343.75</v>
      </c>
      <c r="AA11" s="201">
        <f t="shared" si="9"/>
        <v>473343.75</v>
      </c>
      <c r="AB11" s="201">
        <f t="shared" si="9"/>
        <v>473343.75</v>
      </c>
      <c r="AC11" s="201">
        <f t="shared" si="9"/>
        <v>530718.75</v>
      </c>
      <c r="AD11" s="201">
        <f t="shared" si="9"/>
        <v>530718.75</v>
      </c>
      <c r="AE11" s="201">
        <f t="shared" si="9"/>
        <v>530718.75</v>
      </c>
      <c r="AF11" s="201">
        <f t="shared" si="9"/>
        <v>530718.75</v>
      </c>
      <c r="AG11" s="201">
        <f t="shared" si="9"/>
        <v>530718.75</v>
      </c>
      <c r="AH11" s="201">
        <f t="shared" si="9"/>
        <v>530718.75</v>
      </c>
      <c r="AI11" s="201">
        <f t="shared" si="9"/>
        <v>530718.75</v>
      </c>
      <c r="AJ11" s="201">
        <f t="shared" ref="AJ11:BO11" si="10">AI11+AJ10</f>
        <v>530718.75</v>
      </c>
      <c r="AK11" s="201">
        <f t="shared" si="10"/>
        <v>530718.75</v>
      </c>
      <c r="AL11" s="201">
        <f t="shared" si="10"/>
        <v>530718.75</v>
      </c>
      <c r="AM11" s="201">
        <f t="shared" si="10"/>
        <v>530718.75</v>
      </c>
      <c r="AN11" s="201">
        <f t="shared" si="10"/>
        <v>530718.75</v>
      </c>
      <c r="AO11" s="201">
        <f t="shared" si="10"/>
        <v>530718.75</v>
      </c>
      <c r="AP11" s="201">
        <f t="shared" si="10"/>
        <v>530718.75</v>
      </c>
      <c r="AQ11" s="201">
        <f t="shared" si="10"/>
        <v>530718.75</v>
      </c>
      <c r="AR11" s="201">
        <f t="shared" si="10"/>
        <v>530718.75</v>
      </c>
      <c r="AS11" s="201">
        <f t="shared" si="10"/>
        <v>530718.75</v>
      </c>
      <c r="AT11" s="201">
        <f t="shared" si="10"/>
        <v>530718.75</v>
      </c>
      <c r="AU11" s="201">
        <f t="shared" si="10"/>
        <v>530718.75</v>
      </c>
      <c r="AV11" s="201">
        <f t="shared" si="10"/>
        <v>530718.75</v>
      </c>
      <c r="AW11" s="201">
        <f t="shared" si="10"/>
        <v>530718.75</v>
      </c>
      <c r="AX11" s="201">
        <f t="shared" si="10"/>
        <v>530718.75</v>
      </c>
      <c r="AY11" s="201">
        <f t="shared" si="10"/>
        <v>530718.75</v>
      </c>
      <c r="AZ11" s="201">
        <f t="shared" si="10"/>
        <v>530718.75</v>
      </c>
      <c r="BA11" s="201">
        <f t="shared" si="10"/>
        <v>530718.75</v>
      </c>
      <c r="BB11" s="201">
        <f t="shared" si="10"/>
        <v>530718.75</v>
      </c>
      <c r="BC11" s="201">
        <f t="shared" si="10"/>
        <v>530718.75</v>
      </c>
      <c r="BD11" s="201">
        <f t="shared" si="10"/>
        <v>530718.75</v>
      </c>
      <c r="BE11" s="201">
        <f t="shared" si="10"/>
        <v>530718.75</v>
      </c>
      <c r="BF11" s="201">
        <f t="shared" si="10"/>
        <v>530718.75</v>
      </c>
      <c r="BG11" s="201">
        <f t="shared" si="10"/>
        <v>530718.75</v>
      </c>
      <c r="BH11" s="201">
        <f t="shared" si="10"/>
        <v>530718.75</v>
      </c>
      <c r="BI11" s="201">
        <f t="shared" si="10"/>
        <v>530718.75</v>
      </c>
      <c r="BJ11" s="201">
        <f t="shared" si="10"/>
        <v>530718.75</v>
      </c>
      <c r="BK11" s="201">
        <f t="shared" si="10"/>
        <v>530718.75</v>
      </c>
      <c r="BL11" s="201">
        <f t="shared" si="10"/>
        <v>530718.75</v>
      </c>
      <c r="BM11" s="201">
        <f t="shared" si="10"/>
        <v>530718.75</v>
      </c>
      <c r="BN11" s="201">
        <f t="shared" si="10"/>
        <v>530718.75</v>
      </c>
      <c r="BO11" s="201">
        <f t="shared" si="10"/>
        <v>530718.75</v>
      </c>
      <c r="BP11" s="201">
        <f t="shared" ref="BP11:CU11" si="11">BO11+BP10</f>
        <v>530718.75</v>
      </c>
      <c r="BQ11" s="201">
        <f t="shared" si="11"/>
        <v>530718.75</v>
      </c>
      <c r="BR11" s="201">
        <f t="shared" si="11"/>
        <v>530718.75</v>
      </c>
      <c r="BS11" s="201">
        <f t="shared" si="11"/>
        <v>530718.75</v>
      </c>
      <c r="BT11" s="201">
        <f t="shared" si="11"/>
        <v>530718.75</v>
      </c>
      <c r="BU11" s="201">
        <f t="shared" si="11"/>
        <v>530718.75</v>
      </c>
      <c r="BV11" s="201">
        <f t="shared" si="11"/>
        <v>530718.75</v>
      </c>
      <c r="BW11" s="201">
        <f t="shared" si="11"/>
        <v>530718.75</v>
      </c>
      <c r="BX11" s="201">
        <f t="shared" si="11"/>
        <v>530718.75</v>
      </c>
      <c r="BY11" s="201">
        <f t="shared" si="11"/>
        <v>530718.75</v>
      </c>
      <c r="BZ11" s="201">
        <f t="shared" si="11"/>
        <v>530718.75</v>
      </c>
      <c r="CA11" s="201">
        <f t="shared" si="11"/>
        <v>530718.75</v>
      </c>
      <c r="CB11" s="201">
        <f t="shared" si="11"/>
        <v>530718.75</v>
      </c>
      <c r="CC11" s="201">
        <f t="shared" si="11"/>
        <v>530718.75</v>
      </c>
      <c r="CD11" s="201">
        <f t="shared" si="11"/>
        <v>530718.75</v>
      </c>
      <c r="CE11" s="201">
        <f t="shared" si="11"/>
        <v>530718.75</v>
      </c>
      <c r="CF11" s="201">
        <f t="shared" si="11"/>
        <v>530718.75</v>
      </c>
      <c r="CG11" s="201">
        <f t="shared" si="11"/>
        <v>530718.75</v>
      </c>
      <c r="CH11" s="201">
        <f t="shared" si="11"/>
        <v>530718.75</v>
      </c>
    </row>
    <row r="12" spans="1:86" ht="15" customHeight="1" x14ac:dyDescent="0.25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302"/>
      <c r="BK12" s="302"/>
      <c r="BL12" s="302"/>
      <c r="BM12" s="302"/>
      <c r="BN12" s="302"/>
      <c r="BO12" s="302"/>
      <c r="BP12" s="302"/>
      <c r="BQ12" s="302"/>
      <c r="BR12" s="302"/>
      <c r="BS12" s="302"/>
      <c r="BT12" s="302"/>
      <c r="BU12" s="302"/>
      <c r="BV12" s="302"/>
      <c r="BW12" s="302"/>
      <c r="BX12" s="302"/>
      <c r="BY12" s="302"/>
      <c r="BZ12" s="302"/>
      <c r="CA12" s="302"/>
      <c r="CB12" s="302"/>
      <c r="CC12" s="302"/>
      <c r="CD12" s="302"/>
      <c r="CE12" s="302"/>
      <c r="CF12" s="302"/>
      <c r="CG12" s="302"/>
      <c r="CH12" s="302"/>
    </row>
    <row r="13" spans="1:86" ht="15" customHeight="1" x14ac:dyDescent="0.25">
      <c r="A13" s="315" t="s">
        <v>320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315"/>
      <c r="AP13" s="315"/>
      <c r="AQ13" s="315"/>
      <c r="AR13" s="315"/>
      <c r="AS13" s="315"/>
      <c r="AT13" s="315"/>
      <c r="AU13" s="315"/>
      <c r="AV13" s="315"/>
      <c r="AW13" s="315"/>
      <c r="AX13" s="315"/>
      <c r="AY13" s="315"/>
      <c r="AZ13" s="315"/>
      <c r="BA13" s="315"/>
      <c r="BB13" s="315"/>
      <c r="BC13" s="315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  <c r="BO13" s="315"/>
      <c r="BP13" s="315"/>
      <c r="BQ13" s="315"/>
      <c r="BR13" s="315"/>
      <c r="BS13" s="315"/>
      <c r="BT13" s="315"/>
      <c r="BU13" s="315"/>
      <c r="BV13" s="315"/>
      <c r="BW13" s="315"/>
      <c r="BX13" s="315"/>
      <c r="BY13" s="315"/>
      <c r="BZ13" s="315"/>
      <c r="CA13" s="315"/>
      <c r="CB13" s="315"/>
      <c r="CC13" s="315"/>
      <c r="CD13" s="315"/>
      <c r="CE13" s="315"/>
      <c r="CF13" s="315"/>
      <c r="CG13" s="315"/>
      <c r="CH13" s="315"/>
    </row>
    <row r="14" spans="1:86" ht="15" customHeight="1" x14ac:dyDescent="0.25">
      <c r="A14" s="2" t="s">
        <v>555</v>
      </c>
      <c r="B14" s="302"/>
      <c r="C14" s="199">
        <f>Model!F70+Model!F71+Model!F72</f>
        <v>0</v>
      </c>
      <c r="D14" s="199">
        <f>Model!G70+Model!G71+Model!G72</f>
        <v>0</v>
      </c>
      <c r="E14" s="199">
        <f>Model!H70+Model!H71+Model!H72</f>
        <v>0</v>
      </c>
      <c r="F14" s="199">
        <f>Model!I70+Model!I71+Model!I72</f>
        <v>0</v>
      </c>
      <c r="G14" s="199">
        <f>Model!J70+Model!J71+Model!J72</f>
        <v>0</v>
      </c>
      <c r="H14" s="199">
        <f>Model!K70+Model!K71+Model!K72</f>
        <v>0</v>
      </c>
      <c r="I14" s="199">
        <f>Model!L70+Model!L71+Model!L72</f>
        <v>0</v>
      </c>
      <c r="J14" s="199">
        <f>Model!M70+Model!M71+Model!M72</f>
        <v>0</v>
      </c>
      <c r="K14" s="199">
        <f>Model!N70+Model!N71+Model!N72</f>
        <v>0</v>
      </c>
      <c r="L14" s="199">
        <f>Model!O70+Model!O71+Model!O72</f>
        <v>0</v>
      </c>
      <c r="M14" s="199">
        <f>Model!P70+Model!P71+Model!P72</f>
        <v>0</v>
      </c>
      <c r="N14" s="199">
        <f>Model!Q70+Model!Q71+Model!Q72</f>
        <v>0</v>
      </c>
      <c r="O14" s="199">
        <f>Model!R70+Model!R71+Model!R72</f>
        <v>0</v>
      </c>
      <c r="P14" s="199">
        <f>Model!S70+Model!S71+Model!S72</f>
        <v>0</v>
      </c>
      <c r="Q14" s="199">
        <f>Model!T70+Model!T71+Model!T72</f>
        <v>0</v>
      </c>
      <c r="R14" s="199">
        <f>Model!U70+Model!U71+Model!U72</f>
        <v>0</v>
      </c>
      <c r="S14" s="199">
        <f>Model!V70+Model!V71+Model!V72</f>
        <v>0</v>
      </c>
      <c r="T14" s="199">
        <f>Model!W70+Model!W71+Model!W72</f>
        <v>0</v>
      </c>
      <c r="U14" s="199">
        <f>Model!X70+Model!X71+Model!X72</f>
        <v>0</v>
      </c>
      <c r="V14" s="199">
        <f>Model!Y70+Model!Y71+Model!Y72</f>
        <v>0</v>
      </c>
      <c r="W14" s="199">
        <f>Model!Z70+Model!Z71+Model!Z72</f>
        <v>0</v>
      </c>
      <c r="X14" s="199">
        <f>Model!AA70+Model!AA71+Model!AA72</f>
        <v>0</v>
      </c>
      <c r="Y14" s="199">
        <f>Model!AB70+Model!AB71+Model!AB72</f>
        <v>0</v>
      </c>
      <c r="Z14" s="199">
        <f>Model!AC70+Model!AC71+Model!AC72</f>
        <v>0</v>
      </c>
      <c r="AA14" s="199">
        <f>Model!AD70+Model!AD71+Model!AD72</f>
        <v>0</v>
      </c>
      <c r="AB14" s="199">
        <f>Model!AE70+Model!AE71+Model!AE72</f>
        <v>0</v>
      </c>
      <c r="AC14" s="199">
        <f>Model!AF70+Model!AF71+Model!AF72</f>
        <v>0</v>
      </c>
      <c r="AD14" s="199">
        <f>Model!AG70+Model!AG71+Model!AG72</f>
        <v>0</v>
      </c>
      <c r="AE14" s="199">
        <f>Model!AH70+Model!AH71+Model!AH72</f>
        <v>0</v>
      </c>
      <c r="AF14" s="199">
        <f>Model!AI70+Model!AI71+Model!AI72</f>
        <v>0</v>
      </c>
      <c r="AG14" s="199">
        <f>Model!AJ70+Model!AJ71+Model!AJ72</f>
        <v>0</v>
      </c>
      <c r="AH14" s="199">
        <f>Model!AK70+Model!AK71+Model!AK72</f>
        <v>0</v>
      </c>
      <c r="AI14" s="199">
        <f>Model!AL70+Model!AL71+Model!AL72</f>
        <v>0</v>
      </c>
      <c r="AJ14" s="199">
        <f>Model!AM70+Model!AM71+Model!AM72</f>
        <v>0</v>
      </c>
      <c r="AK14" s="199">
        <f>Model!AN70+Model!AN71+Model!AN72</f>
        <v>0</v>
      </c>
      <c r="AL14" s="199">
        <f>Model!AO70+Model!AO71+Model!AO72</f>
        <v>0</v>
      </c>
      <c r="AM14" s="199">
        <f>Model!AP70+Model!AP71+Model!AP72</f>
        <v>0</v>
      </c>
      <c r="AN14" s="199">
        <f>Model!AQ70+Model!AQ71+Model!AQ72</f>
        <v>0</v>
      </c>
      <c r="AO14" s="199">
        <f>Model!AR70+Model!AR71+Model!AR72</f>
        <v>0</v>
      </c>
      <c r="AP14" s="199">
        <f>Model!AS70+Model!AS71+Model!AS72</f>
        <v>0</v>
      </c>
      <c r="AQ14" s="199">
        <f>Model!AT70+Model!AT71+Model!AT72</f>
        <v>0</v>
      </c>
      <c r="AR14" s="199">
        <f>Model!AU70+Model!AU71+Model!AU72</f>
        <v>0</v>
      </c>
      <c r="AS14" s="199">
        <f>Model!AV70+Model!AV71+Model!AV72</f>
        <v>0</v>
      </c>
      <c r="AT14" s="199">
        <f>Model!AW70+Model!AW71+Model!AW72</f>
        <v>0</v>
      </c>
      <c r="AU14" s="199">
        <f>Model!AX70+Model!AX71+Model!AX72</f>
        <v>0</v>
      </c>
      <c r="AV14" s="199">
        <f>Model!AY70+Model!AY71+Model!AY72</f>
        <v>0</v>
      </c>
      <c r="AW14" s="199">
        <f>Model!AZ70+Model!AZ71+Model!AZ72</f>
        <v>0</v>
      </c>
      <c r="AX14" s="199">
        <f>Model!BA70+Model!BA71+Model!BA72</f>
        <v>0</v>
      </c>
      <c r="AY14" s="199">
        <f>Model!BB70+Model!BB71+Model!BB72</f>
        <v>0</v>
      </c>
      <c r="AZ14" s="199">
        <f>Model!BC70+Model!BC71+Model!BC72</f>
        <v>0</v>
      </c>
      <c r="BA14" s="199">
        <f>Model!BD70+Model!BD71+Model!BD72</f>
        <v>0</v>
      </c>
      <c r="BB14" s="199">
        <f>Model!BE70+Model!BE71+Model!BE72</f>
        <v>0</v>
      </c>
      <c r="BC14" s="199">
        <f>Model!BF70+Model!BF71+Model!BF72</f>
        <v>0</v>
      </c>
      <c r="BD14" s="199">
        <f>Model!BG70+Model!BG71+Model!BG72</f>
        <v>0</v>
      </c>
      <c r="BE14" s="199">
        <f>Model!BH70+Model!BH71+Model!BH72</f>
        <v>0</v>
      </c>
      <c r="BF14" s="199">
        <f>Model!BI70+Model!BI71+Model!BI72</f>
        <v>0</v>
      </c>
      <c r="BG14" s="199">
        <f>Model!BJ70+Model!BJ71+Model!BJ72</f>
        <v>0</v>
      </c>
      <c r="BH14" s="199">
        <f>Model!BK70+Model!BK71+Model!BK72</f>
        <v>0</v>
      </c>
      <c r="BI14" s="199">
        <f>Model!BL70+Model!BL71+Model!BL72</f>
        <v>0</v>
      </c>
      <c r="BJ14" s="199">
        <f>Model!BM70+Model!BM71+Model!BM72</f>
        <v>0</v>
      </c>
      <c r="BK14" s="199">
        <f>Model!BN70+Model!BN71+Model!BN72</f>
        <v>0</v>
      </c>
      <c r="BL14" s="199">
        <f>Model!BO70+Model!BO71+Model!BO72</f>
        <v>0</v>
      </c>
      <c r="BM14" s="199">
        <f>Model!BP70+Model!BP71+Model!BP72</f>
        <v>0</v>
      </c>
      <c r="BN14" s="199">
        <f>Model!BQ70+Model!BQ71+Model!BQ72</f>
        <v>0</v>
      </c>
      <c r="BO14" s="199">
        <f>Model!BR70+Model!BR71+Model!BR72</f>
        <v>0</v>
      </c>
      <c r="BP14" s="199">
        <f>Model!BS70+Model!BS71+Model!BS72</f>
        <v>0</v>
      </c>
      <c r="BQ14" s="199">
        <f>Model!BT70+Model!BT71+Model!BT72</f>
        <v>0</v>
      </c>
      <c r="BR14" s="199">
        <f>Model!BU70+Model!BU71+Model!BU72</f>
        <v>0</v>
      </c>
      <c r="BS14" s="199">
        <f>Model!BV70+Model!BV71+Model!BV72</f>
        <v>0</v>
      </c>
      <c r="BT14" s="199">
        <f>Model!BW70+Model!BW71+Model!BW72</f>
        <v>0</v>
      </c>
      <c r="BU14" s="199">
        <f>Model!BX70+Model!BX71+Model!BX72</f>
        <v>0</v>
      </c>
      <c r="BV14" s="199">
        <f>Model!BY70+Model!BY71+Model!BY72</f>
        <v>0</v>
      </c>
      <c r="BW14" s="199">
        <f>Model!BZ70+Model!BZ71+Model!BZ72</f>
        <v>0</v>
      </c>
      <c r="BX14" s="199">
        <f>Model!CA70+Model!CA71+Model!CA72</f>
        <v>0</v>
      </c>
      <c r="BY14" s="199">
        <f>Model!CB70+Model!CB71+Model!CB72</f>
        <v>0</v>
      </c>
      <c r="BZ14" s="199">
        <f>Model!CC70+Model!CC71+Model!CC72</f>
        <v>0</v>
      </c>
      <c r="CA14" s="199">
        <f>Model!CD70+Model!CD71+Model!CD72</f>
        <v>0</v>
      </c>
      <c r="CB14" s="199">
        <f>Model!CE70+Model!CE71+Model!CE72</f>
        <v>0</v>
      </c>
      <c r="CC14" s="199">
        <f>Model!CF70+Model!CF71+Model!CF72</f>
        <v>0</v>
      </c>
      <c r="CD14" s="199">
        <f>Model!CG70+Model!CG71+Model!CG72</f>
        <v>0</v>
      </c>
      <c r="CE14" s="199">
        <f>Model!CH70+Model!CH71+Model!CH72</f>
        <v>0</v>
      </c>
      <c r="CF14" s="199">
        <f>Model!CI70+Model!CI71+Model!CI72</f>
        <v>0</v>
      </c>
      <c r="CG14" s="199">
        <f>Model!CJ70+Model!CJ71+Model!CJ72</f>
        <v>0</v>
      </c>
      <c r="CH14" s="199">
        <f>Model!CK70+Model!CK71+Model!CK72</f>
        <v>0</v>
      </c>
    </row>
    <row r="15" spans="1:86" ht="15" customHeight="1" x14ac:dyDescent="0.25">
      <c r="A15" s="202" t="s">
        <v>558</v>
      </c>
      <c r="B15" s="302"/>
      <c r="C15" s="203">
        <v>0</v>
      </c>
      <c r="D15" s="203">
        <v>0</v>
      </c>
      <c r="E15" s="203">
        <v>0</v>
      </c>
      <c r="F15" s="203">
        <v>0</v>
      </c>
      <c r="G15" s="203">
        <f>IF(Projects!$G$11="Yes",-155771,0)</f>
        <v>0</v>
      </c>
      <c r="H15" s="203">
        <v>0</v>
      </c>
      <c r="I15" s="203">
        <v>0</v>
      </c>
      <c r="J15" s="203">
        <v>0</v>
      </c>
      <c r="K15" s="203">
        <v>0</v>
      </c>
      <c r="L15" s="203">
        <v>0</v>
      </c>
      <c r="M15" s="203">
        <v>0</v>
      </c>
      <c r="N15" s="203">
        <v>0</v>
      </c>
      <c r="O15" s="203">
        <v>0</v>
      </c>
      <c r="P15" s="203">
        <v>0</v>
      </c>
      <c r="Q15" s="203">
        <v>0</v>
      </c>
      <c r="R15" s="203">
        <v>0</v>
      </c>
      <c r="S15" s="203">
        <v>0</v>
      </c>
      <c r="T15" s="203">
        <v>0</v>
      </c>
      <c r="U15" s="203">
        <v>0</v>
      </c>
      <c r="V15" s="203">
        <v>0</v>
      </c>
      <c r="W15" s="203">
        <v>0</v>
      </c>
      <c r="X15" s="203">
        <v>0</v>
      </c>
      <c r="Y15" s="203">
        <v>0</v>
      </c>
      <c r="Z15" s="203">
        <v>0</v>
      </c>
      <c r="AA15" s="203">
        <v>0</v>
      </c>
      <c r="AB15" s="203">
        <v>0</v>
      </c>
      <c r="AC15" s="203">
        <v>0</v>
      </c>
      <c r="AD15" s="203">
        <v>0</v>
      </c>
      <c r="AE15" s="203">
        <v>0</v>
      </c>
      <c r="AF15" s="203">
        <v>0</v>
      </c>
      <c r="AG15" s="203">
        <v>0</v>
      </c>
      <c r="AH15" s="203">
        <v>0</v>
      </c>
      <c r="AI15" s="203">
        <v>0</v>
      </c>
      <c r="AJ15" s="203">
        <v>0</v>
      </c>
      <c r="AK15" s="203">
        <v>0</v>
      </c>
      <c r="AL15" s="203">
        <v>0</v>
      </c>
      <c r="AM15" s="203">
        <v>0</v>
      </c>
      <c r="AN15" s="203">
        <v>0</v>
      </c>
      <c r="AO15" s="203">
        <v>0</v>
      </c>
      <c r="AP15" s="203">
        <v>0</v>
      </c>
      <c r="AQ15" s="203">
        <v>0</v>
      </c>
      <c r="AR15" s="203">
        <v>0</v>
      </c>
      <c r="AS15" s="203">
        <v>0</v>
      </c>
      <c r="AT15" s="203">
        <v>0</v>
      </c>
      <c r="AU15" s="203">
        <v>0</v>
      </c>
      <c r="AV15" s="203">
        <v>0</v>
      </c>
      <c r="AW15" s="203">
        <v>0</v>
      </c>
      <c r="AX15" s="203">
        <v>0</v>
      </c>
      <c r="AY15" s="203">
        <v>0</v>
      </c>
      <c r="AZ15" s="203">
        <v>0</v>
      </c>
      <c r="BA15" s="203">
        <v>0</v>
      </c>
      <c r="BB15" s="203">
        <v>0</v>
      </c>
      <c r="BC15" s="203">
        <v>0</v>
      </c>
      <c r="BD15" s="203">
        <v>0</v>
      </c>
      <c r="BE15" s="203">
        <v>0</v>
      </c>
      <c r="BF15" s="203">
        <v>0</v>
      </c>
      <c r="BG15" s="203">
        <v>0</v>
      </c>
      <c r="BH15" s="203">
        <v>0</v>
      </c>
      <c r="BI15" s="203">
        <v>0</v>
      </c>
      <c r="BJ15" s="203">
        <v>0</v>
      </c>
      <c r="BK15" s="203">
        <v>0</v>
      </c>
      <c r="BL15" s="203">
        <v>0</v>
      </c>
      <c r="BM15" s="203">
        <v>0</v>
      </c>
      <c r="BN15" s="203">
        <v>0</v>
      </c>
      <c r="BO15" s="203">
        <v>0</v>
      </c>
      <c r="BP15" s="203">
        <v>0</v>
      </c>
      <c r="BQ15" s="203">
        <v>0</v>
      </c>
      <c r="BR15" s="203">
        <v>0</v>
      </c>
      <c r="BS15" s="203">
        <v>0</v>
      </c>
      <c r="BT15" s="203">
        <v>0</v>
      </c>
      <c r="BU15" s="203">
        <v>0</v>
      </c>
      <c r="BV15" s="203">
        <v>0</v>
      </c>
      <c r="BW15" s="203">
        <v>0</v>
      </c>
      <c r="BX15" s="203">
        <v>0</v>
      </c>
      <c r="BY15" s="203">
        <v>0</v>
      </c>
      <c r="BZ15" s="203">
        <v>0</v>
      </c>
      <c r="CA15" s="203">
        <v>0</v>
      </c>
      <c r="CB15" s="203">
        <v>0</v>
      </c>
      <c r="CC15" s="203">
        <v>0</v>
      </c>
      <c r="CD15" s="203">
        <v>0</v>
      </c>
      <c r="CE15" s="203">
        <v>0</v>
      </c>
      <c r="CF15" s="203">
        <v>0</v>
      </c>
      <c r="CG15" s="203">
        <v>0</v>
      </c>
      <c r="CH15" s="203">
        <v>0</v>
      </c>
    </row>
    <row r="16" spans="1:86" ht="15" customHeight="1" x14ac:dyDescent="0.25">
      <c r="A16" s="19" t="s">
        <v>556</v>
      </c>
      <c r="B16" s="19"/>
      <c r="C16" s="200">
        <f t="shared" ref="C16:AH16" si="12">C14+C15</f>
        <v>0</v>
      </c>
      <c r="D16" s="200">
        <f t="shared" si="12"/>
        <v>0</v>
      </c>
      <c r="E16" s="200">
        <f t="shared" si="12"/>
        <v>0</v>
      </c>
      <c r="F16" s="200">
        <f t="shared" si="12"/>
        <v>0</v>
      </c>
      <c r="G16" s="200">
        <f t="shared" si="12"/>
        <v>0</v>
      </c>
      <c r="H16" s="200">
        <f t="shared" si="12"/>
        <v>0</v>
      </c>
      <c r="I16" s="200">
        <f t="shared" si="12"/>
        <v>0</v>
      </c>
      <c r="J16" s="200">
        <f t="shared" si="12"/>
        <v>0</v>
      </c>
      <c r="K16" s="200">
        <f t="shared" si="12"/>
        <v>0</v>
      </c>
      <c r="L16" s="200">
        <f t="shared" si="12"/>
        <v>0</v>
      </c>
      <c r="M16" s="200">
        <f t="shared" si="12"/>
        <v>0</v>
      </c>
      <c r="N16" s="200">
        <f t="shared" si="12"/>
        <v>0</v>
      </c>
      <c r="O16" s="200">
        <f t="shared" si="12"/>
        <v>0</v>
      </c>
      <c r="P16" s="200">
        <f t="shared" si="12"/>
        <v>0</v>
      </c>
      <c r="Q16" s="200">
        <f t="shared" si="12"/>
        <v>0</v>
      </c>
      <c r="R16" s="200">
        <f t="shared" si="12"/>
        <v>0</v>
      </c>
      <c r="S16" s="200">
        <f t="shared" si="12"/>
        <v>0</v>
      </c>
      <c r="T16" s="200">
        <f t="shared" si="12"/>
        <v>0</v>
      </c>
      <c r="U16" s="200">
        <f t="shared" si="12"/>
        <v>0</v>
      </c>
      <c r="V16" s="200">
        <f t="shared" si="12"/>
        <v>0</v>
      </c>
      <c r="W16" s="200">
        <f t="shared" si="12"/>
        <v>0</v>
      </c>
      <c r="X16" s="200">
        <f t="shared" si="12"/>
        <v>0</v>
      </c>
      <c r="Y16" s="200">
        <f t="shared" si="12"/>
        <v>0</v>
      </c>
      <c r="Z16" s="200">
        <f t="shared" si="12"/>
        <v>0</v>
      </c>
      <c r="AA16" s="200">
        <f t="shared" si="12"/>
        <v>0</v>
      </c>
      <c r="AB16" s="200">
        <f t="shared" si="12"/>
        <v>0</v>
      </c>
      <c r="AC16" s="200">
        <f t="shared" si="12"/>
        <v>0</v>
      </c>
      <c r="AD16" s="200">
        <f t="shared" si="12"/>
        <v>0</v>
      </c>
      <c r="AE16" s="200">
        <f t="shared" si="12"/>
        <v>0</v>
      </c>
      <c r="AF16" s="200">
        <f t="shared" si="12"/>
        <v>0</v>
      </c>
      <c r="AG16" s="200">
        <f t="shared" si="12"/>
        <v>0</v>
      </c>
      <c r="AH16" s="200">
        <f t="shared" si="12"/>
        <v>0</v>
      </c>
      <c r="AI16" s="200">
        <f t="shared" ref="AI16:BN16" si="13">AI14+AI15</f>
        <v>0</v>
      </c>
      <c r="AJ16" s="200">
        <f t="shared" si="13"/>
        <v>0</v>
      </c>
      <c r="AK16" s="200">
        <f t="shared" si="13"/>
        <v>0</v>
      </c>
      <c r="AL16" s="200">
        <f t="shared" si="13"/>
        <v>0</v>
      </c>
      <c r="AM16" s="200">
        <f t="shared" si="13"/>
        <v>0</v>
      </c>
      <c r="AN16" s="200">
        <f t="shared" si="13"/>
        <v>0</v>
      </c>
      <c r="AO16" s="200">
        <f t="shared" si="13"/>
        <v>0</v>
      </c>
      <c r="AP16" s="200">
        <f t="shared" si="13"/>
        <v>0</v>
      </c>
      <c r="AQ16" s="200">
        <f t="shared" si="13"/>
        <v>0</v>
      </c>
      <c r="AR16" s="200">
        <f t="shared" si="13"/>
        <v>0</v>
      </c>
      <c r="AS16" s="200">
        <f t="shared" si="13"/>
        <v>0</v>
      </c>
      <c r="AT16" s="200">
        <f t="shared" si="13"/>
        <v>0</v>
      </c>
      <c r="AU16" s="200">
        <f t="shared" si="13"/>
        <v>0</v>
      </c>
      <c r="AV16" s="200">
        <f t="shared" si="13"/>
        <v>0</v>
      </c>
      <c r="AW16" s="200">
        <f t="shared" si="13"/>
        <v>0</v>
      </c>
      <c r="AX16" s="200">
        <f t="shared" si="13"/>
        <v>0</v>
      </c>
      <c r="AY16" s="200">
        <f t="shared" si="13"/>
        <v>0</v>
      </c>
      <c r="AZ16" s="200">
        <f t="shared" si="13"/>
        <v>0</v>
      </c>
      <c r="BA16" s="200">
        <f t="shared" si="13"/>
        <v>0</v>
      </c>
      <c r="BB16" s="200">
        <f t="shared" si="13"/>
        <v>0</v>
      </c>
      <c r="BC16" s="200">
        <f t="shared" si="13"/>
        <v>0</v>
      </c>
      <c r="BD16" s="200">
        <f t="shared" si="13"/>
        <v>0</v>
      </c>
      <c r="BE16" s="200">
        <f t="shared" si="13"/>
        <v>0</v>
      </c>
      <c r="BF16" s="200">
        <f t="shared" si="13"/>
        <v>0</v>
      </c>
      <c r="BG16" s="200">
        <f t="shared" si="13"/>
        <v>0</v>
      </c>
      <c r="BH16" s="200">
        <f t="shared" si="13"/>
        <v>0</v>
      </c>
      <c r="BI16" s="200">
        <f t="shared" si="13"/>
        <v>0</v>
      </c>
      <c r="BJ16" s="200">
        <f t="shared" si="13"/>
        <v>0</v>
      </c>
      <c r="BK16" s="200">
        <f t="shared" si="13"/>
        <v>0</v>
      </c>
      <c r="BL16" s="200">
        <f t="shared" si="13"/>
        <v>0</v>
      </c>
      <c r="BM16" s="200">
        <f t="shared" si="13"/>
        <v>0</v>
      </c>
      <c r="BN16" s="200">
        <f t="shared" si="13"/>
        <v>0</v>
      </c>
      <c r="BO16" s="200">
        <f t="shared" ref="BO16:CT16" si="14">BO14+BO15</f>
        <v>0</v>
      </c>
      <c r="BP16" s="200">
        <f t="shared" si="14"/>
        <v>0</v>
      </c>
      <c r="BQ16" s="200">
        <f t="shared" si="14"/>
        <v>0</v>
      </c>
      <c r="BR16" s="200">
        <f t="shared" si="14"/>
        <v>0</v>
      </c>
      <c r="BS16" s="200">
        <f t="shared" si="14"/>
        <v>0</v>
      </c>
      <c r="BT16" s="200">
        <f t="shared" si="14"/>
        <v>0</v>
      </c>
      <c r="BU16" s="200">
        <f t="shared" si="14"/>
        <v>0</v>
      </c>
      <c r="BV16" s="200">
        <f t="shared" si="14"/>
        <v>0</v>
      </c>
      <c r="BW16" s="200">
        <f t="shared" si="14"/>
        <v>0</v>
      </c>
      <c r="BX16" s="200">
        <f t="shared" si="14"/>
        <v>0</v>
      </c>
      <c r="BY16" s="200">
        <f t="shared" si="14"/>
        <v>0</v>
      </c>
      <c r="BZ16" s="200">
        <f t="shared" si="14"/>
        <v>0</v>
      </c>
      <c r="CA16" s="200">
        <f t="shared" si="14"/>
        <v>0</v>
      </c>
      <c r="CB16" s="200">
        <f t="shared" si="14"/>
        <v>0</v>
      </c>
      <c r="CC16" s="200">
        <f t="shared" si="14"/>
        <v>0</v>
      </c>
      <c r="CD16" s="200">
        <f t="shared" si="14"/>
        <v>0</v>
      </c>
      <c r="CE16" s="200">
        <f t="shared" si="14"/>
        <v>0</v>
      </c>
      <c r="CF16" s="200">
        <f t="shared" si="14"/>
        <v>0</v>
      </c>
      <c r="CG16" s="200">
        <f t="shared" si="14"/>
        <v>0</v>
      </c>
      <c r="CH16" s="200">
        <f t="shared" si="14"/>
        <v>0</v>
      </c>
    </row>
    <row r="17" spans="1:86" ht="15" customHeight="1" x14ac:dyDescent="0.25">
      <c r="A17" s="53" t="s">
        <v>557</v>
      </c>
      <c r="B17" s="302"/>
      <c r="C17" s="201">
        <f>C16</f>
        <v>0</v>
      </c>
      <c r="D17" s="201">
        <f t="shared" ref="D17:AI17" si="15">C17+D16</f>
        <v>0</v>
      </c>
      <c r="E17" s="201">
        <f t="shared" si="15"/>
        <v>0</v>
      </c>
      <c r="F17" s="201">
        <f t="shared" si="15"/>
        <v>0</v>
      </c>
      <c r="G17" s="201">
        <f t="shared" si="15"/>
        <v>0</v>
      </c>
      <c r="H17" s="201">
        <f t="shared" si="15"/>
        <v>0</v>
      </c>
      <c r="I17" s="201">
        <f t="shared" si="15"/>
        <v>0</v>
      </c>
      <c r="J17" s="201">
        <f t="shared" si="15"/>
        <v>0</v>
      </c>
      <c r="K17" s="201">
        <f t="shared" si="15"/>
        <v>0</v>
      </c>
      <c r="L17" s="201">
        <f t="shared" si="15"/>
        <v>0</v>
      </c>
      <c r="M17" s="201">
        <f t="shared" si="15"/>
        <v>0</v>
      </c>
      <c r="N17" s="201">
        <f t="shared" si="15"/>
        <v>0</v>
      </c>
      <c r="O17" s="201">
        <f t="shared" si="15"/>
        <v>0</v>
      </c>
      <c r="P17" s="201">
        <f t="shared" si="15"/>
        <v>0</v>
      </c>
      <c r="Q17" s="201">
        <f t="shared" si="15"/>
        <v>0</v>
      </c>
      <c r="R17" s="201">
        <f t="shared" si="15"/>
        <v>0</v>
      </c>
      <c r="S17" s="201">
        <f t="shared" si="15"/>
        <v>0</v>
      </c>
      <c r="T17" s="201">
        <f t="shared" si="15"/>
        <v>0</v>
      </c>
      <c r="U17" s="201">
        <f t="shared" si="15"/>
        <v>0</v>
      </c>
      <c r="V17" s="201">
        <f t="shared" si="15"/>
        <v>0</v>
      </c>
      <c r="W17" s="201">
        <f t="shared" si="15"/>
        <v>0</v>
      </c>
      <c r="X17" s="201">
        <f t="shared" si="15"/>
        <v>0</v>
      </c>
      <c r="Y17" s="201">
        <f t="shared" si="15"/>
        <v>0</v>
      </c>
      <c r="Z17" s="201">
        <f t="shared" si="15"/>
        <v>0</v>
      </c>
      <c r="AA17" s="201">
        <f t="shared" si="15"/>
        <v>0</v>
      </c>
      <c r="AB17" s="201">
        <f t="shared" si="15"/>
        <v>0</v>
      </c>
      <c r="AC17" s="201">
        <f t="shared" si="15"/>
        <v>0</v>
      </c>
      <c r="AD17" s="201">
        <f t="shared" si="15"/>
        <v>0</v>
      </c>
      <c r="AE17" s="201">
        <f t="shared" si="15"/>
        <v>0</v>
      </c>
      <c r="AF17" s="201">
        <f t="shared" si="15"/>
        <v>0</v>
      </c>
      <c r="AG17" s="201">
        <f t="shared" si="15"/>
        <v>0</v>
      </c>
      <c r="AH17" s="201">
        <f t="shared" si="15"/>
        <v>0</v>
      </c>
      <c r="AI17" s="201">
        <f t="shared" si="15"/>
        <v>0</v>
      </c>
      <c r="AJ17" s="201">
        <f t="shared" ref="AJ17:BO17" si="16">AI17+AJ16</f>
        <v>0</v>
      </c>
      <c r="AK17" s="201">
        <f t="shared" si="16"/>
        <v>0</v>
      </c>
      <c r="AL17" s="201">
        <f t="shared" si="16"/>
        <v>0</v>
      </c>
      <c r="AM17" s="201">
        <f t="shared" si="16"/>
        <v>0</v>
      </c>
      <c r="AN17" s="201">
        <f t="shared" si="16"/>
        <v>0</v>
      </c>
      <c r="AO17" s="201">
        <f t="shared" si="16"/>
        <v>0</v>
      </c>
      <c r="AP17" s="201">
        <f t="shared" si="16"/>
        <v>0</v>
      </c>
      <c r="AQ17" s="201">
        <f t="shared" si="16"/>
        <v>0</v>
      </c>
      <c r="AR17" s="201">
        <f t="shared" si="16"/>
        <v>0</v>
      </c>
      <c r="AS17" s="201">
        <f t="shared" si="16"/>
        <v>0</v>
      </c>
      <c r="AT17" s="201">
        <f t="shared" si="16"/>
        <v>0</v>
      </c>
      <c r="AU17" s="201">
        <f t="shared" si="16"/>
        <v>0</v>
      </c>
      <c r="AV17" s="201">
        <f t="shared" si="16"/>
        <v>0</v>
      </c>
      <c r="AW17" s="201">
        <f t="shared" si="16"/>
        <v>0</v>
      </c>
      <c r="AX17" s="201">
        <f t="shared" si="16"/>
        <v>0</v>
      </c>
      <c r="AY17" s="201">
        <f t="shared" si="16"/>
        <v>0</v>
      </c>
      <c r="AZ17" s="201">
        <f t="shared" si="16"/>
        <v>0</v>
      </c>
      <c r="BA17" s="201">
        <f t="shared" si="16"/>
        <v>0</v>
      </c>
      <c r="BB17" s="201">
        <f t="shared" si="16"/>
        <v>0</v>
      </c>
      <c r="BC17" s="201">
        <f t="shared" si="16"/>
        <v>0</v>
      </c>
      <c r="BD17" s="201">
        <f t="shared" si="16"/>
        <v>0</v>
      </c>
      <c r="BE17" s="201">
        <f t="shared" si="16"/>
        <v>0</v>
      </c>
      <c r="BF17" s="201">
        <f t="shared" si="16"/>
        <v>0</v>
      </c>
      <c r="BG17" s="201">
        <f t="shared" si="16"/>
        <v>0</v>
      </c>
      <c r="BH17" s="201">
        <f t="shared" si="16"/>
        <v>0</v>
      </c>
      <c r="BI17" s="201">
        <f t="shared" si="16"/>
        <v>0</v>
      </c>
      <c r="BJ17" s="201">
        <f t="shared" si="16"/>
        <v>0</v>
      </c>
      <c r="BK17" s="201">
        <f t="shared" si="16"/>
        <v>0</v>
      </c>
      <c r="BL17" s="201">
        <f t="shared" si="16"/>
        <v>0</v>
      </c>
      <c r="BM17" s="201">
        <f t="shared" si="16"/>
        <v>0</v>
      </c>
      <c r="BN17" s="201">
        <f t="shared" si="16"/>
        <v>0</v>
      </c>
      <c r="BO17" s="201">
        <f t="shared" si="16"/>
        <v>0</v>
      </c>
      <c r="BP17" s="201">
        <f t="shared" ref="BP17:CU17" si="17">BO17+BP16</f>
        <v>0</v>
      </c>
      <c r="BQ17" s="201">
        <f t="shared" si="17"/>
        <v>0</v>
      </c>
      <c r="BR17" s="201">
        <f t="shared" si="17"/>
        <v>0</v>
      </c>
      <c r="BS17" s="201">
        <f t="shared" si="17"/>
        <v>0</v>
      </c>
      <c r="BT17" s="201">
        <f t="shared" si="17"/>
        <v>0</v>
      </c>
      <c r="BU17" s="201">
        <f t="shared" si="17"/>
        <v>0</v>
      </c>
      <c r="BV17" s="201">
        <f t="shared" si="17"/>
        <v>0</v>
      </c>
      <c r="BW17" s="201">
        <f t="shared" si="17"/>
        <v>0</v>
      </c>
      <c r="BX17" s="201">
        <f t="shared" si="17"/>
        <v>0</v>
      </c>
      <c r="BY17" s="201">
        <f t="shared" si="17"/>
        <v>0</v>
      </c>
      <c r="BZ17" s="201">
        <f t="shared" si="17"/>
        <v>0</v>
      </c>
      <c r="CA17" s="201">
        <f t="shared" si="17"/>
        <v>0</v>
      </c>
      <c r="CB17" s="201">
        <f t="shared" si="17"/>
        <v>0</v>
      </c>
      <c r="CC17" s="201">
        <f t="shared" si="17"/>
        <v>0</v>
      </c>
      <c r="CD17" s="201">
        <f t="shared" si="17"/>
        <v>0</v>
      </c>
      <c r="CE17" s="201">
        <f t="shared" si="17"/>
        <v>0</v>
      </c>
      <c r="CF17" s="201">
        <f t="shared" si="17"/>
        <v>0</v>
      </c>
      <c r="CG17" s="201">
        <f t="shared" si="17"/>
        <v>0</v>
      </c>
      <c r="CH17" s="201">
        <f t="shared" si="17"/>
        <v>0</v>
      </c>
    </row>
    <row r="18" spans="1:86" ht="15" customHeight="1" x14ac:dyDescent="0.25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  <c r="AW18" s="302"/>
      <c r="AX18" s="302"/>
      <c r="AY18" s="302"/>
      <c r="AZ18" s="302"/>
      <c r="BA18" s="302"/>
      <c r="BB18" s="302"/>
      <c r="BC18" s="302"/>
      <c r="BD18" s="302"/>
      <c r="BE18" s="302"/>
      <c r="BF18" s="302"/>
      <c r="BG18" s="302"/>
      <c r="BH18" s="302"/>
      <c r="BI18" s="302"/>
      <c r="BJ18" s="302"/>
      <c r="BK18" s="302"/>
      <c r="BL18" s="302"/>
      <c r="BM18" s="302"/>
      <c r="BN18" s="302"/>
      <c r="BO18" s="302"/>
      <c r="BP18" s="302"/>
      <c r="BQ18" s="302"/>
      <c r="BR18" s="302"/>
      <c r="BS18" s="302"/>
      <c r="BT18" s="302"/>
      <c r="BU18" s="302"/>
      <c r="BV18" s="302"/>
      <c r="BW18" s="302"/>
      <c r="BX18" s="302"/>
      <c r="BY18" s="302"/>
      <c r="BZ18" s="302"/>
      <c r="CA18" s="302"/>
      <c r="CB18" s="302"/>
      <c r="CC18" s="302"/>
      <c r="CD18" s="302"/>
      <c r="CE18" s="302"/>
      <c r="CF18" s="302"/>
      <c r="CG18" s="302"/>
      <c r="CH18" s="302"/>
    </row>
    <row r="19" spans="1:86" ht="15" customHeight="1" x14ac:dyDescent="0.25">
      <c r="A19" s="315" t="s">
        <v>321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  <c r="BW19" s="315"/>
      <c r="BX19" s="315"/>
      <c r="BY19" s="315"/>
      <c r="BZ19" s="315"/>
      <c r="CA19" s="315"/>
      <c r="CB19" s="315"/>
      <c r="CC19" s="315"/>
      <c r="CD19" s="315"/>
      <c r="CE19" s="315"/>
      <c r="CF19" s="315"/>
      <c r="CG19" s="315"/>
      <c r="CH19" s="315"/>
    </row>
    <row r="20" spans="1:86" ht="15" customHeight="1" x14ac:dyDescent="0.25">
      <c r="A20" s="2" t="s">
        <v>555</v>
      </c>
      <c r="B20" s="302"/>
      <c r="C20" s="199">
        <f>Model!F73+Model!F74+Model!F75</f>
        <v>0</v>
      </c>
      <c r="D20" s="199">
        <f>Model!G73+Model!G74+Model!G75</f>
        <v>0</v>
      </c>
      <c r="E20" s="199">
        <f>Model!H73+Model!H74+Model!H75</f>
        <v>0</v>
      </c>
      <c r="F20" s="199">
        <f>Model!I73+Model!I74+Model!I75</f>
        <v>0</v>
      </c>
      <c r="G20" s="199">
        <f>Model!J73+Model!J74+Model!J75</f>
        <v>0</v>
      </c>
      <c r="H20" s="199">
        <f>Model!K73+Model!K74+Model!K75</f>
        <v>0</v>
      </c>
      <c r="I20" s="199">
        <f>Model!L73+Model!L74+Model!L75</f>
        <v>0</v>
      </c>
      <c r="J20" s="199">
        <f>Model!M73+Model!M74+Model!M75</f>
        <v>0</v>
      </c>
      <c r="K20" s="199">
        <f>Model!N73+Model!N74+Model!N75</f>
        <v>0</v>
      </c>
      <c r="L20" s="199">
        <f>Model!O73+Model!O74+Model!O75</f>
        <v>0</v>
      </c>
      <c r="M20" s="199">
        <f>Model!P73+Model!P74+Model!P75</f>
        <v>0</v>
      </c>
      <c r="N20" s="199">
        <f>Model!Q73+Model!Q74+Model!Q75</f>
        <v>0</v>
      </c>
      <c r="O20" s="199">
        <f>Model!R73+Model!R74+Model!R75</f>
        <v>0</v>
      </c>
      <c r="P20" s="199">
        <f>Model!S73+Model!S74+Model!S75</f>
        <v>0</v>
      </c>
      <c r="Q20" s="199">
        <f>Model!T73+Model!T74+Model!T75</f>
        <v>0</v>
      </c>
      <c r="R20" s="199">
        <f>Model!U73+Model!U74+Model!U75</f>
        <v>0</v>
      </c>
      <c r="S20" s="199">
        <f>Model!V73+Model!V74+Model!V75</f>
        <v>0</v>
      </c>
      <c r="T20" s="199">
        <f>Model!W73+Model!W74+Model!W75</f>
        <v>0</v>
      </c>
      <c r="U20" s="199">
        <f>Model!X73+Model!X74+Model!X75</f>
        <v>0</v>
      </c>
      <c r="V20" s="199">
        <f>Model!Y73+Model!Y74+Model!Y75</f>
        <v>0</v>
      </c>
      <c r="W20" s="199">
        <f>Model!Z73+Model!Z74+Model!Z75</f>
        <v>0</v>
      </c>
      <c r="X20" s="199">
        <f>Model!AA73+Model!AA74+Model!AA75</f>
        <v>0</v>
      </c>
      <c r="Y20" s="199">
        <f>Model!AB73+Model!AB74+Model!AB75</f>
        <v>0</v>
      </c>
      <c r="Z20" s="199">
        <f>Model!AC73+Model!AC74+Model!AC75</f>
        <v>0</v>
      </c>
      <c r="AA20" s="199">
        <f>Model!AD73+Model!AD74+Model!AD75</f>
        <v>0</v>
      </c>
      <c r="AB20" s="199">
        <f>Model!AE73+Model!AE74+Model!AE75</f>
        <v>0</v>
      </c>
      <c r="AC20" s="199">
        <f>Model!AF73+Model!AF74+Model!AF75</f>
        <v>0</v>
      </c>
      <c r="AD20" s="199">
        <f>Model!AG73+Model!AG74+Model!AG75</f>
        <v>0</v>
      </c>
      <c r="AE20" s="199">
        <f>Model!AH73+Model!AH74+Model!AH75</f>
        <v>0</v>
      </c>
      <c r="AF20" s="199">
        <f>Model!AI73+Model!AI74+Model!AI75</f>
        <v>0</v>
      </c>
      <c r="AG20" s="199">
        <f>Model!AJ73+Model!AJ74+Model!AJ75</f>
        <v>0</v>
      </c>
      <c r="AH20" s="199">
        <f>Model!AK73+Model!AK74+Model!AK75</f>
        <v>0</v>
      </c>
      <c r="AI20" s="199">
        <f>Model!AL73+Model!AL74+Model!AL75</f>
        <v>0</v>
      </c>
      <c r="AJ20" s="199">
        <f>Model!AM73+Model!AM74+Model!AM75</f>
        <v>0</v>
      </c>
      <c r="AK20" s="199">
        <f>Model!AN73+Model!AN74+Model!AN75</f>
        <v>0</v>
      </c>
      <c r="AL20" s="199">
        <f>Model!AO73+Model!AO74+Model!AO75</f>
        <v>0</v>
      </c>
      <c r="AM20" s="199">
        <f>Model!AP73+Model!AP74+Model!AP75</f>
        <v>0</v>
      </c>
      <c r="AN20" s="199">
        <f>Model!AQ73+Model!AQ74+Model!AQ75</f>
        <v>0</v>
      </c>
      <c r="AO20" s="199">
        <f>Model!AR73+Model!AR74+Model!AR75</f>
        <v>0</v>
      </c>
      <c r="AP20" s="199">
        <f>Model!AS73+Model!AS74+Model!AS75</f>
        <v>0</v>
      </c>
      <c r="AQ20" s="199">
        <f>Model!AT73+Model!AT74+Model!AT75</f>
        <v>0</v>
      </c>
      <c r="AR20" s="199">
        <f>Model!AU73+Model!AU74+Model!AU75</f>
        <v>0</v>
      </c>
      <c r="AS20" s="199">
        <f>Model!AV73+Model!AV74+Model!AV75</f>
        <v>0</v>
      </c>
      <c r="AT20" s="199">
        <f>Model!AW73+Model!AW74+Model!AW75</f>
        <v>0</v>
      </c>
      <c r="AU20" s="199">
        <f>Model!AX73+Model!AX74+Model!AX75</f>
        <v>0</v>
      </c>
      <c r="AV20" s="199">
        <f>Model!AY73+Model!AY74+Model!AY75</f>
        <v>0</v>
      </c>
      <c r="AW20" s="199">
        <f>Model!AZ73+Model!AZ74+Model!AZ75</f>
        <v>0</v>
      </c>
      <c r="AX20" s="199">
        <f>Model!BA73+Model!BA74+Model!BA75</f>
        <v>0</v>
      </c>
      <c r="AY20" s="199">
        <f>Model!BB73+Model!BB74+Model!BB75</f>
        <v>0</v>
      </c>
      <c r="AZ20" s="199">
        <f>Model!BC73+Model!BC74+Model!BC75</f>
        <v>0</v>
      </c>
      <c r="BA20" s="199">
        <f>Model!BD73+Model!BD74+Model!BD75</f>
        <v>0</v>
      </c>
      <c r="BB20" s="199">
        <f>Model!BE73+Model!BE74+Model!BE75</f>
        <v>0</v>
      </c>
      <c r="BC20" s="199">
        <f>Model!BF73+Model!BF74+Model!BF75</f>
        <v>0</v>
      </c>
      <c r="BD20" s="199">
        <f>Model!BG73+Model!BG74+Model!BG75</f>
        <v>0</v>
      </c>
      <c r="BE20" s="199">
        <f>Model!BH73+Model!BH74+Model!BH75</f>
        <v>0</v>
      </c>
      <c r="BF20" s="199">
        <f>Model!BI73+Model!BI74+Model!BI75</f>
        <v>0</v>
      </c>
      <c r="BG20" s="199">
        <f>Model!BJ73+Model!BJ74+Model!BJ75</f>
        <v>0</v>
      </c>
      <c r="BH20" s="199">
        <f>Model!BK73+Model!BK74+Model!BK75</f>
        <v>0</v>
      </c>
      <c r="BI20" s="199">
        <f>Model!BL73+Model!BL74+Model!BL75</f>
        <v>0</v>
      </c>
      <c r="BJ20" s="199">
        <f>Model!BM73+Model!BM74+Model!BM75</f>
        <v>0</v>
      </c>
      <c r="BK20" s="199">
        <f>Model!BN73+Model!BN74+Model!BN75</f>
        <v>0</v>
      </c>
      <c r="BL20" s="199">
        <f>Model!BO73+Model!BO74+Model!BO75</f>
        <v>0</v>
      </c>
      <c r="BM20" s="199">
        <f>Model!BP73+Model!BP74+Model!BP75</f>
        <v>0</v>
      </c>
      <c r="BN20" s="199">
        <f>Model!BQ73+Model!BQ74+Model!BQ75</f>
        <v>0</v>
      </c>
      <c r="BO20" s="199">
        <f>Model!BR73+Model!BR74+Model!BR75</f>
        <v>0</v>
      </c>
      <c r="BP20" s="199">
        <f>Model!BS73+Model!BS74+Model!BS75</f>
        <v>0</v>
      </c>
      <c r="BQ20" s="199">
        <f>Model!BT73+Model!BT74+Model!BT75</f>
        <v>0</v>
      </c>
      <c r="BR20" s="199">
        <f>Model!BU73+Model!BU74+Model!BU75</f>
        <v>0</v>
      </c>
      <c r="BS20" s="199">
        <f>Model!BV73+Model!BV74+Model!BV75</f>
        <v>0</v>
      </c>
      <c r="BT20" s="199">
        <f>Model!BW73+Model!BW74+Model!BW75</f>
        <v>0</v>
      </c>
      <c r="BU20" s="199">
        <f>Model!BX73+Model!BX74+Model!BX75</f>
        <v>0</v>
      </c>
      <c r="BV20" s="199">
        <f>Model!BY73+Model!BY74+Model!BY75</f>
        <v>0</v>
      </c>
      <c r="BW20" s="199">
        <f>Model!BZ73+Model!BZ74+Model!BZ75</f>
        <v>0</v>
      </c>
      <c r="BX20" s="199">
        <f>Model!CA73+Model!CA74+Model!CA75</f>
        <v>0</v>
      </c>
      <c r="BY20" s="199">
        <f>Model!CB73+Model!CB74+Model!CB75</f>
        <v>0</v>
      </c>
      <c r="BZ20" s="199">
        <f>Model!CC73+Model!CC74+Model!CC75</f>
        <v>0</v>
      </c>
      <c r="CA20" s="199">
        <f>Model!CD73+Model!CD74+Model!CD75</f>
        <v>0</v>
      </c>
      <c r="CB20" s="199">
        <f>Model!CE73+Model!CE74+Model!CE75</f>
        <v>0</v>
      </c>
      <c r="CC20" s="199">
        <f>Model!CF73+Model!CF74+Model!CF75</f>
        <v>0</v>
      </c>
      <c r="CD20" s="199">
        <f>Model!CG73+Model!CG74+Model!CG75</f>
        <v>0</v>
      </c>
      <c r="CE20" s="199">
        <f>Model!CH73+Model!CH74+Model!CH75</f>
        <v>0</v>
      </c>
      <c r="CF20" s="199">
        <f>Model!CI73+Model!CI74+Model!CI75</f>
        <v>0</v>
      </c>
      <c r="CG20" s="199">
        <f>Model!CJ73+Model!CJ74+Model!CJ75</f>
        <v>0</v>
      </c>
      <c r="CH20" s="199">
        <f>Model!CK73+Model!CK74+Model!CK75</f>
        <v>0</v>
      </c>
    </row>
    <row r="21" spans="1:86" ht="15" customHeight="1" x14ac:dyDescent="0.25">
      <c r="A21" s="202" t="s">
        <v>558</v>
      </c>
      <c r="B21" s="302"/>
      <c r="C21" s="203">
        <v>0</v>
      </c>
      <c r="D21" s="203">
        <v>0</v>
      </c>
      <c r="E21" s="203">
        <v>0</v>
      </c>
      <c r="F21" s="203">
        <v>0</v>
      </c>
      <c r="G21" s="203">
        <v>0</v>
      </c>
      <c r="H21" s="203">
        <f>IF(Projects!$G$12="Yes",-135452,0)</f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03">
        <v>0</v>
      </c>
      <c r="CB21" s="203">
        <v>0</v>
      </c>
      <c r="CC21" s="203">
        <v>0</v>
      </c>
      <c r="CD21" s="203">
        <v>0</v>
      </c>
      <c r="CE21" s="203">
        <v>0</v>
      </c>
      <c r="CF21" s="203">
        <v>0</v>
      </c>
      <c r="CG21" s="203">
        <v>0</v>
      </c>
      <c r="CH21" s="203">
        <v>0</v>
      </c>
    </row>
    <row r="22" spans="1:86" ht="15" customHeight="1" x14ac:dyDescent="0.25">
      <c r="A22" s="19" t="s">
        <v>556</v>
      </c>
      <c r="B22" s="19"/>
      <c r="C22" s="200">
        <f t="shared" ref="C22:AH22" si="18">C20+C21</f>
        <v>0</v>
      </c>
      <c r="D22" s="200">
        <f t="shared" si="18"/>
        <v>0</v>
      </c>
      <c r="E22" s="200">
        <f t="shared" si="18"/>
        <v>0</v>
      </c>
      <c r="F22" s="200">
        <f t="shared" si="18"/>
        <v>0</v>
      </c>
      <c r="G22" s="200">
        <f t="shared" si="18"/>
        <v>0</v>
      </c>
      <c r="H22" s="200">
        <f t="shared" si="18"/>
        <v>0</v>
      </c>
      <c r="I22" s="200">
        <f t="shared" si="18"/>
        <v>0</v>
      </c>
      <c r="J22" s="200">
        <f t="shared" si="18"/>
        <v>0</v>
      </c>
      <c r="K22" s="200">
        <f t="shared" si="18"/>
        <v>0</v>
      </c>
      <c r="L22" s="200">
        <f t="shared" si="18"/>
        <v>0</v>
      </c>
      <c r="M22" s="200">
        <f t="shared" si="18"/>
        <v>0</v>
      </c>
      <c r="N22" s="200">
        <f t="shared" si="18"/>
        <v>0</v>
      </c>
      <c r="O22" s="200">
        <f t="shared" si="18"/>
        <v>0</v>
      </c>
      <c r="P22" s="200">
        <f t="shared" si="18"/>
        <v>0</v>
      </c>
      <c r="Q22" s="200">
        <f t="shared" si="18"/>
        <v>0</v>
      </c>
      <c r="R22" s="200">
        <f t="shared" si="18"/>
        <v>0</v>
      </c>
      <c r="S22" s="200">
        <f t="shared" si="18"/>
        <v>0</v>
      </c>
      <c r="T22" s="200">
        <f t="shared" si="18"/>
        <v>0</v>
      </c>
      <c r="U22" s="200">
        <f t="shared" si="18"/>
        <v>0</v>
      </c>
      <c r="V22" s="200">
        <f t="shared" si="18"/>
        <v>0</v>
      </c>
      <c r="W22" s="200">
        <f t="shared" si="18"/>
        <v>0</v>
      </c>
      <c r="X22" s="200">
        <f t="shared" si="18"/>
        <v>0</v>
      </c>
      <c r="Y22" s="200">
        <f t="shared" si="18"/>
        <v>0</v>
      </c>
      <c r="Z22" s="200">
        <f t="shared" si="18"/>
        <v>0</v>
      </c>
      <c r="AA22" s="200">
        <f t="shared" si="18"/>
        <v>0</v>
      </c>
      <c r="AB22" s="200">
        <f t="shared" si="18"/>
        <v>0</v>
      </c>
      <c r="AC22" s="200">
        <f t="shared" si="18"/>
        <v>0</v>
      </c>
      <c r="AD22" s="200">
        <f t="shared" si="18"/>
        <v>0</v>
      </c>
      <c r="AE22" s="200">
        <f t="shared" si="18"/>
        <v>0</v>
      </c>
      <c r="AF22" s="200">
        <f t="shared" si="18"/>
        <v>0</v>
      </c>
      <c r="AG22" s="200">
        <f t="shared" si="18"/>
        <v>0</v>
      </c>
      <c r="AH22" s="200">
        <f t="shared" si="18"/>
        <v>0</v>
      </c>
      <c r="AI22" s="200">
        <f t="shared" ref="AI22:BN22" si="19">AI20+AI21</f>
        <v>0</v>
      </c>
      <c r="AJ22" s="200">
        <f t="shared" si="19"/>
        <v>0</v>
      </c>
      <c r="AK22" s="200">
        <f t="shared" si="19"/>
        <v>0</v>
      </c>
      <c r="AL22" s="200">
        <f t="shared" si="19"/>
        <v>0</v>
      </c>
      <c r="AM22" s="200">
        <f t="shared" si="19"/>
        <v>0</v>
      </c>
      <c r="AN22" s="200">
        <f t="shared" si="19"/>
        <v>0</v>
      </c>
      <c r="AO22" s="200">
        <f t="shared" si="19"/>
        <v>0</v>
      </c>
      <c r="AP22" s="200">
        <f t="shared" si="19"/>
        <v>0</v>
      </c>
      <c r="AQ22" s="200">
        <f t="shared" si="19"/>
        <v>0</v>
      </c>
      <c r="AR22" s="200">
        <f t="shared" si="19"/>
        <v>0</v>
      </c>
      <c r="AS22" s="200">
        <f t="shared" si="19"/>
        <v>0</v>
      </c>
      <c r="AT22" s="200">
        <f t="shared" si="19"/>
        <v>0</v>
      </c>
      <c r="AU22" s="200">
        <f t="shared" si="19"/>
        <v>0</v>
      </c>
      <c r="AV22" s="200">
        <f t="shared" si="19"/>
        <v>0</v>
      </c>
      <c r="AW22" s="200">
        <f t="shared" si="19"/>
        <v>0</v>
      </c>
      <c r="AX22" s="200">
        <f t="shared" si="19"/>
        <v>0</v>
      </c>
      <c r="AY22" s="200">
        <f t="shared" si="19"/>
        <v>0</v>
      </c>
      <c r="AZ22" s="200">
        <f t="shared" si="19"/>
        <v>0</v>
      </c>
      <c r="BA22" s="200">
        <f t="shared" si="19"/>
        <v>0</v>
      </c>
      <c r="BB22" s="200">
        <f t="shared" si="19"/>
        <v>0</v>
      </c>
      <c r="BC22" s="200">
        <f t="shared" si="19"/>
        <v>0</v>
      </c>
      <c r="BD22" s="200">
        <f t="shared" si="19"/>
        <v>0</v>
      </c>
      <c r="BE22" s="200">
        <f t="shared" si="19"/>
        <v>0</v>
      </c>
      <c r="BF22" s="200">
        <f t="shared" si="19"/>
        <v>0</v>
      </c>
      <c r="BG22" s="200">
        <f t="shared" si="19"/>
        <v>0</v>
      </c>
      <c r="BH22" s="200">
        <f t="shared" si="19"/>
        <v>0</v>
      </c>
      <c r="BI22" s="200">
        <f t="shared" si="19"/>
        <v>0</v>
      </c>
      <c r="BJ22" s="200">
        <f t="shared" si="19"/>
        <v>0</v>
      </c>
      <c r="BK22" s="200">
        <f t="shared" si="19"/>
        <v>0</v>
      </c>
      <c r="BL22" s="200">
        <f t="shared" si="19"/>
        <v>0</v>
      </c>
      <c r="BM22" s="200">
        <f t="shared" si="19"/>
        <v>0</v>
      </c>
      <c r="BN22" s="200">
        <f t="shared" si="19"/>
        <v>0</v>
      </c>
      <c r="BO22" s="200">
        <f t="shared" ref="BO22:CT22" si="20">BO20+BO21</f>
        <v>0</v>
      </c>
      <c r="BP22" s="200">
        <f t="shared" si="20"/>
        <v>0</v>
      </c>
      <c r="BQ22" s="200">
        <f t="shared" si="20"/>
        <v>0</v>
      </c>
      <c r="BR22" s="200">
        <f t="shared" si="20"/>
        <v>0</v>
      </c>
      <c r="BS22" s="200">
        <f t="shared" si="20"/>
        <v>0</v>
      </c>
      <c r="BT22" s="200">
        <f t="shared" si="20"/>
        <v>0</v>
      </c>
      <c r="BU22" s="200">
        <f t="shared" si="20"/>
        <v>0</v>
      </c>
      <c r="BV22" s="200">
        <f t="shared" si="20"/>
        <v>0</v>
      </c>
      <c r="BW22" s="200">
        <f t="shared" si="20"/>
        <v>0</v>
      </c>
      <c r="BX22" s="200">
        <f t="shared" si="20"/>
        <v>0</v>
      </c>
      <c r="BY22" s="200">
        <f t="shared" si="20"/>
        <v>0</v>
      </c>
      <c r="BZ22" s="200">
        <f t="shared" si="20"/>
        <v>0</v>
      </c>
      <c r="CA22" s="200">
        <f t="shared" si="20"/>
        <v>0</v>
      </c>
      <c r="CB22" s="200">
        <f t="shared" si="20"/>
        <v>0</v>
      </c>
      <c r="CC22" s="200">
        <f t="shared" si="20"/>
        <v>0</v>
      </c>
      <c r="CD22" s="200">
        <f t="shared" si="20"/>
        <v>0</v>
      </c>
      <c r="CE22" s="200">
        <f t="shared" si="20"/>
        <v>0</v>
      </c>
      <c r="CF22" s="200">
        <f t="shared" si="20"/>
        <v>0</v>
      </c>
      <c r="CG22" s="200">
        <f t="shared" si="20"/>
        <v>0</v>
      </c>
      <c r="CH22" s="200">
        <f t="shared" si="20"/>
        <v>0</v>
      </c>
    </row>
    <row r="23" spans="1:86" ht="15" customHeight="1" x14ac:dyDescent="0.25">
      <c r="A23" s="53" t="s">
        <v>557</v>
      </c>
      <c r="B23" s="302"/>
      <c r="C23" s="201">
        <f>C22</f>
        <v>0</v>
      </c>
      <c r="D23" s="201">
        <f t="shared" ref="D23:AI23" si="21">C23+D22</f>
        <v>0</v>
      </c>
      <c r="E23" s="201">
        <f t="shared" si="21"/>
        <v>0</v>
      </c>
      <c r="F23" s="201">
        <f t="shared" si="21"/>
        <v>0</v>
      </c>
      <c r="G23" s="201">
        <f t="shared" si="21"/>
        <v>0</v>
      </c>
      <c r="H23" s="201">
        <f t="shared" si="21"/>
        <v>0</v>
      </c>
      <c r="I23" s="201">
        <f t="shared" si="21"/>
        <v>0</v>
      </c>
      <c r="J23" s="201">
        <f t="shared" si="21"/>
        <v>0</v>
      </c>
      <c r="K23" s="201">
        <f t="shared" si="21"/>
        <v>0</v>
      </c>
      <c r="L23" s="201">
        <f t="shared" si="21"/>
        <v>0</v>
      </c>
      <c r="M23" s="201">
        <f t="shared" si="21"/>
        <v>0</v>
      </c>
      <c r="N23" s="201">
        <f t="shared" si="21"/>
        <v>0</v>
      </c>
      <c r="O23" s="201">
        <f t="shared" si="21"/>
        <v>0</v>
      </c>
      <c r="P23" s="201">
        <f t="shared" si="21"/>
        <v>0</v>
      </c>
      <c r="Q23" s="201">
        <f t="shared" si="21"/>
        <v>0</v>
      </c>
      <c r="R23" s="201">
        <f t="shared" si="21"/>
        <v>0</v>
      </c>
      <c r="S23" s="201">
        <f t="shared" si="21"/>
        <v>0</v>
      </c>
      <c r="T23" s="201">
        <f t="shared" si="21"/>
        <v>0</v>
      </c>
      <c r="U23" s="201">
        <f t="shared" si="21"/>
        <v>0</v>
      </c>
      <c r="V23" s="201">
        <f t="shared" si="21"/>
        <v>0</v>
      </c>
      <c r="W23" s="201">
        <f t="shared" si="21"/>
        <v>0</v>
      </c>
      <c r="X23" s="201">
        <f t="shared" si="21"/>
        <v>0</v>
      </c>
      <c r="Y23" s="201">
        <f t="shared" si="21"/>
        <v>0</v>
      </c>
      <c r="Z23" s="201">
        <f t="shared" si="21"/>
        <v>0</v>
      </c>
      <c r="AA23" s="201">
        <f t="shared" si="21"/>
        <v>0</v>
      </c>
      <c r="AB23" s="201">
        <f t="shared" si="21"/>
        <v>0</v>
      </c>
      <c r="AC23" s="201">
        <f t="shared" si="21"/>
        <v>0</v>
      </c>
      <c r="AD23" s="201">
        <f t="shared" si="21"/>
        <v>0</v>
      </c>
      <c r="AE23" s="201">
        <f t="shared" si="21"/>
        <v>0</v>
      </c>
      <c r="AF23" s="201">
        <f t="shared" si="21"/>
        <v>0</v>
      </c>
      <c r="AG23" s="201">
        <f t="shared" si="21"/>
        <v>0</v>
      </c>
      <c r="AH23" s="201">
        <f t="shared" si="21"/>
        <v>0</v>
      </c>
      <c r="AI23" s="201">
        <f t="shared" si="21"/>
        <v>0</v>
      </c>
      <c r="AJ23" s="201">
        <f t="shared" ref="AJ23:BO23" si="22">AI23+AJ22</f>
        <v>0</v>
      </c>
      <c r="AK23" s="201">
        <f t="shared" si="22"/>
        <v>0</v>
      </c>
      <c r="AL23" s="201">
        <f t="shared" si="22"/>
        <v>0</v>
      </c>
      <c r="AM23" s="201">
        <f t="shared" si="22"/>
        <v>0</v>
      </c>
      <c r="AN23" s="201">
        <f t="shared" si="22"/>
        <v>0</v>
      </c>
      <c r="AO23" s="201">
        <f t="shared" si="22"/>
        <v>0</v>
      </c>
      <c r="AP23" s="201">
        <f t="shared" si="22"/>
        <v>0</v>
      </c>
      <c r="AQ23" s="201">
        <f t="shared" si="22"/>
        <v>0</v>
      </c>
      <c r="AR23" s="201">
        <f t="shared" si="22"/>
        <v>0</v>
      </c>
      <c r="AS23" s="201">
        <f t="shared" si="22"/>
        <v>0</v>
      </c>
      <c r="AT23" s="201">
        <f t="shared" si="22"/>
        <v>0</v>
      </c>
      <c r="AU23" s="201">
        <f t="shared" si="22"/>
        <v>0</v>
      </c>
      <c r="AV23" s="201">
        <f t="shared" si="22"/>
        <v>0</v>
      </c>
      <c r="AW23" s="201">
        <f t="shared" si="22"/>
        <v>0</v>
      </c>
      <c r="AX23" s="201">
        <f t="shared" si="22"/>
        <v>0</v>
      </c>
      <c r="AY23" s="201">
        <f t="shared" si="22"/>
        <v>0</v>
      </c>
      <c r="AZ23" s="201">
        <f t="shared" si="22"/>
        <v>0</v>
      </c>
      <c r="BA23" s="201">
        <f t="shared" si="22"/>
        <v>0</v>
      </c>
      <c r="BB23" s="201">
        <f t="shared" si="22"/>
        <v>0</v>
      </c>
      <c r="BC23" s="201">
        <f t="shared" si="22"/>
        <v>0</v>
      </c>
      <c r="BD23" s="201">
        <f t="shared" si="22"/>
        <v>0</v>
      </c>
      <c r="BE23" s="201">
        <f t="shared" si="22"/>
        <v>0</v>
      </c>
      <c r="BF23" s="201">
        <f t="shared" si="22"/>
        <v>0</v>
      </c>
      <c r="BG23" s="201">
        <f t="shared" si="22"/>
        <v>0</v>
      </c>
      <c r="BH23" s="201">
        <f t="shared" si="22"/>
        <v>0</v>
      </c>
      <c r="BI23" s="201">
        <f t="shared" si="22"/>
        <v>0</v>
      </c>
      <c r="BJ23" s="201">
        <f t="shared" si="22"/>
        <v>0</v>
      </c>
      <c r="BK23" s="201">
        <f t="shared" si="22"/>
        <v>0</v>
      </c>
      <c r="BL23" s="201">
        <f t="shared" si="22"/>
        <v>0</v>
      </c>
      <c r="BM23" s="201">
        <f t="shared" si="22"/>
        <v>0</v>
      </c>
      <c r="BN23" s="201">
        <f t="shared" si="22"/>
        <v>0</v>
      </c>
      <c r="BO23" s="201">
        <f t="shared" si="22"/>
        <v>0</v>
      </c>
      <c r="BP23" s="201">
        <f t="shared" ref="BP23:CU23" si="23">BO23+BP22</f>
        <v>0</v>
      </c>
      <c r="BQ23" s="201">
        <f t="shared" si="23"/>
        <v>0</v>
      </c>
      <c r="BR23" s="201">
        <f t="shared" si="23"/>
        <v>0</v>
      </c>
      <c r="BS23" s="201">
        <f t="shared" si="23"/>
        <v>0</v>
      </c>
      <c r="BT23" s="201">
        <f t="shared" si="23"/>
        <v>0</v>
      </c>
      <c r="BU23" s="201">
        <f t="shared" si="23"/>
        <v>0</v>
      </c>
      <c r="BV23" s="201">
        <f t="shared" si="23"/>
        <v>0</v>
      </c>
      <c r="BW23" s="201">
        <f t="shared" si="23"/>
        <v>0</v>
      </c>
      <c r="BX23" s="201">
        <f t="shared" si="23"/>
        <v>0</v>
      </c>
      <c r="BY23" s="201">
        <f t="shared" si="23"/>
        <v>0</v>
      </c>
      <c r="BZ23" s="201">
        <f t="shared" si="23"/>
        <v>0</v>
      </c>
      <c r="CA23" s="201">
        <f t="shared" si="23"/>
        <v>0</v>
      </c>
      <c r="CB23" s="201">
        <f t="shared" si="23"/>
        <v>0</v>
      </c>
      <c r="CC23" s="201">
        <f t="shared" si="23"/>
        <v>0</v>
      </c>
      <c r="CD23" s="201">
        <f t="shared" si="23"/>
        <v>0</v>
      </c>
      <c r="CE23" s="201">
        <f t="shared" si="23"/>
        <v>0</v>
      </c>
      <c r="CF23" s="201">
        <f t="shared" si="23"/>
        <v>0</v>
      </c>
      <c r="CG23" s="201">
        <f t="shared" si="23"/>
        <v>0</v>
      </c>
      <c r="CH23" s="201">
        <f t="shared" si="23"/>
        <v>0</v>
      </c>
    </row>
    <row r="24" spans="1:86" ht="15" customHeight="1" x14ac:dyDescent="0.25">
      <c r="A24" s="302"/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  <c r="AW24" s="302"/>
      <c r="AX24" s="302"/>
      <c r="AY24" s="302"/>
      <c r="AZ24" s="302"/>
      <c r="BA24" s="302"/>
      <c r="BB24" s="302"/>
      <c r="BC24" s="302"/>
      <c r="BD24" s="302"/>
      <c r="BE24" s="302"/>
      <c r="BF24" s="302"/>
      <c r="BG24" s="302"/>
      <c r="BH24" s="302"/>
      <c r="BI24" s="302"/>
      <c r="BJ24" s="302"/>
      <c r="BK24" s="302"/>
      <c r="BL24" s="302"/>
      <c r="BM24" s="302"/>
      <c r="BN24" s="302"/>
      <c r="BO24" s="302"/>
      <c r="BP24" s="302"/>
      <c r="BQ24" s="302"/>
      <c r="BR24" s="302"/>
      <c r="BS24" s="302"/>
      <c r="BT24" s="302"/>
      <c r="BU24" s="302"/>
      <c r="BV24" s="302"/>
      <c r="BW24" s="302"/>
      <c r="BX24" s="302"/>
      <c r="BY24" s="302"/>
      <c r="BZ24" s="302"/>
      <c r="CA24" s="302"/>
      <c r="CB24" s="302"/>
      <c r="CC24" s="302"/>
      <c r="CD24" s="302"/>
      <c r="CE24" s="302"/>
      <c r="CF24" s="302"/>
      <c r="CG24" s="302"/>
      <c r="CH24" s="302"/>
    </row>
    <row r="25" spans="1:86" ht="15" customHeight="1" x14ac:dyDescent="0.25">
      <c r="A25" s="315" t="s">
        <v>168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  <c r="BO25" s="315"/>
      <c r="BP25" s="315"/>
      <c r="BQ25" s="315"/>
      <c r="BR25" s="315"/>
      <c r="BS25" s="315"/>
      <c r="BT25" s="315"/>
      <c r="BU25" s="315"/>
      <c r="BV25" s="315"/>
      <c r="BW25" s="315"/>
      <c r="BX25" s="315"/>
      <c r="BY25" s="315"/>
      <c r="BZ25" s="315"/>
      <c r="CA25" s="315"/>
      <c r="CB25" s="315"/>
      <c r="CC25" s="315"/>
      <c r="CD25" s="315"/>
      <c r="CE25" s="315"/>
      <c r="CF25" s="315"/>
      <c r="CG25" s="315"/>
      <c r="CH25" s="315"/>
    </row>
    <row r="26" spans="1:86" ht="15" customHeight="1" x14ac:dyDescent="0.25">
      <c r="A26" s="2" t="s">
        <v>555</v>
      </c>
      <c r="B26" s="302"/>
      <c r="C26" s="199">
        <f>Model!F76</f>
        <v>0</v>
      </c>
      <c r="D26" s="199">
        <f>Model!G76</f>
        <v>0</v>
      </c>
      <c r="E26" s="199">
        <f>Model!H76</f>
        <v>0</v>
      </c>
      <c r="F26" s="199">
        <f>Model!I76</f>
        <v>0</v>
      </c>
      <c r="G26" s="199">
        <f>Model!J76</f>
        <v>0</v>
      </c>
      <c r="H26" s="199">
        <f>Model!K76</f>
        <v>0</v>
      </c>
      <c r="I26" s="199">
        <f>Model!L76</f>
        <v>0</v>
      </c>
      <c r="J26" s="199">
        <f>Model!M76</f>
        <v>0</v>
      </c>
      <c r="K26" s="199">
        <f>Model!N76</f>
        <v>0</v>
      </c>
      <c r="L26" s="199">
        <f>Model!O76</f>
        <v>0</v>
      </c>
      <c r="M26" s="199">
        <f>Model!P76</f>
        <v>0</v>
      </c>
      <c r="N26" s="199">
        <f>Model!Q76</f>
        <v>0</v>
      </c>
      <c r="O26" s="199">
        <f>Model!R76</f>
        <v>0</v>
      </c>
      <c r="P26" s="199">
        <f>Model!S76</f>
        <v>0</v>
      </c>
      <c r="Q26" s="199">
        <f>Model!T76</f>
        <v>0</v>
      </c>
      <c r="R26" s="199">
        <f>Model!U76</f>
        <v>0</v>
      </c>
      <c r="S26" s="199">
        <f>Model!V76</f>
        <v>0</v>
      </c>
      <c r="T26" s="199">
        <f>Model!W76</f>
        <v>0</v>
      </c>
      <c r="U26" s="199">
        <f>Model!X76</f>
        <v>0</v>
      </c>
      <c r="V26" s="199">
        <f>Model!Y76</f>
        <v>0</v>
      </c>
      <c r="W26" s="199">
        <f>Model!Z76</f>
        <v>0</v>
      </c>
      <c r="X26" s="199">
        <f>Model!AA76</f>
        <v>0</v>
      </c>
      <c r="Y26" s="199">
        <f>Model!AB76</f>
        <v>0</v>
      </c>
      <c r="Z26" s="199">
        <f>Model!AC76</f>
        <v>0</v>
      </c>
      <c r="AA26" s="199">
        <f>Model!AD76</f>
        <v>0</v>
      </c>
      <c r="AB26" s="199">
        <f>Model!AE76</f>
        <v>0</v>
      </c>
      <c r="AC26" s="199">
        <f>Model!AF76</f>
        <v>0</v>
      </c>
      <c r="AD26" s="199">
        <f>Model!AG76</f>
        <v>0</v>
      </c>
      <c r="AE26" s="199">
        <f>Model!AH76</f>
        <v>0</v>
      </c>
      <c r="AF26" s="199">
        <f>Model!AI76</f>
        <v>0</v>
      </c>
      <c r="AG26" s="199">
        <f>Model!AJ76</f>
        <v>0</v>
      </c>
      <c r="AH26" s="199">
        <f>Model!AK76</f>
        <v>0</v>
      </c>
      <c r="AI26" s="199">
        <f>Model!AL76</f>
        <v>0</v>
      </c>
      <c r="AJ26" s="199">
        <f>Model!AM76</f>
        <v>0</v>
      </c>
      <c r="AK26" s="199">
        <f>Model!AN76</f>
        <v>0</v>
      </c>
      <c r="AL26" s="199">
        <f>Model!AO76</f>
        <v>0</v>
      </c>
      <c r="AM26" s="199">
        <f>Model!AP76</f>
        <v>0</v>
      </c>
      <c r="AN26" s="199">
        <f>Model!AQ76</f>
        <v>0</v>
      </c>
      <c r="AO26" s="199">
        <f>Model!AR76</f>
        <v>0</v>
      </c>
      <c r="AP26" s="199">
        <f>Model!AS76</f>
        <v>0</v>
      </c>
      <c r="AQ26" s="199">
        <f>Model!AT76</f>
        <v>0</v>
      </c>
      <c r="AR26" s="199">
        <f>Model!AU76</f>
        <v>81683</v>
      </c>
      <c r="AS26" s="199">
        <f>Model!AV76</f>
        <v>0</v>
      </c>
      <c r="AT26" s="199">
        <f>Model!AW76</f>
        <v>0</v>
      </c>
      <c r="AU26" s="199">
        <f>Model!AX76</f>
        <v>81682</v>
      </c>
      <c r="AV26" s="199">
        <f>Model!AY76</f>
        <v>0</v>
      </c>
      <c r="AW26" s="199">
        <f>Model!AZ76</f>
        <v>0</v>
      </c>
      <c r="AX26" s="199">
        <f>Model!BA76</f>
        <v>81682</v>
      </c>
      <c r="AY26" s="199">
        <f>Model!BB76</f>
        <v>0</v>
      </c>
      <c r="AZ26" s="199">
        <f>Model!BC76</f>
        <v>0</v>
      </c>
      <c r="BA26" s="199">
        <f>Model!BD76</f>
        <v>81682</v>
      </c>
      <c r="BB26" s="199">
        <f>Model!BE76</f>
        <v>0</v>
      </c>
      <c r="BC26" s="199">
        <f>Model!BF76</f>
        <v>0</v>
      </c>
      <c r="BD26" s="199">
        <f>Model!BG76</f>
        <v>59178</v>
      </c>
      <c r="BE26" s="199">
        <f>Model!BH76</f>
        <v>0</v>
      </c>
      <c r="BF26" s="199">
        <f>Model!BI76</f>
        <v>0</v>
      </c>
      <c r="BG26" s="199">
        <f>Model!BJ76</f>
        <v>59176</v>
      </c>
      <c r="BH26" s="199">
        <f>Model!BK76</f>
        <v>0</v>
      </c>
      <c r="BI26" s="199">
        <f>Model!BL76</f>
        <v>0</v>
      </c>
      <c r="BJ26" s="199">
        <f>Model!BM76</f>
        <v>59176</v>
      </c>
      <c r="BK26" s="199">
        <f>Model!BN76</f>
        <v>0</v>
      </c>
      <c r="BL26" s="199">
        <f>Model!BO76</f>
        <v>0</v>
      </c>
      <c r="BM26" s="199">
        <f>Model!BP76</f>
        <v>59176</v>
      </c>
      <c r="BN26" s="199">
        <f>Model!BQ76</f>
        <v>0</v>
      </c>
      <c r="BO26" s="199">
        <f>Model!BR76</f>
        <v>0</v>
      </c>
      <c r="BP26" s="199">
        <f>Model!BS76</f>
        <v>67763</v>
      </c>
      <c r="BQ26" s="199">
        <f>Model!BT76</f>
        <v>0</v>
      </c>
      <c r="BR26" s="199">
        <f>Model!BU76</f>
        <v>0</v>
      </c>
      <c r="BS26" s="199">
        <f>Model!BV76</f>
        <v>67762</v>
      </c>
      <c r="BT26" s="199">
        <f>Model!BW76</f>
        <v>0</v>
      </c>
      <c r="BU26" s="199">
        <f>Model!BX76</f>
        <v>0</v>
      </c>
      <c r="BV26" s="199">
        <f>Model!BY76</f>
        <v>67762</v>
      </c>
      <c r="BW26" s="199">
        <f>Model!BZ76</f>
        <v>0</v>
      </c>
      <c r="BX26" s="199">
        <f>Model!CA76</f>
        <v>0</v>
      </c>
      <c r="BY26" s="199">
        <f>Model!CB76</f>
        <v>67762</v>
      </c>
      <c r="BZ26" s="199">
        <f>Model!CC76</f>
        <v>0</v>
      </c>
      <c r="CA26" s="199">
        <f>Model!CD76</f>
        <v>0</v>
      </c>
      <c r="CB26" s="199">
        <f>Model!CE76</f>
        <v>76499</v>
      </c>
      <c r="CC26" s="199">
        <f>Model!CF76</f>
        <v>0</v>
      </c>
      <c r="CD26" s="199">
        <f>Model!CG76</f>
        <v>0</v>
      </c>
      <c r="CE26" s="199">
        <f>Model!CH76</f>
        <v>76499</v>
      </c>
      <c r="CF26" s="199">
        <f>Model!CI76</f>
        <v>0</v>
      </c>
      <c r="CG26" s="199">
        <f>Model!CJ76</f>
        <v>0</v>
      </c>
      <c r="CH26" s="199">
        <f>Model!CK76</f>
        <v>76499</v>
      </c>
    </row>
    <row r="27" spans="1:86" ht="15" customHeight="1" x14ac:dyDescent="0.25">
      <c r="A27" s="202" t="s">
        <v>558</v>
      </c>
      <c r="B27" s="302"/>
      <c r="C27" s="203">
        <f>Model!F108</f>
        <v>0</v>
      </c>
      <c r="D27" s="203">
        <f>Model!G108</f>
        <v>0</v>
      </c>
      <c r="E27" s="203">
        <f>Model!H108</f>
        <v>0</v>
      </c>
      <c r="F27" s="203">
        <f>Model!I108</f>
        <v>0</v>
      </c>
      <c r="G27" s="203">
        <f>Model!J108</f>
        <v>0</v>
      </c>
      <c r="H27" s="203">
        <f>Model!K108</f>
        <v>0</v>
      </c>
      <c r="I27" s="203">
        <f>Model!L108</f>
        <v>0</v>
      </c>
      <c r="J27" s="203">
        <f>Model!M108</f>
        <v>0</v>
      </c>
      <c r="K27" s="203">
        <f>Model!N108</f>
        <v>0</v>
      </c>
      <c r="L27" s="203">
        <f>Model!O108</f>
        <v>0</v>
      </c>
      <c r="M27" s="203">
        <f>Model!P108</f>
        <v>0</v>
      </c>
      <c r="N27" s="203">
        <f>Model!Q108</f>
        <v>0</v>
      </c>
      <c r="O27" s="203">
        <f>Model!R108</f>
        <v>0</v>
      </c>
      <c r="P27" s="203">
        <f>Model!S108</f>
        <v>0</v>
      </c>
      <c r="Q27" s="203">
        <f>Model!T108</f>
        <v>0</v>
      </c>
      <c r="R27" s="203">
        <f>Model!U108</f>
        <v>0</v>
      </c>
      <c r="S27" s="203">
        <f>Model!V108</f>
        <v>0</v>
      </c>
      <c r="T27" s="203">
        <f>Model!W108</f>
        <v>0</v>
      </c>
      <c r="U27" s="203">
        <f>Model!X108</f>
        <v>0</v>
      </c>
      <c r="V27" s="203">
        <f>Model!Y108</f>
        <v>0</v>
      </c>
      <c r="W27" s="203">
        <f>Model!Z108</f>
        <v>0</v>
      </c>
      <c r="X27" s="203">
        <f>Model!AA108</f>
        <v>0</v>
      </c>
      <c r="Y27" s="203">
        <f>Model!AB108</f>
        <v>0</v>
      </c>
      <c r="Z27" s="203">
        <f>Model!AC108</f>
        <v>0</v>
      </c>
      <c r="AA27" s="203">
        <f>Model!AD108</f>
        <v>0</v>
      </c>
      <c r="AB27" s="203">
        <f>Model!AE108</f>
        <v>0</v>
      </c>
      <c r="AC27" s="203">
        <f>Model!AF108</f>
        <v>0</v>
      </c>
      <c r="AD27" s="203">
        <f>Model!AG108</f>
        <v>0</v>
      </c>
      <c r="AE27" s="203">
        <f>Model!AH108</f>
        <v>0</v>
      </c>
      <c r="AF27" s="203">
        <f>Model!AI108</f>
        <v>0</v>
      </c>
      <c r="AG27" s="203">
        <f>Model!AJ108</f>
        <v>0</v>
      </c>
      <c r="AH27" s="203">
        <f>Model!AK108</f>
        <v>0</v>
      </c>
      <c r="AI27" s="203">
        <f>Model!AL108</f>
        <v>0</v>
      </c>
      <c r="AJ27" s="203">
        <f>Model!AM108</f>
        <v>0</v>
      </c>
      <c r="AK27" s="203">
        <f>Model!AN108</f>
        <v>0</v>
      </c>
      <c r="AL27" s="203">
        <f>Model!AO108</f>
        <v>0</v>
      </c>
      <c r="AM27" s="203">
        <f>Model!AP108</f>
        <v>0</v>
      </c>
      <c r="AN27" s="203">
        <f>Model!AQ108</f>
        <v>0</v>
      </c>
      <c r="AO27" s="203">
        <f>Model!AR108</f>
        <v>0</v>
      </c>
      <c r="AP27" s="203">
        <f>Model!AS108</f>
        <v>0</v>
      </c>
      <c r="AQ27" s="203">
        <f>Model!AT108</f>
        <v>0</v>
      </c>
      <c r="AR27" s="203">
        <f>Model!AU108</f>
        <v>-81683</v>
      </c>
      <c r="AS27" s="203">
        <f>Model!AV108</f>
        <v>0</v>
      </c>
      <c r="AT27" s="203">
        <f>Model!AW108</f>
        <v>0</v>
      </c>
      <c r="AU27" s="203">
        <f>Model!AX108</f>
        <v>-81682</v>
      </c>
      <c r="AV27" s="203">
        <f>Model!AY108</f>
        <v>0</v>
      </c>
      <c r="AW27" s="203">
        <f>Model!AZ108</f>
        <v>0</v>
      </c>
      <c r="AX27" s="203">
        <f>Model!BA108</f>
        <v>-81682</v>
      </c>
      <c r="AY27" s="203">
        <f>Model!BB108</f>
        <v>0</v>
      </c>
      <c r="AZ27" s="203">
        <f>Model!BC108</f>
        <v>0</v>
      </c>
      <c r="BA27" s="203">
        <f>Model!BD108</f>
        <v>-81682</v>
      </c>
      <c r="BB27" s="203">
        <f>Model!BE108</f>
        <v>0</v>
      </c>
      <c r="BC27" s="203">
        <f>Model!BF108</f>
        <v>0</v>
      </c>
      <c r="BD27" s="203">
        <f>Model!BG108</f>
        <v>-59178</v>
      </c>
      <c r="BE27" s="203">
        <f>Model!BH108</f>
        <v>0</v>
      </c>
      <c r="BF27" s="203">
        <f>Model!BI108</f>
        <v>0</v>
      </c>
      <c r="BG27" s="203">
        <f>Model!BJ108</f>
        <v>-59176</v>
      </c>
      <c r="BH27" s="203">
        <f>Model!BK108</f>
        <v>0</v>
      </c>
      <c r="BI27" s="203">
        <f>Model!BL108</f>
        <v>0</v>
      </c>
      <c r="BJ27" s="203">
        <f>Model!BM108</f>
        <v>-59176</v>
      </c>
      <c r="BK27" s="203">
        <f>Model!BN108</f>
        <v>0</v>
      </c>
      <c r="BL27" s="203">
        <f>Model!BO108</f>
        <v>0</v>
      </c>
      <c r="BM27" s="203">
        <f>Model!BP108</f>
        <v>-59176</v>
      </c>
      <c r="BN27" s="203">
        <f>Model!BQ108</f>
        <v>0</v>
      </c>
      <c r="BO27" s="203">
        <f>Model!BR108</f>
        <v>0</v>
      </c>
      <c r="BP27" s="203">
        <f>Model!BS108</f>
        <v>-16249.479999999981</v>
      </c>
      <c r="BQ27" s="203">
        <f>Model!BT108</f>
        <v>0</v>
      </c>
      <c r="BR27" s="203">
        <f>Model!BU108</f>
        <v>0</v>
      </c>
      <c r="BS27" s="203">
        <f>Model!BV108</f>
        <v>0</v>
      </c>
      <c r="BT27" s="203">
        <f>Model!BW108</f>
        <v>0</v>
      </c>
      <c r="BU27" s="203">
        <f>Model!BX108</f>
        <v>0</v>
      </c>
      <c r="BV27" s="203">
        <f>Model!BY108</f>
        <v>0</v>
      </c>
      <c r="BW27" s="203">
        <f>Model!BZ108</f>
        <v>0</v>
      </c>
      <c r="BX27" s="203">
        <f>Model!CA108</f>
        <v>0</v>
      </c>
      <c r="BY27" s="203">
        <f>Model!CB108</f>
        <v>0</v>
      </c>
      <c r="BZ27" s="203">
        <f>Model!CC108</f>
        <v>0</v>
      </c>
      <c r="CA27" s="203">
        <f>Model!CD108</f>
        <v>0</v>
      </c>
      <c r="CB27" s="203">
        <f>Model!CE108</f>
        <v>0</v>
      </c>
      <c r="CC27" s="203">
        <f>Model!CF108</f>
        <v>0</v>
      </c>
      <c r="CD27" s="203">
        <f>Model!CG108</f>
        <v>0</v>
      </c>
      <c r="CE27" s="203">
        <f>Model!CH108</f>
        <v>0</v>
      </c>
      <c r="CF27" s="203">
        <f>Model!CI108</f>
        <v>0</v>
      </c>
      <c r="CG27" s="203">
        <f>Model!CJ108</f>
        <v>0</v>
      </c>
      <c r="CH27" s="203">
        <f>Model!CK108</f>
        <v>0</v>
      </c>
    </row>
    <row r="28" spans="1:86" ht="15" customHeight="1" x14ac:dyDescent="0.25">
      <c r="A28" s="19" t="s">
        <v>556</v>
      </c>
      <c r="B28" s="19"/>
      <c r="C28" s="200">
        <f t="shared" ref="C28:AH28" si="24">C26+C27</f>
        <v>0</v>
      </c>
      <c r="D28" s="200">
        <f t="shared" si="24"/>
        <v>0</v>
      </c>
      <c r="E28" s="200">
        <f t="shared" si="24"/>
        <v>0</v>
      </c>
      <c r="F28" s="200">
        <f t="shared" si="24"/>
        <v>0</v>
      </c>
      <c r="G28" s="200">
        <f t="shared" si="24"/>
        <v>0</v>
      </c>
      <c r="H28" s="200">
        <f t="shared" si="24"/>
        <v>0</v>
      </c>
      <c r="I28" s="200">
        <f t="shared" si="24"/>
        <v>0</v>
      </c>
      <c r="J28" s="200">
        <f t="shared" si="24"/>
        <v>0</v>
      </c>
      <c r="K28" s="200">
        <f t="shared" si="24"/>
        <v>0</v>
      </c>
      <c r="L28" s="200">
        <f t="shared" si="24"/>
        <v>0</v>
      </c>
      <c r="M28" s="200">
        <f t="shared" si="24"/>
        <v>0</v>
      </c>
      <c r="N28" s="200">
        <f t="shared" si="24"/>
        <v>0</v>
      </c>
      <c r="O28" s="200">
        <f t="shared" si="24"/>
        <v>0</v>
      </c>
      <c r="P28" s="200">
        <f t="shared" si="24"/>
        <v>0</v>
      </c>
      <c r="Q28" s="200">
        <f t="shared" si="24"/>
        <v>0</v>
      </c>
      <c r="R28" s="200">
        <f t="shared" si="24"/>
        <v>0</v>
      </c>
      <c r="S28" s="200">
        <f t="shared" si="24"/>
        <v>0</v>
      </c>
      <c r="T28" s="200">
        <f t="shared" si="24"/>
        <v>0</v>
      </c>
      <c r="U28" s="200">
        <f t="shared" si="24"/>
        <v>0</v>
      </c>
      <c r="V28" s="200">
        <f t="shared" si="24"/>
        <v>0</v>
      </c>
      <c r="W28" s="200">
        <f t="shared" si="24"/>
        <v>0</v>
      </c>
      <c r="X28" s="200">
        <f t="shared" si="24"/>
        <v>0</v>
      </c>
      <c r="Y28" s="200">
        <f t="shared" si="24"/>
        <v>0</v>
      </c>
      <c r="Z28" s="200">
        <f t="shared" si="24"/>
        <v>0</v>
      </c>
      <c r="AA28" s="200">
        <f t="shared" si="24"/>
        <v>0</v>
      </c>
      <c r="AB28" s="200">
        <f t="shared" si="24"/>
        <v>0</v>
      </c>
      <c r="AC28" s="200">
        <f t="shared" si="24"/>
        <v>0</v>
      </c>
      <c r="AD28" s="200">
        <f t="shared" si="24"/>
        <v>0</v>
      </c>
      <c r="AE28" s="200">
        <f t="shared" si="24"/>
        <v>0</v>
      </c>
      <c r="AF28" s="200">
        <f t="shared" si="24"/>
        <v>0</v>
      </c>
      <c r="AG28" s="200">
        <f t="shared" si="24"/>
        <v>0</v>
      </c>
      <c r="AH28" s="200">
        <f t="shared" si="24"/>
        <v>0</v>
      </c>
      <c r="AI28" s="200">
        <f t="shared" ref="AI28:BN28" si="25">AI26+AI27</f>
        <v>0</v>
      </c>
      <c r="AJ28" s="200">
        <f t="shared" si="25"/>
        <v>0</v>
      </c>
      <c r="AK28" s="200">
        <f t="shared" si="25"/>
        <v>0</v>
      </c>
      <c r="AL28" s="200">
        <f t="shared" si="25"/>
        <v>0</v>
      </c>
      <c r="AM28" s="200">
        <f t="shared" si="25"/>
        <v>0</v>
      </c>
      <c r="AN28" s="200">
        <f t="shared" si="25"/>
        <v>0</v>
      </c>
      <c r="AO28" s="200">
        <f t="shared" si="25"/>
        <v>0</v>
      </c>
      <c r="AP28" s="200">
        <f t="shared" si="25"/>
        <v>0</v>
      </c>
      <c r="AQ28" s="200">
        <f t="shared" si="25"/>
        <v>0</v>
      </c>
      <c r="AR28" s="200">
        <f t="shared" si="25"/>
        <v>0</v>
      </c>
      <c r="AS28" s="200">
        <f t="shared" si="25"/>
        <v>0</v>
      </c>
      <c r="AT28" s="200">
        <f t="shared" si="25"/>
        <v>0</v>
      </c>
      <c r="AU28" s="200">
        <f t="shared" si="25"/>
        <v>0</v>
      </c>
      <c r="AV28" s="200">
        <f t="shared" si="25"/>
        <v>0</v>
      </c>
      <c r="AW28" s="200">
        <f t="shared" si="25"/>
        <v>0</v>
      </c>
      <c r="AX28" s="200">
        <f t="shared" si="25"/>
        <v>0</v>
      </c>
      <c r="AY28" s="200">
        <f t="shared" si="25"/>
        <v>0</v>
      </c>
      <c r="AZ28" s="200">
        <f t="shared" si="25"/>
        <v>0</v>
      </c>
      <c r="BA28" s="200">
        <f t="shared" si="25"/>
        <v>0</v>
      </c>
      <c r="BB28" s="200">
        <f t="shared" si="25"/>
        <v>0</v>
      </c>
      <c r="BC28" s="200">
        <f t="shared" si="25"/>
        <v>0</v>
      </c>
      <c r="BD28" s="200">
        <f t="shared" si="25"/>
        <v>0</v>
      </c>
      <c r="BE28" s="200">
        <f t="shared" si="25"/>
        <v>0</v>
      </c>
      <c r="BF28" s="200">
        <f t="shared" si="25"/>
        <v>0</v>
      </c>
      <c r="BG28" s="200">
        <f t="shared" si="25"/>
        <v>0</v>
      </c>
      <c r="BH28" s="200">
        <f t="shared" si="25"/>
        <v>0</v>
      </c>
      <c r="BI28" s="200">
        <f t="shared" si="25"/>
        <v>0</v>
      </c>
      <c r="BJ28" s="200">
        <f t="shared" si="25"/>
        <v>0</v>
      </c>
      <c r="BK28" s="200">
        <f t="shared" si="25"/>
        <v>0</v>
      </c>
      <c r="BL28" s="200">
        <f t="shared" si="25"/>
        <v>0</v>
      </c>
      <c r="BM28" s="200">
        <f t="shared" si="25"/>
        <v>0</v>
      </c>
      <c r="BN28" s="200">
        <f t="shared" si="25"/>
        <v>0</v>
      </c>
      <c r="BO28" s="200">
        <f t="shared" ref="BO28:CT28" si="26">BO26+BO27</f>
        <v>0</v>
      </c>
      <c r="BP28" s="200">
        <f t="shared" si="26"/>
        <v>51513.520000000019</v>
      </c>
      <c r="BQ28" s="200">
        <f t="shared" si="26"/>
        <v>0</v>
      </c>
      <c r="BR28" s="200">
        <f t="shared" si="26"/>
        <v>0</v>
      </c>
      <c r="BS28" s="200">
        <f t="shared" si="26"/>
        <v>67762</v>
      </c>
      <c r="BT28" s="200">
        <f t="shared" si="26"/>
        <v>0</v>
      </c>
      <c r="BU28" s="200">
        <f t="shared" si="26"/>
        <v>0</v>
      </c>
      <c r="BV28" s="200">
        <f t="shared" si="26"/>
        <v>67762</v>
      </c>
      <c r="BW28" s="200">
        <f t="shared" si="26"/>
        <v>0</v>
      </c>
      <c r="BX28" s="200">
        <f t="shared" si="26"/>
        <v>0</v>
      </c>
      <c r="BY28" s="200">
        <f t="shared" si="26"/>
        <v>67762</v>
      </c>
      <c r="BZ28" s="200">
        <f t="shared" si="26"/>
        <v>0</v>
      </c>
      <c r="CA28" s="200">
        <f t="shared" si="26"/>
        <v>0</v>
      </c>
      <c r="CB28" s="200">
        <f t="shared" si="26"/>
        <v>76499</v>
      </c>
      <c r="CC28" s="200">
        <f t="shared" si="26"/>
        <v>0</v>
      </c>
      <c r="CD28" s="200">
        <f t="shared" si="26"/>
        <v>0</v>
      </c>
      <c r="CE28" s="200">
        <f t="shared" si="26"/>
        <v>76499</v>
      </c>
      <c r="CF28" s="200">
        <f t="shared" si="26"/>
        <v>0</v>
      </c>
      <c r="CG28" s="200">
        <f t="shared" si="26"/>
        <v>0</v>
      </c>
      <c r="CH28" s="200">
        <f t="shared" si="26"/>
        <v>76499</v>
      </c>
    </row>
    <row r="29" spans="1:86" ht="15" customHeight="1" x14ac:dyDescent="0.25">
      <c r="A29" s="53" t="s">
        <v>557</v>
      </c>
      <c r="B29" s="302"/>
      <c r="C29" s="201">
        <f>C28</f>
        <v>0</v>
      </c>
      <c r="D29" s="201">
        <f t="shared" ref="D29:AI29" si="27">C29+D28</f>
        <v>0</v>
      </c>
      <c r="E29" s="201">
        <f t="shared" si="27"/>
        <v>0</v>
      </c>
      <c r="F29" s="201">
        <f t="shared" si="27"/>
        <v>0</v>
      </c>
      <c r="G29" s="201">
        <f t="shared" si="27"/>
        <v>0</v>
      </c>
      <c r="H29" s="201">
        <f t="shared" si="27"/>
        <v>0</v>
      </c>
      <c r="I29" s="201">
        <f t="shared" si="27"/>
        <v>0</v>
      </c>
      <c r="J29" s="201">
        <f t="shared" si="27"/>
        <v>0</v>
      </c>
      <c r="K29" s="201">
        <f t="shared" si="27"/>
        <v>0</v>
      </c>
      <c r="L29" s="201">
        <f t="shared" si="27"/>
        <v>0</v>
      </c>
      <c r="M29" s="201">
        <f t="shared" si="27"/>
        <v>0</v>
      </c>
      <c r="N29" s="201">
        <f t="shared" si="27"/>
        <v>0</v>
      </c>
      <c r="O29" s="201">
        <f t="shared" si="27"/>
        <v>0</v>
      </c>
      <c r="P29" s="201">
        <f t="shared" si="27"/>
        <v>0</v>
      </c>
      <c r="Q29" s="201">
        <f t="shared" si="27"/>
        <v>0</v>
      </c>
      <c r="R29" s="201">
        <f t="shared" si="27"/>
        <v>0</v>
      </c>
      <c r="S29" s="201">
        <f t="shared" si="27"/>
        <v>0</v>
      </c>
      <c r="T29" s="201">
        <f t="shared" si="27"/>
        <v>0</v>
      </c>
      <c r="U29" s="201">
        <f t="shared" si="27"/>
        <v>0</v>
      </c>
      <c r="V29" s="201">
        <f t="shared" si="27"/>
        <v>0</v>
      </c>
      <c r="W29" s="201">
        <f t="shared" si="27"/>
        <v>0</v>
      </c>
      <c r="X29" s="201">
        <f t="shared" si="27"/>
        <v>0</v>
      </c>
      <c r="Y29" s="201">
        <f t="shared" si="27"/>
        <v>0</v>
      </c>
      <c r="Z29" s="201">
        <f t="shared" si="27"/>
        <v>0</v>
      </c>
      <c r="AA29" s="201">
        <f t="shared" si="27"/>
        <v>0</v>
      </c>
      <c r="AB29" s="201">
        <f t="shared" si="27"/>
        <v>0</v>
      </c>
      <c r="AC29" s="201">
        <f t="shared" si="27"/>
        <v>0</v>
      </c>
      <c r="AD29" s="201">
        <f t="shared" si="27"/>
        <v>0</v>
      </c>
      <c r="AE29" s="201">
        <f t="shared" si="27"/>
        <v>0</v>
      </c>
      <c r="AF29" s="201">
        <f t="shared" si="27"/>
        <v>0</v>
      </c>
      <c r="AG29" s="201">
        <f t="shared" si="27"/>
        <v>0</v>
      </c>
      <c r="AH29" s="201">
        <f t="shared" si="27"/>
        <v>0</v>
      </c>
      <c r="AI29" s="201">
        <f t="shared" si="27"/>
        <v>0</v>
      </c>
      <c r="AJ29" s="201">
        <f t="shared" ref="AJ29:BO29" si="28">AI29+AJ28</f>
        <v>0</v>
      </c>
      <c r="AK29" s="201">
        <f t="shared" si="28"/>
        <v>0</v>
      </c>
      <c r="AL29" s="201">
        <f t="shared" si="28"/>
        <v>0</v>
      </c>
      <c r="AM29" s="201">
        <f t="shared" si="28"/>
        <v>0</v>
      </c>
      <c r="AN29" s="201">
        <f t="shared" si="28"/>
        <v>0</v>
      </c>
      <c r="AO29" s="201">
        <f t="shared" si="28"/>
        <v>0</v>
      </c>
      <c r="AP29" s="201">
        <f t="shared" si="28"/>
        <v>0</v>
      </c>
      <c r="AQ29" s="201">
        <f t="shared" si="28"/>
        <v>0</v>
      </c>
      <c r="AR29" s="201">
        <f t="shared" si="28"/>
        <v>0</v>
      </c>
      <c r="AS29" s="201">
        <f t="shared" si="28"/>
        <v>0</v>
      </c>
      <c r="AT29" s="201">
        <f t="shared" si="28"/>
        <v>0</v>
      </c>
      <c r="AU29" s="201">
        <f t="shared" si="28"/>
        <v>0</v>
      </c>
      <c r="AV29" s="201">
        <f t="shared" si="28"/>
        <v>0</v>
      </c>
      <c r="AW29" s="201">
        <f t="shared" si="28"/>
        <v>0</v>
      </c>
      <c r="AX29" s="201">
        <f t="shared" si="28"/>
        <v>0</v>
      </c>
      <c r="AY29" s="201">
        <f t="shared" si="28"/>
        <v>0</v>
      </c>
      <c r="AZ29" s="201">
        <f t="shared" si="28"/>
        <v>0</v>
      </c>
      <c r="BA29" s="201">
        <f t="shared" si="28"/>
        <v>0</v>
      </c>
      <c r="BB29" s="201">
        <f t="shared" si="28"/>
        <v>0</v>
      </c>
      <c r="BC29" s="201">
        <f t="shared" si="28"/>
        <v>0</v>
      </c>
      <c r="BD29" s="201">
        <f t="shared" si="28"/>
        <v>0</v>
      </c>
      <c r="BE29" s="201">
        <f t="shared" si="28"/>
        <v>0</v>
      </c>
      <c r="BF29" s="201">
        <f t="shared" si="28"/>
        <v>0</v>
      </c>
      <c r="BG29" s="201">
        <f t="shared" si="28"/>
        <v>0</v>
      </c>
      <c r="BH29" s="201">
        <f t="shared" si="28"/>
        <v>0</v>
      </c>
      <c r="BI29" s="201">
        <f t="shared" si="28"/>
        <v>0</v>
      </c>
      <c r="BJ29" s="201">
        <f t="shared" si="28"/>
        <v>0</v>
      </c>
      <c r="BK29" s="201">
        <f t="shared" si="28"/>
        <v>0</v>
      </c>
      <c r="BL29" s="201">
        <f t="shared" si="28"/>
        <v>0</v>
      </c>
      <c r="BM29" s="201">
        <f t="shared" si="28"/>
        <v>0</v>
      </c>
      <c r="BN29" s="201">
        <f t="shared" si="28"/>
        <v>0</v>
      </c>
      <c r="BO29" s="201">
        <f t="shared" si="28"/>
        <v>0</v>
      </c>
      <c r="BP29" s="201">
        <f t="shared" ref="BP29:CU29" si="29">BO29+BP28</f>
        <v>51513.520000000019</v>
      </c>
      <c r="BQ29" s="201">
        <f t="shared" si="29"/>
        <v>51513.520000000019</v>
      </c>
      <c r="BR29" s="201">
        <f t="shared" si="29"/>
        <v>51513.520000000019</v>
      </c>
      <c r="BS29" s="201">
        <f t="shared" si="29"/>
        <v>119275.52000000002</v>
      </c>
      <c r="BT29" s="201">
        <f t="shared" si="29"/>
        <v>119275.52000000002</v>
      </c>
      <c r="BU29" s="201">
        <f t="shared" si="29"/>
        <v>119275.52000000002</v>
      </c>
      <c r="BV29" s="201">
        <f t="shared" si="29"/>
        <v>187037.52000000002</v>
      </c>
      <c r="BW29" s="201">
        <f t="shared" si="29"/>
        <v>187037.52000000002</v>
      </c>
      <c r="BX29" s="201">
        <f t="shared" si="29"/>
        <v>187037.52000000002</v>
      </c>
      <c r="BY29" s="201">
        <f t="shared" si="29"/>
        <v>254799.52000000002</v>
      </c>
      <c r="BZ29" s="201">
        <f t="shared" si="29"/>
        <v>254799.52000000002</v>
      </c>
      <c r="CA29" s="201">
        <f t="shared" si="29"/>
        <v>254799.52000000002</v>
      </c>
      <c r="CB29" s="201">
        <f t="shared" si="29"/>
        <v>331298.52</v>
      </c>
      <c r="CC29" s="201">
        <f t="shared" si="29"/>
        <v>331298.52</v>
      </c>
      <c r="CD29" s="201">
        <f t="shared" si="29"/>
        <v>331298.52</v>
      </c>
      <c r="CE29" s="201">
        <f t="shared" si="29"/>
        <v>407797.52</v>
      </c>
      <c r="CF29" s="201">
        <f t="shared" si="29"/>
        <v>407797.52</v>
      </c>
      <c r="CG29" s="201">
        <f t="shared" si="29"/>
        <v>407797.52</v>
      </c>
      <c r="CH29" s="201">
        <f t="shared" si="29"/>
        <v>484296.52</v>
      </c>
    </row>
    <row r="30" spans="1:86" ht="1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2"/>
      <c r="AQ30" s="302"/>
      <c r="AR30" s="302"/>
      <c r="AS30" s="302"/>
      <c r="AT30" s="302"/>
      <c r="AU30" s="302"/>
      <c r="AV30" s="302"/>
      <c r="AW30" s="302"/>
      <c r="AX30" s="302"/>
      <c r="AY30" s="302"/>
      <c r="AZ30" s="302"/>
      <c r="BA30" s="302"/>
      <c r="BB30" s="302"/>
      <c r="BC30" s="302"/>
      <c r="BD30" s="302"/>
      <c r="BE30" s="302"/>
      <c r="BF30" s="302"/>
      <c r="BG30" s="302"/>
      <c r="BH30" s="302"/>
      <c r="BI30" s="302"/>
      <c r="BJ30" s="302"/>
      <c r="BK30" s="302"/>
      <c r="BL30" s="302"/>
      <c r="BM30" s="302"/>
      <c r="BN30" s="302"/>
      <c r="BO30" s="302"/>
      <c r="BP30" s="302"/>
      <c r="BQ30" s="302"/>
      <c r="BR30" s="302"/>
      <c r="BS30" s="302"/>
      <c r="BT30" s="302"/>
      <c r="BU30" s="302"/>
      <c r="BV30" s="302"/>
      <c r="BW30" s="302"/>
      <c r="BX30" s="302"/>
      <c r="BY30" s="302"/>
      <c r="BZ30" s="302"/>
      <c r="CA30" s="302"/>
      <c r="CB30" s="302"/>
      <c r="CC30" s="302"/>
      <c r="CD30" s="302"/>
      <c r="CE30" s="302"/>
      <c r="CF30" s="302"/>
      <c r="CG30" s="302"/>
      <c r="CH30" s="302"/>
    </row>
    <row r="31" spans="1:86" ht="15" customHeight="1" x14ac:dyDescent="0.25">
      <c r="A31" s="315" t="s">
        <v>172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  <c r="BO31" s="315"/>
      <c r="BP31" s="315"/>
      <c r="BQ31" s="315"/>
      <c r="BR31" s="315"/>
      <c r="BS31" s="315"/>
      <c r="BT31" s="315"/>
      <c r="BU31" s="315"/>
      <c r="BV31" s="315"/>
      <c r="BW31" s="315"/>
      <c r="BX31" s="315"/>
      <c r="BY31" s="315"/>
      <c r="BZ31" s="315"/>
      <c r="CA31" s="315"/>
      <c r="CB31" s="315"/>
      <c r="CC31" s="315"/>
      <c r="CD31" s="315"/>
      <c r="CE31" s="315"/>
      <c r="CF31" s="315"/>
      <c r="CG31" s="315"/>
      <c r="CH31" s="315"/>
    </row>
    <row r="32" spans="1:86" ht="15" customHeight="1" x14ac:dyDescent="0.25">
      <c r="A32" s="2" t="s">
        <v>555</v>
      </c>
      <c r="B32" s="302"/>
      <c r="C32" s="199">
        <f>Model!F77</f>
        <v>0</v>
      </c>
      <c r="D32" s="199">
        <f>Model!G77</f>
        <v>0</v>
      </c>
      <c r="E32" s="199">
        <f>Model!H77</f>
        <v>0</v>
      </c>
      <c r="F32" s="199">
        <f>Model!I77</f>
        <v>0</v>
      </c>
      <c r="G32" s="199">
        <f>Model!J77</f>
        <v>0</v>
      </c>
      <c r="H32" s="199">
        <f>Model!K77</f>
        <v>0</v>
      </c>
      <c r="I32" s="199">
        <f>Model!L77</f>
        <v>0</v>
      </c>
      <c r="J32" s="199">
        <f>Model!M77</f>
        <v>0</v>
      </c>
      <c r="K32" s="199">
        <f>Model!N77</f>
        <v>0</v>
      </c>
      <c r="L32" s="199">
        <f>Model!O77</f>
        <v>0</v>
      </c>
      <c r="M32" s="199">
        <f>Model!P77</f>
        <v>0</v>
      </c>
      <c r="N32" s="199">
        <f>Model!Q77</f>
        <v>0</v>
      </c>
      <c r="O32" s="199">
        <f>Model!R77</f>
        <v>0</v>
      </c>
      <c r="P32" s="199">
        <f>Model!S77</f>
        <v>0</v>
      </c>
      <c r="Q32" s="199">
        <f>Model!T77</f>
        <v>0</v>
      </c>
      <c r="R32" s="199">
        <f>Model!U77</f>
        <v>0</v>
      </c>
      <c r="S32" s="199">
        <f>Model!V77</f>
        <v>0</v>
      </c>
      <c r="T32" s="199">
        <f>Model!W77</f>
        <v>0</v>
      </c>
      <c r="U32" s="199">
        <f>Model!X77</f>
        <v>0</v>
      </c>
      <c r="V32" s="199">
        <f>Model!Y77</f>
        <v>0</v>
      </c>
      <c r="W32" s="199">
        <f>Model!Z77</f>
        <v>0</v>
      </c>
      <c r="X32" s="199">
        <f>Model!AA77</f>
        <v>0</v>
      </c>
      <c r="Y32" s="199">
        <f>Model!AB77</f>
        <v>0</v>
      </c>
      <c r="Z32" s="199">
        <f>Model!AC77</f>
        <v>0</v>
      </c>
      <c r="AA32" s="199">
        <f>Model!AD77</f>
        <v>0</v>
      </c>
      <c r="AB32" s="199">
        <f>Model!AE77</f>
        <v>0</v>
      </c>
      <c r="AC32" s="199">
        <f>Model!AF77</f>
        <v>0</v>
      </c>
      <c r="AD32" s="199">
        <f>Model!AG77</f>
        <v>0</v>
      </c>
      <c r="AE32" s="199">
        <f>Model!AH77</f>
        <v>0</v>
      </c>
      <c r="AF32" s="199">
        <f>Model!AI77</f>
        <v>0</v>
      </c>
      <c r="AG32" s="199">
        <f>Model!AJ77</f>
        <v>0</v>
      </c>
      <c r="AH32" s="199">
        <f>Model!AK77</f>
        <v>0</v>
      </c>
      <c r="AI32" s="199">
        <f>Model!AL77</f>
        <v>0</v>
      </c>
      <c r="AJ32" s="199">
        <f>Model!AM77</f>
        <v>0</v>
      </c>
      <c r="AK32" s="199">
        <f>Model!AN77</f>
        <v>0</v>
      </c>
      <c r="AL32" s="199">
        <f>Model!AO77</f>
        <v>0</v>
      </c>
      <c r="AM32" s="199">
        <f>Model!AP77</f>
        <v>0</v>
      </c>
      <c r="AN32" s="199">
        <f>Model!AQ77</f>
        <v>0</v>
      </c>
      <c r="AO32" s="199">
        <f>Model!AR77</f>
        <v>0</v>
      </c>
      <c r="AP32" s="199">
        <f>Model!AS77</f>
        <v>0</v>
      </c>
      <c r="AQ32" s="199">
        <f>Model!AT77</f>
        <v>0</v>
      </c>
      <c r="AR32" s="199">
        <f>Model!AU77</f>
        <v>0</v>
      </c>
      <c r="AS32" s="199">
        <f>Model!AV77</f>
        <v>0</v>
      </c>
      <c r="AT32" s="199">
        <f>Model!AW77</f>
        <v>0</v>
      </c>
      <c r="AU32" s="199">
        <f>Model!AX77</f>
        <v>0</v>
      </c>
      <c r="AV32" s="199">
        <f>Model!AY77</f>
        <v>0</v>
      </c>
      <c r="AW32" s="199">
        <f>Model!AZ77</f>
        <v>0</v>
      </c>
      <c r="AX32" s="199">
        <f>Model!BA77</f>
        <v>0</v>
      </c>
      <c r="AY32" s="199">
        <f>Model!BB77</f>
        <v>0</v>
      </c>
      <c r="AZ32" s="199">
        <f>Model!BC77</f>
        <v>0</v>
      </c>
      <c r="BA32" s="199">
        <f>Model!BD77</f>
        <v>851839</v>
      </c>
      <c r="BB32" s="199">
        <f>Model!BE77</f>
        <v>0</v>
      </c>
      <c r="BC32" s="199">
        <f>Model!BF77</f>
        <v>0</v>
      </c>
      <c r="BD32" s="199">
        <f>Model!BG77</f>
        <v>71700</v>
      </c>
      <c r="BE32" s="199">
        <f>Model!BH77</f>
        <v>0</v>
      </c>
      <c r="BF32" s="199">
        <f>Model!BI77</f>
        <v>0</v>
      </c>
      <c r="BG32" s="199">
        <f>Model!BJ77</f>
        <v>71700</v>
      </c>
      <c r="BH32" s="199">
        <f>Model!BK77</f>
        <v>0</v>
      </c>
      <c r="BI32" s="199">
        <f>Model!BL77</f>
        <v>0</v>
      </c>
      <c r="BJ32" s="199">
        <f>Model!BM77</f>
        <v>71700</v>
      </c>
      <c r="BK32" s="199">
        <f>Model!BN77</f>
        <v>0</v>
      </c>
      <c r="BL32" s="199">
        <f>Model!BO77</f>
        <v>0</v>
      </c>
      <c r="BM32" s="199">
        <f>Model!BP77</f>
        <v>71700</v>
      </c>
      <c r="BN32" s="199">
        <f>Model!BQ77</f>
        <v>0</v>
      </c>
      <c r="BO32" s="199">
        <f>Model!BR77</f>
        <v>0</v>
      </c>
      <c r="BP32" s="199">
        <f>Model!BS77</f>
        <v>74643</v>
      </c>
      <c r="BQ32" s="199">
        <f>Model!BT77</f>
        <v>0</v>
      </c>
      <c r="BR32" s="199">
        <f>Model!BU77</f>
        <v>0</v>
      </c>
      <c r="BS32" s="199">
        <f>Model!BV77</f>
        <v>74640</v>
      </c>
      <c r="BT32" s="199">
        <f>Model!BW77</f>
        <v>0</v>
      </c>
      <c r="BU32" s="199">
        <f>Model!BX77</f>
        <v>0</v>
      </c>
      <c r="BV32" s="199">
        <f>Model!BY77</f>
        <v>74640</v>
      </c>
      <c r="BW32" s="199">
        <f>Model!BZ77</f>
        <v>0</v>
      </c>
      <c r="BX32" s="199">
        <f>Model!CA77</f>
        <v>0</v>
      </c>
      <c r="BY32" s="199">
        <f>Model!CB77</f>
        <v>74640</v>
      </c>
      <c r="BZ32" s="199">
        <f>Model!CC77</f>
        <v>0</v>
      </c>
      <c r="CA32" s="199">
        <f>Model!CD77</f>
        <v>0</v>
      </c>
      <c r="CB32" s="199">
        <f>Model!CE77</f>
        <v>81363</v>
      </c>
      <c r="CC32" s="199">
        <f>Model!CF77</f>
        <v>0</v>
      </c>
      <c r="CD32" s="199">
        <f>Model!CG77</f>
        <v>0</v>
      </c>
      <c r="CE32" s="199">
        <f>Model!CH77</f>
        <v>81362</v>
      </c>
      <c r="CF32" s="199">
        <f>Model!CI77</f>
        <v>0</v>
      </c>
      <c r="CG32" s="199">
        <f>Model!CJ77</f>
        <v>0</v>
      </c>
      <c r="CH32" s="199">
        <f>Model!CK77</f>
        <v>81362</v>
      </c>
    </row>
    <row r="33" spans="1:86" ht="15" customHeight="1" x14ac:dyDescent="0.25">
      <c r="A33" s="202" t="s">
        <v>558</v>
      </c>
      <c r="B33" s="302"/>
      <c r="C33" s="203">
        <f>Model!F109</f>
        <v>0</v>
      </c>
      <c r="D33" s="203">
        <f>Model!G109</f>
        <v>0</v>
      </c>
      <c r="E33" s="203">
        <f>Model!H109</f>
        <v>0</v>
      </c>
      <c r="F33" s="203">
        <f>Model!I109</f>
        <v>0</v>
      </c>
      <c r="G33" s="203">
        <f>Model!J109</f>
        <v>0</v>
      </c>
      <c r="H33" s="203">
        <f>Model!K109</f>
        <v>0</v>
      </c>
      <c r="I33" s="203">
        <f>Model!L109</f>
        <v>0</v>
      </c>
      <c r="J33" s="203">
        <f>Model!M109</f>
        <v>0</v>
      </c>
      <c r="K33" s="203">
        <f>Model!N109</f>
        <v>0</v>
      </c>
      <c r="L33" s="203">
        <f>Model!O109</f>
        <v>0</v>
      </c>
      <c r="M33" s="203">
        <f>Model!P109</f>
        <v>0</v>
      </c>
      <c r="N33" s="203">
        <f>Model!Q109</f>
        <v>0</v>
      </c>
      <c r="O33" s="203">
        <f>Model!R109</f>
        <v>0</v>
      </c>
      <c r="P33" s="203">
        <f>Model!S109</f>
        <v>0</v>
      </c>
      <c r="Q33" s="203">
        <f>Model!T109</f>
        <v>0</v>
      </c>
      <c r="R33" s="203">
        <f>Model!U109</f>
        <v>0</v>
      </c>
      <c r="S33" s="203">
        <f>Model!V109</f>
        <v>0</v>
      </c>
      <c r="T33" s="203">
        <f>Model!W109</f>
        <v>0</v>
      </c>
      <c r="U33" s="203">
        <f>Model!X109</f>
        <v>0</v>
      </c>
      <c r="V33" s="203">
        <f>Model!Y109</f>
        <v>0</v>
      </c>
      <c r="W33" s="203">
        <f>Model!Z109</f>
        <v>0</v>
      </c>
      <c r="X33" s="203">
        <f>Model!AA109</f>
        <v>0</v>
      </c>
      <c r="Y33" s="203">
        <f>Model!AB109</f>
        <v>0</v>
      </c>
      <c r="Z33" s="203">
        <f>Model!AC109</f>
        <v>0</v>
      </c>
      <c r="AA33" s="203">
        <f>Model!AD109</f>
        <v>0</v>
      </c>
      <c r="AB33" s="203">
        <f>Model!AE109</f>
        <v>0</v>
      </c>
      <c r="AC33" s="203">
        <f>Model!AF109</f>
        <v>0</v>
      </c>
      <c r="AD33" s="203">
        <f>Model!AG109</f>
        <v>0</v>
      </c>
      <c r="AE33" s="203">
        <f>Model!AH109</f>
        <v>0</v>
      </c>
      <c r="AF33" s="203">
        <f>Model!AI109</f>
        <v>0</v>
      </c>
      <c r="AG33" s="203">
        <f>Model!AJ109</f>
        <v>0</v>
      </c>
      <c r="AH33" s="203">
        <f>Model!AK109</f>
        <v>0</v>
      </c>
      <c r="AI33" s="203">
        <f>Model!AL109</f>
        <v>0</v>
      </c>
      <c r="AJ33" s="203">
        <f>Model!AM109</f>
        <v>0</v>
      </c>
      <c r="AK33" s="203">
        <f>Model!AN109</f>
        <v>0</v>
      </c>
      <c r="AL33" s="203">
        <f>Model!AO109</f>
        <v>0</v>
      </c>
      <c r="AM33" s="203">
        <f>Model!AP109</f>
        <v>0</v>
      </c>
      <c r="AN33" s="203">
        <f>Model!AQ109</f>
        <v>0</v>
      </c>
      <c r="AO33" s="203">
        <f>Model!AR109</f>
        <v>0</v>
      </c>
      <c r="AP33" s="203">
        <f>Model!AS109</f>
        <v>0</v>
      </c>
      <c r="AQ33" s="203">
        <f>Model!AT109</f>
        <v>0</v>
      </c>
      <c r="AR33" s="203">
        <f>Model!AU109</f>
        <v>0</v>
      </c>
      <c r="AS33" s="203">
        <f>Model!AV109</f>
        <v>0</v>
      </c>
      <c r="AT33" s="203">
        <f>Model!AW109</f>
        <v>0</v>
      </c>
      <c r="AU33" s="203">
        <f>Model!AX109</f>
        <v>0</v>
      </c>
      <c r="AV33" s="203">
        <f>Model!AY109</f>
        <v>0</v>
      </c>
      <c r="AW33" s="203">
        <f>Model!AZ109</f>
        <v>0</v>
      </c>
      <c r="AX33" s="203">
        <f>Model!BA109</f>
        <v>0</v>
      </c>
      <c r="AY33" s="203">
        <f>Model!BB109</f>
        <v>0</v>
      </c>
      <c r="AZ33" s="203">
        <f>Model!BC109</f>
        <v>0</v>
      </c>
      <c r="BA33" s="203">
        <f>Model!BD109</f>
        <v>-851839</v>
      </c>
      <c r="BB33" s="203">
        <f>Model!BE109</f>
        <v>0</v>
      </c>
      <c r="BC33" s="203">
        <f>Model!BF109</f>
        <v>0</v>
      </c>
      <c r="BD33" s="203">
        <f>Model!BG109</f>
        <v>-71700</v>
      </c>
      <c r="BE33" s="203">
        <f>Model!BH109</f>
        <v>0</v>
      </c>
      <c r="BF33" s="203">
        <f>Model!BI109</f>
        <v>0</v>
      </c>
      <c r="BG33" s="203">
        <f>Model!BJ109</f>
        <v>-71700</v>
      </c>
      <c r="BH33" s="203">
        <f>Model!BK109</f>
        <v>0</v>
      </c>
      <c r="BI33" s="203">
        <f>Model!BL109</f>
        <v>0</v>
      </c>
      <c r="BJ33" s="203">
        <f>Model!BM109</f>
        <v>-71700</v>
      </c>
      <c r="BK33" s="203">
        <f>Model!BN109</f>
        <v>0</v>
      </c>
      <c r="BL33" s="203">
        <f>Model!BO109</f>
        <v>0</v>
      </c>
      <c r="BM33" s="203">
        <f>Model!BP109</f>
        <v>-71700</v>
      </c>
      <c r="BN33" s="203">
        <f>Model!BQ109</f>
        <v>0</v>
      </c>
      <c r="BO33" s="203">
        <f>Model!BR109</f>
        <v>0</v>
      </c>
      <c r="BP33" s="203">
        <f>Model!BS109</f>
        <v>-74643</v>
      </c>
      <c r="BQ33" s="203">
        <f>Model!BT109</f>
        <v>0</v>
      </c>
      <c r="BR33" s="203">
        <f>Model!BU109</f>
        <v>0</v>
      </c>
      <c r="BS33" s="203">
        <f>Model!BV109</f>
        <v>-74640</v>
      </c>
      <c r="BT33" s="203">
        <f>Model!BW109</f>
        <v>0</v>
      </c>
      <c r="BU33" s="203">
        <f>Model!BX109</f>
        <v>0</v>
      </c>
      <c r="BV33" s="203">
        <f>Model!BY109</f>
        <v>-74640</v>
      </c>
      <c r="BW33" s="203">
        <f>Model!BZ109</f>
        <v>0</v>
      </c>
      <c r="BX33" s="203">
        <f>Model!CA109</f>
        <v>0</v>
      </c>
      <c r="BY33" s="203">
        <f>Model!CB109</f>
        <v>-74640</v>
      </c>
      <c r="BZ33" s="203">
        <f>Model!CC109</f>
        <v>0</v>
      </c>
      <c r="CA33" s="203">
        <f>Model!CD109</f>
        <v>0</v>
      </c>
      <c r="CB33" s="203">
        <f>Model!CE109</f>
        <v>-81363</v>
      </c>
      <c r="CC33" s="203">
        <f>Model!CF109</f>
        <v>0</v>
      </c>
      <c r="CD33" s="203">
        <f>Model!CG109</f>
        <v>0</v>
      </c>
      <c r="CE33" s="203">
        <f>Model!CH109</f>
        <v>-81362</v>
      </c>
      <c r="CF33" s="203">
        <f>Model!CI109</f>
        <v>0</v>
      </c>
      <c r="CG33" s="203">
        <f>Model!CJ109</f>
        <v>0</v>
      </c>
      <c r="CH33" s="203">
        <f>Model!CK109</f>
        <v>-74753.973393520777</v>
      </c>
    </row>
    <row r="34" spans="1:86" ht="15" customHeight="1" x14ac:dyDescent="0.25">
      <c r="A34" s="202" t="s">
        <v>45</v>
      </c>
      <c r="B34" s="302"/>
      <c r="C34" s="203">
        <f>Model!F186</f>
        <v>0</v>
      </c>
      <c r="D34" s="203">
        <f>Model!G186</f>
        <v>0</v>
      </c>
      <c r="E34" s="203">
        <f>Model!H186</f>
        <v>0</v>
      </c>
      <c r="F34" s="203">
        <f>Model!I186</f>
        <v>0</v>
      </c>
      <c r="G34" s="203">
        <f>Model!J186</f>
        <v>0</v>
      </c>
      <c r="H34" s="203">
        <f>Model!K186</f>
        <v>0</v>
      </c>
      <c r="I34" s="203">
        <f>Model!L186</f>
        <v>0</v>
      </c>
      <c r="J34" s="203">
        <f>Model!M186</f>
        <v>0</v>
      </c>
      <c r="K34" s="203">
        <f>Model!N186</f>
        <v>0</v>
      </c>
      <c r="L34" s="203">
        <f>Model!O186</f>
        <v>0</v>
      </c>
      <c r="M34" s="203">
        <f>Model!P186</f>
        <v>0</v>
      </c>
      <c r="N34" s="203">
        <f>Model!Q186</f>
        <v>0</v>
      </c>
      <c r="O34" s="203">
        <f>Model!R186</f>
        <v>0</v>
      </c>
      <c r="P34" s="203">
        <f>Model!S186</f>
        <v>0</v>
      </c>
      <c r="Q34" s="203">
        <f>Model!T186</f>
        <v>0</v>
      </c>
      <c r="R34" s="203">
        <f>Model!U186</f>
        <v>0</v>
      </c>
      <c r="S34" s="203">
        <f>Model!V186</f>
        <v>0</v>
      </c>
      <c r="T34" s="203">
        <f>Model!W186</f>
        <v>0</v>
      </c>
      <c r="U34" s="203">
        <f>Model!X186</f>
        <v>0</v>
      </c>
      <c r="V34" s="203">
        <f>Model!Y186</f>
        <v>0</v>
      </c>
      <c r="W34" s="203">
        <f>Model!Z186</f>
        <v>0</v>
      </c>
      <c r="X34" s="203">
        <f>Model!AA186</f>
        <v>0</v>
      </c>
      <c r="Y34" s="203">
        <f>Model!AB186</f>
        <v>0</v>
      </c>
      <c r="Z34" s="203">
        <f>Model!AC186</f>
        <v>0</v>
      </c>
      <c r="AA34" s="203">
        <f>Model!AD186</f>
        <v>0</v>
      </c>
      <c r="AB34" s="203">
        <f>Model!AE186</f>
        <v>0</v>
      </c>
      <c r="AC34" s="203">
        <f>Model!AF186</f>
        <v>0</v>
      </c>
      <c r="AD34" s="203">
        <f>Model!AG186</f>
        <v>0</v>
      </c>
      <c r="AE34" s="203">
        <f>Model!AH186</f>
        <v>0</v>
      </c>
      <c r="AF34" s="203">
        <f>Model!AI186</f>
        <v>0</v>
      </c>
      <c r="AG34" s="203">
        <f>Model!AJ186</f>
        <v>0</v>
      </c>
      <c r="AH34" s="203">
        <f>Model!AK186</f>
        <v>0</v>
      </c>
      <c r="AI34" s="203">
        <f>Model!AL186</f>
        <v>0</v>
      </c>
      <c r="AJ34" s="203">
        <f>Model!AM186</f>
        <v>0</v>
      </c>
      <c r="AK34" s="203">
        <f>Model!AN186</f>
        <v>0</v>
      </c>
      <c r="AL34" s="203">
        <f>Model!AO186</f>
        <v>0</v>
      </c>
      <c r="AM34" s="203">
        <f>Model!AP186</f>
        <v>0</v>
      </c>
      <c r="AN34" s="203">
        <f>Model!AQ186</f>
        <v>0</v>
      </c>
      <c r="AO34" s="203">
        <f>Model!AR186</f>
        <v>0</v>
      </c>
      <c r="AP34" s="203">
        <f>Model!AS186</f>
        <v>0</v>
      </c>
      <c r="AQ34" s="203">
        <f>Model!AT186</f>
        <v>0</v>
      </c>
      <c r="AR34" s="203">
        <f>Model!AU186</f>
        <v>0</v>
      </c>
      <c r="AS34" s="203">
        <f>Model!AV186</f>
        <v>0</v>
      </c>
      <c r="AT34" s="203">
        <f>Model!AW186</f>
        <v>0</v>
      </c>
      <c r="AU34" s="203">
        <f>Model!AX186</f>
        <v>0</v>
      </c>
      <c r="AV34" s="203">
        <f>Model!AY186</f>
        <v>0</v>
      </c>
      <c r="AW34" s="203">
        <f>Model!AZ186</f>
        <v>0</v>
      </c>
      <c r="AX34" s="203">
        <f>Model!BA186</f>
        <v>0</v>
      </c>
      <c r="AY34" s="203">
        <f>Model!BB186</f>
        <v>0</v>
      </c>
      <c r="AZ34" s="203">
        <f>Model!BC186</f>
        <v>0</v>
      </c>
      <c r="BA34" s="203">
        <f>Model!BD186</f>
        <v>0</v>
      </c>
      <c r="BB34" s="203">
        <f>Model!BE186</f>
        <v>0</v>
      </c>
      <c r="BC34" s="203">
        <f>Model!BF186</f>
        <v>0</v>
      </c>
      <c r="BD34" s="203">
        <f>Model!BG186</f>
        <v>0</v>
      </c>
      <c r="BE34" s="203">
        <f>Model!BH186</f>
        <v>0</v>
      </c>
      <c r="BF34" s="203">
        <f>Model!BI186</f>
        <v>0</v>
      </c>
      <c r="BG34" s="203">
        <f>Model!BJ186</f>
        <v>0</v>
      </c>
      <c r="BH34" s="203">
        <f>Model!BK186</f>
        <v>0</v>
      </c>
      <c r="BI34" s="203">
        <f>Model!BL186</f>
        <v>0</v>
      </c>
      <c r="BJ34" s="203">
        <f>Model!BM186</f>
        <v>0</v>
      </c>
      <c r="BK34" s="203">
        <f>Model!BN186</f>
        <v>0</v>
      </c>
      <c r="BL34" s="203">
        <f>Model!BO186</f>
        <v>0</v>
      </c>
      <c r="BM34" s="203">
        <f>Model!BP186</f>
        <v>0</v>
      </c>
      <c r="BN34" s="203">
        <f>Model!BQ186</f>
        <v>0</v>
      </c>
      <c r="BO34" s="203">
        <f>Model!BR186</f>
        <v>0</v>
      </c>
      <c r="BP34" s="203">
        <f>Model!BS186</f>
        <v>0</v>
      </c>
      <c r="BQ34" s="203">
        <f>Model!BT186</f>
        <v>0</v>
      </c>
      <c r="BR34" s="203">
        <f>Model!BU186</f>
        <v>0</v>
      </c>
      <c r="BS34" s="203">
        <f>Model!BV186</f>
        <v>0</v>
      </c>
      <c r="BT34" s="203">
        <f>Model!BW186</f>
        <v>0</v>
      </c>
      <c r="BU34" s="203">
        <f>Model!BX186</f>
        <v>0</v>
      </c>
      <c r="BV34" s="203">
        <f>Model!BY186</f>
        <v>0</v>
      </c>
      <c r="BW34" s="203">
        <f>Model!BZ186</f>
        <v>0</v>
      </c>
      <c r="BX34" s="203">
        <f>Model!CA186</f>
        <v>0</v>
      </c>
      <c r="BY34" s="203">
        <f>Model!CB186</f>
        <v>0</v>
      </c>
      <c r="BZ34" s="203">
        <f>Model!CC186</f>
        <v>0</v>
      </c>
      <c r="CA34" s="203">
        <f>Model!CD186</f>
        <v>0</v>
      </c>
      <c r="CB34" s="203">
        <f>Model!CE186</f>
        <v>0</v>
      </c>
      <c r="CC34" s="203">
        <f>Model!CF186</f>
        <v>0</v>
      </c>
      <c r="CD34" s="203">
        <f>Model!CG186</f>
        <v>0</v>
      </c>
      <c r="CE34" s="203">
        <f>Model!CH186</f>
        <v>0</v>
      </c>
      <c r="CF34" s="203">
        <f>Model!CI186</f>
        <v>0</v>
      </c>
      <c r="CG34" s="203">
        <f>Model!CJ186</f>
        <v>0</v>
      </c>
      <c r="CH34" s="203">
        <f>Model!CK186</f>
        <v>0</v>
      </c>
    </row>
    <row r="35" spans="1:86" ht="15" customHeight="1" x14ac:dyDescent="0.25">
      <c r="A35" s="19" t="s">
        <v>556</v>
      </c>
      <c r="B35" s="19"/>
      <c r="C35" s="200">
        <f t="shared" ref="C35:AH35" si="30">C32+C33+C34</f>
        <v>0</v>
      </c>
      <c r="D35" s="200">
        <f t="shared" si="30"/>
        <v>0</v>
      </c>
      <c r="E35" s="200">
        <f t="shared" si="30"/>
        <v>0</v>
      </c>
      <c r="F35" s="200">
        <f t="shared" si="30"/>
        <v>0</v>
      </c>
      <c r="G35" s="200">
        <f t="shared" si="30"/>
        <v>0</v>
      </c>
      <c r="H35" s="200">
        <f t="shared" si="30"/>
        <v>0</v>
      </c>
      <c r="I35" s="200">
        <f t="shared" si="30"/>
        <v>0</v>
      </c>
      <c r="J35" s="200">
        <f t="shared" si="30"/>
        <v>0</v>
      </c>
      <c r="K35" s="200">
        <f t="shared" si="30"/>
        <v>0</v>
      </c>
      <c r="L35" s="200">
        <f t="shared" si="30"/>
        <v>0</v>
      </c>
      <c r="M35" s="200">
        <f t="shared" si="30"/>
        <v>0</v>
      </c>
      <c r="N35" s="200">
        <f t="shared" si="30"/>
        <v>0</v>
      </c>
      <c r="O35" s="200">
        <f t="shared" si="30"/>
        <v>0</v>
      </c>
      <c r="P35" s="200">
        <f t="shared" si="30"/>
        <v>0</v>
      </c>
      <c r="Q35" s="200">
        <f t="shared" si="30"/>
        <v>0</v>
      </c>
      <c r="R35" s="200">
        <f t="shared" si="30"/>
        <v>0</v>
      </c>
      <c r="S35" s="200">
        <f t="shared" si="30"/>
        <v>0</v>
      </c>
      <c r="T35" s="200">
        <f t="shared" si="30"/>
        <v>0</v>
      </c>
      <c r="U35" s="200">
        <f t="shared" si="30"/>
        <v>0</v>
      </c>
      <c r="V35" s="200">
        <f t="shared" si="30"/>
        <v>0</v>
      </c>
      <c r="W35" s="200">
        <f t="shared" si="30"/>
        <v>0</v>
      </c>
      <c r="X35" s="200">
        <f t="shared" si="30"/>
        <v>0</v>
      </c>
      <c r="Y35" s="200">
        <f t="shared" si="30"/>
        <v>0</v>
      </c>
      <c r="Z35" s="200">
        <f t="shared" si="30"/>
        <v>0</v>
      </c>
      <c r="AA35" s="200">
        <f t="shared" si="30"/>
        <v>0</v>
      </c>
      <c r="AB35" s="200">
        <f t="shared" si="30"/>
        <v>0</v>
      </c>
      <c r="AC35" s="200">
        <f t="shared" si="30"/>
        <v>0</v>
      </c>
      <c r="AD35" s="200">
        <f t="shared" si="30"/>
        <v>0</v>
      </c>
      <c r="AE35" s="200">
        <f t="shared" si="30"/>
        <v>0</v>
      </c>
      <c r="AF35" s="200">
        <f t="shared" si="30"/>
        <v>0</v>
      </c>
      <c r="AG35" s="200">
        <f t="shared" si="30"/>
        <v>0</v>
      </c>
      <c r="AH35" s="200">
        <f t="shared" si="30"/>
        <v>0</v>
      </c>
      <c r="AI35" s="200">
        <f t="shared" ref="AI35:BN35" si="31">AI32+AI33+AI34</f>
        <v>0</v>
      </c>
      <c r="AJ35" s="200">
        <f t="shared" si="31"/>
        <v>0</v>
      </c>
      <c r="AK35" s="200">
        <f t="shared" si="31"/>
        <v>0</v>
      </c>
      <c r="AL35" s="200">
        <f t="shared" si="31"/>
        <v>0</v>
      </c>
      <c r="AM35" s="200">
        <f t="shared" si="31"/>
        <v>0</v>
      </c>
      <c r="AN35" s="200">
        <f t="shared" si="31"/>
        <v>0</v>
      </c>
      <c r="AO35" s="200">
        <f t="shared" si="31"/>
        <v>0</v>
      </c>
      <c r="AP35" s="200">
        <f t="shared" si="31"/>
        <v>0</v>
      </c>
      <c r="AQ35" s="200">
        <f t="shared" si="31"/>
        <v>0</v>
      </c>
      <c r="AR35" s="200">
        <f t="shared" si="31"/>
        <v>0</v>
      </c>
      <c r="AS35" s="200">
        <f t="shared" si="31"/>
        <v>0</v>
      </c>
      <c r="AT35" s="200">
        <f t="shared" si="31"/>
        <v>0</v>
      </c>
      <c r="AU35" s="200">
        <f t="shared" si="31"/>
        <v>0</v>
      </c>
      <c r="AV35" s="200">
        <f t="shared" si="31"/>
        <v>0</v>
      </c>
      <c r="AW35" s="200">
        <f t="shared" si="31"/>
        <v>0</v>
      </c>
      <c r="AX35" s="200">
        <f t="shared" si="31"/>
        <v>0</v>
      </c>
      <c r="AY35" s="200">
        <f t="shared" si="31"/>
        <v>0</v>
      </c>
      <c r="AZ35" s="200">
        <f t="shared" si="31"/>
        <v>0</v>
      </c>
      <c r="BA35" s="200">
        <f t="shared" si="31"/>
        <v>0</v>
      </c>
      <c r="BB35" s="200">
        <f t="shared" si="31"/>
        <v>0</v>
      </c>
      <c r="BC35" s="200">
        <f t="shared" si="31"/>
        <v>0</v>
      </c>
      <c r="BD35" s="200">
        <f t="shared" si="31"/>
        <v>0</v>
      </c>
      <c r="BE35" s="200">
        <f t="shared" si="31"/>
        <v>0</v>
      </c>
      <c r="BF35" s="200">
        <f t="shared" si="31"/>
        <v>0</v>
      </c>
      <c r="BG35" s="200">
        <f t="shared" si="31"/>
        <v>0</v>
      </c>
      <c r="BH35" s="200">
        <f t="shared" si="31"/>
        <v>0</v>
      </c>
      <c r="BI35" s="200">
        <f t="shared" si="31"/>
        <v>0</v>
      </c>
      <c r="BJ35" s="200">
        <f t="shared" si="31"/>
        <v>0</v>
      </c>
      <c r="BK35" s="200">
        <f t="shared" si="31"/>
        <v>0</v>
      </c>
      <c r="BL35" s="200">
        <f t="shared" si="31"/>
        <v>0</v>
      </c>
      <c r="BM35" s="200">
        <f t="shared" si="31"/>
        <v>0</v>
      </c>
      <c r="BN35" s="200">
        <f t="shared" si="31"/>
        <v>0</v>
      </c>
      <c r="BO35" s="200">
        <f t="shared" ref="BO35:CT35" si="32">BO32+BO33+BO34</f>
        <v>0</v>
      </c>
      <c r="BP35" s="200">
        <f t="shared" si="32"/>
        <v>0</v>
      </c>
      <c r="BQ35" s="200">
        <f t="shared" si="32"/>
        <v>0</v>
      </c>
      <c r="BR35" s="200">
        <f t="shared" si="32"/>
        <v>0</v>
      </c>
      <c r="BS35" s="200">
        <f t="shared" si="32"/>
        <v>0</v>
      </c>
      <c r="BT35" s="200">
        <f t="shared" si="32"/>
        <v>0</v>
      </c>
      <c r="BU35" s="200">
        <f t="shared" si="32"/>
        <v>0</v>
      </c>
      <c r="BV35" s="200">
        <f t="shared" si="32"/>
        <v>0</v>
      </c>
      <c r="BW35" s="200">
        <f t="shared" si="32"/>
        <v>0</v>
      </c>
      <c r="BX35" s="200">
        <f t="shared" si="32"/>
        <v>0</v>
      </c>
      <c r="BY35" s="200">
        <f t="shared" si="32"/>
        <v>0</v>
      </c>
      <c r="BZ35" s="200">
        <f t="shared" si="32"/>
        <v>0</v>
      </c>
      <c r="CA35" s="200">
        <f t="shared" si="32"/>
        <v>0</v>
      </c>
      <c r="CB35" s="200">
        <f t="shared" si="32"/>
        <v>0</v>
      </c>
      <c r="CC35" s="200">
        <f t="shared" si="32"/>
        <v>0</v>
      </c>
      <c r="CD35" s="200">
        <f t="shared" si="32"/>
        <v>0</v>
      </c>
      <c r="CE35" s="200">
        <f t="shared" si="32"/>
        <v>0</v>
      </c>
      <c r="CF35" s="200">
        <f t="shared" si="32"/>
        <v>0</v>
      </c>
      <c r="CG35" s="200">
        <f t="shared" si="32"/>
        <v>0</v>
      </c>
      <c r="CH35" s="200">
        <f t="shared" si="32"/>
        <v>6608.0266064792231</v>
      </c>
    </row>
    <row r="36" spans="1:86" ht="15" customHeight="1" x14ac:dyDescent="0.25">
      <c r="A36" s="53" t="s">
        <v>557</v>
      </c>
      <c r="B36" s="302"/>
      <c r="C36" s="201">
        <f>C35</f>
        <v>0</v>
      </c>
      <c r="D36" s="201">
        <f t="shared" ref="D36:AI36" si="33">C36+D35</f>
        <v>0</v>
      </c>
      <c r="E36" s="201">
        <f t="shared" si="33"/>
        <v>0</v>
      </c>
      <c r="F36" s="201">
        <f t="shared" si="33"/>
        <v>0</v>
      </c>
      <c r="G36" s="201">
        <f t="shared" si="33"/>
        <v>0</v>
      </c>
      <c r="H36" s="201">
        <f t="shared" si="33"/>
        <v>0</v>
      </c>
      <c r="I36" s="201">
        <f t="shared" si="33"/>
        <v>0</v>
      </c>
      <c r="J36" s="201">
        <f t="shared" si="33"/>
        <v>0</v>
      </c>
      <c r="K36" s="201">
        <f t="shared" si="33"/>
        <v>0</v>
      </c>
      <c r="L36" s="201">
        <f t="shared" si="33"/>
        <v>0</v>
      </c>
      <c r="M36" s="201">
        <f t="shared" si="33"/>
        <v>0</v>
      </c>
      <c r="N36" s="201">
        <f t="shared" si="33"/>
        <v>0</v>
      </c>
      <c r="O36" s="201">
        <f t="shared" si="33"/>
        <v>0</v>
      </c>
      <c r="P36" s="201">
        <f t="shared" si="33"/>
        <v>0</v>
      </c>
      <c r="Q36" s="201">
        <f t="shared" si="33"/>
        <v>0</v>
      </c>
      <c r="R36" s="201">
        <f t="shared" si="33"/>
        <v>0</v>
      </c>
      <c r="S36" s="201">
        <f t="shared" si="33"/>
        <v>0</v>
      </c>
      <c r="T36" s="201">
        <f t="shared" si="33"/>
        <v>0</v>
      </c>
      <c r="U36" s="201">
        <f t="shared" si="33"/>
        <v>0</v>
      </c>
      <c r="V36" s="201">
        <f t="shared" si="33"/>
        <v>0</v>
      </c>
      <c r="W36" s="201">
        <f t="shared" si="33"/>
        <v>0</v>
      </c>
      <c r="X36" s="201">
        <f t="shared" si="33"/>
        <v>0</v>
      </c>
      <c r="Y36" s="201">
        <f t="shared" si="33"/>
        <v>0</v>
      </c>
      <c r="Z36" s="201">
        <f t="shared" si="33"/>
        <v>0</v>
      </c>
      <c r="AA36" s="201">
        <f t="shared" si="33"/>
        <v>0</v>
      </c>
      <c r="AB36" s="201">
        <f t="shared" si="33"/>
        <v>0</v>
      </c>
      <c r="AC36" s="201">
        <f t="shared" si="33"/>
        <v>0</v>
      </c>
      <c r="AD36" s="201">
        <f t="shared" si="33"/>
        <v>0</v>
      </c>
      <c r="AE36" s="201">
        <f t="shared" si="33"/>
        <v>0</v>
      </c>
      <c r="AF36" s="201">
        <f t="shared" si="33"/>
        <v>0</v>
      </c>
      <c r="AG36" s="201">
        <f t="shared" si="33"/>
        <v>0</v>
      </c>
      <c r="AH36" s="201">
        <f t="shared" si="33"/>
        <v>0</v>
      </c>
      <c r="AI36" s="201">
        <f t="shared" si="33"/>
        <v>0</v>
      </c>
      <c r="AJ36" s="201">
        <f t="shared" ref="AJ36:BO36" si="34">AI36+AJ35</f>
        <v>0</v>
      </c>
      <c r="AK36" s="201">
        <f t="shared" si="34"/>
        <v>0</v>
      </c>
      <c r="AL36" s="201">
        <f t="shared" si="34"/>
        <v>0</v>
      </c>
      <c r="AM36" s="201">
        <f t="shared" si="34"/>
        <v>0</v>
      </c>
      <c r="AN36" s="201">
        <f t="shared" si="34"/>
        <v>0</v>
      </c>
      <c r="AO36" s="201">
        <f t="shared" si="34"/>
        <v>0</v>
      </c>
      <c r="AP36" s="201">
        <f t="shared" si="34"/>
        <v>0</v>
      </c>
      <c r="AQ36" s="201">
        <f t="shared" si="34"/>
        <v>0</v>
      </c>
      <c r="AR36" s="201">
        <f t="shared" si="34"/>
        <v>0</v>
      </c>
      <c r="AS36" s="201">
        <f t="shared" si="34"/>
        <v>0</v>
      </c>
      <c r="AT36" s="201">
        <f t="shared" si="34"/>
        <v>0</v>
      </c>
      <c r="AU36" s="201">
        <f t="shared" si="34"/>
        <v>0</v>
      </c>
      <c r="AV36" s="201">
        <f t="shared" si="34"/>
        <v>0</v>
      </c>
      <c r="AW36" s="201">
        <f t="shared" si="34"/>
        <v>0</v>
      </c>
      <c r="AX36" s="201">
        <f t="shared" si="34"/>
        <v>0</v>
      </c>
      <c r="AY36" s="201">
        <f t="shared" si="34"/>
        <v>0</v>
      </c>
      <c r="AZ36" s="201">
        <f t="shared" si="34"/>
        <v>0</v>
      </c>
      <c r="BA36" s="201">
        <f t="shared" si="34"/>
        <v>0</v>
      </c>
      <c r="BB36" s="201">
        <f t="shared" si="34"/>
        <v>0</v>
      </c>
      <c r="BC36" s="201">
        <f t="shared" si="34"/>
        <v>0</v>
      </c>
      <c r="BD36" s="201">
        <f t="shared" si="34"/>
        <v>0</v>
      </c>
      <c r="BE36" s="201">
        <f t="shared" si="34"/>
        <v>0</v>
      </c>
      <c r="BF36" s="201">
        <f t="shared" si="34"/>
        <v>0</v>
      </c>
      <c r="BG36" s="201">
        <f t="shared" si="34"/>
        <v>0</v>
      </c>
      <c r="BH36" s="201">
        <f t="shared" si="34"/>
        <v>0</v>
      </c>
      <c r="BI36" s="201">
        <f t="shared" si="34"/>
        <v>0</v>
      </c>
      <c r="BJ36" s="201">
        <f t="shared" si="34"/>
        <v>0</v>
      </c>
      <c r="BK36" s="201">
        <f t="shared" si="34"/>
        <v>0</v>
      </c>
      <c r="BL36" s="201">
        <f t="shared" si="34"/>
        <v>0</v>
      </c>
      <c r="BM36" s="201">
        <f t="shared" si="34"/>
        <v>0</v>
      </c>
      <c r="BN36" s="201">
        <f t="shared" si="34"/>
        <v>0</v>
      </c>
      <c r="BO36" s="201">
        <f t="shared" si="34"/>
        <v>0</v>
      </c>
      <c r="BP36" s="201">
        <f t="shared" ref="BP36:CU36" si="35">BO36+BP35</f>
        <v>0</v>
      </c>
      <c r="BQ36" s="201">
        <f t="shared" si="35"/>
        <v>0</v>
      </c>
      <c r="BR36" s="201">
        <f t="shared" si="35"/>
        <v>0</v>
      </c>
      <c r="BS36" s="201">
        <f t="shared" si="35"/>
        <v>0</v>
      </c>
      <c r="BT36" s="201">
        <f t="shared" si="35"/>
        <v>0</v>
      </c>
      <c r="BU36" s="201">
        <f t="shared" si="35"/>
        <v>0</v>
      </c>
      <c r="BV36" s="201">
        <f t="shared" si="35"/>
        <v>0</v>
      </c>
      <c r="BW36" s="201">
        <f t="shared" si="35"/>
        <v>0</v>
      </c>
      <c r="BX36" s="201">
        <f t="shared" si="35"/>
        <v>0</v>
      </c>
      <c r="BY36" s="201">
        <f t="shared" si="35"/>
        <v>0</v>
      </c>
      <c r="BZ36" s="201">
        <f t="shared" si="35"/>
        <v>0</v>
      </c>
      <c r="CA36" s="201">
        <f t="shared" si="35"/>
        <v>0</v>
      </c>
      <c r="CB36" s="201">
        <f t="shared" si="35"/>
        <v>0</v>
      </c>
      <c r="CC36" s="201">
        <f t="shared" si="35"/>
        <v>0</v>
      </c>
      <c r="CD36" s="201">
        <f t="shared" si="35"/>
        <v>0</v>
      </c>
      <c r="CE36" s="201">
        <f t="shared" si="35"/>
        <v>0</v>
      </c>
      <c r="CF36" s="201">
        <f t="shared" si="35"/>
        <v>0</v>
      </c>
      <c r="CG36" s="201">
        <f t="shared" si="35"/>
        <v>0</v>
      </c>
      <c r="CH36" s="201">
        <f t="shared" si="35"/>
        <v>6608.0266064792231</v>
      </c>
    </row>
    <row r="37" spans="1:86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  <c r="BB37" s="302"/>
      <c r="BC37" s="302"/>
      <c r="BD37" s="302"/>
      <c r="BE37" s="302"/>
      <c r="BF37" s="302"/>
      <c r="BG37" s="302"/>
      <c r="BH37" s="302"/>
      <c r="BI37" s="302"/>
      <c r="BJ37" s="302"/>
      <c r="BK37" s="302"/>
      <c r="BL37" s="302"/>
      <c r="BM37" s="302"/>
      <c r="BN37" s="302"/>
      <c r="BO37" s="302"/>
      <c r="BP37" s="302"/>
      <c r="BQ37" s="302"/>
      <c r="BR37" s="302"/>
      <c r="BS37" s="302"/>
      <c r="BT37" s="302"/>
      <c r="BU37" s="302"/>
      <c r="BV37" s="302"/>
      <c r="BW37" s="302"/>
      <c r="BX37" s="302"/>
      <c r="BY37" s="302"/>
      <c r="BZ37" s="302"/>
      <c r="CA37" s="302"/>
      <c r="CB37" s="302"/>
      <c r="CC37" s="302"/>
      <c r="CD37" s="302"/>
      <c r="CE37" s="302"/>
      <c r="CF37" s="302"/>
      <c r="CG37" s="302"/>
      <c r="CH37" s="302"/>
    </row>
    <row r="38" spans="1:86" ht="15" customHeight="1" x14ac:dyDescent="0.25">
      <c r="A38" s="315" t="s">
        <v>173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O38" s="315"/>
      <c r="BP38" s="315"/>
      <c r="BQ38" s="315"/>
      <c r="BR38" s="315"/>
      <c r="BS38" s="315"/>
      <c r="BT38" s="315"/>
      <c r="BU38" s="315"/>
      <c r="BV38" s="315"/>
      <c r="BW38" s="315"/>
      <c r="BX38" s="315"/>
      <c r="BY38" s="315"/>
      <c r="BZ38" s="315"/>
      <c r="CA38" s="315"/>
      <c r="CB38" s="315"/>
      <c r="CC38" s="315"/>
      <c r="CD38" s="315"/>
      <c r="CE38" s="315"/>
      <c r="CF38" s="315"/>
      <c r="CG38" s="315"/>
      <c r="CH38" s="315"/>
    </row>
    <row r="39" spans="1:86" ht="15" customHeight="1" x14ac:dyDescent="0.25">
      <c r="A39" s="2" t="s">
        <v>555</v>
      </c>
      <c r="B39" s="302"/>
      <c r="C39" s="199">
        <v>0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199">
        <v>0</v>
      </c>
      <c r="T39" s="199">
        <v>0</v>
      </c>
      <c r="U39" s="199">
        <v>0</v>
      </c>
      <c r="V39" s="199">
        <v>0</v>
      </c>
      <c r="W39" s="199">
        <v>0</v>
      </c>
      <c r="X39" s="199">
        <v>0</v>
      </c>
      <c r="Y39" s="199">
        <v>0</v>
      </c>
      <c r="Z39" s="199">
        <v>0</v>
      </c>
      <c r="AA39" s="199">
        <v>0</v>
      </c>
      <c r="AB39" s="199">
        <v>0</v>
      </c>
      <c r="AC39" s="199">
        <v>0</v>
      </c>
      <c r="AD39" s="199">
        <v>0</v>
      </c>
      <c r="AE39" s="199">
        <v>0</v>
      </c>
      <c r="AF39" s="199">
        <v>0</v>
      </c>
      <c r="AG39" s="199">
        <v>0</v>
      </c>
      <c r="AH39" s="199">
        <v>0</v>
      </c>
      <c r="AI39" s="199">
        <v>0</v>
      </c>
      <c r="AJ39" s="199">
        <v>0</v>
      </c>
      <c r="AK39" s="199">
        <v>0</v>
      </c>
      <c r="AL39" s="199">
        <v>0</v>
      </c>
      <c r="AM39" s="199">
        <v>0</v>
      </c>
      <c r="AN39" s="199">
        <v>0</v>
      </c>
      <c r="AO39" s="199">
        <v>0</v>
      </c>
      <c r="AP39" s="199">
        <v>0</v>
      </c>
      <c r="AQ39" s="199">
        <v>0</v>
      </c>
      <c r="AR39" s="199">
        <v>0</v>
      </c>
      <c r="AS39" s="199">
        <v>0</v>
      </c>
      <c r="AT39" s="199">
        <v>0</v>
      </c>
      <c r="AU39" s="199">
        <v>0</v>
      </c>
      <c r="AV39" s="199">
        <v>0</v>
      </c>
      <c r="AW39" s="199">
        <v>0</v>
      </c>
      <c r="AX39" s="199">
        <v>0</v>
      </c>
      <c r="AY39" s="199">
        <v>0</v>
      </c>
      <c r="AZ39" s="199">
        <v>0</v>
      </c>
      <c r="BA39" s="199">
        <v>0</v>
      </c>
      <c r="BB39" s="199">
        <v>0</v>
      </c>
      <c r="BC39" s="199">
        <v>0</v>
      </c>
      <c r="BD39" s="199">
        <v>0</v>
      </c>
      <c r="BE39" s="199">
        <v>0</v>
      </c>
      <c r="BF39" s="199">
        <v>0</v>
      </c>
      <c r="BG39" s="199">
        <v>0</v>
      </c>
      <c r="BH39" s="199">
        <v>0</v>
      </c>
      <c r="BI39" s="199">
        <v>0</v>
      </c>
      <c r="BJ39" s="199">
        <v>0</v>
      </c>
      <c r="BK39" s="199">
        <v>0</v>
      </c>
      <c r="BL39" s="199">
        <v>0</v>
      </c>
      <c r="BM39" s="199">
        <v>0</v>
      </c>
      <c r="BN39" s="199">
        <v>0</v>
      </c>
      <c r="BO39" s="199">
        <v>0</v>
      </c>
      <c r="BP39" s="199">
        <v>0</v>
      </c>
      <c r="BQ39" s="199">
        <v>0</v>
      </c>
      <c r="BR39" s="199">
        <v>0</v>
      </c>
      <c r="BS39" s="199">
        <v>0</v>
      </c>
      <c r="BT39" s="199">
        <v>0</v>
      </c>
      <c r="BU39" s="199">
        <v>0</v>
      </c>
      <c r="BV39" s="199">
        <v>0</v>
      </c>
      <c r="BW39" s="199">
        <v>0</v>
      </c>
      <c r="BX39" s="199">
        <v>0</v>
      </c>
      <c r="BY39" s="199">
        <v>0</v>
      </c>
      <c r="BZ39" s="199">
        <v>0</v>
      </c>
      <c r="CA39" s="199">
        <v>0</v>
      </c>
      <c r="CB39" s="199">
        <v>0</v>
      </c>
      <c r="CC39" s="199">
        <v>0</v>
      </c>
      <c r="CD39" s="199">
        <v>0</v>
      </c>
      <c r="CE39" s="199">
        <v>0</v>
      </c>
      <c r="CF39" s="199">
        <v>0</v>
      </c>
      <c r="CG39" s="199">
        <v>0</v>
      </c>
      <c r="CH39" s="199">
        <v>0</v>
      </c>
    </row>
    <row r="40" spans="1:86" ht="15" customHeight="1" x14ac:dyDescent="0.25">
      <c r="A40" s="202" t="s">
        <v>558</v>
      </c>
      <c r="B40" s="302"/>
      <c r="C40" s="203">
        <f>Model!F110</f>
        <v>0</v>
      </c>
      <c r="D40" s="203">
        <f>Model!G110</f>
        <v>0</v>
      </c>
      <c r="E40" s="203">
        <f>Model!H110</f>
        <v>0</v>
      </c>
      <c r="F40" s="203">
        <f>Model!I110</f>
        <v>0</v>
      </c>
      <c r="G40" s="203">
        <f>Model!J110</f>
        <v>0</v>
      </c>
      <c r="H40" s="203">
        <f>Model!K110</f>
        <v>0</v>
      </c>
      <c r="I40" s="203">
        <f>Model!L110</f>
        <v>0</v>
      </c>
      <c r="J40" s="203">
        <f>Model!M110</f>
        <v>0</v>
      </c>
      <c r="K40" s="203">
        <f>Model!N110</f>
        <v>0</v>
      </c>
      <c r="L40" s="203">
        <f>Model!O110</f>
        <v>0</v>
      </c>
      <c r="M40" s="203">
        <f>Model!P110</f>
        <v>0</v>
      </c>
      <c r="N40" s="203">
        <f>Model!Q110</f>
        <v>0</v>
      </c>
      <c r="O40" s="203">
        <f>Model!R110</f>
        <v>0</v>
      </c>
      <c r="P40" s="203">
        <f>Model!S110</f>
        <v>0</v>
      </c>
      <c r="Q40" s="203">
        <f>Model!T110</f>
        <v>0</v>
      </c>
      <c r="R40" s="203">
        <f>Model!U110</f>
        <v>0</v>
      </c>
      <c r="S40" s="203">
        <f>Model!V110</f>
        <v>0</v>
      </c>
      <c r="T40" s="203">
        <f>Model!W110</f>
        <v>0</v>
      </c>
      <c r="U40" s="203">
        <f>Model!X110</f>
        <v>0</v>
      </c>
      <c r="V40" s="203">
        <f>Model!Y110</f>
        <v>0</v>
      </c>
      <c r="W40" s="203">
        <f>Model!Z110</f>
        <v>0</v>
      </c>
      <c r="X40" s="203">
        <f>Model!AA110</f>
        <v>0</v>
      </c>
      <c r="Y40" s="203">
        <f>Model!AB110</f>
        <v>0</v>
      </c>
      <c r="Z40" s="203">
        <f>Model!AC110</f>
        <v>0</v>
      </c>
      <c r="AA40" s="203">
        <f>Model!AD110</f>
        <v>0</v>
      </c>
      <c r="AB40" s="203">
        <f>Model!AE110</f>
        <v>0</v>
      </c>
      <c r="AC40" s="203">
        <f>Model!AF110</f>
        <v>0</v>
      </c>
      <c r="AD40" s="203">
        <f>Model!AG110</f>
        <v>0</v>
      </c>
      <c r="AE40" s="203">
        <f>Model!AH110</f>
        <v>0</v>
      </c>
      <c r="AF40" s="203">
        <f>Model!AI110</f>
        <v>0</v>
      </c>
      <c r="AG40" s="203">
        <f>Model!AJ110</f>
        <v>0</v>
      </c>
      <c r="AH40" s="203">
        <f>Model!AK110</f>
        <v>0</v>
      </c>
      <c r="AI40" s="203">
        <f>Model!AL110</f>
        <v>0</v>
      </c>
      <c r="AJ40" s="203">
        <f>Model!AM110</f>
        <v>0</v>
      </c>
      <c r="AK40" s="203">
        <f>Model!AN110</f>
        <v>0</v>
      </c>
      <c r="AL40" s="203">
        <f>Model!AO110</f>
        <v>0</v>
      </c>
      <c r="AM40" s="203">
        <f>Model!AP110</f>
        <v>0</v>
      </c>
      <c r="AN40" s="203">
        <f>Model!AQ110</f>
        <v>0</v>
      </c>
      <c r="AO40" s="203">
        <f>Model!AR110</f>
        <v>0</v>
      </c>
      <c r="AP40" s="203">
        <f>Model!AS110</f>
        <v>0</v>
      </c>
      <c r="AQ40" s="203">
        <f>Model!AT110</f>
        <v>0</v>
      </c>
      <c r="AR40" s="203">
        <f>Model!AU110</f>
        <v>0</v>
      </c>
      <c r="AS40" s="203">
        <f>Model!AV110</f>
        <v>0</v>
      </c>
      <c r="AT40" s="203">
        <f>Model!AW110</f>
        <v>0</v>
      </c>
      <c r="AU40" s="203">
        <f>Model!AX110</f>
        <v>0</v>
      </c>
      <c r="AV40" s="203">
        <f>Model!AY110</f>
        <v>0</v>
      </c>
      <c r="AW40" s="203">
        <f>Model!AZ110</f>
        <v>0</v>
      </c>
      <c r="AX40" s="203">
        <f>Model!BA110</f>
        <v>0</v>
      </c>
      <c r="AY40" s="203">
        <f>Model!BB110</f>
        <v>0</v>
      </c>
      <c r="AZ40" s="203">
        <f>Model!BC110</f>
        <v>0</v>
      </c>
      <c r="BA40" s="203">
        <f>Model!BD110</f>
        <v>0</v>
      </c>
      <c r="BB40" s="203">
        <f>Model!BE110</f>
        <v>0</v>
      </c>
      <c r="BC40" s="203">
        <f>Model!BF110</f>
        <v>0</v>
      </c>
      <c r="BD40" s="203">
        <f>Model!BG110</f>
        <v>0</v>
      </c>
      <c r="BE40" s="203">
        <f>Model!BH110</f>
        <v>0</v>
      </c>
      <c r="BF40" s="203">
        <f>Model!BI110</f>
        <v>0</v>
      </c>
      <c r="BG40" s="203">
        <f>Model!BJ110</f>
        <v>0</v>
      </c>
      <c r="BH40" s="203">
        <f>Model!BK110</f>
        <v>0</v>
      </c>
      <c r="BI40" s="203">
        <f>Model!BL110</f>
        <v>0</v>
      </c>
      <c r="BJ40" s="203">
        <f>Model!BM110</f>
        <v>0</v>
      </c>
      <c r="BK40" s="203">
        <f>Model!BN110</f>
        <v>0</v>
      </c>
      <c r="BL40" s="203">
        <f>Model!BO110</f>
        <v>0</v>
      </c>
      <c r="BM40" s="203">
        <f>Model!BP110</f>
        <v>0</v>
      </c>
      <c r="BN40" s="203">
        <f>Model!BQ110</f>
        <v>0</v>
      </c>
      <c r="BO40" s="203">
        <f>Model!BR110</f>
        <v>0</v>
      </c>
      <c r="BP40" s="203">
        <f>Model!BS110</f>
        <v>0</v>
      </c>
      <c r="BQ40" s="203">
        <f>Model!BT110</f>
        <v>0</v>
      </c>
      <c r="BR40" s="203">
        <f>Model!BU110</f>
        <v>0</v>
      </c>
      <c r="BS40" s="203">
        <f>Model!BV110</f>
        <v>0</v>
      </c>
      <c r="BT40" s="203">
        <f>Model!BW110</f>
        <v>0</v>
      </c>
      <c r="BU40" s="203">
        <f>Model!BX110</f>
        <v>0</v>
      </c>
      <c r="BV40" s="203">
        <f>Model!BY110</f>
        <v>0</v>
      </c>
      <c r="BW40" s="203">
        <f>Model!BZ110</f>
        <v>0</v>
      </c>
      <c r="BX40" s="203">
        <f>Model!CA110</f>
        <v>0</v>
      </c>
      <c r="BY40" s="203">
        <f>Model!CB110</f>
        <v>-73156</v>
      </c>
      <c r="BZ40" s="203">
        <f>Model!CC110</f>
        <v>0</v>
      </c>
      <c r="CA40" s="203">
        <f>Model!CD110</f>
        <v>0</v>
      </c>
      <c r="CB40" s="203">
        <f>Model!CE110</f>
        <v>-73155</v>
      </c>
      <c r="CC40" s="203">
        <f>Model!CF110</f>
        <v>0</v>
      </c>
      <c r="CD40" s="203">
        <f>Model!CG110</f>
        <v>0</v>
      </c>
      <c r="CE40" s="203">
        <f>Model!CH110</f>
        <v>-73155</v>
      </c>
      <c r="CF40" s="203">
        <f>Model!CI110</f>
        <v>0</v>
      </c>
      <c r="CG40" s="203">
        <f>Model!CJ110</f>
        <v>0</v>
      </c>
      <c r="CH40" s="203">
        <f>Model!CK110</f>
        <v>-73155</v>
      </c>
    </row>
    <row r="41" spans="1:86" ht="15" customHeight="1" x14ac:dyDescent="0.25">
      <c r="A41" s="19" t="s">
        <v>556</v>
      </c>
      <c r="B41" s="19"/>
      <c r="C41" s="200">
        <f t="shared" ref="C41:AH41" si="36">C39+C40</f>
        <v>0</v>
      </c>
      <c r="D41" s="200">
        <f t="shared" si="36"/>
        <v>0</v>
      </c>
      <c r="E41" s="200">
        <f t="shared" si="36"/>
        <v>0</v>
      </c>
      <c r="F41" s="200">
        <f t="shared" si="36"/>
        <v>0</v>
      </c>
      <c r="G41" s="200">
        <f t="shared" si="36"/>
        <v>0</v>
      </c>
      <c r="H41" s="200">
        <f t="shared" si="36"/>
        <v>0</v>
      </c>
      <c r="I41" s="200">
        <f t="shared" si="36"/>
        <v>0</v>
      </c>
      <c r="J41" s="200">
        <f t="shared" si="36"/>
        <v>0</v>
      </c>
      <c r="K41" s="200">
        <f t="shared" si="36"/>
        <v>0</v>
      </c>
      <c r="L41" s="200">
        <f t="shared" si="36"/>
        <v>0</v>
      </c>
      <c r="M41" s="200">
        <f t="shared" si="36"/>
        <v>0</v>
      </c>
      <c r="N41" s="200">
        <f t="shared" si="36"/>
        <v>0</v>
      </c>
      <c r="O41" s="200">
        <f t="shared" si="36"/>
        <v>0</v>
      </c>
      <c r="P41" s="200">
        <f t="shared" si="36"/>
        <v>0</v>
      </c>
      <c r="Q41" s="200">
        <f t="shared" si="36"/>
        <v>0</v>
      </c>
      <c r="R41" s="200">
        <f t="shared" si="36"/>
        <v>0</v>
      </c>
      <c r="S41" s="200">
        <f t="shared" si="36"/>
        <v>0</v>
      </c>
      <c r="T41" s="200">
        <f t="shared" si="36"/>
        <v>0</v>
      </c>
      <c r="U41" s="200">
        <f t="shared" si="36"/>
        <v>0</v>
      </c>
      <c r="V41" s="200">
        <f t="shared" si="36"/>
        <v>0</v>
      </c>
      <c r="W41" s="200">
        <f t="shared" si="36"/>
        <v>0</v>
      </c>
      <c r="X41" s="200">
        <f t="shared" si="36"/>
        <v>0</v>
      </c>
      <c r="Y41" s="200">
        <f t="shared" si="36"/>
        <v>0</v>
      </c>
      <c r="Z41" s="200">
        <f t="shared" si="36"/>
        <v>0</v>
      </c>
      <c r="AA41" s="200">
        <f t="shared" si="36"/>
        <v>0</v>
      </c>
      <c r="AB41" s="200">
        <f t="shared" si="36"/>
        <v>0</v>
      </c>
      <c r="AC41" s="200">
        <f t="shared" si="36"/>
        <v>0</v>
      </c>
      <c r="AD41" s="200">
        <f t="shared" si="36"/>
        <v>0</v>
      </c>
      <c r="AE41" s="200">
        <f t="shared" si="36"/>
        <v>0</v>
      </c>
      <c r="AF41" s="200">
        <f t="shared" si="36"/>
        <v>0</v>
      </c>
      <c r="AG41" s="200">
        <f t="shared" si="36"/>
        <v>0</v>
      </c>
      <c r="AH41" s="200">
        <f t="shared" si="36"/>
        <v>0</v>
      </c>
      <c r="AI41" s="200">
        <f t="shared" ref="AI41:BN41" si="37">AI39+AI40</f>
        <v>0</v>
      </c>
      <c r="AJ41" s="200">
        <f t="shared" si="37"/>
        <v>0</v>
      </c>
      <c r="AK41" s="200">
        <f t="shared" si="37"/>
        <v>0</v>
      </c>
      <c r="AL41" s="200">
        <f t="shared" si="37"/>
        <v>0</v>
      </c>
      <c r="AM41" s="200">
        <f t="shared" si="37"/>
        <v>0</v>
      </c>
      <c r="AN41" s="200">
        <f t="shared" si="37"/>
        <v>0</v>
      </c>
      <c r="AO41" s="200">
        <f t="shared" si="37"/>
        <v>0</v>
      </c>
      <c r="AP41" s="200">
        <f t="shared" si="37"/>
        <v>0</v>
      </c>
      <c r="AQ41" s="200">
        <f t="shared" si="37"/>
        <v>0</v>
      </c>
      <c r="AR41" s="200">
        <f t="shared" si="37"/>
        <v>0</v>
      </c>
      <c r="AS41" s="200">
        <f t="shared" si="37"/>
        <v>0</v>
      </c>
      <c r="AT41" s="200">
        <f t="shared" si="37"/>
        <v>0</v>
      </c>
      <c r="AU41" s="200">
        <f t="shared" si="37"/>
        <v>0</v>
      </c>
      <c r="AV41" s="200">
        <f t="shared" si="37"/>
        <v>0</v>
      </c>
      <c r="AW41" s="200">
        <f t="shared" si="37"/>
        <v>0</v>
      </c>
      <c r="AX41" s="200">
        <f t="shared" si="37"/>
        <v>0</v>
      </c>
      <c r="AY41" s="200">
        <f t="shared" si="37"/>
        <v>0</v>
      </c>
      <c r="AZ41" s="200">
        <f t="shared" si="37"/>
        <v>0</v>
      </c>
      <c r="BA41" s="200">
        <f t="shared" si="37"/>
        <v>0</v>
      </c>
      <c r="BB41" s="200">
        <f t="shared" si="37"/>
        <v>0</v>
      </c>
      <c r="BC41" s="200">
        <f t="shared" si="37"/>
        <v>0</v>
      </c>
      <c r="BD41" s="200">
        <f t="shared" si="37"/>
        <v>0</v>
      </c>
      <c r="BE41" s="200">
        <f t="shared" si="37"/>
        <v>0</v>
      </c>
      <c r="BF41" s="200">
        <f t="shared" si="37"/>
        <v>0</v>
      </c>
      <c r="BG41" s="200">
        <f t="shared" si="37"/>
        <v>0</v>
      </c>
      <c r="BH41" s="200">
        <f t="shared" si="37"/>
        <v>0</v>
      </c>
      <c r="BI41" s="200">
        <f t="shared" si="37"/>
        <v>0</v>
      </c>
      <c r="BJ41" s="200">
        <f t="shared" si="37"/>
        <v>0</v>
      </c>
      <c r="BK41" s="200">
        <f t="shared" si="37"/>
        <v>0</v>
      </c>
      <c r="BL41" s="200">
        <f t="shared" si="37"/>
        <v>0</v>
      </c>
      <c r="BM41" s="200">
        <f t="shared" si="37"/>
        <v>0</v>
      </c>
      <c r="BN41" s="200">
        <f t="shared" si="37"/>
        <v>0</v>
      </c>
      <c r="BO41" s="200">
        <f t="shared" ref="BO41:CT41" si="38">BO39+BO40</f>
        <v>0</v>
      </c>
      <c r="BP41" s="200">
        <f t="shared" si="38"/>
        <v>0</v>
      </c>
      <c r="BQ41" s="200">
        <f t="shared" si="38"/>
        <v>0</v>
      </c>
      <c r="BR41" s="200">
        <f t="shared" si="38"/>
        <v>0</v>
      </c>
      <c r="BS41" s="200">
        <f t="shared" si="38"/>
        <v>0</v>
      </c>
      <c r="BT41" s="200">
        <f t="shared" si="38"/>
        <v>0</v>
      </c>
      <c r="BU41" s="200">
        <f t="shared" si="38"/>
        <v>0</v>
      </c>
      <c r="BV41" s="200">
        <f t="shared" si="38"/>
        <v>0</v>
      </c>
      <c r="BW41" s="200">
        <f t="shared" si="38"/>
        <v>0</v>
      </c>
      <c r="BX41" s="200">
        <f t="shared" si="38"/>
        <v>0</v>
      </c>
      <c r="BY41" s="200">
        <f t="shared" si="38"/>
        <v>-73156</v>
      </c>
      <c r="BZ41" s="200">
        <f t="shared" si="38"/>
        <v>0</v>
      </c>
      <c r="CA41" s="200">
        <f t="shared" si="38"/>
        <v>0</v>
      </c>
      <c r="CB41" s="200">
        <f t="shared" si="38"/>
        <v>-73155</v>
      </c>
      <c r="CC41" s="200">
        <f t="shared" si="38"/>
        <v>0</v>
      </c>
      <c r="CD41" s="200">
        <f t="shared" si="38"/>
        <v>0</v>
      </c>
      <c r="CE41" s="200">
        <f t="shared" si="38"/>
        <v>-73155</v>
      </c>
      <c r="CF41" s="200">
        <f t="shared" si="38"/>
        <v>0</v>
      </c>
      <c r="CG41" s="200">
        <f t="shared" si="38"/>
        <v>0</v>
      </c>
      <c r="CH41" s="200">
        <f t="shared" si="38"/>
        <v>-73155</v>
      </c>
    </row>
    <row r="42" spans="1:86" ht="15" customHeight="1" x14ac:dyDescent="0.25">
      <c r="A42" s="53" t="s">
        <v>557</v>
      </c>
      <c r="B42" s="302"/>
      <c r="C42" s="201">
        <f>C41</f>
        <v>0</v>
      </c>
      <c r="D42" s="201">
        <f t="shared" ref="D42:AI42" si="39">C42+D41</f>
        <v>0</v>
      </c>
      <c r="E42" s="201">
        <f t="shared" si="39"/>
        <v>0</v>
      </c>
      <c r="F42" s="201">
        <f t="shared" si="39"/>
        <v>0</v>
      </c>
      <c r="G42" s="201">
        <f t="shared" si="39"/>
        <v>0</v>
      </c>
      <c r="H42" s="201">
        <f t="shared" si="39"/>
        <v>0</v>
      </c>
      <c r="I42" s="201">
        <f t="shared" si="39"/>
        <v>0</v>
      </c>
      <c r="J42" s="201">
        <f t="shared" si="39"/>
        <v>0</v>
      </c>
      <c r="K42" s="201">
        <f t="shared" si="39"/>
        <v>0</v>
      </c>
      <c r="L42" s="201">
        <f t="shared" si="39"/>
        <v>0</v>
      </c>
      <c r="M42" s="201">
        <f t="shared" si="39"/>
        <v>0</v>
      </c>
      <c r="N42" s="201">
        <f t="shared" si="39"/>
        <v>0</v>
      </c>
      <c r="O42" s="201">
        <f t="shared" si="39"/>
        <v>0</v>
      </c>
      <c r="P42" s="201">
        <f t="shared" si="39"/>
        <v>0</v>
      </c>
      <c r="Q42" s="201">
        <f t="shared" si="39"/>
        <v>0</v>
      </c>
      <c r="R42" s="201">
        <f t="shared" si="39"/>
        <v>0</v>
      </c>
      <c r="S42" s="201">
        <f t="shared" si="39"/>
        <v>0</v>
      </c>
      <c r="T42" s="201">
        <f t="shared" si="39"/>
        <v>0</v>
      </c>
      <c r="U42" s="201">
        <f t="shared" si="39"/>
        <v>0</v>
      </c>
      <c r="V42" s="201">
        <f t="shared" si="39"/>
        <v>0</v>
      </c>
      <c r="W42" s="201">
        <f t="shared" si="39"/>
        <v>0</v>
      </c>
      <c r="X42" s="201">
        <f t="shared" si="39"/>
        <v>0</v>
      </c>
      <c r="Y42" s="201">
        <f t="shared" si="39"/>
        <v>0</v>
      </c>
      <c r="Z42" s="201">
        <f t="shared" si="39"/>
        <v>0</v>
      </c>
      <c r="AA42" s="201">
        <f t="shared" si="39"/>
        <v>0</v>
      </c>
      <c r="AB42" s="201">
        <f t="shared" si="39"/>
        <v>0</v>
      </c>
      <c r="AC42" s="201">
        <f t="shared" si="39"/>
        <v>0</v>
      </c>
      <c r="AD42" s="201">
        <f t="shared" si="39"/>
        <v>0</v>
      </c>
      <c r="AE42" s="201">
        <f t="shared" si="39"/>
        <v>0</v>
      </c>
      <c r="AF42" s="201">
        <f t="shared" si="39"/>
        <v>0</v>
      </c>
      <c r="AG42" s="201">
        <f t="shared" si="39"/>
        <v>0</v>
      </c>
      <c r="AH42" s="201">
        <f t="shared" si="39"/>
        <v>0</v>
      </c>
      <c r="AI42" s="201">
        <f t="shared" si="39"/>
        <v>0</v>
      </c>
      <c r="AJ42" s="201">
        <f t="shared" ref="AJ42:BO42" si="40">AI42+AJ41</f>
        <v>0</v>
      </c>
      <c r="AK42" s="201">
        <f t="shared" si="40"/>
        <v>0</v>
      </c>
      <c r="AL42" s="201">
        <f t="shared" si="40"/>
        <v>0</v>
      </c>
      <c r="AM42" s="201">
        <f t="shared" si="40"/>
        <v>0</v>
      </c>
      <c r="AN42" s="201">
        <f t="shared" si="40"/>
        <v>0</v>
      </c>
      <c r="AO42" s="201">
        <f t="shared" si="40"/>
        <v>0</v>
      </c>
      <c r="AP42" s="201">
        <f t="shared" si="40"/>
        <v>0</v>
      </c>
      <c r="AQ42" s="201">
        <f t="shared" si="40"/>
        <v>0</v>
      </c>
      <c r="AR42" s="201">
        <f t="shared" si="40"/>
        <v>0</v>
      </c>
      <c r="AS42" s="201">
        <f t="shared" si="40"/>
        <v>0</v>
      </c>
      <c r="AT42" s="201">
        <f t="shared" si="40"/>
        <v>0</v>
      </c>
      <c r="AU42" s="201">
        <f t="shared" si="40"/>
        <v>0</v>
      </c>
      <c r="AV42" s="201">
        <f t="shared" si="40"/>
        <v>0</v>
      </c>
      <c r="AW42" s="201">
        <f t="shared" si="40"/>
        <v>0</v>
      </c>
      <c r="AX42" s="201">
        <f t="shared" si="40"/>
        <v>0</v>
      </c>
      <c r="AY42" s="201">
        <f t="shared" si="40"/>
        <v>0</v>
      </c>
      <c r="AZ42" s="201">
        <f t="shared" si="40"/>
        <v>0</v>
      </c>
      <c r="BA42" s="201">
        <f t="shared" si="40"/>
        <v>0</v>
      </c>
      <c r="BB42" s="201">
        <f t="shared" si="40"/>
        <v>0</v>
      </c>
      <c r="BC42" s="201">
        <f t="shared" si="40"/>
        <v>0</v>
      </c>
      <c r="BD42" s="201">
        <f t="shared" si="40"/>
        <v>0</v>
      </c>
      <c r="BE42" s="201">
        <f t="shared" si="40"/>
        <v>0</v>
      </c>
      <c r="BF42" s="201">
        <f t="shared" si="40"/>
        <v>0</v>
      </c>
      <c r="BG42" s="201">
        <f t="shared" si="40"/>
        <v>0</v>
      </c>
      <c r="BH42" s="201">
        <f t="shared" si="40"/>
        <v>0</v>
      </c>
      <c r="BI42" s="201">
        <f t="shared" si="40"/>
        <v>0</v>
      </c>
      <c r="BJ42" s="201">
        <f t="shared" si="40"/>
        <v>0</v>
      </c>
      <c r="BK42" s="201">
        <f t="shared" si="40"/>
        <v>0</v>
      </c>
      <c r="BL42" s="201">
        <f t="shared" si="40"/>
        <v>0</v>
      </c>
      <c r="BM42" s="201">
        <f t="shared" si="40"/>
        <v>0</v>
      </c>
      <c r="BN42" s="201">
        <f t="shared" si="40"/>
        <v>0</v>
      </c>
      <c r="BO42" s="201">
        <f t="shared" si="40"/>
        <v>0</v>
      </c>
      <c r="BP42" s="201">
        <f t="shared" ref="BP42:CU42" si="41">BO42+BP41</f>
        <v>0</v>
      </c>
      <c r="BQ42" s="201">
        <f t="shared" si="41"/>
        <v>0</v>
      </c>
      <c r="BR42" s="201">
        <f t="shared" si="41"/>
        <v>0</v>
      </c>
      <c r="BS42" s="201">
        <f t="shared" si="41"/>
        <v>0</v>
      </c>
      <c r="BT42" s="201">
        <f t="shared" si="41"/>
        <v>0</v>
      </c>
      <c r="BU42" s="201">
        <f t="shared" si="41"/>
        <v>0</v>
      </c>
      <c r="BV42" s="201">
        <f t="shared" si="41"/>
        <v>0</v>
      </c>
      <c r="BW42" s="201">
        <f t="shared" si="41"/>
        <v>0</v>
      </c>
      <c r="BX42" s="201">
        <f t="shared" si="41"/>
        <v>0</v>
      </c>
      <c r="BY42" s="201">
        <f t="shared" si="41"/>
        <v>-73156</v>
      </c>
      <c r="BZ42" s="201">
        <f t="shared" si="41"/>
        <v>-73156</v>
      </c>
      <c r="CA42" s="201">
        <f t="shared" si="41"/>
        <v>-73156</v>
      </c>
      <c r="CB42" s="201">
        <f t="shared" si="41"/>
        <v>-146311</v>
      </c>
      <c r="CC42" s="201">
        <f t="shared" si="41"/>
        <v>-146311</v>
      </c>
      <c r="CD42" s="201">
        <f t="shared" si="41"/>
        <v>-146311</v>
      </c>
      <c r="CE42" s="201">
        <f t="shared" si="41"/>
        <v>-219466</v>
      </c>
      <c r="CF42" s="201">
        <f t="shared" si="41"/>
        <v>-219466</v>
      </c>
      <c r="CG42" s="201">
        <f t="shared" si="41"/>
        <v>-219466</v>
      </c>
      <c r="CH42" s="201">
        <f t="shared" si="41"/>
        <v>-292621</v>
      </c>
    </row>
    <row r="43" spans="1:86" ht="15" customHeight="1" x14ac:dyDescent="0.25">
      <c r="A43" s="302"/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2"/>
      <c r="AT43" s="302"/>
      <c r="AU43" s="302"/>
      <c r="AV43" s="302"/>
      <c r="AW43" s="302"/>
      <c r="AX43" s="302"/>
      <c r="AY43" s="302"/>
      <c r="AZ43" s="302"/>
      <c r="BA43" s="302"/>
      <c r="BB43" s="302"/>
      <c r="BC43" s="302"/>
      <c r="BD43" s="302"/>
      <c r="BE43" s="302"/>
      <c r="BF43" s="302"/>
      <c r="BG43" s="302"/>
      <c r="BH43" s="302"/>
      <c r="BI43" s="302"/>
      <c r="BJ43" s="302"/>
      <c r="BK43" s="302"/>
      <c r="BL43" s="302"/>
      <c r="BM43" s="302"/>
      <c r="BN43" s="302"/>
      <c r="BO43" s="302"/>
      <c r="BP43" s="302"/>
      <c r="BQ43" s="302"/>
      <c r="BR43" s="302"/>
      <c r="BS43" s="302"/>
      <c r="BT43" s="302"/>
      <c r="BU43" s="302"/>
      <c r="BV43" s="302"/>
      <c r="BW43" s="302"/>
      <c r="BX43" s="302"/>
      <c r="BY43" s="302"/>
      <c r="BZ43" s="302"/>
      <c r="CA43" s="302"/>
      <c r="CB43" s="302"/>
      <c r="CC43" s="302"/>
      <c r="CD43" s="302"/>
      <c r="CE43" s="302"/>
      <c r="CF43" s="302"/>
      <c r="CG43" s="302"/>
      <c r="CH43" s="302"/>
    </row>
    <row r="44" spans="1:86" ht="27.75" customHeight="1" x14ac:dyDescent="0.25">
      <c r="A44" s="318" t="s">
        <v>559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  <c r="AM44" s="318"/>
      <c r="AN44" s="318"/>
      <c r="AO44" s="318"/>
      <c r="AP44" s="318"/>
      <c r="AQ44" s="318"/>
      <c r="AR44" s="318"/>
      <c r="AS44" s="318"/>
      <c r="AT44" s="318"/>
      <c r="AU44" s="318"/>
      <c r="AV44" s="318"/>
      <c r="AW44" s="318"/>
      <c r="AX44" s="318"/>
      <c r="AY44" s="318"/>
      <c r="AZ44" s="318"/>
      <c r="BA44" s="318"/>
      <c r="BB44" s="318"/>
      <c r="BC44" s="318"/>
      <c r="BD44" s="318"/>
      <c r="BE44" s="318"/>
      <c r="BF44" s="318"/>
      <c r="BG44" s="318"/>
      <c r="BH44" s="318"/>
      <c r="BI44" s="318"/>
      <c r="BJ44" s="318"/>
      <c r="BK44" s="318"/>
      <c r="BL44" s="318"/>
      <c r="BM44" s="318"/>
      <c r="BN44" s="318"/>
      <c r="BO44" s="318"/>
      <c r="BP44" s="318"/>
      <c r="BQ44" s="318"/>
      <c r="BR44" s="318"/>
      <c r="BS44" s="318"/>
      <c r="BT44" s="318"/>
      <c r="BU44" s="318"/>
      <c r="BV44" s="318"/>
      <c r="BW44" s="318"/>
      <c r="BX44" s="318"/>
      <c r="BY44" s="318"/>
      <c r="BZ44" s="318"/>
      <c r="CA44" s="318"/>
      <c r="CB44" s="318"/>
      <c r="CC44" s="318"/>
      <c r="CD44" s="318"/>
      <c r="CE44" s="318"/>
      <c r="CF44" s="318"/>
      <c r="CG44" s="318"/>
      <c r="CH44" s="318"/>
    </row>
    <row r="45" spans="1:86" ht="15" customHeight="1" x14ac:dyDescent="0.25">
      <c r="A45" s="19" t="s">
        <v>560</v>
      </c>
      <c r="B45" s="19"/>
      <c r="C45" s="200">
        <f t="shared" ref="C45:AH45" si="42">C5+C10+C16+C22+C28+C35+C41</f>
        <v>33281.25</v>
      </c>
      <c r="D45" s="200">
        <f t="shared" si="42"/>
        <v>33281.25</v>
      </c>
      <c r="E45" s="200">
        <f t="shared" si="42"/>
        <v>33281.25</v>
      </c>
      <c r="F45" s="200">
        <f t="shared" si="42"/>
        <v>33281.25</v>
      </c>
      <c r="G45" s="200">
        <f t="shared" si="42"/>
        <v>33281.25</v>
      </c>
      <c r="H45" s="200">
        <f t="shared" si="42"/>
        <v>33281.25</v>
      </c>
      <c r="I45" s="200">
        <f t="shared" si="42"/>
        <v>33281.25</v>
      </c>
      <c r="J45" s="200">
        <f t="shared" si="42"/>
        <v>23906.25</v>
      </c>
      <c r="K45" s="200">
        <f t="shared" si="42"/>
        <v>23906.25</v>
      </c>
      <c r="L45" s="200">
        <f t="shared" si="42"/>
        <v>23906.25</v>
      </c>
      <c r="M45" s="200">
        <f t="shared" si="42"/>
        <v>23906.25</v>
      </c>
      <c r="N45" s="200">
        <f t="shared" si="42"/>
        <v>23906.25</v>
      </c>
      <c r="O45" s="200">
        <f t="shared" si="42"/>
        <v>23906.25</v>
      </c>
      <c r="P45" s="200">
        <f t="shared" si="42"/>
        <v>23906.25</v>
      </c>
      <c r="Q45" s="200">
        <f t="shared" si="42"/>
        <v>23906.25</v>
      </c>
      <c r="R45" s="200">
        <f t="shared" si="42"/>
        <v>0</v>
      </c>
      <c r="S45" s="200">
        <f t="shared" si="42"/>
        <v>0</v>
      </c>
      <c r="T45" s="200">
        <f t="shared" si="42"/>
        <v>0</v>
      </c>
      <c r="U45" s="200">
        <f t="shared" si="42"/>
        <v>0</v>
      </c>
      <c r="V45" s="200">
        <f t="shared" si="42"/>
        <v>0</v>
      </c>
      <c r="W45" s="200">
        <f t="shared" si="42"/>
        <v>57375</v>
      </c>
      <c r="X45" s="200">
        <f t="shared" si="42"/>
        <v>0</v>
      </c>
      <c r="Y45" s="200">
        <f t="shared" si="42"/>
        <v>0</v>
      </c>
      <c r="Z45" s="200">
        <f t="shared" si="42"/>
        <v>57375</v>
      </c>
      <c r="AA45" s="200">
        <f t="shared" si="42"/>
        <v>0</v>
      </c>
      <c r="AB45" s="200">
        <f t="shared" si="42"/>
        <v>0</v>
      </c>
      <c r="AC45" s="200">
        <f t="shared" si="42"/>
        <v>57375</v>
      </c>
      <c r="AD45" s="200">
        <f t="shared" si="42"/>
        <v>0</v>
      </c>
      <c r="AE45" s="200">
        <f t="shared" si="42"/>
        <v>0</v>
      </c>
      <c r="AF45" s="200">
        <f t="shared" si="42"/>
        <v>0</v>
      </c>
      <c r="AG45" s="200">
        <f t="shared" si="42"/>
        <v>0</v>
      </c>
      <c r="AH45" s="200">
        <f t="shared" si="42"/>
        <v>0</v>
      </c>
      <c r="AI45" s="200">
        <f t="shared" ref="AI45:BN45" si="43">AI5+AI10+AI16+AI22+AI28+AI35+AI41</f>
        <v>0</v>
      </c>
      <c r="AJ45" s="200">
        <f t="shared" si="43"/>
        <v>0</v>
      </c>
      <c r="AK45" s="200">
        <f t="shared" si="43"/>
        <v>0</v>
      </c>
      <c r="AL45" s="200">
        <f t="shared" si="43"/>
        <v>0</v>
      </c>
      <c r="AM45" s="200">
        <f t="shared" si="43"/>
        <v>0</v>
      </c>
      <c r="AN45" s="200">
        <f t="shared" si="43"/>
        <v>0</v>
      </c>
      <c r="AO45" s="200">
        <f t="shared" si="43"/>
        <v>0</v>
      </c>
      <c r="AP45" s="200">
        <f t="shared" si="43"/>
        <v>0</v>
      </c>
      <c r="AQ45" s="200">
        <f t="shared" si="43"/>
        <v>0</v>
      </c>
      <c r="AR45" s="200">
        <f t="shared" si="43"/>
        <v>0</v>
      </c>
      <c r="AS45" s="200">
        <f t="shared" si="43"/>
        <v>0</v>
      </c>
      <c r="AT45" s="200">
        <f t="shared" si="43"/>
        <v>0</v>
      </c>
      <c r="AU45" s="200">
        <f t="shared" si="43"/>
        <v>0</v>
      </c>
      <c r="AV45" s="200">
        <f t="shared" si="43"/>
        <v>0</v>
      </c>
      <c r="AW45" s="200">
        <f t="shared" si="43"/>
        <v>0</v>
      </c>
      <c r="AX45" s="200">
        <f t="shared" si="43"/>
        <v>0</v>
      </c>
      <c r="AY45" s="200">
        <f t="shared" si="43"/>
        <v>0</v>
      </c>
      <c r="AZ45" s="200">
        <f t="shared" si="43"/>
        <v>0</v>
      </c>
      <c r="BA45" s="200">
        <f t="shared" si="43"/>
        <v>0</v>
      </c>
      <c r="BB45" s="200">
        <f t="shared" si="43"/>
        <v>0</v>
      </c>
      <c r="BC45" s="200">
        <f t="shared" si="43"/>
        <v>0</v>
      </c>
      <c r="BD45" s="200">
        <f t="shared" si="43"/>
        <v>0</v>
      </c>
      <c r="BE45" s="200">
        <f t="shared" si="43"/>
        <v>0</v>
      </c>
      <c r="BF45" s="200">
        <f t="shared" si="43"/>
        <v>0</v>
      </c>
      <c r="BG45" s="200">
        <f t="shared" si="43"/>
        <v>0</v>
      </c>
      <c r="BH45" s="200">
        <f t="shared" si="43"/>
        <v>0</v>
      </c>
      <c r="BI45" s="200">
        <f t="shared" si="43"/>
        <v>0</v>
      </c>
      <c r="BJ45" s="200">
        <f t="shared" si="43"/>
        <v>0</v>
      </c>
      <c r="BK45" s="200">
        <f t="shared" si="43"/>
        <v>0</v>
      </c>
      <c r="BL45" s="200">
        <f t="shared" si="43"/>
        <v>0</v>
      </c>
      <c r="BM45" s="200">
        <f t="shared" si="43"/>
        <v>0</v>
      </c>
      <c r="BN45" s="200">
        <f t="shared" si="43"/>
        <v>0</v>
      </c>
      <c r="BO45" s="200">
        <f t="shared" ref="BO45:CH45" si="44">BO5+BO10+BO16+BO22+BO28+BO35+BO41</f>
        <v>0</v>
      </c>
      <c r="BP45" s="200">
        <f t="shared" si="44"/>
        <v>51513.520000000019</v>
      </c>
      <c r="BQ45" s="200">
        <f t="shared" si="44"/>
        <v>0</v>
      </c>
      <c r="BR45" s="200">
        <f t="shared" si="44"/>
        <v>0</v>
      </c>
      <c r="BS45" s="200">
        <f t="shared" si="44"/>
        <v>67762</v>
      </c>
      <c r="BT45" s="200">
        <f t="shared" si="44"/>
        <v>0</v>
      </c>
      <c r="BU45" s="200">
        <f t="shared" si="44"/>
        <v>0</v>
      </c>
      <c r="BV45" s="200">
        <f t="shared" si="44"/>
        <v>67762</v>
      </c>
      <c r="BW45" s="200">
        <f t="shared" si="44"/>
        <v>0</v>
      </c>
      <c r="BX45" s="200">
        <f t="shared" si="44"/>
        <v>0</v>
      </c>
      <c r="BY45" s="200">
        <f t="shared" si="44"/>
        <v>-5394</v>
      </c>
      <c r="BZ45" s="200">
        <f t="shared" si="44"/>
        <v>0</v>
      </c>
      <c r="CA45" s="200">
        <f t="shared" si="44"/>
        <v>0</v>
      </c>
      <c r="CB45" s="200">
        <f t="shared" si="44"/>
        <v>3344</v>
      </c>
      <c r="CC45" s="200">
        <f t="shared" si="44"/>
        <v>0</v>
      </c>
      <c r="CD45" s="200">
        <f t="shared" si="44"/>
        <v>0</v>
      </c>
      <c r="CE45" s="200">
        <f t="shared" si="44"/>
        <v>3344</v>
      </c>
      <c r="CF45" s="200">
        <f t="shared" si="44"/>
        <v>0</v>
      </c>
      <c r="CG45" s="200">
        <f t="shared" si="44"/>
        <v>0</v>
      </c>
      <c r="CH45" s="200">
        <f t="shared" si="44"/>
        <v>9952.0266064792231</v>
      </c>
    </row>
    <row r="46" spans="1:86" ht="15" customHeight="1" x14ac:dyDescent="0.25">
      <c r="A46" s="53" t="s">
        <v>561</v>
      </c>
      <c r="B46" s="302"/>
      <c r="C46" s="201">
        <f>C45</f>
        <v>33281.25</v>
      </c>
      <c r="D46" s="201">
        <f t="shared" ref="D46:AI46" si="45">C46+D45</f>
        <v>66562.5</v>
      </c>
      <c r="E46" s="201">
        <f t="shared" si="45"/>
        <v>99843.75</v>
      </c>
      <c r="F46" s="201">
        <f t="shared" si="45"/>
        <v>133125</v>
      </c>
      <c r="G46" s="201">
        <f t="shared" si="45"/>
        <v>166406.25</v>
      </c>
      <c r="H46" s="201">
        <f t="shared" si="45"/>
        <v>199687.5</v>
      </c>
      <c r="I46" s="201">
        <f t="shared" si="45"/>
        <v>232968.75</v>
      </c>
      <c r="J46" s="201">
        <f t="shared" si="45"/>
        <v>256875</v>
      </c>
      <c r="K46" s="201">
        <f t="shared" si="45"/>
        <v>280781.25</v>
      </c>
      <c r="L46" s="201">
        <f t="shared" si="45"/>
        <v>304687.5</v>
      </c>
      <c r="M46" s="201">
        <f t="shared" si="45"/>
        <v>328593.75</v>
      </c>
      <c r="N46" s="201">
        <f t="shared" si="45"/>
        <v>352500</v>
      </c>
      <c r="O46" s="201">
        <f t="shared" si="45"/>
        <v>376406.25</v>
      </c>
      <c r="P46" s="201">
        <f t="shared" si="45"/>
        <v>400312.5</v>
      </c>
      <c r="Q46" s="201">
        <f t="shared" si="45"/>
        <v>424218.75</v>
      </c>
      <c r="R46" s="201">
        <f t="shared" si="45"/>
        <v>424218.75</v>
      </c>
      <c r="S46" s="201">
        <f t="shared" si="45"/>
        <v>424218.75</v>
      </c>
      <c r="T46" s="201">
        <f t="shared" si="45"/>
        <v>424218.75</v>
      </c>
      <c r="U46" s="201">
        <f t="shared" si="45"/>
        <v>424218.75</v>
      </c>
      <c r="V46" s="201">
        <f t="shared" si="45"/>
        <v>424218.75</v>
      </c>
      <c r="W46" s="201">
        <f t="shared" si="45"/>
        <v>481593.75</v>
      </c>
      <c r="X46" s="201">
        <f t="shared" si="45"/>
        <v>481593.75</v>
      </c>
      <c r="Y46" s="201">
        <f t="shared" si="45"/>
        <v>481593.75</v>
      </c>
      <c r="Z46" s="201">
        <f t="shared" si="45"/>
        <v>538968.75</v>
      </c>
      <c r="AA46" s="201">
        <f t="shared" si="45"/>
        <v>538968.75</v>
      </c>
      <c r="AB46" s="201">
        <f t="shared" si="45"/>
        <v>538968.75</v>
      </c>
      <c r="AC46" s="201">
        <f t="shared" si="45"/>
        <v>596343.75</v>
      </c>
      <c r="AD46" s="201">
        <f t="shared" si="45"/>
        <v>596343.75</v>
      </c>
      <c r="AE46" s="201">
        <f t="shared" si="45"/>
        <v>596343.75</v>
      </c>
      <c r="AF46" s="201">
        <f t="shared" si="45"/>
        <v>596343.75</v>
      </c>
      <c r="AG46" s="201">
        <f t="shared" si="45"/>
        <v>596343.75</v>
      </c>
      <c r="AH46" s="201">
        <f t="shared" si="45"/>
        <v>596343.75</v>
      </c>
      <c r="AI46" s="201">
        <f t="shared" si="45"/>
        <v>596343.75</v>
      </c>
      <c r="AJ46" s="201">
        <f t="shared" ref="AJ46:BO46" si="46">AI46+AJ45</f>
        <v>596343.75</v>
      </c>
      <c r="AK46" s="201">
        <f t="shared" si="46"/>
        <v>596343.75</v>
      </c>
      <c r="AL46" s="201">
        <f t="shared" si="46"/>
        <v>596343.75</v>
      </c>
      <c r="AM46" s="201">
        <f t="shared" si="46"/>
        <v>596343.75</v>
      </c>
      <c r="AN46" s="201">
        <f t="shared" si="46"/>
        <v>596343.75</v>
      </c>
      <c r="AO46" s="201">
        <f t="shared" si="46"/>
        <v>596343.75</v>
      </c>
      <c r="AP46" s="201">
        <f t="shared" si="46"/>
        <v>596343.75</v>
      </c>
      <c r="AQ46" s="201">
        <f t="shared" si="46"/>
        <v>596343.75</v>
      </c>
      <c r="AR46" s="201">
        <f t="shared" si="46"/>
        <v>596343.75</v>
      </c>
      <c r="AS46" s="201">
        <f t="shared" si="46"/>
        <v>596343.75</v>
      </c>
      <c r="AT46" s="201">
        <f t="shared" si="46"/>
        <v>596343.75</v>
      </c>
      <c r="AU46" s="201">
        <f t="shared" si="46"/>
        <v>596343.75</v>
      </c>
      <c r="AV46" s="201">
        <f t="shared" si="46"/>
        <v>596343.75</v>
      </c>
      <c r="AW46" s="201">
        <f t="shared" si="46"/>
        <v>596343.75</v>
      </c>
      <c r="AX46" s="201">
        <f t="shared" si="46"/>
        <v>596343.75</v>
      </c>
      <c r="AY46" s="201">
        <f t="shared" si="46"/>
        <v>596343.75</v>
      </c>
      <c r="AZ46" s="201">
        <f t="shared" si="46"/>
        <v>596343.75</v>
      </c>
      <c r="BA46" s="201">
        <f t="shared" si="46"/>
        <v>596343.75</v>
      </c>
      <c r="BB46" s="201">
        <f t="shared" si="46"/>
        <v>596343.75</v>
      </c>
      <c r="BC46" s="201">
        <f t="shared" si="46"/>
        <v>596343.75</v>
      </c>
      <c r="BD46" s="201">
        <f t="shared" si="46"/>
        <v>596343.75</v>
      </c>
      <c r="BE46" s="201">
        <f t="shared" si="46"/>
        <v>596343.75</v>
      </c>
      <c r="BF46" s="201">
        <f t="shared" si="46"/>
        <v>596343.75</v>
      </c>
      <c r="BG46" s="201">
        <f t="shared" si="46"/>
        <v>596343.75</v>
      </c>
      <c r="BH46" s="201">
        <f t="shared" si="46"/>
        <v>596343.75</v>
      </c>
      <c r="BI46" s="201">
        <f t="shared" si="46"/>
        <v>596343.75</v>
      </c>
      <c r="BJ46" s="201">
        <f t="shared" si="46"/>
        <v>596343.75</v>
      </c>
      <c r="BK46" s="201">
        <f t="shared" si="46"/>
        <v>596343.75</v>
      </c>
      <c r="BL46" s="201">
        <f t="shared" si="46"/>
        <v>596343.75</v>
      </c>
      <c r="BM46" s="201">
        <f t="shared" si="46"/>
        <v>596343.75</v>
      </c>
      <c r="BN46" s="201">
        <f t="shared" si="46"/>
        <v>596343.75</v>
      </c>
      <c r="BO46" s="201">
        <f t="shared" si="46"/>
        <v>596343.75</v>
      </c>
      <c r="BP46" s="201">
        <f t="shared" ref="BP46:CU46" si="47">BO46+BP45</f>
        <v>647857.27</v>
      </c>
      <c r="BQ46" s="201">
        <f t="shared" si="47"/>
        <v>647857.27</v>
      </c>
      <c r="BR46" s="201">
        <f t="shared" si="47"/>
        <v>647857.27</v>
      </c>
      <c r="BS46" s="201">
        <f t="shared" si="47"/>
        <v>715619.27</v>
      </c>
      <c r="BT46" s="201">
        <f t="shared" si="47"/>
        <v>715619.27</v>
      </c>
      <c r="BU46" s="201">
        <f t="shared" si="47"/>
        <v>715619.27</v>
      </c>
      <c r="BV46" s="201">
        <f t="shared" si="47"/>
        <v>783381.27</v>
      </c>
      <c r="BW46" s="201">
        <f t="shared" si="47"/>
        <v>783381.27</v>
      </c>
      <c r="BX46" s="201">
        <f t="shared" si="47"/>
        <v>783381.27</v>
      </c>
      <c r="BY46" s="201">
        <f t="shared" si="47"/>
        <v>777987.27</v>
      </c>
      <c r="BZ46" s="201">
        <f t="shared" si="47"/>
        <v>777987.27</v>
      </c>
      <c r="CA46" s="201">
        <f t="shared" si="47"/>
        <v>777987.27</v>
      </c>
      <c r="CB46" s="201">
        <f t="shared" si="47"/>
        <v>781331.27</v>
      </c>
      <c r="CC46" s="201">
        <f t="shared" si="47"/>
        <v>781331.27</v>
      </c>
      <c r="CD46" s="201">
        <f t="shared" si="47"/>
        <v>781331.27</v>
      </c>
      <c r="CE46" s="201">
        <f t="shared" si="47"/>
        <v>784675.27</v>
      </c>
      <c r="CF46" s="201">
        <f t="shared" si="47"/>
        <v>784675.27</v>
      </c>
      <c r="CG46" s="201">
        <f t="shared" si="47"/>
        <v>784675.27</v>
      </c>
      <c r="CH46" s="201">
        <f t="shared" si="47"/>
        <v>794627.29660647921</v>
      </c>
    </row>
    <row r="47" spans="1:86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2"/>
      <c r="BX47" s="302"/>
      <c r="BY47" s="302"/>
      <c r="BZ47" s="302"/>
      <c r="CA47" s="302"/>
      <c r="CB47" s="302"/>
      <c r="CC47" s="302"/>
      <c r="CD47" s="302"/>
      <c r="CE47" s="302"/>
      <c r="CF47" s="302"/>
      <c r="CG47" s="302"/>
      <c r="CH47" s="302"/>
    </row>
    <row r="48" spans="1:86" ht="15" customHeight="1" x14ac:dyDescent="0.25">
      <c r="A48" s="53" t="s">
        <v>562</v>
      </c>
      <c r="B48" s="302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D48" s="302"/>
      <c r="AE48" s="302"/>
      <c r="AF48" s="302"/>
      <c r="AG48" s="302"/>
      <c r="AH48" s="302"/>
      <c r="AI48" s="302"/>
      <c r="AJ48" s="302"/>
      <c r="AK48" s="302"/>
      <c r="AL48" s="302"/>
      <c r="AM48" s="302"/>
      <c r="AN48" s="302"/>
      <c r="AO48" s="302"/>
      <c r="AP48" s="302"/>
      <c r="AQ48" s="302"/>
      <c r="AR48" s="302"/>
      <c r="AS48" s="302"/>
      <c r="AT48" s="302"/>
      <c r="AU48" s="302"/>
      <c r="AV48" s="302"/>
      <c r="AW48" s="302"/>
      <c r="AX48" s="302"/>
      <c r="AY48" s="302"/>
      <c r="AZ48" s="302"/>
      <c r="BA48" s="302"/>
      <c r="BB48" s="302"/>
      <c r="BC48" s="302"/>
      <c r="BD48" s="302"/>
      <c r="BE48" s="302"/>
      <c r="BF48" s="302"/>
      <c r="BG48" s="302"/>
      <c r="BH48" s="302"/>
      <c r="BI48" s="302"/>
      <c r="BJ48" s="302"/>
      <c r="BK48" s="302"/>
      <c r="BL48" s="302"/>
      <c r="BM48" s="302"/>
      <c r="BN48" s="302"/>
      <c r="BO48" s="302"/>
      <c r="BP48" s="302"/>
      <c r="BQ48" s="302"/>
      <c r="BR48" s="302"/>
      <c r="BS48" s="302"/>
      <c r="BT48" s="302"/>
      <c r="BU48" s="302"/>
      <c r="BV48" s="302"/>
      <c r="BW48" s="302"/>
      <c r="BX48" s="302"/>
      <c r="BY48" s="302"/>
      <c r="BZ48" s="302"/>
      <c r="CA48" s="302"/>
      <c r="CB48" s="302"/>
      <c r="CC48" s="302"/>
      <c r="CD48" s="302"/>
      <c r="CE48" s="302"/>
      <c r="CF48" s="302"/>
      <c r="CG48" s="302"/>
      <c r="CH48" s="302"/>
    </row>
    <row r="49" spans="1:86" ht="15" customHeight="1" x14ac:dyDescent="0.25">
      <c r="A49" s="2" t="s">
        <v>563</v>
      </c>
      <c r="B49" s="204">
        <v>46113</v>
      </c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2"/>
      <c r="AS49" s="302"/>
      <c r="AT49" s="302"/>
      <c r="AU49" s="302"/>
      <c r="AV49" s="302"/>
      <c r="AW49" s="302"/>
      <c r="AX49" s="302"/>
      <c r="AY49" s="302"/>
      <c r="AZ49" s="302"/>
      <c r="BA49" s="302"/>
      <c r="BB49" s="302"/>
      <c r="BC49" s="302"/>
      <c r="BD49" s="302"/>
      <c r="BE49" s="302"/>
      <c r="BF49" s="302"/>
      <c r="BG49" s="302"/>
      <c r="BH49" s="302"/>
      <c r="BI49" s="302"/>
      <c r="BJ49" s="302"/>
      <c r="BK49" s="302"/>
      <c r="BL49" s="302"/>
      <c r="BM49" s="302"/>
      <c r="BN49" s="302"/>
      <c r="BO49" s="302"/>
      <c r="BP49" s="302"/>
      <c r="BQ49" s="302"/>
      <c r="BR49" s="302"/>
      <c r="BS49" s="302"/>
      <c r="BT49" s="302"/>
      <c r="BU49" s="302"/>
      <c r="BV49" s="302"/>
      <c r="BW49" s="302"/>
      <c r="BX49" s="302"/>
      <c r="BY49" s="302"/>
      <c r="BZ49" s="302"/>
      <c r="CA49" s="302"/>
      <c r="CB49" s="302"/>
      <c r="CC49" s="302"/>
      <c r="CD49" s="302"/>
      <c r="CE49" s="302"/>
      <c r="CF49" s="302"/>
      <c r="CG49" s="302"/>
      <c r="CH49" s="302"/>
    </row>
    <row r="50" spans="1:86" ht="15" customHeight="1" x14ac:dyDescent="0.25">
      <c r="A50" s="2" t="s">
        <v>564</v>
      </c>
      <c r="B50" s="204">
        <v>46113</v>
      </c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2"/>
      <c r="AS50" s="302"/>
      <c r="AT50" s="302"/>
      <c r="AU50" s="302"/>
      <c r="AV50" s="302"/>
      <c r="AW50" s="302"/>
      <c r="AX50" s="302"/>
      <c r="AY50" s="302"/>
      <c r="AZ50" s="302"/>
      <c r="BA50" s="302"/>
      <c r="BB50" s="302"/>
      <c r="BC50" s="302"/>
      <c r="BD50" s="302"/>
      <c r="BE50" s="302"/>
      <c r="BF50" s="302"/>
      <c r="BG50" s="302"/>
      <c r="BH50" s="302"/>
      <c r="BI50" s="302"/>
      <c r="BJ50" s="302"/>
      <c r="BK50" s="302"/>
      <c r="BL50" s="302"/>
      <c r="BM50" s="302"/>
      <c r="BN50" s="302"/>
      <c r="BO50" s="302"/>
      <c r="BP50" s="302"/>
      <c r="BQ50" s="302"/>
      <c r="BR50" s="302"/>
      <c r="BS50" s="302"/>
      <c r="BT50" s="302"/>
      <c r="BU50" s="302"/>
      <c r="BV50" s="302"/>
      <c r="BW50" s="302"/>
      <c r="BX50" s="302"/>
      <c r="BY50" s="302"/>
      <c r="BZ50" s="302"/>
      <c r="CA50" s="302"/>
      <c r="CB50" s="302"/>
      <c r="CC50" s="302"/>
      <c r="CD50" s="302"/>
      <c r="CE50" s="302"/>
      <c r="CF50" s="302"/>
      <c r="CG50" s="302"/>
      <c r="CH50" s="302"/>
    </row>
    <row r="51" spans="1:86" ht="15" customHeight="1" x14ac:dyDescent="0.25">
      <c r="A51" s="2" t="s">
        <v>565</v>
      </c>
      <c r="B51" s="204">
        <v>46235</v>
      </c>
      <c r="C51" s="302"/>
      <c r="D51" s="302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  <c r="AI51" s="302"/>
      <c r="AJ51" s="302"/>
      <c r="AK51" s="302"/>
      <c r="AL51" s="302"/>
      <c r="AM51" s="302"/>
      <c r="AN51" s="302"/>
      <c r="AO51" s="302"/>
      <c r="AP51" s="302"/>
      <c r="AQ51" s="302"/>
      <c r="AR51" s="302"/>
      <c r="AS51" s="302"/>
      <c r="AT51" s="302"/>
      <c r="AU51" s="302"/>
      <c r="AV51" s="302"/>
      <c r="AW51" s="302"/>
      <c r="AX51" s="302"/>
      <c r="AY51" s="302"/>
      <c r="AZ51" s="302"/>
      <c r="BA51" s="302"/>
      <c r="BB51" s="302"/>
      <c r="BC51" s="302"/>
      <c r="BD51" s="302"/>
      <c r="BE51" s="302"/>
      <c r="BF51" s="302"/>
      <c r="BG51" s="302"/>
      <c r="BH51" s="302"/>
      <c r="BI51" s="302"/>
      <c r="BJ51" s="302"/>
      <c r="BK51" s="302"/>
      <c r="BL51" s="302"/>
      <c r="BM51" s="302"/>
      <c r="BN51" s="302"/>
      <c r="BO51" s="302"/>
      <c r="BP51" s="302"/>
      <c r="BQ51" s="302"/>
      <c r="BR51" s="302"/>
      <c r="BS51" s="302"/>
      <c r="BT51" s="302"/>
      <c r="BU51" s="302"/>
      <c r="BV51" s="302"/>
      <c r="BW51" s="302"/>
      <c r="BX51" s="302"/>
      <c r="BY51" s="302"/>
      <c r="BZ51" s="302"/>
      <c r="CA51" s="302"/>
      <c r="CB51" s="302"/>
      <c r="CC51" s="302"/>
      <c r="CD51" s="302"/>
      <c r="CE51" s="302"/>
      <c r="CF51" s="302"/>
      <c r="CG51" s="302"/>
      <c r="CH51" s="302"/>
    </row>
    <row r="52" spans="1:86" ht="15" customHeight="1" x14ac:dyDescent="0.25">
      <c r="A52" s="2" t="s">
        <v>566</v>
      </c>
      <c r="B52" s="204">
        <v>46266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  <c r="AI52" s="302"/>
      <c r="AJ52" s="302"/>
      <c r="AK52" s="302"/>
      <c r="AL52" s="302"/>
      <c r="AM52" s="302"/>
      <c r="AN52" s="302"/>
      <c r="AO52" s="302"/>
      <c r="AP52" s="302"/>
      <c r="AQ52" s="302"/>
      <c r="AR52" s="302"/>
      <c r="AS52" s="302"/>
      <c r="AT52" s="302"/>
      <c r="AU52" s="302"/>
      <c r="AV52" s="302"/>
      <c r="AW52" s="302"/>
      <c r="AX52" s="302"/>
      <c r="AY52" s="302"/>
      <c r="AZ52" s="302"/>
      <c r="BA52" s="302"/>
      <c r="BB52" s="302"/>
      <c r="BC52" s="302"/>
      <c r="BD52" s="302"/>
      <c r="BE52" s="302"/>
      <c r="BF52" s="302"/>
      <c r="BG52" s="302"/>
      <c r="BH52" s="302"/>
      <c r="BI52" s="302"/>
      <c r="BJ52" s="302"/>
      <c r="BK52" s="302"/>
      <c r="BL52" s="302"/>
      <c r="BM52" s="302"/>
      <c r="BN52" s="302"/>
      <c r="BO52" s="302"/>
      <c r="BP52" s="302"/>
      <c r="BQ52" s="302"/>
      <c r="BR52" s="302"/>
      <c r="BS52" s="302"/>
      <c r="BT52" s="302"/>
      <c r="BU52" s="302"/>
      <c r="BV52" s="302"/>
      <c r="BW52" s="302"/>
      <c r="BX52" s="302"/>
      <c r="BY52" s="302"/>
      <c r="BZ52" s="302"/>
      <c r="CA52" s="302"/>
      <c r="CB52" s="302"/>
      <c r="CC52" s="302"/>
      <c r="CD52" s="302"/>
      <c r="CE52" s="302"/>
      <c r="CF52" s="302"/>
      <c r="CG52" s="302"/>
      <c r="CH52" s="302"/>
    </row>
    <row r="53" spans="1:86" ht="15" customHeight="1" x14ac:dyDescent="0.25">
      <c r="A53" s="2" t="s">
        <v>567</v>
      </c>
      <c r="B53" s="204">
        <v>48092</v>
      </c>
      <c r="C53" s="302"/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  <c r="AI53" s="302"/>
      <c r="AJ53" s="302"/>
      <c r="AK53" s="302"/>
      <c r="AL53" s="302"/>
      <c r="AM53" s="302"/>
      <c r="AN53" s="302"/>
      <c r="AO53" s="302"/>
      <c r="AP53" s="302"/>
      <c r="AQ53" s="302"/>
      <c r="AR53" s="302"/>
      <c r="AS53" s="302"/>
      <c r="AT53" s="302"/>
      <c r="AU53" s="302"/>
      <c r="AV53" s="302"/>
      <c r="AW53" s="302"/>
      <c r="AX53" s="302"/>
      <c r="AY53" s="302"/>
      <c r="AZ53" s="302"/>
      <c r="BA53" s="302"/>
      <c r="BB53" s="302"/>
      <c r="BC53" s="302"/>
      <c r="BD53" s="302"/>
      <c r="BE53" s="302"/>
      <c r="BF53" s="302"/>
      <c r="BG53" s="302"/>
      <c r="BH53" s="302"/>
      <c r="BI53" s="302"/>
      <c r="BJ53" s="302"/>
      <c r="BK53" s="302"/>
      <c r="BL53" s="302"/>
      <c r="BM53" s="302"/>
      <c r="BN53" s="302"/>
      <c r="BO53" s="302"/>
      <c r="BP53" s="302"/>
      <c r="BQ53" s="302"/>
      <c r="BR53" s="302"/>
      <c r="BS53" s="302"/>
      <c r="BT53" s="302"/>
      <c r="BU53" s="302"/>
      <c r="BV53" s="302"/>
      <c r="BW53" s="302"/>
      <c r="BX53" s="302"/>
      <c r="BY53" s="302"/>
      <c r="BZ53" s="302"/>
      <c r="CA53" s="302"/>
      <c r="CB53" s="302"/>
      <c r="CC53" s="302"/>
      <c r="CD53" s="302"/>
      <c r="CE53" s="302"/>
      <c r="CF53" s="302"/>
      <c r="CG53" s="302"/>
      <c r="CH53" s="302"/>
    </row>
    <row r="54" spans="1:86" ht="15" customHeight="1" x14ac:dyDescent="0.25">
      <c r="A54" s="2" t="s">
        <v>568</v>
      </c>
      <c r="B54" s="204">
        <v>47635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  <c r="AI54" s="302"/>
      <c r="AJ54" s="302"/>
      <c r="AK54" s="302"/>
      <c r="AL54" s="302"/>
      <c r="AM54" s="302"/>
      <c r="AN54" s="302"/>
      <c r="AO54" s="302"/>
      <c r="AP54" s="302"/>
      <c r="AQ54" s="302"/>
      <c r="AR54" s="302"/>
      <c r="AS54" s="302"/>
      <c r="AT54" s="302"/>
      <c r="AU54" s="302"/>
      <c r="AV54" s="302"/>
      <c r="AW54" s="302"/>
      <c r="AX54" s="302"/>
      <c r="AY54" s="302"/>
      <c r="AZ54" s="302"/>
      <c r="BA54" s="302"/>
      <c r="BB54" s="302"/>
      <c r="BC54" s="302"/>
      <c r="BD54" s="302"/>
      <c r="BE54" s="302"/>
      <c r="BF54" s="302"/>
      <c r="BG54" s="302"/>
      <c r="BH54" s="302"/>
      <c r="BI54" s="302"/>
      <c r="BJ54" s="302"/>
      <c r="BK54" s="302"/>
      <c r="BL54" s="302"/>
      <c r="BM54" s="302"/>
      <c r="BN54" s="302"/>
      <c r="BO54" s="302"/>
      <c r="BP54" s="302"/>
      <c r="BQ54" s="302"/>
      <c r="BR54" s="302"/>
      <c r="BS54" s="302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</row>
    <row r="55" spans="1:86" ht="15" customHeight="1" x14ac:dyDescent="0.25">
      <c r="A55" s="2" t="s">
        <v>569</v>
      </c>
      <c r="B55" s="205" t="s">
        <v>570</v>
      </c>
      <c r="C55" s="302"/>
      <c r="D55" s="302"/>
      <c r="E55" s="302"/>
      <c r="F55" s="302"/>
      <c r="G55" s="302"/>
      <c r="H55" s="302"/>
      <c r="I55" s="302"/>
      <c r="J55" s="302"/>
      <c r="K55" s="302"/>
      <c r="L55" s="302"/>
      <c r="M55" s="302"/>
      <c r="N55" s="302"/>
      <c r="O55" s="302"/>
      <c r="P55" s="302"/>
      <c r="Q55" s="302"/>
      <c r="R55" s="302"/>
      <c r="S55" s="302"/>
      <c r="T55" s="302"/>
      <c r="U55" s="302"/>
      <c r="V55" s="302"/>
      <c r="W55" s="302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  <c r="AI55" s="302"/>
      <c r="AJ55" s="302"/>
      <c r="AK55" s="302"/>
      <c r="AL55" s="302"/>
      <c r="AM55" s="302"/>
      <c r="AN55" s="302"/>
      <c r="AO55" s="302"/>
      <c r="AP55" s="302"/>
      <c r="AQ55" s="302"/>
      <c r="AR55" s="302"/>
      <c r="AS55" s="302"/>
      <c r="AT55" s="302"/>
      <c r="AU55" s="302"/>
      <c r="AV55" s="302"/>
      <c r="AW55" s="302"/>
      <c r="AX55" s="302"/>
      <c r="AY55" s="302"/>
      <c r="AZ55" s="302"/>
      <c r="BA55" s="302"/>
      <c r="BB55" s="302"/>
      <c r="BC55" s="302"/>
      <c r="BD55" s="302"/>
      <c r="BE55" s="302"/>
      <c r="BF55" s="302"/>
      <c r="BG55" s="302"/>
      <c r="BH55" s="302"/>
      <c r="BI55" s="302"/>
      <c r="BJ55" s="302"/>
      <c r="BK55" s="302"/>
      <c r="BL55" s="302"/>
      <c r="BM55" s="302"/>
      <c r="BN55" s="302"/>
      <c r="BO55" s="302"/>
      <c r="BP55" s="302"/>
      <c r="BQ55" s="302"/>
      <c r="BR55" s="302"/>
      <c r="BS55" s="302"/>
      <c r="BT55" s="302"/>
      <c r="BU55" s="302"/>
      <c r="BV55" s="302"/>
      <c r="BW55" s="302"/>
      <c r="BX55" s="302"/>
      <c r="BY55" s="302"/>
      <c r="BZ55" s="302"/>
      <c r="CA55" s="302"/>
      <c r="CB55" s="302"/>
      <c r="CC55" s="302"/>
      <c r="CD55" s="302"/>
      <c r="CE55" s="302"/>
      <c r="CF55" s="302"/>
      <c r="CG55" s="302"/>
      <c r="CH55" s="302"/>
    </row>
    <row r="56" spans="1:86" ht="15" customHeight="1" x14ac:dyDescent="0.25">
      <c r="A56" s="53" t="s">
        <v>571</v>
      </c>
      <c r="B56" s="206">
        <v>46113</v>
      </c>
      <c r="C56" s="302"/>
      <c r="D56" s="302"/>
      <c r="E56" s="302"/>
      <c r="F56" s="302"/>
      <c r="G56" s="302"/>
      <c r="H56" s="302"/>
      <c r="I56" s="302"/>
      <c r="J56" s="302"/>
      <c r="K56" s="302"/>
      <c r="L56" s="302"/>
      <c r="M56" s="302"/>
      <c r="N56" s="302"/>
      <c r="O56" s="302"/>
      <c r="P56" s="302"/>
      <c r="Q56" s="302"/>
      <c r="R56" s="302"/>
      <c r="S56" s="302"/>
      <c r="T56" s="302"/>
      <c r="U56" s="302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302"/>
      <c r="AM56" s="302"/>
      <c r="AN56" s="302"/>
      <c r="AO56" s="302"/>
      <c r="AP56" s="302"/>
      <c r="AQ56" s="302"/>
      <c r="AR56" s="302"/>
      <c r="AS56" s="302"/>
      <c r="AT56" s="302"/>
      <c r="AU56" s="302"/>
      <c r="AV56" s="302"/>
      <c r="AW56" s="302"/>
      <c r="AX56" s="302"/>
      <c r="AY56" s="302"/>
      <c r="AZ56" s="302"/>
      <c r="BA56" s="302"/>
      <c r="BB56" s="302"/>
      <c r="BC56" s="302"/>
      <c r="BD56" s="302"/>
      <c r="BE56" s="302"/>
      <c r="BF56" s="302"/>
      <c r="BG56" s="302"/>
      <c r="BH56" s="302"/>
      <c r="BI56" s="302"/>
      <c r="BJ56" s="302"/>
      <c r="BK56" s="302"/>
      <c r="BL56" s="302"/>
      <c r="BM56" s="302"/>
      <c r="BN56" s="302"/>
      <c r="BO56" s="302"/>
      <c r="BP56" s="302"/>
      <c r="BQ56" s="302"/>
      <c r="BR56" s="302"/>
      <c r="BS56" s="302"/>
      <c r="BT56" s="302"/>
      <c r="BU56" s="302"/>
      <c r="BV56" s="302"/>
      <c r="BW56" s="302"/>
      <c r="BX56" s="302"/>
      <c r="BY56" s="302"/>
      <c r="BZ56" s="302"/>
      <c r="CA56" s="302"/>
      <c r="CB56" s="302"/>
      <c r="CC56" s="302"/>
      <c r="CD56" s="302"/>
      <c r="CE56" s="302"/>
      <c r="CF56" s="302"/>
      <c r="CG56" s="302"/>
      <c r="CH56" s="302"/>
    </row>
    <row r="57" spans="1:86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  <c r="J57" s="302"/>
      <c r="K57" s="302"/>
      <c r="L57" s="302"/>
      <c r="M57" s="302"/>
      <c r="N57" s="302"/>
      <c r="O57" s="302"/>
      <c r="P57" s="302"/>
      <c r="Q57" s="302"/>
      <c r="R57" s="302"/>
      <c r="S57" s="302"/>
      <c r="T57" s="302"/>
      <c r="U57" s="302"/>
      <c r="V57" s="302"/>
      <c r="W57" s="302"/>
      <c r="X57" s="302"/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  <c r="AI57" s="302"/>
      <c r="AJ57" s="302"/>
      <c r="AK57" s="302"/>
      <c r="AL57" s="302"/>
      <c r="AM57" s="302"/>
      <c r="AN57" s="302"/>
      <c r="AO57" s="302"/>
      <c r="AP57" s="302"/>
      <c r="AQ57" s="302"/>
      <c r="AR57" s="302"/>
      <c r="AS57" s="302"/>
      <c r="AT57" s="302"/>
      <c r="AU57" s="302"/>
      <c r="AV57" s="302"/>
      <c r="AW57" s="302"/>
      <c r="AX57" s="302"/>
      <c r="AY57" s="302"/>
      <c r="AZ57" s="302"/>
      <c r="BA57" s="302"/>
      <c r="BB57" s="302"/>
      <c r="BC57" s="302"/>
      <c r="BD57" s="302"/>
      <c r="BE57" s="302"/>
      <c r="BF57" s="302"/>
      <c r="BG57" s="302"/>
      <c r="BH57" s="302"/>
      <c r="BI57" s="302"/>
      <c r="BJ57" s="302"/>
      <c r="BK57" s="302"/>
      <c r="BL57" s="302"/>
      <c r="BM57" s="302"/>
      <c r="BN57" s="302"/>
      <c r="BO57" s="302"/>
      <c r="BP57" s="302"/>
      <c r="BQ57" s="302"/>
      <c r="BR57" s="302"/>
      <c r="BS57" s="302"/>
      <c r="BT57" s="302"/>
      <c r="BU57" s="302"/>
      <c r="BV57" s="302"/>
      <c r="BW57" s="302"/>
      <c r="BX57" s="302"/>
      <c r="BY57" s="302"/>
      <c r="BZ57" s="302"/>
      <c r="CA57" s="302"/>
      <c r="CB57" s="302"/>
      <c r="CC57" s="302"/>
      <c r="CD57" s="302"/>
      <c r="CE57" s="302"/>
      <c r="CF57" s="302"/>
      <c r="CG57" s="302"/>
      <c r="CH57" s="302"/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8EA3BE"/>
  </sheetPr>
  <dimension ref="A1:I132"/>
  <sheetViews>
    <sheetView zoomScale="85" zoomScaleNormal="85" workbookViewId="0">
      <pane xSplit="1" ySplit="3" topLeftCell="B18" activePane="bottomRight" state="frozen"/>
      <selection pane="topRight" activeCell="B1" sqref="B1"/>
      <selection pane="bottomLeft" activeCell="A18" sqref="A18"/>
      <selection pane="bottomRight" activeCell="C45" sqref="C45"/>
    </sheetView>
  </sheetViews>
  <sheetFormatPr defaultColWidth="8.7109375" defaultRowHeight="15" customHeight="1" x14ac:dyDescent="0.25"/>
  <cols>
    <col min="1" max="1" width="38" customWidth="1"/>
    <col min="2" max="7" width="14" customWidth="1"/>
    <col min="8" max="9" width="13" customWidth="1"/>
  </cols>
  <sheetData>
    <row r="1" spans="1:9" ht="17.25" customHeight="1" x14ac:dyDescent="0.3">
      <c r="A1" s="355" t="s">
        <v>572</v>
      </c>
      <c r="B1" s="356"/>
      <c r="C1" s="356"/>
      <c r="D1" s="356"/>
      <c r="E1" s="356"/>
      <c r="F1" s="356"/>
      <c r="G1" s="356"/>
      <c r="H1" s="302"/>
      <c r="I1" s="302"/>
    </row>
    <row r="2" spans="1:9" ht="15" customHeight="1" x14ac:dyDescent="0.25">
      <c r="A2" s="302"/>
      <c r="B2" s="302"/>
      <c r="C2" s="302"/>
      <c r="D2" s="302"/>
      <c r="E2" s="302"/>
      <c r="F2" s="302"/>
      <c r="G2" s="302"/>
      <c r="H2" s="302"/>
      <c r="I2" s="302"/>
    </row>
    <row r="3" spans="1:9" ht="15" customHeight="1" x14ac:dyDescent="0.25">
      <c r="A3" s="303" t="s">
        <v>573</v>
      </c>
      <c r="B3" s="303"/>
      <c r="C3" s="303"/>
      <c r="D3" s="303"/>
      <c r="E3" s="303"/>
      <c r="F3" s="303"/>
      <c r="G3" s="303"/>
      <c r="H3" s="302"/>
      <c r="I3" s="302"/>
    </row>
    <row r="4" spans="1:9" ht="15" customHeight="1" x14ac:dyDescent="0.25">
      <c r="A4" s="315" t="s">
        <v>574</v>
      </c>
      <c r="B4" s="315" t="s">
        <v>575</v>
      </c>
      <c r="C4" s="315" t="s">
        <v>576</v>
      </c>
      <c r="D4" s="315" t="s">
        <v>577</v>
      </c>
      <c r="E4" s="315" t="s">
        <v>578</v>
      </c>
      <c r="F4" s="315" t="s">
        <v>579</v>
      </c>
      <c r="G4" s="315" t="s">
        <v>466</v>
      </c>
      <c r="H4" s="302"/>
      <c r="I4" s="302"/>
    </row>
    <row r="5" spans="1:9" ht="15" customHeight="1" x14ac:dyDescent="0.25">
      <c r="A5" s="2" t="s">
        <v>580</v>
      </c>
      <c r="B5" s="207">
        <f>Assumptions!B4</f>
        <v>0.06</v>
      </c>
      <c r="C5" s="208">
        <v>0.06</v>
      </c>
      <c r="D5" s="209">
        <v>0.04</v>
      </c>
      <c r="E5" s="209">
        <v>0.08</v>
      </c>
      <c r="F5" s="2" t="s">
        <v>581</v>
      </c>
      <c r="G5" s="54" t="s">
        <v>582</v>
      </c>
      <c r="H5" s="302"/>
      <c r="I5" s="302"/>
    </row>
    <row r="6" spans="1:9" ht="15" customHeight="1" x14ac:dyDescent="0.25">
      <c r="A6" s="2" t="s">
        <v>583</v>
      </c>
      <c r="B6" s="207">
        <f>Assumptions!B5</f>
        <v>0.06</v>
      </c>
      <c r="C6" s="208">
        <v>0.06</v>
      </c>
      <c r="D6" s="209">
        <v>0.04</v>
      </c>
      <c r="E6" s="209">
        <v>0.08</v>
      </c>
      <c r="F6" s="2" t="s">
        <v>581</v>
      </c>
      <c r="G6" s="54" t="s">
        <v>582</v>
      </c>
      <c r="H6" s="302"/>
      <c r="I6" s="302"/>
    </row>
    <row r="7" spans="1:9" ht="15" customHeight="1" x14ac:dyDescent="0.25">
      <c r="A7" s="2" t="s">
        <v>584</v>
      </c>
      <c r="B7" s="207">
        <f>Assumptions!B6</f>
        <v>0.02</v>
      </c>
      <c r="C7" s="208">
        <v>0.02</v>
      </c>
      <c r="D7" s="209">
        <v>0.01</v>
      </c>
      <c r="E7" s="209">
        <v>0.03</v>
      </c>
      <c r="F7" s="2" t="s">
        <v>581</v>
      </c>
      <c r="G7" s="54" t="s">
        <v>585</v>
      </c>
      <c r="H7" s="302"/>
      <c r="I7" s="302"/>
    </row>
    <row r="8" spans="1:9" ht="15" customHeight="1" x14ac:dyDescent="0.25">
      <c r="A8" s="2"/>
      <c r="B8" s="207"/>
      <c r="C8" s="208"/>
      <c r="D8" s="209"/>
      <c r="E8" s="209"/>
      <c r="F8" s="2"/>
      <c r="G8" s="54"/>
      <c r="H8" s="302"/>
      <c r="I8" s="302"/>
    </row>
    <row r="9" spans="1:9" ht="15" customHeight="1" x14ac:dyDescent="0.25">
      <c r="A9" s="2" t="s">
        <v>586</v>
      </c>
      <c r="B9" s="207">
        <f>Assumptions!B26</f>
        <v>0.02</v>
      </c>
      <c r="C9" s="208">
        <v>0.02</v>
      </c>
      <c r="D9" s="209">
        <v>0</v>
      </c>
      <c r="E9" s="209">
        <v>0.04</v>
      </c>
      <c r="F9" s="2" t="s">
        <v>581</v>
      </c>
      <c r="G9" s="54" t="s">
        <v>587</v>
      </c>
      <c r="H9" s="302"/>
      <c r="I9" s="302"/>
    </row>
    <row r="10" spans="1:9" ht="15" customHeight="1" x14ac:dyDescent="0.25">
      <c r="A10" s="2" t="s">
        <v>588</v>
      </c>
      <c r="B10" s="207">
        <f>Assumptions!B15</f>
        <v>1.4999999999999999E-2</v>
      </c>
      <c r="C10" s="208">
        <v>1.4999999999999999E-2</v>
      </c>
      <c r="D10" s="209">
        <v>0.01</v>
      </c>
      <c r="E10" s="209">
        <v>0.02</v>
      </c>
      <c r="F10" s="2" t="s">
        <v>581</v>
      </c>
      <c r="G10" s="54" t="s">
        <v>589</v>
      </c>
      <c r="H10" s="302"/>
      <c r="I10" s="302"/>
    </row>
    <row r="11" spans="1:9" ht="15" customHeight="1" x14ac:dyDescent="0.25">
      <c r="A11" s="2" t="s">
        <v>590</v>
      </c>
      <c r="B11" s="207">
        <f>Assumptions!B16</f>
        <v>7.4000000000000003E-3</v>
      </c>
      <c r="C11" s="208">
        <v>7.4000000000000003E-3</v>
      </c>
      <c r="D11" s="209">
        <v>5.0000000000000001E-3</v>
      </c>
      <c r="E11" s="209">
        <v>1.4999999999999999E-2</v>
      </c>
      <c r="F11" s="2" t="s">
        <v>581</v>
      </c>
      <c r="G11" s="54" t="s">
        <v>591</v>
      </c>
      <c r="H11" s="302"/>
      <c r="I11" s="302"/>
    </row>
    <row r="12" spans="1:9" ht="15" customHeight="1" x14ac:dyDescent="0.25">
      <c r="A12" s="2" t="s">
        <v>592</v>
      </c>
      <c r="B12" s="207">
        <f>Assumptions!B17</f>
        <v>3.2500000000000001E-2</v>
      </c>
      <c r="C12" s="208">
        <v>3.2500000000000001E-2</v>
      </c>
      <c r="D12" s="209">
        <v>0.02</v>
      </c>
      <c r="E12" s="209">
        <v>0.05</v>
      </c>
      <c r="F12" s="2" t="s">
        <v>581</v>
      </c>
      <c r="G12" s="54" t="s">
        <v>593</v>
      </c>
      <c r="H12" s="302"/>
      <c r="I12" s="302"/>
    </row>
    <row r="13" spans="1:9" ht="15" customHeight="1" x14ac:dyDescent="0.25">
      <c r="A13" s="2" t="s">
        <v>594</v>
      </c>
      <c r="B13" s="207">
        <f>Assumptions!B34</f>
        <v>0.15</v>
      </c>
      <c r="C13" s="208">
        <v>0.15</v>
      </c>
      <c r="D13" s="209">
        <v>0.1</v>
      </c>
      <c r="E13" s="209">
        <v>0.2</v>
      </c>
      <c r="F13" s="2" t="s">
        <v>581</v>
      </c>
      <c r="G13" s="54" t="s">
        <v>595</v>
      </c>
      <c r="H13" s="302"/>
      <c r="I13" s="302"/>
    </row>
    <row r="14" spans="1:9" ht="15" customHeight="1" x14ac:dyDescent="0.25">
      <c r="A14" s="2" t="s">
        <v>596</v>
      </c>
      <c r="B14" s="199">
        <f>Assumptions!B36</f>
        <v>130000</v>
      </c>
      <c r="C14" s="210">
        <v>130000</v>
      </c>
      <c r="D14" s="211">
        <v>100000</v>
      </c>
      <c r="E14" s="211">
        <v>175000</v>
      </c>
      <c r="F14" s="2" t="s">
        <v>597</v>
      </c>
      <c r="G14" s="54" t="s">
        <v>598</v>
      </c>
      <c r="H14" s="302"/>
      <c r="I14" s="302"/>
    </row>
    <row r="15" spans="1:9" ht="15" customHeight="1" x14ac:dyDescent="0.25">
      <c r="A15" s="2" t="s">
        <v>599</v>
      </c>
      <c r="B15" s="207">
        <f>Assumptions!B58</f>
        <v>0.15</v>
      </c>
      <c r="C15" s="208">
        <v>0.15</v>
      </c>
      <c r="D15" s="209">
        <v>0.1</v>
      </c>
      <c r="E15" s="209">
        <v>0.2</v>
      </c>
      <c r="F15" s="2" t="s">
        <v>581</v>
      </c>
      <c r="G15" s="54" t="s">
        <v>600</v>
      </c>
      <c r="H15" s="302"/>
      <c r="I15" s="302"/>
    </row>
    <row r="16" spans="1:9" ht="15" customHeight="1" x14ac:dyDescent="0.25">
      <c r="A16" s="2" t="s">
        <v>601</v>
      </c>
      <c r="B16" s="207">
        <f>Assumptions!B47</f>
        <v>0.01</v>
      </c>
      <c r="C16" s="208">
        <v>0.01</v>
      </c>
      <c r="D16" s="209">
        <v>5.0000000000000001E-3</v>
      </c>
      <c r="E16" s="209">
        <v>0.02</v>
      </c>
      <c r="F16" s="2" t="s">
        <v>581</v>
      </c>
      <c r="G16" s="54" t="s">
        <v>602</v>
      </c>
      <c r="H16" s="302"/>
      <c r="I16" s="302"/>
    </row>
    <row r="17" spans="1:9" ht="15" customHeight="1" x14ac:dyDescent="0.25">
      <c r="A17" s="2" t="s">
        <v>603</v>
      </c>
      <c r="B17" s="207">
        <f>Assumptions!B48</f>
        <v>0.03</v>
      </c>
      <c r="C17" s="208">
        <v>0.03</v>
      </c>
      <c r="D17" s="209">
        <v>0.02</v>
      </c>
      <c r="E17" s="209">
        <v>0.05</v>
      </c>
      <c r="F17" s="2" t="s">
        <v>581</v>
      </c>
      <c r="G17" s="54" t="s">
        <v>604</v>
      </c>
      <c r="H17" s="302"/>
      <c r="I17" s="302"/>
    </row>
    <row r="18" spans="1:9" ht="15" customHeight="1" x14ac:dyDescent="0.25">
      <c r="A18" s="2" t="s">
        <v>605</v>
      </c>
      <c r="B18" s="212">
        <v>10</v>
      </c>
      <c r="C18" s="213">
        <v>10</v>
      </c>
      <c r="D18" s="214">
        <v>5</v>
      </c>
      <c r="E18" s="214">
        <v>15</v>
      </c>
      <c r="F18" s="2" t="s">
        <v>606</v>
      </c>
      <c r="G18" s="54" t="s">
        <v>607</v>
      </c>
      <c r="H18" s="302"/>
      <c r="I18" s="302"/>
    </row>
    <row r="19" spans="1:9" ht="15" customHeight="1" x14ac:dyDescent="0.25">
      <c r="A19" s="2" t="s">
        <v>608</v>
      </c>
      <c r="B19" s="215">
        <v>18700</v>
      </c>
      <c r="C19" s="210">
        <v>18700</v>
      </c>
      <c r="D19" s="211">
        <v>15000</v>
      </c>
      <c r="E19" s="211">
        <v>25000</v>
      </c>
      <c r="F19" s="2" t="s">
        <v>597</v>
      </c>
      <c r="G19" s="54" t="s">
        <v>609</v>
      </c>
      <c r="H19" s="302"/>
      <c r="I19" s="302"/>
    </row>
    <row r="20" spans="1:9" ht="15" customHeight="1" x14ac:dyDescent="0.25">
      <c r="A20" s="302"/>
      <c r="B20" s="302"/>
      <c r="C20" s="302"/>
      <c r="D20" s="302"/>
      <c r="E20" s="302"/>
      <c r="F20" s="302"/>
      <c r="G20" s="302"/>
      <c r="H20" s="302"/>
      <c r="I20" s="302"/>
    </row>
    <row r="21" spans="1:9" ht="15" customHeight="1" x14ac:dyDescent="0.25">
      <c r="A21" s="302"/>
      <c r="B21" s="302"/>
      <c r="C21" s="302"/>
      <c r="D21" s="302"/>
      <c r="E21" s="302"/>
      <c r="F21" s="302"/>
      <c r="G21" s="302"/>
      <c r="H21" s="302"/>
      <c r="I21" s="302"/>
    </row>
    <row r="22" spans="1:9" ht="15" customHeight="1" x14ac:dyDescent="0.25">
      <c r="A22" s="303" t="s">
        <v>610</v>
      </c>
      <c r="B22" s="303"/>
      <c r="C22" s="303"/>
      <c r="D22" s="303"/>
      <c r="E22" s="303"/>
      <c r="F22" s="303"/>
      <c r="G22" s="303"/>
      <c r="H22" s="302"/>
      <c r="I22" s="302"/>
    </row>
    <row r="23" spans="1:9" ht="15" customHeight="1" x14ac:dyDescent="0.25">
      <c r="A23" s="315" t="s">
        <v>295</v>
      </c>
      <c r="B23" s="315" t="s">
        <v>301</v>
      </c>
      <c r="C23" s="315" t="s">
        <v>611</v>
      </c>
      <c r="D23" s="315" t="s">
        <v>306</v>
      </c>
      <c r="E23" s="315" t="s">
        <v>298</v>
      </c>
      <c r="F23" s="315" t="s">
        <v>612</v>
      </c>
      <c r="G23" s="315" t="s">
        <v>305</v>
      </c>
      <c r="H23" s="302"/>
      <c r="I23" s="302"/>
    </row>
    <row r="24" spans="1:9" ht="15" customHeight="1" x14ac:dyDescent="0.25">
      <c r="A24" s="2" t="s">
        <v>313</v>
      </c>
      <c r="B24" s="216" t="str">
        <f>Projects!$G$2</f>
        <v>Yes</v>
      </c>
      <c r="C24" s="215">
        <v>5321971</v>
      </c>
      <c r="D24" s="2" t="s">
        <v>613</v>
      </c>
      <c r="E24" s="2" t="s">
        <v>614</v>
      </c>
      <c r="F24" s="2" t="s">
        <v>314</v>
      </c>
      <c r="G24" s="2" t="s">
        <v>314</v>
      </c>
      <c r="H24" s="302"/>
      <c r="I24" s="302"/>
    </row>
    <row r="25" spans="1:9" ht="15" customHeight="1" x14ac:dyDescent="0.25">
      <c r="A25" s="2" t="s">
        <v>317</v>
      </c>
      <c r="B25" s="216" t="str">
        <f>Projects!$G$3</f>
        <v>Yes</v>
      </c>
      <c r="C25" s="215">
        <v>19982132</v>
      </c>
      <c r="D25" s="2" t="s">
        <v>613</v>
      </c>
      <c r="E25" s="2" t="s">
        <v>615</v>
      </c>
      <c r="F25" s="2" t="s">
        <v>314</v>
      </c>
      <c r="G25" s="2" t="s">
        <v>314</v>
      </c>
      <c r="H25" s="302"/>
      <c r="I25" s="302"/>
    </row>
    <row r="26" spans="1:9" ht="15" customHeight="1" x14ac:dyDescent="0.25">
      <c r="A26" s="2" t="s">
        <v>166</v>
      </c>
      <c r="B26" s="216" t="str">
        <f>Projects!$G$4</f>
        <v>Yes</v>
      </c>
      <c r="C26" s="215">
        <v>11673185</v>
      </c>
      <c r="D26" s="2" t="s">
        <v>616</v>
      </c>
      <c r="E26" s="2" t="s">
        <v>617</v>
      </c>
      <c r="F26" s="2" t="s">
        <v>314</v>
      </c>
      <c r="G26" s="2" t="s">
        <v>315</v>
      </c>
      <c r="H26" s="302"/>
      <c r="I26" s="302"/>
    </row>
    <row r="27" spans="1:9" ht="15" customHeight="1" x14ac:dyDescent="0.25">
      <c r="A27" s="2" t="s">
        <v>167</v>
      </c>
      <c r="B27" s="216" t="str">
        <f>Projects!$G$5</f>
        <v>Yes</v>
      </c>
      <c r="C27" s="215">
        <v>13492534</v>
      </c>
      <c r="D27" s="2" t="s">
        <v>616</v>
      </c>
      <c r="E27" s="2" t="s">
        <v>617</v>
      </c>
      <c r="F27" s="2" t="s">
        <v>314</v>
      </c>
      <c r="G27" s="2" t="s">
        <v>315</v>
      </c>
      <c r="H27" s="302"/>
      <c r="I27" s="302"/>
    </row>
    <row r="28" spans="1:9" ht="15" customHeight="1" x14ac:dyDescent="0.25">
      <c r="A28" s="2" t="s">
        <v>319</v>
      </c>
      <c r="B28" s="216" t="str">
        <f>Projects!$G$6</f>
        <v>Yes</v>
      </c>
      <c r="C28" s="215">
        <v>4052747</v>
      </c>
      <c r="D28" s="2" t="s">
        <v>616</v>
      </c>
      <c r="E28" s="2" t="s">
        <v>618</v>
      </c>
      <c r="F28" s="2" t="s">
        <v>314</v>
      </c>
      <c r="G28" s="2" t="s">
        <v>315</v>
      </c>
      <c r="H28" s="302"/>
      <c r="I28" s="302"/>
    </row>
    <row r="29" spans="1:9" ht="15" customHeight="1" x14ac:dyDescent="0.25">
      <c r="A29" s="2" t="s">
        <v>168</v>
      </c>
      <c r="B29" s="216" t="str">
        <f>Projects!$G$7</f>
        <v>Yes</v>
      </c>
      <c r="C29" s="215">
        <v>42968448</v>
      </c>
      <c r="D29" s="2" t="s">
        <v>613</v>
      </c>
      <c r="E29" s="2" t="s">
        <v>619</v>
      </c>
      <c r="F29" s="2" t="s">
        <v>315</v>
      </c>
      <c r="G29" s="2" t="s">
        <v>315</v>
      </c>
      <c r="H29" s="302"/>
      <c r="I29" s="302"/>
    </row>
    <row r="30" spans="1:9" ht="15" customHeight="1" x14ac:dyDescent="0.25">
      <c r="A30" s="2" t="s">
        <v>169</v>
      </c>
      <c r="B30" s="216" t="str">
        <f>Projects!$G$8</f>
        <v>Yes</v>
      </c>
      <c r="C30" s="215">
        <v>13625772</v>
      </c>
      <c r="D30" s="2" t="s">
        <v>616</v>
      </c>
      <c r="E30" s="2" t="s">
        <v>618</v>
      </c>
      <c r="F30" s="2" t="s">
        <v>314</v>
      </c>
      <c r="G30" s="2" t="s">
        <v>315</v>
      </c>
      <c r="H30" s="302"/>
      <c r="I30" s="302"/>
    </row>
    <row r="31" spans="1:9" ht="15" customHeight="1" x14ac:dyDescent="0.25">
      <c r="A31" s="2" t="s">
        <v>170</v>
      </c>
      <c r="B31" s="216" t="str">
        <f>Projects!$G$9</f>
        <v>Yes</v>
      </c>
      <c r="C31" s="215">
        <v>15844883</v>
      </c>
      <c r="D31" s="2" t="s">
        <v>616</v>
      </c>
      <c r="E31" s="2" t="s">
        <v>620</v>
      </c>
      <c r="F31" s="2" t="s">
        <v>314</v>
      </c>
      <c r="G31" s="2" t="s">
        <v>315</v>
      </c>
      <c r="H31" s="302"/>
      <c r="I31" s="302"/>
    </row>
    <row r="32" spans="1:9" ht="15" customHeight="1" x14ac:dyDescent="0.25">
      <c r="A32" s="2" t="s">
        <v>171</v>
      </c>
      <c r="B32" s="216" t="str">
        <f>Projects!$G$10</f>
        <v>Yes</v>
      </c>
      <c r="C32" s="215">
        <v>21263405</v>
      </c>
      <c r="D32" s="2" t="s">
        <v>616</v>
      </c>
      <c r="E32" s="2" t="s">
        <v>618</v>
      </c>
      <c r="F32" s="2" t="s">
        <v>314</v>
      </c>
      <c r="G32" s="2" t="s">
        <v>315</v>
      </c>
      <c r="H32" s="302"/>
      <c r="I32" s="302"/>
    </row>
    <row r="33" spans="1:9" ht="15" customHeight="1" x14ac:dyDescent="0.25">
      <c r="A33" s="2" t="s">
        <v>320</v>
      </c>
      <c r="B33" s="216" t="str">
        <f>Projects!$G$11</f>
        <v>No</v>
      </c>
      <c r="C33" s="215">
        <v>9577109</v>
      </c>
      <c r="D33" s="2" t="s">
        <v>613</v>
      </c>
      <c r="E33" s="2" t="s">
        <v>618</v>
      </c>
      <c r="F33" s="2" t="s">
        <v>315</v>
      </c>
      <c r="G33" s="2" t="s">
        <v>314</v>
      </c>
      <c r="H33" s="302"/>
      <c r="I33" s="302"/>
    </row>
    <row r="34" spans="1:9" ht="15" customHeight="1" x14ac:dyDescent="0.25">
      <c r="A34" s="2" t="s">
        <v>321</v>
      </c>
      <c r="B34" s="216" t="str">
        <f>Projects!$G$12</f>
        <v>No</v>
      </c>
      <c r="C34" s="215">
        <v>7545203</v>
      </c>
      <c r="D34" s="2" t="s">
        <v>613</v>
      </c>
      <c r="E34" s="2" t="s">
        <v>618</v>
      </c>
      <c r="F34" s="2" t="s">
        <v>315</v>
      </c>
      <c r="G34" s="2" t="s">
        <v>314</v>
      </c>
      <c r="H34" s="302"/>
      <c r="I34" s="302"/>
    </row>
    <row r="35" spans="1:9" ht="15" customHeight="1" x14ac:dyDescent="0.25">
      <c r="A35" s="2" t="s">
        <v>172</v>
      </c>
      <c r="B35" s="216" t="str">
        <f>Projects!$G$13</f>
        <v>Yes</v>
      </c>
      <c r="C35" s="215">
        <v>45266770</v>
      </c>
      <c r="D35" s="2" t="s">
        <v>613</v>
      </c>
      <c r="E35" s="2" t="s">
        <v>620</v>
      </c>
      <c r="F35" s="2" t="s">
        <v>315</v>
      </c>
      <c r="G35" s="2" t="s">
        <v>315</v>
      </c>
      <c r="H35" s="302"/>
      <c r="I35" s="302"/>
    </row>
    <row r="36" spans="1:9" ht="15" customHeight="1" x14ac:dyDescent="0.25">
      <c r="A36" s="2" t="s">
        <v>173</v>
      </c>
      <c r="B36" s="216" t="str">
        <f>Projects!$G$14</f>
        <v>Yes</v>
      </c>
      <c r="C36" s="215">
        <v>41354632</v>
      </c>
      <c r="D36" s="2" t="s">
        <v>613</v>
      </c>
      <c r="E36" s="2" t="s">
        <v>620</v>
      </c>
      <c r="F36" s="2" t="s">
        <v>315</v>
      </c>
      <c r="G36" s="2" t="s">
        <v>315</v>
      </c>
      <c r="H36" s="302"/>
      <c r="I36" s="302"/>
    </row>
    <row r="37" spans="1:9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</row>
    <row r="38" spans="1:9" ht="15" customHeight="1" x14ac:dyDescent="0.25">
      <c r="A38" s="302"/>
      <c r="B38" s="302"/>
      <c r="C38" s="302"/>
      <c r="D38" s="302"/>
      <c r="E38" s="302"/>
      <c r="F38" s="302"/>
      <c r="G38" s="302"/>
      <c r="H38" s="302"/>
      <c r="I38" s="302"/>
    </row>
    <row r="39" spans="1:9" ht="15" customHeight="1" x14ac:dyDescent="0.25">
      <c r="A39" s="303" t="s">
        <v>621</v>
      </c>
      <c r="B39" s="303"/>
      <c r="C39" s="303"/>
      <c r="D39" s="303"/>
      <c r="E39" s="303"/>
      <c r="F39" s="303"/>
      <c r="G39" s="303"/>
      <c r="H39" s="303"/>
      <c r="I39" s="303"/>
    </row>
    <row r="40" spans="1:9" ht="15" customHeight="1" x14ac:dyDescent="0.25">
      <c r="A40" s="315" t="s">
        <v>622</v>
      </c>
      <c r="B40" s="348" t="s">
        <v>2</v>
      </c>
      <c r="C40" s="348" t="s">
        <v>3</v>
      </c>
      <c r="D40" s="348" t="s">
        <v>4</v>
      </c>
      <c r="E40" s="348" t="s">
        <v>5</v>
      </c>
      <c r="F40" s="348" t="s">
        <v>6</v>
      </c>
      <c r="G40" s="348" t="s">
        <v>7</v>
      </c>
      <c r="H40" s="348" t="s">
        <v>8</v>
      </c>
      <c r="I40" s="348" t="s">
        <v>9</v>
      </c>
    </row>
    <row r="41" spans="1:9" ht="15" customHeight="1" x14ac:dyDescent="0.25">
      <c r="A41" s="19" t="s">
        <v>233</v>
      </c>
      <c r="B41" s="200">
        <f>'Annual Summary'!B10</f>
        <v>-52239810.516309649</v>
      </c>
      <c r="C41" s="200">
        <f>'Annual Summary'!C10</f>
        <v>-78230555.413790554</v>
      </c>
      <c r="D41" s="200">
        <f>'Annual Summary'!D10</f>
        <v>-45211131.992617086</v>
      </c>
      <c r="E41" s="200">
        <f>'Annual Summary'!E10</f>
        <v>-59594372.922633313</v>
      </c>
      <c r="F41" s="200">
        <f>'Annual Summary'!F10</f>
        <v>-50823002.2455424</v>
      </c>
      <c r="G41" s="200">
        <f>'Annual Summary'!G10</f>
        <v>-63270888.599999987</v>
      </c>
      <c r="H41" s="200">
        <f>'Annual Summary'!H10</f>
        <v>-48700071.899999991</v>
      </c>
      <c r="I41" s="200">
        <f>'Annual Summary'!I10</f>
        <v>-53608578.000000007</v>
      </c>
    </row>
    <row r="42" spans="1:9" ht="15" customHeight="1" x14ac:dyDescent="0.25">
      <c r="A42" s="31" t="s">
        <v>28</v>
      </c>
      <c r="B42" s="217">
        <f>'Annual Summary'!B20</f>
        <v>-830666.66666666686</v>
      </c>
      <c r="C42" s="217">
        <f>'Annual Summary'!C20</f>
        <v>-1246000.0000000002</v>
      </c>
      <c r="D42" s="217">
        <f>'Annual Summary'!D20</f>
        <v>-1246000.0000000002</v>
      </c>
      <c r="E42" s="217">
        <f>'Annual Summary'!E20</f>
        <v>-1246000.0000000002</v>
      </c>
      <c r="F42" s="217">
        <f>'Annual Summary'!F20</f>
        <v>-1246000.0000000002</v>
      </c>
      <c r="G42" s="217">
        <f>'Annual Summary'!G20</f>
        <v>-1246000.0000000002</v>
      </c>
      <c r="H42" s="217">
        <f>'Annual Summary'!H20</f>
        <v>-1246000.0000000002</v>
      </c>
      <c r="I42" s="217">
        <f>'Annual Summary'!I20</f>
        <v>-1246000.0000000002</v>
      </c>
    </row>
    <row r="43" spans="1:9" ht="15" customHeight="1" x14ac:dyDescent="0.25">
      <c r="A43" s="2" t="s">
        <v>29</v>
      </c>
      <c r="B43" s="207">
        <f ca="1">'Annual Summary'!B22</f>
        <v>-4913868</v>
      </c>
      <c r="C43" s="207">
        <f ca="1">'Annual Summary'!C22</f>
        <v>-6467764.8055000016</v>
      </c>
      <c r="D43" s="207">
        <f ca="1">'Annual Summary'!D22</f>
        <v>-6631936.1016099993</v>
      </c>
      <c r="E43" s="207">
        <f ca="1">'Annual Summary'!E22</f>
        <v>-6828904.8236422008</v>
      </c>
      <c r="F43" s="207">
        <f ca="1">'Annual Summary'!F22</f>
        <v>-6930512.9201150406</v>
      </c>
      <c r="G43" s="207">
        <f ca="1">'Annual Summary'!G22</f>
        <v>-7094303.1785173425</v>
      </c>
      <c r="H43" s="207">
        <f ca="1">'Annual Summary'!H22</f>
        <v>-7181531.3911818359</v>
      </c>
      <c r="I43" s="207">
        <f ca="1">'Annual Summary'!I22</f>
        <v>-7188605.6269294461</v>
      </c>
    </row>
    <row r="44" spans="1:9" ht="15" customHeight="1" x14ac:dyDescent="0.25">
      <c r="A44" s="302"/>
      <c r="B44" s="302"/>
      <c r="C44" s="302"/>
      <c r="D44" s="302"/>
      <c r="E44" s="302"/>
      <c r="F44" s="302"/>
      <c r="G44" s="302"/>
      <c r="H44" s="302"/>
      <c r="I44" s="302"/>
    </row>
    <row r="45" spans="1:9" ht="15" customHeight="1" x14ac:dyDescent="0.25">
      <c r="A45" s="19" t="s">
        <v>30</v>
      </c>
      <c r="B45" s="200">
        <f ca="1">'Annual Summary'!B24</f>
        <v>0.3200065968395161</v>
      </c>
      <c r="C45" s="200">
        <f ca="1">'Annual Summary'!C24</f>
        <v>0.2288601872791397</v>
      </c>
      <c r="D45" s="200">
        <f ca="1">'Annual Summary'!D24</f>
        <v>8.174977558554733E-2</v>
      </c>
      <c r="E45" s="200">
        <f ca="1">'Annual Summary'!E24</f>
        <v>0.12297976436430461</v>
      </c>
      <c r="F45" s="200">
        <f ca="1">'Annual Summary'!F24</f>
        <v>0.10503603850775577</v>
      </c>
      <c r="G45" s="200">
        <f ca="1">'Annual Summary'!G24</f>
        <v>9.8972649372641275E-2</v>
      </c>
      <c r="H45" s="200">
        <f ca="1">'Annual Summary'!H24</f>
        <v>3.9424642395825223E-2</v>
      </c>
      <c r="I45" s="200">
        <f ca="1">'Annual Summary'!I24</f>
        <v>0</v>
      </c>
    </row>
    <row r="46" spans="1:9" ht="15" customHeight="1" x14ac:dyDescent="0.25">
      <c r="A46" s="31" t="s">
        <v>32</v>
      </c>
      <c r="B46" s="217">
        <f>'Annual Summary'!B25</f>
        <v>472791.64000000007</v>
      </c>
      <c r="C46" s="217">
        <f>'Annual Summary'!C25</f>
        <v>813221.42399999988</v>
      </c>
      <c r="D46" s="217">
        <f>'Annual Summary'!D25</f>
        <v>2050567.6580000001</v>
      </c>
      <c r="E46" s="217">
        <f>'Annual Summary'!E25</f>
        <v>1213040.7745000001</v>
      </c>
      <c r="F46" s="217">
        <f>'Annual Summary'!F25</f>
        <v>1748083.8310000005</v>
      </c>
      <c r="G46" s="217">
        <f>'Annual Summary'!G25</f>
        <v>778990.88650000002</v>
      </c>
      <c r="H46" s="217">
        <f>'Annual Summary'!H25</f>
        <v>819993</v>
      </c>
      <c r="I46" s="217">
        <f>'Annual Summary'!I25</f>
        <v>2310160</v>
      </c>
    </row>
    <row r="47" spans="1:9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</row>
    <row r="48" spans="1:9" ht="15" customHeight="1" x14ac:dyDescent="0.25">
      <c r="A48" s="31" t="s">
        <v>134</v>
      </c>
      <c r="B48" s="217">
        <f>'Annual Summary'!B27</f>
        <v>-973366.1133333334</v>
      </c>
      <c r="C48" s="217">
        <f>'Annual Summary'!C27</f>
        <v>-137915.89250000002</v>
      </c>
      <c r="D48" s="217">
        <f>'Annual Summary'!D27</f>
        <v>1080407.5951700001</v>
      </c>
      <c r="E48" s="217">
        <f>'Annual Summary'!E27</f>
        <v>60112.510413400189</v>
      </c>
      <c r="F48" s="217">
        <f>'Annual Summary'!F27</f>
        <v>-538227.69836833188</v>
      </c>
      <c r="G48" s="217">
        <f>'Annual Summary'!G27</f>
        <v>-677835.2134556988</v>
      </c>
      <c r="H48" s="217">
        <f>'Annual Summary'!H27</f>
        <v>-761610.45235481265</v>
      </c>
      <c r="I48" s="217">
        <f>'Annual Summary'!I27</f>
        <v>432720.92520457029</v>
      </c>
    </row>
    <row r="49" spans="1:9" ht="15" customHeight="1" x14ac:dyDescent="0.25">
      <c r="A49" s="302"/>
      <c r="B49" s="302"/>
      <c r="C49" s="302"/>
      <c r="D49" s="302"/>
      <c r="E49" s="302"/>
      <c r="F49" s="302"/>
      <c r="G49" s="302"/>
      <c r="H49" s="302"/>
      <c r="I49" s="302"/>
    </row>
    <row r="50" spans="1:9" ht="15" customHeight="1" x14ac:dyDescent="0.25">
      <c r="A50" s="218" t="s">
        <v>51</v>
      </c>
      <c r="B50" s="219">
        <f ca="1">'Annual Summary'!B48</f>
        <v>3444104.7650715336</v>
      </c>
      <c r="C50" s="219">
        <f ca="1">'Annual Summary'!C48</f>
        <v>5363619.0220795162</v>
      </c>
      <c r="D50" s="219">
        <f ca="1">'Annual Summary'!D48</f>
        <v>5954045.5459064264</v>
      </c>
      <c r="E50" s="219">
        <f ca="1">'Annual Summary'!E48</f>
        <v>6911625.6243969165</v>
      </c>
      <c r="F50" s="219">
        <f ca="1">'Annual Summary'!F48</f>
        <v>7725014.3788914876</v>
      </c>
      <c r="G50" s="219">
        <f ca="1">'Annual Summary'!G48</f>
        <v>8504282.6003741454</v>
      </c>
      <c r="H50" s="219">
        <f ca="1">'Annual Summary'!H48</f>
        <v>8799032.3091923092</v>
      </c>
      <c r="I50" s="219">
        <f ca="1">'Annual Summary'!I48</f>
        <v>8111540.6822628602</v>
      </c>
    </row>
    <row r="51" spans="1:9" ht="15" customHeight="1" x14ac:dyDescent="0.25">
      <c r="A51" s="218" t="s">
        <v>48</v>
      </c>
      <c r="B51" s="219">
        <f>'Annual Summary'!B46</f>
        <v>90239873.755658567</v>
      </c>
      <c r="C51" s="219">
        <f>'Annual Summary'!C46</f>
        <v>56473335.557831988</v>
      </c>
      <c r="D51" s="219">
        <f>'Annual Summary'!D46</f>
        <v>46152166.879777998</v>
      </c>
      <c r="E51" s="219">
        <f>'Annual Summary'!E46</f>
        <v>13258584.501624003</v>
      </c>
      <c r="F51" s="219">
        <f>'Annual Summary'!F46</f>
        <v>0</v>
      </c>
      <c r="G51" s="219">
        <f>'Annual Summary'!G46</f>
        <v>0</v>
      </c>
      <c r="H51" s="219">
        <f>'Annual Summary'!H46</f>
        <v>0</v>
      </c>
      <c r="I51" s="219">
        <f>'Annual Summary'!I46</f>
        <v>0</v>
      </c>
    </row>
    <row r="52" spans="1:9" ht="15" customHeight="1" x14ac:dyDescent="0.25">
      <c r="A52" s="218" t="s">
        <v>49</v>
      </c>
      <c r="B52" s="219">
        <f>'Annual Summary'!B47</f>
        <v>0</v>
      </c>
      <c r="C52" s="219">
        <f>'Annual Summary'!C47</f>
        <v>0</v>
      </c>
      <c r="D52" s="219">
        <f>'Annual Summary'!D47</f>
        <v>0</v>
      </c>
      <c r="E52" s="219">
        <f>'Annual Summary'!E47</f>
        <v>0</v>
      </c>
      <c r="F52" s="219">
        <f>'Annual Summary'!F47</f>
        <v>0</v>
      </c>
      <c r="G52" s="219">
        <f>'Annual Summary'!G47</f>
        <v>0</v>
      </c>
      <c r="H52" s="219">
        <f>'Annual Summary'!H47</f>
        <v>0</v>
      </c>
      <c r="I52" s="219">
        <f>'Annual Summary'!I47</f>
        <v>0</v>
      </c>
    </row>
    <row r="53" spans="1:9" ht="15" customHeight="1" x14ac:dyDescent="0.25">
      <c r="A53" s="302"/>
      <c r="B53" s="302"/>
      <c r="C53" s="302"/>
      <c r="D53" s="302"/>
      <c r="E53" s="302"/>
      <c r="F53" s="302"/>
      <c r="G53" s="302"/>
      <c r="H53" s="302"/>
      <c r="I53" s="302"/>
    </row>
    <row r="54" spans="1:9" ht="15" customHeight="1" x14ac:dyDescent="0.25">
      <c r="A54" s="2" t="s">
        <v>174</v>
      </c>
      <c r="B54" s="199">
        <f>'Annual Summary'!B44</f>
        <v>2378399.9201831054</v>
      </c>
      <c r="C54" s="199">
        <f>'Annual Summary'!C44</f>
        <v>1714451.0986600891</v>
      </c>
      <c r="D54" s="199">
        <f>'Annual Summary'!D44</f>
        <v>1035128.5155491498</v>
      </c>
      <c r="E54" s="199">
        <f>'Annual Summary'!E44</f>
        <v>1199352.084159791</v>
      </c>
      <c r="F54" s="199">
        <f>'Annual Summary'!F44</f>
        <v>975331.49544908153</v>
      </c>
      <c r="G54" s="199">
        <f>'Annual Summary'!G44</f>
        <v>820735.28594806022</v>
      </c>
      <c r="H54" s="199">
        <f>'Annual Summary'!H44</f>
        <v>621470.38110717363</v>
      </c>
      <c r="I54" s="199">
        <f>'Annual Summary'!I44</f>
        <v>233637.08331219968</v>
      </c>
    </row>
    <row r="55" spans="1:9" ht="15" customHeight="1" x14ac:dyDescent="0.25">
      <c r="A55" s="2" t="s">
        <v>623</v>
      </c>
      <c r="B55" s="199">
        <f>'Annual Summary'!B42</f>
        <v>1000000</v>
      </c>
      <c r="C55" s="199">
        <f ca="1">'Annual Summary'!C42</f>
        <v>750000</v>
      </c>
      <c r="D55" s="199">
        <f ca="1">'Annual Summary'!D42</f>
        <v>500000</v>
      </c>
      <c r="E55" s="199">
        <f ca="1">'Annual Summary'!E42</f>
        <v>250000</v>
      </c>
      <c r="F55" s="199">
        <f ca="1">'Annual Summary'!F42</f>
        <v>0</v>
      </c>
      <c r="G55" s="199">
        <f ca="1">'Annual Summary'!G42</f>
        <v>0</v>
      </c>
      <c r="H55" s="199">
        <f ca="1">'Annual Summary'!H42</f>
        <v>0</v>
      </c>
      <c r="I55" s="199">
        <f ca="1">'Annual Summary'!I42</f>
        <v>0</v>
      </c>
    </row>
    <row r="56" spans="1:9" ht="15" customHeight="1" x14ac:dyDescent="0.25">
      <c r="A56" s="302"/>
      <c r="B56" s="302"/>
      <c r="C56" s="302"/>
      <c r="D56" s="302"/>
      <c r="E56" s="302"/>
      <c r="F56" s="302"/>
      <c r="G56" s="302"/>
      <c r="H56" s="302"/>
      <c r="I56" s="302"/>
    </row>
    <row r="57" spans="1:9" ht="15" customHeight="1" x14ac:dyDescent="0.25">
      <c r="A57" s="302"/>
      <c r="B57" s="302"/>
      <c r="C57" s="302"/>
      <c r="D57" s="302"/>
      <c r="E57" s="302"/>
      <c r="F57" s="302"/>
      <c r="G57" s="302"/>
      <c r="H57" s="302"/>
      <c r="I57" s="302"/>
    </row>
    <row r="58" spans="1:9" ht="15" customHeight="1" x14ac:dyDescent="0.25">
      <c r="A58" s="303" t="s">
        <v>624</v>
      </c>
      <c r="B58" s="303"/>
      <c r="C58" s="303"/>
      <c r="D58" s="303"/>
      <c r="E58" s="303"/>
      <c r="F58" s="303"/>
      <c r="G58" s="303"/>
      <c r="H58" s="302"/>
      <c r="I58" s="302"/>
    </row>
    <row r="59" spans="1:9" ht="15" customHeight="1" x14ac:dyDescent="0.25">
      <c r="A59" s="54" t="s">
        <v>625</v>
      </c>
      <c r="B59" s="302"/>
      <c r="C59" s="302"/>
      <c r="D59" s="302"/>
      <c r="E59" s="302"/>
      <c r="F59" s="302"/>
      <c r="G59" s="302"/>
      <c r="H59" s="302"/>
      <c r="I59" s="302"/>
    </row>
    <row r="60" spans="1:9" ht="15" customHeight="1" x14ac:dyDescent="0.25">
      <c r="A60" s="349" t="s">
        <v>626</v>
      </c>
      <c r="B60" s="350">
        <v>7.0000000000000007E-2</v>
      </c>
      <c r="C60" s="350">
        <v>0.08</v>
      </c>
      <c r="D60" s="350">
        <v>9.1999999999999998E-2</v>
      </c>
      <c r="E60" s="350">
        <v>0.1</v>
      </c>
      <c r="F60" s="350">
        <v>0.12</v>
      </c>
      <c r="G60" s="302"/>
      <c r="H60" s="302"/>
      <c r="I60" s="302"/>
    </row>
    <row r="61" spans="1:9" ht="15" customHeight="1" x14ac:dyDescent="0.25">
      <c r="A61" s="220">
        <v>0.1</v>
      </c>
      <c r="B61" s="211">
        <v>21535794</v>
      </c>
      <c r="C61" s="211">
        <v>21353287</v>
      </c>
      <c r="D61" s="211">
        <v>21138321</v>
      </c>
      <c r="E61" s="211">
        <v>20997399</v>
      </c>
      <c r="F61" s="211">
        <v>20653180</v>
      </c>
      <c r="G61" s="302"/>
      <c r="H61" s="302"/>
      <c r="I61" s="302"/>
    </row>
    <row r="62" spans="1:9" ht="15" customHeight="1" x14ac:dyDescent="0.25">
      <c r="A62" s="220">
        <v>0.12</v>
      </c>
      <c r="B62" s="211">
        <v>25408618</v>
      </c>
      <c r="C62" s="211">
        <v>25196879</v>
      </c>
      <c r="D62" s="211">
        <v>24947405</v>
      </c>
      <c r="E62" s="211">
        <v>24783816</v>
      </c>
      <c r="F62" s="211">
        <v>24384077</v>
      </c>
      <c r="G62" s="302"/>
      <c r="H62" s="302"/>
      <c r="I62" s="302"/>
    </row>
    <row r="63" spans="1:9" ht="15" customHeight="1" x14ac:dyDescent="0.25">
      <c r="A63" s="220">
        <v>0.14000000000000001</v>
      </c>
      <c r="B63" s="211">
        <v>29153414</v>
      </c>
      <c r="C63" s="211">
        <v>28914451</v>
      </c>
      <c r="D63" s="221">
        <v>28632817</v>
      </c>
      <c r="E63" s="211">
        <v>28448089</v>
      </c>
      <c r="F63" s="211">
        <v>27996532</v>
      </c>
      <c r="G63" s="302"/>
      <c r="H63" s="302"/>
      <c r="I63" s="302"/>
    </row>
    <row r="64" spans="1:9" ht="15" customHeight="1" x14ac:dyDescent="0.25">
      <c r="A64" s="220">
        <v>0.16</v>
      </c>
      <c r="B64" s="211">
        <v>32776428</v>
      </c>
      <c r="C64" s="211">
        <v>32512102</v>
      </c>
      <c r="D64" s="211">
        <v>32200484</v>
      </c>
      <c r="E64" s="211">
        <v>31996037</v>
      </c>
      <c r="F64" s="211">
        <v>31496099</v>
      </c>
      <c r="G64" s="302"/>
      <c r="H64" s="302"/>
      <c r="I64" s="302"/>
    </row>
    <row r="65" spans="1:9" ht="15" customHeight="1" x14ac:dyDescent="0.25">
      <c r="A65" s="220">
        <v>0.18</v>
      </c>
      <c r="B65" s="211">
        <v>36283506</v>
      </c>
      <c r="C65" s="211">
        <v>35995542</v>
      </c>
      <c r="D65" s="211">
        <v>35655961</v>
      </c>
      <c r="E65" s="211">
        <v>35433111</v>
      </c>
      <c r="F65" s="211">
        <v>34887986</v>
      </c>
      <c r="G65" s="302"/>
      <c r="H65" s="302"/>
      <c r="I65" s="302"/>
    </row>
    <row r="66" spans="1:9" ht="15" customHeight="1" x14ac:dyDescent="0.25">
      <c r="A66" s="302"/>
      <c r="B66" s="302"/>
      <c r="C66" s="302"/>
      <c r="D66" s="302"/>
      <c r="E66" s="302"/>
      <c r="F66" s="302"/>
      <c r="G66" s="302"/>
      <c r="H66" s="302"/>
      <c r="I66" s="302"/>
    </row>
    <row r="67" spans="1:9" ht="15" customHeight="1" x14ac:dyDescent="0.25">
      <c r="A67" s="302"/>
      <c r="B67" s="302"/>
      <c r="C67" s="302"/>
      <c r="D67" s="302"/>
      <c r="E67" s="302"/>
      <c r="F67" s="302"/>
      <c r="G67" s="302"/>
      <c r="H67" s="302"/>
      <c r="I67" s="302"/>
    </row>
    <row r="68" spans="1:9" ht="15" customHeight="1" x14ac:dyDescent="0.25">
      <c r="A68" s="303" t="s">
        <v>627</v>
      </c>
      <c r="B68" s="303"/>
      <c r="C68" s="303"/>
      <c r="D68" s="303"/>
      <c r="E68" s="303"/>
      <c r="F68" s="303"/>
      <c r="G68" s="302"/>
      <c r="H68" s="302"/>
      <c r="I68" s="302"/>
    </row>
    <row r="69" spans="1:9" ht="15" customHeight="1" x14ac:dyDescent="0.25">
      <c r="A69" s="315" t="s">
        <v>628</v>
      </c>
      <c r="B69" s="315" t="s">
        <v>629</v>
      </c>
      <c r="C69" s="315" t="s">
        <v>630</v>
      </c>
      <c r="D69" s="315" t="s">
        <v>631</v>
      </c>
      <c r="E69" s="315" t="s">
        <v>632</v>
      </c>
      <c r="F69" s="315" t="s">
        <v>633</v>
      </c>
      <c r="G69" s="302"/>
      <c r="H69" s="302"/>
      <c r="I69" s="302"/>
    </row>
    <row r="70" spans="1:9" ht="15" customHeight="1" x14ac:dyDescent="0.25">
      <c r="A70" s="2" t="s">
        <v>634</v>
      </c>
      <c r="B70" s="215">
        <f>'Annual Summary'!B46</f>
        <v>90239873.755658567</v>
      </c>
      <c r="C70" s="211">
        <f>'Annual Summary'!C46</f>
        <v>56473335.557831988</v>
      </c>
      <c r="D70" s="211">
        <f>'Annual Summary'!E46</f>
        <v>13258584.501624003</v>
      </c>
      <c r="E70" s="211">
        <f>'Annual Summary'!G46</f>
        <v>0</v>
      </c>
      <c r="F70" s="211">
        <f>'Annual Summary'!I46</f>
        <v>0</v>
      </c>
      <c r="G70" s="302"/>
      <c r="H70" s="302"/>
      <c r="I70" s="302"/>
    </row>
    <row r="71" spans="1:9" ht="15" customHeight="1" x14ac:dyDescent="0.25">
      <c r="A71" s="2" t="s">
        <v>635</v>
      </c>
      <c r="B71" s="215">
        <f>'Annual Summary'!B47</f>
        <v>0</v>
      </c>
      <c r="C71" s="211">
        <f>'Annual Summary'!C47</f>
        <v>0</v>
      </c>
      <c r="D71" s="211">
        <f>'Annual Summary'!E47</f>
        <v>0</v>
      </c>
      <c r="E71" s="211">
        <f>'Annual Summary'!G47</f>
        <v>0</v>
      </c>
      <c r="F71" s="211">
        <f>'Annual Summary'!I47</f>
        <v>0</v>
      </c>
      <c r="G71" s="302"/>
      <c r="H71" s="302"/>
      <c r="I71" s="302"/>
    </row>
    <row r="72" spans="1:9" ht="15" customHeight="1" x14ac:dyDescent="0.25">
      <c r="A72" s="218" t="s">
        <v>636</v>
      </c>
      <c r="B72" s="222">
        <f ca="1">'Annual Summary'!B48</f>
        <v>3444104.7650715336</v>
      </c>
      <c r="C72" s="223">
        <f ca="1">'Annual Summary'!C48</f>
        <v>5363619.0220795162</v>
      </c>
      <c r="D72" s="223">
        <f ca="1">'Annual Summary'!E48</f>
        <v>6911625.6243969165</v>
      </c>
      <c r="E72" s="223">
        <f ca="1">'Annual Summary'!G48</f>
        <v>8504282.6003741454</v>
      </c>
      <c r="F72" s="223">
        <f ca="1">'Annual Summary'!I48</f>
        <v>8111540.6822628602</v>
      </c>
      <c r="G72" s="302"/>
      <c r="H72" s="302"/>
      <c r="I72" s="302"/>
    </row>
    <row r="73" spans="1:9" ht="15" customHeight="1" x14ac:dyDescent="0.25">
      <c r="A73" s="302"/>
      <c r="B73" s="302"/>
      <c r="C73" s="302"/>
      <c r="D73" s="302"/>
      <c r="E73" s="302"/>
      <c r="F73" s="302"/>
      <c r="G73" s="302"/>
      <c r="H73" s="302"/>
      <c r="I73" s="302"/>
    </row>
    <row r="74" spans="1:9" ht="15" customHeight="1" x14ac:dyDescent="0.25">
      <c r="A74" s="302"/>
      <c r="B74" s="302"/>
      <c r="C74" s="302"/>
      <c r="D74" s="302"/>
      <c r="E74" s="302"/>
      <c r="F74" s="302"/>
      <c r="G74" s="302"/>
      <c r="H74" s="302"/>
      <c r="I74" s="302"/>
    </row>
    <row r="75" spans="1:9" ht="15" customHeight="1" x14ac:dyDescent="0.25">
      <c r="A75" s="303" t="s">
        <v>637</v>
      </c>
      <c r="B75" s="303"/>
      <c r="C75" s="303"/>
      <c r="D75" s="303"/>
      <c r="E75" s="303"/>
      <c r="F75" s="303"/>
      <c r="G75" s="302"/>
      <c r="H75" s="302"/>
      <c r="I75" s="302"/>
    </row>
    <row r="76" spans="1:9" ht="15" customHeight="1" x14ac:dyDescent="0.25">
      <c r="A76" s="315" t="s">
        <v>295</v>
      </c>
      <c r="B76" s="315" t="s">
        <v>638</v>
      </c>
      <c r="C76" s="315" t="s">
        <v>639</v>
      </c>
      <c r="D76" s="315" t="s">
        <v>640</v>
      </c>
      <c r="E76" s="315" t="s">
        <v>641</v>
      </c>
      <c r="F76" s="315" t="s">
        <v>642</v>
      </c>
      <c r="G76" s="302"/>
      <c r="H76" s="302"/>
      <c r="I76" s="302"/>
    </row>
    <row r="77" spans="1:9" ht="15" customHeight="1" x14ac:dyDescent="0.25">
      <c r="A77" s="2" t="s">
        <v>320</v>
      </c>
      <c r="B77" s="203">
        <v>95771</v>
      </c>
      <c r="C77" s="203">
        <v>60000</v>
      </c>
      <c r="D77" s="203">
        <v>0</v>
      </c>
      <c r="E77" s="201">
        <v>155771</v>
      </c>
      <c r="F77" s="54" t="s">
        <v>643</v>
      </c>
      <c r="G77" s="302"/>
      <c r="H77" s="302"/>
      <c r="I77" s="302"/>
    </row>
    <row r="78" spans="1:9" ht="15" customHeight="1" x14ac:dyDescent="0.25">
      <c r="A78" s="2" t="s">
        <v>321</v>
      </c>
      <c r="B78" s="203">
        <v>75452</v>
      </c>
      <c r="C78" s="203">
        <v>60000</v>
      </c>
      <c r="D78" s="203">
        <v>0</v>
      </c>
      <c r="E78" s="201">
        <v>135452</v>
      </c>
      <c r="F78" s="54" t="s">
        <v>643</v>
      </c>
      <c r="G78" s="302"/>
      <c r="H78" s="302"/>
      <c r="I78" s="302"/>
    </row>
    <row r="79" spans="1:9" ht="15" customHeight="1" x14ac:dyDescent="0.25">
      <c r="A79" s="2" t="s">
        <v>168</v>
      </c>
      <c r="B79" s="203">
        <v>579684</v>
      </c>
      <c r="C79" s="203">
        <v>150000</v>
      </c>
      <c r="D79" s="203">
        <v>0</v>
      </c>
      <c r="E79" s="201">
        <v>729684</v>
      </c>
      <c r="F79" s="54" t="s">
        <v>644</v>
      </c>
      <c r="G79" s="302"/>
      <c r="H79" s="302"/>
      <c r="I79" s="302"/>
    </row>
    <row r="80" spans="1:9" ht="15" customHeight="1" x14ac:dyDescent="0.25">
      <c r="A80" s="2" t="s">
        <v>172</v>
      </c>
      <c r="B80" s="203">
        <v>602668</v>
      </c>
      <c r="C80" s="203">
        <v>150000</v>
      </c>
      <c r="D80" s="203">
        <v>1450000</v>
      </c>
      <c r="E80" s="201">
        <v>752668</v>
      </c>
      <c r="F80" s="54" t="s">
        <v>644</v>
      </c>
      <c r="G80" s="302"/>
      <c r="H80" s="302"/>
      <c r="I80" s="302"/>
    </row>
    <row r="81" spans="1:9" ht="15" customHeight="1" x14ac:dyDescent="0.25">
      <c r="A81" s="2" t="s">
        <v>173</v>
      </c>
      <c r="B81" s="203">
        <v>563546</v>
      </c>
      <c r="C81" s="203">
        <v>150000</v>
      </c>
      <c r="D81" s="203">
        <v>0</v>
      </c>
      <c r="E81" s="201">
        <v>713546</v>
      </c>
      <c r="F81" s="54" t="s">
        <v>645</v>
      </c>
      <c r="G81" s="302"/>
      <c r="H81" s="302"/>
      <c r="I81" s="302"/>
    </row>
    <row r="82" spans="1:9" ht="15" customHeight="1" x14ac:dyDescent="0.25">
      <c r="A82" s="19" t="s">
        <v>282</v>
      </c>
      <c r="B82" s="200">
        <v>1917121</v>
      </c>
      <c r="C82" s="200">
        <v>570000</v>
      </c>
      <c r="D82" s="200">
        <v>1450000</v>
      </c>
      <c r="E82" s="200">
        <v>2487121</v>
      </c>
      <c r="F82" s="19"/>
      <c r="G82" s="302"/>
      <c r="H82" s="302"/>
      <c r="I82" s="302"/>
    </row>
    <row r="83" spans="1:9" ht="15" customHeight="1" x14ac:dyDescent="0.25">
      <c r="A83" s="302"/>
      <c r="B83" s="302"/>
      <c r="C83" s="302"/>
      <c r="D83" s="302"/>
      <c r="E83" s="302"/>
      <c r="F83" s="302"/>
      <c r="G83" s="302"/>
      <c r="H83" s="302"/>
      <c r="I83" s="302"/>
    </row>
    <row r="84" spans="1:9" ht="15" customHeight="1" x14ac:dyDescent="0.25">
      <c r="A84" s="302"/>
      <c r="B84" s="302"/>
      <c r="C84" s="302"/>
      <c r="D84" s="302"/>
      <c r="E84" s="302"/>
      <c r="F84" s="302"/>
      <c r="G84" s="302"/>
      <c r="H84" s="302"/>
      <c r="I84" s="302"/>
    </row>
    <row r="85" spans="1:9" ht="15" customHeight="1" x14ac:dyDescent="0.25">
      <c r="A85" s="303" t="s">
        <v>646</v>
      </c>
      <c r="B85" s="303"/>
      <c r="C85" s="303"/>
      <c r="D85" s="303"/>
      <c r="E85" s="303"/>
      <c r="F85" s="303"/>
      <c r="G85" s="303"/>
      <c r="H85" s="302"/>
      <c r="I85" s="302"/>
    </row>
    <row r="86" spans="1:9" ht="15" customHeight="1" x14ac:dyDescent="0.25">
      <c r="A86" s="2" t="s">
        <v>647</v>
      </c>
      <c r="B86" s="215">
        <v>86621402</v>
      </c>
      <c r="C86" s="302"/>
      <c r="D86" s="302"/>
      <c r="E86" s="302"/>
      <c r="F86" s="302"/>
      <c r="G86" s="302"/>
      <c r="H86" s="302"/>
      <c r="I86" s="302"/>
    </row>
    <row r="87" spans="1:9" ht="15" customHeight="1" x14ac:dyDescent="0.25">
      <c r="A87" s="2" t="s">
        <v>648</v>
      </c>
      <c r="B87" s="224">
        <v>3.2500000000000001E-2</v>
      </c>
      <c r="C87" s="302"/>
      <c r="D87" s="302"/>
      <c r="E87" s="302"/>
      <c r="F87" s="302"/>
      <c r="G87" s="302"/>
      <c r="H87" s="302"/>
      <c r="I87" s="302"/>
    </row>
    <row r="88" spans="1:9" ht="15" customHeight="1" x14ac:dyDescent="0.25">
      <c r="A88" s="2" t="s">
        <v>649</v>
      </c>
      <c r="B88" s="208">
        <v>1.4999999999999999E-2</v>
      </c>
      <c r="C88" s="302"/>
      <c r="D88" s="302"/>
      <c r="E88" s="302"/>
      <c r="F88" s="302"/>
      <c r="G88" s="302"/>
      <c r="H88" s="302"/>
      <c r="I88" s="302"/>
    </row>
    <row r="89" spans="1:9" ht="15" customHeight="1" x14ac:dyDescent="0.25">
      <c r="A89" s="315"/>
      <c r="B89" s="315" t="s">
        <v>2</v>
      </c>
      <c r="C89" s="315" t="s">
        <v>3</v>
      </c>
      <c r="D89" s="315" t="s">
        <v>4</v>
      </c>
      <c r="E89" s="315" t="s">
        <v>5</v>
      </c>
      <c r="F89" s="315" t="s">
        <v>433</v>
      </c>
      <c r="G89" s="302"/>
      <c r="H89" s="302"/>
      <c r="I89" s="302"/>
    </row>
    <row r="90" spans="1:9" ht="15" customHeight="1" x14ac:dyDescent="0.25">
      <c r="A90" s="202" t="s">
        <v>650</v>
      </c>
      <c r="B90" s="203">
        <v>0</v>
      </c>
      <c r="C90" s="203">
        <v>-956261</v>
      </c>
      <c r="D90" s="203">
        <v>-1465718</v>
      </c>
      <c r="E90" s="203">
        <v>-967911</v>
      </c>
      <c r="F90" s="203">
        <v>-3389890</v>
      </c>
      <c r="G90" s="302"/>
      <c r="H90" s="302"/>
      <c r="I90" s="302"/>
    </row>
    <row r="91" spans="1:9" ht="15" customHeight="1" x14ac:dyDescent="0.25">
      <c r="A91" s="216" t="s">
        <v>651</v>
      </c>
      <c r="B91" s="199">
        <v>0</v>
      </c>
      <c r="C91" s="199">
        <v>-441351</v>
      </c>
      <c r="D91" s="199">
        <v>-676485</v>
      </c>
      <c r="E91" s="199">
        <v>-446728</v>
      </c>
      <c r="F91" s="199">
        <v>-1564564</v>
      </c>
      <c r="G91" s="302"/>
      <c r="H91" s="302"/>
      <c r="I91" s="302"/>
    </row>
    <row r="92" spans="1:9" ht="15" customHeight="1" x14ac:dyDescent="0.25">
      <c r="A92" s="19" t="s">
        <v>652</v>
      </c>
      <c r="B92" s="200">
        <v>0</v>
      </c>
      <c r="C92" s="200">
        <v>514910</v>
      </c>
      <c r="D92" s="200">
        <v>789233</v>
      </c>
      <c r="E92" s="200">
        <v>521183</v>
      </c>
      <c r="F92" s="200">
        <v>1825325</v>
      </c>
      <c r="G92" s="302"/>
      <c r="H92" s="302"/>
      <c r="I92" s="302"/>
    </row>
    <row r="93" spans="1:9" ht="15" customHeight="1" x14ac:dyDescent="0.25">
      <c r="A93" s="302"/>
      <c r="B93" s="302"/>
      <c r="C93" s="302"/>
      <c r="D93" s="302"/>
      <c r="E93" s="302"/>
      <c r="F93" s="302"/>
      <c r="G93" s="302"/>
      <c r="H93" s="302"/>
      <c r="I93" s="302"/>
    </row>
    <row r="94" spans="1:9" ht="15" customHeight="1" x14ac:dyDescent="0.25">
      <c r="A94" s="302"/>
      <c r="B94" s="302"/>
      <c r="C94" s="302"/>
      <c r="D94" s="302"/>
      <c r="E94" s="302"/>
      <c r="F94" s="302"/>
      <c r="G94" s="302"/>
      <c r="H94" s="302"/>
      <c r="I94" s="302"/>
    </row>
    <row r="95" spans="1:9" ht="15" customHeight="1" x14ac:dyDescent="0.25">
      <c r="A95" s="303" t="s">
        <v>653</v>
      </c>
      <c r="B95" s="303"/>
      <c r="C95" s="303"/>
      <c r="D95" s="303"/>
      <c r="E95" s="303"/>
      <c r="F95" s="303"/>
      <c r="G95" s="303"/>
      <c r="H95" s="302"/>
      <c r="I95" s="302"/>
    </row>
    <row r="96" spans="1:9" ht="15" customHeight="1" x14ac:dyDescent="0.25">
      <c r="A96" s="54" t="s">
        <v>654</v>
      </c>
      <c r="B96" s="302"/>
      <c r="C96" s="302"/>
      <c r="D96" s="302"/>
      <c r="E96" s="302"/>
      <c r="F96" s="302"/>
      <c r="G96" s="302"/>
      <c r="H96" s="302"/>
      <c r="I96" s="302"/>
    </row>
    <row r="97" spans="1:9" ht="15" customHeight="1" x14ac:dyDescent="0.25">
      <c r="A97" s="315"/>
      <c r="B97" s="315" t="s">
        <v>2</v>
      </c>
      <c r="C97" s="315" t="s">
        <v>3</v>
      </c>
      <c r="D97" s="315" t="s">
        <v>4</v>
      </c>
      <c r="E97" s="315" t="s">
        <v>5</v>
      </c>
      <c r="F97" s="302"/>
      <c r="G97" s="302"/>
      <c r="H97" s="302"/>
      <c r="I97" s="302"/>
    </row>
    <row r="98" spans="1:9" ht="15" customHeight="1" x14ac:dyDescent="0.25">
      <c r="A98" s="2" t="s">
        <v>655</v>
      </c>
      <c r="B98" s="211">
        <f>'Annual Summary'!B44</f>
        <v>2378399.9201831054</v>
      </c>
      <c r="C98" s="211">
        <f>'Annual Summary'!C44</f>
        <v>1714451.0986600891</v>
      </c>
      <c r="D98" s="211">
        <f>'Annual Summary'!D44</f>
        <v>1035128.5155491498</v>
      </c>
      <c r="E98" s="211">
        <f>'Annual Summary'!E44</f>
        <v>1199352.084159791</v>
      </c>
      <c r="F98" s="302"/>
      <c r="G98" s="302"/>
      <c r="H98" s="302"/>
      <c r="I98" s="302"/>
    </row>
    <row r="99" spans="1:9" ht="15" customHeight="1" x14ac:dyDescent="0.25">
      <c r="A99" s="202" t="s">
        <v>656</v>
      </c>
      <c r="B99" s="203">
        <f>B98*0.025</f>
        <v>59459.998004577639</v>
      </c>
      <c r="C99" s="203">
        <f>C98*0.025</f>
        <v>42861.27746650223</v>
      </c>
      <c r="D99" s="203">
        <f>D98*0.025</f>
        <v>25878.212888728747</v>
      </c>
      <c r="E99" s="203">
        <f>E98*0.025</f>
        <v>29983.802103994778</v>
      </c>
      <c r="F99" s="302"/>
      <c r="G99" s="302"/>
      <c r="H99" s="302"/>
      <c r="I99" s="302"/>
    </row>
    <row r="100" spans="1:9" ht="15" customHeight="1" x14ac:dyDescent="0.25">
      <c r="A100" s="2" t="s">
        <v>657</v>
      </c>
      <c r="B100" s="211">
        <f ca="1">'Annual Summary'!B48</f>
        <v>3444104.7650715336</v>
      </c>
      <c r="C100" s="211">
        <f ca="1">'Annual Summary'!C48</f>
        <v>5363619.0220795162</v>
      </c>
      <c r="D100" s="211">
        <f ca="1">'Annual Summary'!D48</f>
        <v>5954045.5459064264</v>
      </c>
      <c r="E100" s="211">
        <f ca="1">'Annual Summary'!E48</f>
        <v>6911625.6243969165</v>
      </c>
      <c r="F100" s="302"/>
      <c r="G100" s="302"/>
      <c r="H100" s="302"/>
      <c r="I100" s="302"/>
    </row>
    <row r="101" spans="1:9" ht="15" customHeight="1" x14ac:dyDescent="0.25">
      <c r="A101" s="2" t="s">
        <v>658</v>
      </c>
      <c r="B101" s="211">
        <f>'Annual Summary'!B20*0.05</f>
        <v>-41533.333333333343</v>
      </c>
      <c r="C101" s="211">
        <f>'Annual Summary'!C20*0.05</f>
        <v>-62300.000000000015</v>
      </c>
      <c r="D101" s="211">
        <f>'Annual Summary'!D20*0.05</f>
        <v>-62300.000000000015</v>
      </c>
      <c r="E101" s="211">
        <f>'Annual Summary'!E20*0.05</f>
        <v>-62300.000000000015</v>
      </c>
      <c r="F101" s="302"/>
      <c r="G101" s="302"/>
      <c r="H101" s="302"/>
      <c r="I101" s="302"/>
    </row>
    <row r="102" spans="1:9" ht="15" customHeight="1" x14ac:dyDescent="0.25">
      <c r="A102" s="2" t="s">
        <v>659</v>
      </c>
      <c r="B102" s="211">
        <f ca="1">B100+B101</f>
        <v>3402571.4317382001</v>
      </c>
      <c r="C102" s="211">
        <f ca="1">C100+C101</f>
        <v>5301319.0220795162</v>
      </c>
      <c r="D102" s="211">
        <f ca="1">D100+D101</f>
        <v>5891745.5459064264</v>
      </c>
      <c r="E102" s="211">
        <f ca="1">E100+E101</f>
        <v>6849325.6243969165</v>
      </c>
      <c r="F102" s="302"/>
      <c r="G102" s="302"/>
      <c r="H102" s="302"/>
      <c r="I102" s="302"/>
    </row>
    <row r="103" spans="1:9" ht="15" customHeight="1" x14ac:dyDescent="0.25">
      <c r="A103" s="19" t="s">
        <v>660</v>
      </c>
      <c r="B103" s="200">
        <f ca="1">B102-B99</f>
        <v>3343111.4337336225</v>
      </c>
      <c r="C103" s="200">
        <f ca="1">C102-C99</f>
        <v>5258457.7446130142</v>
      </c>
      <c r="D103" s="200">
        <f ca="1">D102-D99</f>
        <v>5865867.3330176976</v>
      </c>
      <c r="E103" s="200">
        <f ca="1">E102-E99</f>
        <v>6819341.8222929221</v>
      </c>
      <c r="F103" s="302"/>
      <c r="G103" s="302"/>
      <c r="H103" s="302"/>
      <c r="I103" s="302"/>
    </row>
    <row r="104" spans="1:9" ht="15" customHeight="1" x14ac:dyDescent="0.25">
      <c r="A104" s="302"/>
      <c r="B104" s="302"/>
      <c r="C104" s="302"/>
      <c r="D104" s="302"/>
      <c r="E104" s="302"/>
      <c r="F104" s="302"/>
      <c r="G104" s="302"/>
      <c r="H104" s="302"/>
      <c r="I104" s="302"/>
    </row>
    <row r="105" spans="1:9" ht="15" customHeight="1" x14ac:dyDescent="0.25">
      <c r="A105" s="302"/>
      <c r="B105" s="302"/>
      <c r="C105" s="302"/>
      <c r="D105" s="302"/>
      <c r="E105" s="302"/>
      <c r="F105" s="302"/>
      <c r="G105" s="302"/>
      <c r="H105" s="302"/>
      <c r="I105" s="302"/>
    </row>
    <row r="106" spans="1:9" ht="15" customHeight="1" x14ac:dyDescent="0.25">
      <c r="A106" s="303" t="s">
        <v>661</v>
      </c>
      <c r="B106" s="303"/>
      <c r="C106" s="303"/>
      <c r="D106" s="303"/>
      <c r="E106" s="303"/>
      <c r="F106" s="303"/>
      <c r="G106" s="303"/>
      <c r="H106" s="302"/>
      <c r="I106" s="302"/>
    </row>
    <row r="107" spans="1:9" ht="15" customHeight="1" x14ac:dyDescent="0.25">
      <c r="A107" s="2" t="s">
        <v>662</v>
      </c>
      <c r="B107" s="215">
        <v>15179956</v>
      </c>
      <c r="C107" s="302"/>
      <c r="D107" s="302"/>
      <c r="E107" s="302"/>
      <c r="F107" s="302"/>
      <c r="G107" s="302"/>
      <c r="H107" s="302"/>
      <c r="I107" s="302"/>
    </row>
    <row r="108" spans="1:9" ht="15" customHeight="1" x14ac:dyDescent="0.25">
      <c r="A108" s="2" t="s">
        <v>663</v>
      </c>
      <c r="B108" s="224">
        <v>0.11360000000000001</v>
      </c>
      <c r="C108" s="302"/>
      <c r="D108" s="302"/>
      <c r="E108" s="302"/>
      <c r="F108" s="302"/>
      <c r="G108" s="302"/>
      <c r="H108" s="302"/>
      <c r="I108" s="302"/>
    </row>
    <row r="109" spans="1:9" ht="15" customHeight="1" x14ac:dyDescent="0.25">
      <c r="A109" s="2" t="s">
        <v>664</v>
      </c>
      <c r="B109" s="201">
        <v>1724443</v>
      </c>
      <c r="C109" s="302"/>
      <c r="D109" s="302"/>
      <c r="E109" s="302"/>
      <c r="F109" s="302"/>
      <c r="G109" s="302"/>
      <c r="H109" s="302"/>
      <c r="I109" s="302"/>
    </row>
    <row r="110" spans="1:9" ht="15" customHeight="1" x14ac:dyDescent="0.25">
      <c r="A110" s="2" t="s">
        <v>665</v>
      </c>
      <c r="B110" s="225">
        <v>3</v>
      </c>
      <c r="C110" s="302"/>
      <c r="D110" s="302"/>
      <c r="E110" s="302"/>
      <c r="F110" s="302"/>
      <c r="G110" s="302"/>
      <c r="H110" s="302"/>
      <c r="I110" s="302"/>
    </row>
    <row r="111" spans="1:9" ht="15" customHeight="1" x14ac:dyDescent="0.25">
      <c r="A111" s="19" t="s">
        <v>666</v>
      </c>
      <c r="B111" s="200">
        <v>45539868</v>
      </c>
      <c r="C111" s="19"/>
      <c r="D111" s="19"/>
      <c r="E111" s="19"/>
      <c r="F111" s="19"/>
      <c r="G111" s="302"/>
      <c r="H111" s="302"/>
      <c r="I111" s="302"/>
    </row>
    <row r="112" spans="1:9" ht="15" customHeight="1" x14ac:dyDescent="0.25">
      <c r="A112" s="302"/>
      <c r="B112" s="302"/>
      <c r="C112" s="302"/>
      <c r="D112" s="302"/>
      <c r="E112" s="302"/>
      <c r="F112" s="302"/>
      <c r="G112" s="302"/>
      <c r="H112" s="302"/>
      <c r="I112" s="302"/>
    </row>
    <row r="113" spans="1:9" ht="15" customHeight="1" x14ac:dyDescent="0.25">
      <c r="A113" s="53" t="s">
        <v>667</v>
      </c>
      <c r="B113" s="302"/>
      <c r="C113" s="302"/>
      <c r="D113" s="302"/>
      <c r="E113" s="302"/>
      <c r="F113" s="302"/>
      <c r="G113" s="302"/>
      <c r="H113" s="302"/>
      <c r="I113" s="302"/>
    </row>
    <row r="114" spans="1:9" ht="15" customHeight="1" x14ac:dyDescent="0.25">
      <c r="A114" s="315"/>
      <c r="B114" s="315" t="s">
        <v>3</v>
      </c>
      <c r="C114" s="315" t="s">
        <v>4</v>
      </c>
      <c r="D114" s="315" t="s">
        <v>5</v>
      </c>
      <c r="E114" s="315" t="s">
        <v>6</v>
      </c>
      <c r="F114" s="315" t="s">
        <v>433</v>
      </c>
      <c r="G114" s="302"/>
      <c r="H114" s="302"/>
      <c r="I114" s="302"/>
    </row>
    <row r="115" spans="1:9" ht="15" customHeight="1" x14ac:dyDescent="0.25">
      <c r="A115" s="2" t="s">
        <v>668</v>
      </c>
      <c r="B115" s="211">
        <v>0</v>
      </c>
      <c r="C115" s="211">
        <v>1896887</v>
      </c>
      <c r="D115" s="211">
        <v>1379554</v>
      </c>
      <c r="E115" s="211">
        <v>172444</v>
      </c>
      <c r="F115" s="201">
        <v>3448885</v>
      </c>
      <c r="G115" s="302"/>
      <c r="H115" s="302"/>
      <c r="I115" s="302"/>
    </row>
    <row r="116" spans="1:9" ht="15" customHeight="1" x14ac:dyDescent="0.25">
      <c r="A116" s="2" t="s">
        <v>669</v>
      </c>
      <c r="B116" s="211">
        <v>0</v>
      </c>
      <c r="C116" s="211">
        <v>603555</v>
      </c>
      <c r="D116" s="211">
        <v>948444</v>
      </c>
      <c r="E116" s="211">
        <v>172444</v>
      </c>
      <c r="F116" s="201">
        <v>1724443</v>
      </c>
      <c r="G116" s="302"/>
      <c r="H116" s="302"/>
      <c r="I116" s="302"/>
    </row>
    <row r="117" spans="1:9" ht="15" customHeight="1" x14ac:dyDescent="0.25">
      <c r="A117" s="19" t="s">
        <v>670</v>
      </c>
      <c r="B117" s="200">
        <v>0</v>
      </c>
      <c r="C117" s="200">
        <v>2500442</v>
      </c>
      <c r="D117" s="200">
        <v>2327998</v>
      </c>
      <c r="E117" s="200">
        <v>344888</v>
      </c>
      <c r="F117" s="200">
        <v>5173328</v>
      </c>
      <c r="G117" s="302"/>
      <c r="H117" s="302"/>
      <c r="I117" s="302"/>
    </row>
    <row r="118" spans="1:9" ht="15" customHeight="1" x14ac:dyDescent="0.25">
      <c r="A118" s="302"/>
      <c r="B118" s="302"/>
      <c r="C118" s="302"/>
      <c r="D118" s="302"/>
      <c r="E118" s="302"/>
      <c r="F118" s="302"/>
      <c r="G118" s="302"/>
      <c r="H118" s="302"/>
      <c r="I118" s="302"/>
    </row>
    <row r="119" spans="1:9" ht="15" customHeight="1" x14ac:dyDescent="0.25">
      <c r="A119" s="54" t="s">
        <v>671</v>
      </c>
      <c r="B119" s="302"/>
      <c r="C119" s="302"/>
      <c r="D119" s="302"/>
      <c r="E119" s="302"/>
      <c r="F119" s="302"/>
      <c r="G119" s="302"/>
      <c r="H119" s="302"/>
      <c r="I119" s="302"/>
    </row>
    <row r="120" spans="1:9" ht="15" customHeight="1" x14ac:dyDescent="0.25">
      <c r="A120" s="302"/>
      <c r="B120" s="302"/>
      <c r="C120" s="302"/>
      <c r="D120" s="302"/>
      <c r="E120" s="302"/>
      <c r="F120" s="302"/>
      <c r="G120" s="302"/>
      <c r="H120" s="302"/>
      <c r="I120" s="302"/>
    </row>
    <row r="121" spans="1:9" ht="15" customHeight="1" x14ac:dyDescent="0.25">
      <c r="A121" s="302"/>
      <c r="B121" s="302"/>
      <c r="C121" s="302"/>
      <c r="D121" s="302"/>
      <c r="E121" s="302"/>
      <c r="F121" s="302"/>
      <c r="G121" s="302"/>
      <c r="H121" s="302"/>
      <c r="I121" s="302"/>
    </row>
    <row r="122" spans="1:9" ht="15" customHeight="1" x14ac:dyDescent="0.25">
      <c r="A122" s="303" t="s">
        <v>672</v>
      </c>
      <c r="B122" s="303"/>
      <c r="C122" s="303"/>
      <c r="D122" s="303"/>
      <c r="E122" s="303"/>
      <c r="F122" s="303"/>
      <c r="G122" s="303"/>
      <c r="H122" s="302"/>
      <c r="I122" s="302"/>
    </row>
    <row r="123" spans="1:9" ht="15" customHeight="1" x14ac:dyDescent="0.25">
      <c r="A123" s="54" t="s">
        <v>673</v>
      </c>
      <c r="B123" s="302"/>
      <c r="C123" s="302"/>
      <c r="D123" s="302"/>
      <c r="E123" s="302"/>
      <c r="F123" s="302"/>
      <c r="G123" s="302"/>
      <c r="H123" s="302"/>
      <c r="I123" s="302"/>
    </row>
    <row r="124" spans="1:9" ht="15" customHeight="1" x14ac:dyDescent="0.25">
      <c r="A124" s="315"/>
      <c r="B124" s="315" t="s">
        <v>674</v>
      </c>
      <c r="C124" s="315" t="s">
        <v>675</v>
      </c>
      <c r="D124" s="315" t="s">
        <v>466</v>
      </c>
      <c r="E124" s="302"/>
      <c r="F124" s="302"/>
      <c r="G124" s="302"/>
      <c r="H124" s="302"/>
      <c r="I124" s="302"/>
    </row>
    <row r="125" spans="1:9" ht="15" customHeight="1" x14ac:dyDescent="0.25">
      <c r="A125" s="2" t="s">
        <v>676</v>
      </c>
      <c r="B125" s="215">
        <v>1450000</v>
      </c>
      <c r="C125" s="226" t="s">
        <v>677</v>
      </c>
      <c r="D125" s="54" t="s">
        <v>678</v>
      </c>
      <c r="E125" s="302"/>
      <c r="F125" s="302"/>
      <c r="G125" s="302"/>
      <c r="H125" s="302"/>
      <c r="I125" s="302"/>
    </row>
    <row r="126" spans="1:9" ht="15" customHeight="1" x14ac:dyDescent="0.25">
      <c r="A126" s="2" t="s">
        <v>679</v>
      </c>
      <c r="B126" s="203">
        <v>-1450000</v>
      </c>
      <c r="C126" s="226" t="s">
        <v>680</v>
      </c>
      <c r="D126" s="54" t="s">
        <v>681</v>
      </c>
      <c r="E126" s="302"/>
      <c r="F126" s="302"/>
      <c r="G126" s="302"/>
      <c r="H126" s="302"/>
      <c r="I126" s="302"/>
    </row>
    <row r="127" spans="1:9" ht="15" customHeight="1" x14ac:dyDescent="0.25">
      <c r="A127" s="2" t="s">
        <v>682</v>
      </c>
      <c r="B127" s="302"/>
      <c r="C127" s="226" t="s">
        <v>683</v>
      </c>
      <c r="D127" s="54" t="s">
        <v>684</v>
      </c>
      <c r="E127" s="302"/>
      <c r="F127" s="302"/>
      <c r="G127" s="302"/>
      <c r="H127" s="302"/>
      <c r="I127" s="302"/>
    </row>
    <row r="128" spans="1:9" ht="15" customHeight="1" x14ac:dyDescent="0.25">
      <c r="A128" s="19" t="s">
        <v>685</v>
      </c>
      <c r="B128" s="200">
        <v>0</v>
      </c>
      <c r="C128" s="19" t="s">
        <v>686</v>
      </c>
      <c r="D128" s="19" t="s">
        <v>687</v>
      </c>
      <c r="E128" s="302"/>
      <c r="F128" s="302"/>
      <c r="G128" s="302"/>
      <c r="H128" s="302"/>
      <c r="I128" s="302"/>
    </row>
    <row r="129" spans="1:9" ht="15" customHeight="1" x14ac:dyDescent="0.25">
      <c r="A129" s="302"/>
      <c r="B129" s="302"/>
      <c r="C129" s="302"/>
      <c r="D129" s="302"/>
      <c r="E129" s="302"/>
      <c r="F129" s="302"/>
      <c r="G129" s="302"/>
      <c r="H129" s="302"/>
      <c r="I129" s="302"/>
    </row>
    <row r="130" spans="1:9" ht="15" customHeight="1" x14ac:dyDescent="0.25">
      <c r="A130" s="2" t="s">
        <v>688</v>
      </c>
      <c r="B130" s="227">
        <v>362885</v>
      </c>
      <c r="C130" s="226" t="s">
        <v>689</v>
      </c>
      <c r="D130" s="54" t="s">
        <v>690</v>
      </c>
      <c r="E130" s="302"/>
      <c r="F130" s="302"/>
      <c r="G130" s="302"/>
      <c r="H130" s="302"/>
      <c r="I130" s="302"/>
    </row>
    <row r="131" spans="1:9" ht="15" customHeight="1" x14ac:dyDescent="0.25">
      <c r="A131" s="19" t="s">
        <v>691</v>
      </c>
      <c r="B131" s="200">
        <v>1812885</v>
      </c>
      <c r="C131" s="19" t="s">
        <v>692</v>
      </c>
      <c r="D131" s="19" t="s">
        <v>693</v>
      </c>
      <c r="E131" s="302"/>
      <c r="F131" s="302"/>
      <c r="G131" s="302"/>
      <c r="H131" s="302"/>
      <c r="I131" s="302"/>
    </row>
    <row r="132" spans="1:9" ht="15" customHeight="1" x14ac:dyDescent="0.25">
      <c r="A132" s="302"/>
      <c r="B132" s="302"/>
      <c r="C132" s="302"/>
      <c r="D132" s="302"/>
      <c r="E132" s="302"/>
      <c r="F132" s="302"/>
      <c r="G132" s="302"/>
      <c r="H132" s="302"/>
      <c r="I132" s="302"/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5E7B9B"/>
  </sheetPr>
  <dimension ref="A1:AO9"/>
  <sheetViews>
    <sheetView zoomScale="85" zoomScaleNormal="85" workbookViewId="0"/>
  </sheetViews>
  <sheetFormatPr defaultColWidth="8.7109375" defaultRowHeight="15" customHeight="1" x14ac:dyDescent="0.25"/>
  <cols>
    <col min="1" max="1" width="20" customWidth="1"/>
  </cols>
  <sheetData>
    <row r="1" spans="1:41" ht="15" customHeight="1" x14ac:dyDescent="0.25">
      <c r="A1" s="303" t="s">
        <v>299</v>
      </c>
      <c r="B1" s="328" t="s">
        <v>694</v>
      </c>
      <c r="C1" s="328" t="s">
        <v>695</v>
      </c>
      <c r="D1" s="328" t="s">
        <v>696</v>
      </c>
      <c r="E1" s="328" t="s">
        <v>697</v>
      </c>
      <c r="F1" s="328" t="s">
        <v>698</v>
      </c>
      <c r="G1" s="328" t="s">
        <v>699</v>
      </c>
      <c r="H1" s="328" t="s">
        <v>700</v>
      </c>
      <c r="I1" s="328" t="s">
        <v>701</v>
      </c>
      <c r="J1" s="328" t="s">
        <v>702</v>
      </c>
      <c r="K1" s="328" t="s">
        <v>703</v>
      </c>
      <c r="L1" s="328" t="s">
        <v>490</v>
      </c>
      <c r="M1" s="328" t="s">
        <v>704</v>
      </c>
      <c r="N1" s="328" t="s">
        <v>705</v>
      </c>
      <c r="O1" s="328" t="s">
        <v>492</v>
      </c>
      <c r="P1" s="328" t="s">
        <v>706</v>
      </c>
      <c r="Q1" s="328" t="s">
        <v>707</v>
      </c>
      <c r="R1" s="328" t="s">
        <v>708</v>
      </c>
      <c r="S1" s="328" t="s">
        <v>709</v>
      </c>
      <c r="T1" s="328" t="s">
        <v>494</v>
      </c>
      <c r="U1" s="328" t="s">
        <v>710</v>
      </c>
      <c r="V1" s="328" t="s">
        <v>711</v>
      </c>
      <c r="W1" s="328" t="s">
        <v>712</v>
      </c>
      <c r="X1" s="328" t="s">
        <v>713</v>
      </c>
      <c r="Y1" s="328" t="s">
        <v>714</v>
      </c>
      <c r="Z1" s="328" t="s">
        <v>715</v>
      </c>
      <c r="AA1" s="328" t="s">
        <v>716</v>
      </c>
      <c r="AB1" s="328" t="s">
        <v>496</v>
      </c>
      <c r="AC1" s="328" t="s">
        <v>717</v>
      </c>
      <c r="AD1" s="328" t="s">
        <v>718</v>
      </c>
      <c r="AE1" s="328" t="s">
        <v>719</v>
      </c>
      <c r="AF1" s="328" t="s">
        <v>720</v>
      </c>
      <c r="AG1" s="328" t="s">
        <v>721</v>
      </c>
      <c r="AH1" s="328" t="s">
        <v>722</v>
      </c>
      <c r="AI1" s="328" t="s">
        <v>723</v>
      </c>
      <c r="AJ1" s="328" t="s">
        <v>724</v>
      </c>
      <c r="AK1" s="328" t="s">
        <v>725</v>
      </c>
      <c r="AL1" s="328" t="s">
        <v>726</v>
      </c>
      <c r="AM1" s="328" t="s">
        <v>727</v>
      </c>
      <c r="AN1" s="328" t="s">
        <v>728</v>
      </c>
      <c r="AO1" s="328" t="s">
        <v>729</v>
      </c>
    </row>
    <row r="2" spans="1:41" ht="15" customHeight="1" x14ac:dyDescent="0.25">
      <c r="A2" s="144" t="s">
        <v>730</v>
      </c>
      <c r="B2" s="228">
        <v>1.6101000000000001E-2</v>
      </c>
      <c r="C2" s="228">
        <v>1.8518E-2</v>
      </c>
      <c r="D2" s="228">
        <v>2.1087000000000002E-2</v>
      </c>
      <c r="E2" s="228">
        <v>2.3772999999999999E-2</v>
      </c>
      <c r="F2" s="228">
        <v>2.6535E-2</v>
      </c>
      <c r="G2" s="228">
        <v>2.9322999999999998E-2</v>
      </c>
      <c r="H2" s="228">
        <v>3.2081999999999999E-2</v>
      </c>
      <c r="I2" s="228">
        <v>3.4751999999999998E-2</v>
      </c>
      <c r="J2" s="228">
        <v>3.7268999999999997E-2</v>
      </c>
      <c r="K2" s="228">
        <v>3.9572000000000003E-2</v>
      </c>
      <c r="L2" s="228">
        <v>4.1598999999999997E-2</v>
      </c>
      <c r="M2" s="228">
        <v>4.3295E-2</v>
      </c>
      <c r="N2" s="228">
        <v>4.4613E-2</v>
      </c>
      <c r="O2" s="228">
        <v>4.5512999999999998E-2</v>
      </c>
      <c r="P2" s="228">
        <v>4.5969999999999997E-2</v>
      </c>
      <c r="Q2" s="228">
        <v>4.5969999999999997E-2</v>
      </c>
      <c r="R2" s="228">
        <v>4.5512999999999998E-2</v>
      </c>
      <c r="S2" s="228">
        <v>4.4613E-2</v>
      </c>
      <c r="T2" s="228">
        <v>4.3295E-2</v>
      </c>
      <c r="U2" s="228">
        <v>4.1598999999999997E-2</v>
      </c>
      <c r="V2" s="228">
        <v>3.9572000000000003E-2</v>
      </c>
      <c r="W2" s="228">
        <v>3.7268999999999997E-2</v>
      </c>
      <c r="X2" s="228">
        <v>3.4751999999999998E-2</v>
      </c>
      <c r="Y2" s="228">
        <v>3.2081999999999999E-2</v>
      </c>
      <c r="Z2" s="228">
        <v>2.9322999999999998E-2</v>
      </c>
      <c r="AA2" s="228">
        <v>2.6535E-2</v>
      </c>
      <c r="AB2" s="228">
        <v>2.3772999999999999E-2</v>
      </c>
      <c r="AC2" s="228">
        <v>2.1087000000000002E-2</v>
      </c>
      <c r="AD2" s="228">
        <v>1.8518E-2</v>
      </c>
      <c r="AE2" s="228">
        <v>1.6101000000000001E-2</v>
      </c>
    </row>
    <row r="3" spans="1:41" ht="15" customHeight="1" x14ac:dyDescent="0.25">
      <c r="A3" s="144" t="s">
        <v>731</v>
      </c>
      <c r="B3" s="228">
        <v>2.0497000000000001E-2</v>
      </c>
      <c r="C3" s="228">
        <v>2.4336E-2</v>
      </c>
      <c r="D3" s="228">
        <v>2.8445000000000002E-2</v>
      </c>
      <c r="E3" s="228">
        <v>3.2735E-2</v>
      </c>
      <c r="F3" s="228">
        <v>3.7087000000000002E-2</v>
      </c>
      <c r="G3" s="228">
        <v>4.1368000000000002E-2</v>
      </c>
      <c r="H3" s="228">
        <v>4.5428000000000003E-2</v>
      </c>
      <c r="I3" s="228">
        <v>4.9113999999999998E-2</v>
      </c>
      <c r="J3" s="228">
        <v>5.2277999999999998E-2</v>
      </c>
      <c r="K3" s="228">
        <v>5.4782999999999998E-2</v>
      </c>
      <c r="L3" s="228">
        <v>5.6520000000000001E-2</v>
      </c>
      <c r="M3" s="228">
        <v>5.7409000000000002E-2</v>
      </c>
      <c r="N3" s="228">
        <v>5.7409000000000002E-2</v>
      </c>
      <c r="O3" s="228">
        <v>5.6520000000000001E-2</v>
      </c>
      <c r="P3" s="228">
        <v>5.4782999999999998E-2</v>
      </c>
      <c r="Q3" s="228">
        <v>5.2277999999999998E-2</v>
      </c>
      <c r="R3" s="228">
        <v>4.9113999999999998E-2</v>
      </c>
      <c r="S3" s="228">
        <v>4.5428000000000003E-2</v>
      </c>
      <c r="T3" s="228">
        <v>4.1368000000000002E-2</v>
      </c>
      <c r="U3" s="228">
        <v>3.7087000000000002E-2</v>
      </c>
      <c r="V3" s="228">
        <v>3.2735E-2</v>
      </c>
      <c r="W3" s="228">
        <v>2.8445000000000002E-2</v>
      </c>
      <c r="X3" s="228">
        <v>2.4336E-2</v>
      </c>
      <c r="Y3" s="228">
        <v>2.0497000000000001E-2</v>
      </c>
    </row>
    <row r="4" spans="1:41" ht="15" customHeight="1" x14ac:dyDescent="0.25">
      <c r="A4" s="144" t="s">
        <v>732</v>
      </c>
      <c r="B4" s="228">
        <v>2.6516999999999999E-2</v>
      </c>
      <c r="C4" s="228">
        <v>3.2760999999999998E-2</v>
      </c>
      <c r="D4" s="228">
        <v>3.9482000000000003E-2</v>
      </c>
      <c r="E4" s="228">
        <v>4.6412000000000002E-2</v>
      </c>
      <c r="F4" s="228">
        <v>5.3218000000000001E-2</v>
      </c>
      <c r="G4" s="228">
        <v>5.9521999999999999E-2</v>
      </c>
      <c r="H4" s="228">
        <v>6.4936999999999995E-2</v>
      </c>
      <c r="I4" s="228">
        <v>6.9103999999999999E-2</v>
      </c>
      <c r="J4" s="228">
        <v>7.1732000000000004E-2</v>
      </c>
      <c r="K4" s="228">
        <v>7.263E-2</v>
      </c>
      <c r="L4" s="228">
        <v>7.1732000000000004E-2</v>
      </c>
      <c r="M4" s="228">
        <v>6.9103999999999999E-2</v>
      </c>
      <c r="N4" s="228">
        <v>6.4936999999999995E-2</v>
      </c>
      <c r="O4" s="228">
        <v>5.9521999999999999E-2</v>
      </c>
      <c r="P4" s="228">
        <v>5.3218000000000001E-2</v>
      </c>
      <c r="Q4" s="228">
        <v>4.6412000000000002E-2</v>
      </c>
      <c r="R4" s="228">
        <v>3.9482000000000003E-2</v>
      </c>
      <c r="S4" s="228">
        <v>3.2760999999999998E-2</v>
      </c>
      <c r="T4" s="228">
        <v>2.6516999999999999E-2</v>
      </c>
    </row>
    <row r="5" spans="1:41" ht="15" customHeight="1" x14ac:dyDescent="0.25">
      <c r="A5" s="351" t="s">
        <v>733</v>
      </c>
    </row>
    <row r="6" spans="1:41" ht="15" customHeight="1" x14ac:dyDescent="0.25">
      <c r="A6" s="144" t="s">
        <v>313</v>
      </c>
      <c r="B6" s="228">
        <v>0.176029532991649</v>
      </c>
      <c r="C6" s="228">
        <v>0.16281853697000101</v>
      </c>
      <c r="D6" s="228">
        <v>0.14826708720117601</v>
      </c>
      <c r="E6" s="228">
        <v>0.1329235511272</v>
      </c>
      <c r="F6" s="228">
        <v>0.117325543887316</v>
      </c>
      <c r="G6" s="228">
        <v>0.10194975090498599</v>
      </c>
      <c r="H6" s="228">
        <v>8.7222680190674196E-2</v>
      </c>
      <c r="I6" s="228">
        <v>7.3463316726999003E-2</v>
      </c>
    </row>
    <row r="7" spans="1:41" ht="15" customHeight="1" x14ac:dyDescent="0.25">
      <c r="A7" s="144" t="s">
        <v>317</v>
      </c>
      <c r="B7" s="228">
        <v>7.2508633961636093E-2</v>
      </c>
      <c r="C7" s="228">
        <v>7.5983023342903494E-2</v>
      </c>
      <c r="D7" s="228">
        <v>7.8392210710273399E-2</v>
      </c>
      <c r="E7" s="228">
        <v>7.9625237520631401E-2</v>
      </c>
      <c r="F7" s="228">
        <v>7.9625237520631401E-2</v>
      </c>
      <c r="G7" s="228">
        <v>7.8392210710273399E-2</v>
      </c>
      <c r="H7" s="228">
        <v>7.5983023342903494E-2</v>
      </c>
      <c r="I7" s="228">
        <v>7.2508633961636093E-2</v>
      </c>
      <c r="J7" s="228">
        <v>6.8120223581464398E-2</v>
      </c>
      <c r="K7" s="228">
        <v>6.3007808707471705E-2</v>
      </c>
      <c r="L7" s="228">
        <v>5.7376662644419499E-2</v>
      </c>
      <c r="M7" s="228">
        <v>5.1438993606013998E-2</v>
      </c>
      <c r="N7" s="228">
        <v>4.5402848860594501E-2</v>
      </c>
      <c r="O7" s="228">
        <v>3.9452696986088602E-2</v>
      </c>
      <c r="P7" s="228">
        <v>3.3753588815378897E-2</v>
      </c>
      <c r="Q7" s="228">
        <v>2.842896572768E-2</v>
      </c>
    </row>
    <row r="8" spans="1:41" ht="15" customHeight="1" x14ac:dyDescent="0.25">
      <c r="A8" s="144" t="s">
        <v>166</v>
      </c>
      <c r="B8" s="228">
        <v>6.2255798827366399E-2</v>
      </c>
      <c r="C8" s="228">
        <v>6.9630381784405795E-2</v>
      </c>
      <c r="D8" s="228">
        <v>7.5964989448169706E-2</v>
      </c>
      <c r="E8" s="228">
        <v>8.0839654293027405E-2</v>
      </c>
      <c r="F8" s="228">
        <v>8.3913956959762698E-2</v>
      </c>
      <c r="G8" s="228">
        <v>8.4964460686828197E-2</v>
      </c>
      <c r="H8" s="228">
        <v>8.3913956959762698E-2</v>
      </c>
      <c r="I8" s="228">
        <v>8.0839654293027405E-2</v>
      </c>
      <c r="J8" s="228">
        <v>7.5964989448169706E-2</v>
      </c>
      <c r="K8" s="228">
        <v>6.9630381784405795E-2</v>
      </c>
      <c r="L8" s="228">
        <v>6.2255798827366399E-2</v>
      </c>
      <c r="M8" s="228">
        <v>5.4293963230029899E-2</v>
      </c>
      <c r="N8" s="228">
        <v>4.6187069211584102E-2</v>
      </c>
      <c r="O8" s="228">
        <v>3.8324668822265998E-2</v>
      </c>
      <c r="P8" s="228">
        <v>3.1020275423828E-2</v>
      </c>
    </row>
    <row r="9" spans="1:41" ht="15" customHeight="1" x14ac:dyDescent="0.25">
      <c r="A9" s="144" t="s">
        <v>167</v>
      </c>
      <c r="B9" s="228">
        <v>6.2255798827366399E-2</v>
      </c>
      <c r="C9" s="228">
        <v>6.9630381784405795E-2</v>
      </c>
      <c r="D9" s="228">
        <v>7.5964989448169706E-2</v>
      </c>
      <c r="E9" s="228">
        <v>8.0839654293027405E-2</v>
      </c>
      <c r="F9" s="228">
        <v>8.3913956959762698E-2</v>
      </c>
      <c r="G9" s="228">
        <v>8.4964460686828197E-2</v>
      </c>
      <c r="H9" s="228">
        <v>8.3913956959762698E-2</v>
      </c>
      <c r="I9" s="228">
        <v>8.0839654293027405E-2</v>
      </c>
      <c r="J9" s="228">
        <v>7.5964989448169706E-2</v>
      </c>
      <c r="K9" s="228">
        <v>6.9630381784405795E-2</v>
      </c>
      <c r="L9" s="228">
        <v>6.2255798827366399E-2</v>
      </c>
      <c r="M9" s="228">
        <v>5.4293963230029899E-2</v>
      </c>
      <c r="N9" s="228">
        <v>4.6187069211584102E-2</v>
      </c>
      <c r="O9" s="228">
        <v>3.8324668822265998E-2</v>
      </c>
      <c r="P9" s="228">
        <v>3.1020275423828E-2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A3BE"/>
  </sheetPr>
  <dimension ref="A1:D88"/>
  <sheetViews>
    <sheetView zoomScale="85" zoomScaleNormal="85" workbookViewId="0"/>
  </sheetViews>
  <sheetFormatPr defaultColWidth="8.7109375" defaultRowHeight="15" customHeight="1" x14ac:dyDescent="0.25"/>
  <cols>
    <col min="1" max="1" width="40" customWidth="1"/>
    <col min="2" max="2" width="30" customWidth="1"/>
    <col min="3" max="3" width="22" customWidth="1"/>
  </cols>
  <sheetData>
    <row r="1" spans="1:4" ht="17.25" customHeight="1" x14ac:dyDescent="0.3">
      <c r="A1" s="362" t="s">
        <v>734</v>
      </c>
      <c r="B1" s="356"/>
      <c r="C1" s="356"/>
      <c r="D1" s="356"/>
    </row>
    <row r="3" spans="1:4" ht="15" customHeight="1" x14ac:dyDescent="0.25">
      <c r="A3" s="315" t="s">
        <v>735</v>
      </c>
      <c r="B3" s="315"/>
      <c r="C3" s="315"/>
      <c r="D3" s="315"/>
    </row>
    <row r="4" spans="1:4" ht="15" customHeight="1" x14ac:dyDescent="0.25">
      <c r="A4" s="144" t="s">
        <v>736</v>
      </c>
      <c r="B4" s="228">
        <v>0.06</v>
      </c>
    </row>
    <row r="5" spans="1:4" ht="15" customHeight="1" x14ac:dyDescent="0.25">
      <c r="A5" s="144" t="s">
        <v>583</v>
      </c>
      <c r="B5" s="228">
        <v>0.06</v>
      </c>
    </row>
    <row r="6" spans="1:4" ht="15" customHeight="1" x14ac:dyDescent="0.25">
      <c r="A6" s="144" t="s">
        <v>737</v>
      </c>
      <c r="B6" s="228">
        <v>0.02</v>
      </c>
    </row>
    <row r="7" spans="1:4" ht="15" customHeight="1" x14ac:dyDescent="0.25">
      <c r="A7" s="144" t="s">
        <v>738</v>
      </c>
      <c r="B7" s="147">
        <f>B4+B5+B6</f>
        <v>0.13999999999999999</v>
      </c>
    </row>
    <row r="8" spans="1:4" ht="15" customHeight="1" x14ac:dyDescent="0.25">
      <c r="A8" s="144"/>
      <c r="B8" s="228"/>
    </row>
    <row r="9" spans="1:4" ht="15" customHeight="1" x14ac:dyDescent="0.25">
      <c r="A9" s="144" t="s">
        <v>739</v>
      </c>
      <c r="B9" s="147">
        <f>SUM(B10:B12)</f>
        <v>0.120391</v>
      </c>
      <c r="C9" s="195" t="s">
        <v>740</v>
      </c>
    </row>
    <row r="10" spans="1:4" ht="15" customHeight="1" x14ac:dyDescent="0.25">
      <c r="A10" s="144" t="s">
        <v>741</v>
      </c>
      <c r="B10" s="147">
        <v>5.1596000000000003E-2</v>
      </c>
    </row>
    <row r="11" spans="1:4" ht="15" customHeight="1" x14ac:dyDescent="0.25">
      <c r="A11" s="144" t="s">
        <v>742</v>
      </c>
      <c r="B11" s="147">
        <v>5.1596000000000003E-2</v>
      </c>
    </row>
    <row r="12" spans="1:4" ht="15" customHeight="1" x14ac:dyDescent="0.25">
      <c r="A12" s="144" t="s">
        <v>743</v>
      </c>
      <c r="B12" s="147">
        <v>1.7198999999999999E-2</v>
      </c>
    </row>
    <row r="14" spans="1:4" ht="15" customHeight="1" x14ac:dyDescent="0.25">
      <c r="A14" s="315" t="s">
        <v>744</v>
      </c>
      <c r="B14" s="315"/>
      <c r="C14" s="315"/>
      <c r="D14" s="315"/>
    </row>
    <row r="15" spans="1:4" ht="15" customHeight="1" x14ac:dyDescent="0.25">
      <c r="A15" s="144" t="s">
        <v>588</v>
      </c>
      <c r="B15" s="228">
        <v>1.4999999999999999E-2</v>
      </c>
    </row>
    <row r="16" spans="1:4" ht="15" customHeight="1" x14ac:dyDescent="0.25">
      <c r="A16" s="144" t="s">
        <v>590</v>
      </c>
      <c r="B16" s="228">
        <v>7.4000000000000003E-3</v>
      </c>
    </row>
    <row r="17" spans="1:4" ht="15" customHeight="1" x14ac:dyDescent="0.25">
      <c r="A17" s="144" t="s">
        <v>592</v>
      </c>
      <c r="B17" s="228">
        <v>3.2500000000000001E-2</v>
      </c>
    </row>
    <row r="19" spans="1:4" ht="15" customHeight="1" x14ac:dyDescent="0.25">
      <c r="A19" s="315" t="s">
        <v>745</v>
      </c>
      <c r="B19" s="315"/>
      <c r="C19" s="315"/>
      <c r="D19" s="315"/>
    </row>
    <row r="20" spans="1:4" ht="15" customHeight="1" x14ac:dyDescent="0.25">
      <c r="A20" s="144" t="s">
        <v>746</v>
      </c>
      <c r="B20" s="228">
        <v>7.0000000000000007E-2</v>
      </c>
    </row>
    <row r="21" spans="1:4" ht="15" customHeight="1" x14ac:dyDescent="0.25">
      <c r="A21" s="144" t="s">
        <v>747</v>
      </c>
      <c r="B21" s="228">
        <v>5.0000000000000001E-3</v>
      </c>
    </row>
    <row r="22" spans="1:4" ht="15" customHeight="1" x14ac:dyDescent="0.25">
      <c r="A22" s="144" t="s">
        <v>748</v>
      </c>
      <c r="B22" s="228">
        <v>0.05</v>
      </c>
    </row>
    <row r="23" spans="1:4" ht="15" customHeight="1" x14ac:dyDescent="0.25">
      <c r="A23" s="144" t="s">
        <v>749</v>
      </c>
      <c r="B23" s="228">
        <v>0.02</v>
      </c>
    </row>
    <row r="25" spans="1:4" ht="15" customHeight="1" x14ac:dyDescent="0.25">
      <c r="A25" s="315" t="s">
        <v>750</v>
      </c>
      <c r="B25" s="315"/>
      <c r="C25" s="315"/>
      <c r="D25" s="315"/>
    </row>
    <row r="26" spans="1:4" ht="15" customHeight="1" x14ac:dyDescent="0.25">
      <c r="A26" s="144" t="s">
        <v>751</v>
      </c>
      <c r="B26" s="208">
        <v>0.02</v>
      </c>
    </row>
    <row r="28" spans="1:4" ht="15" customHeight="1" x14ac:dyDescent="0.25">
      <c r="A28" s="315" t="s">
        <v>752</v>
      </c>
      <c r="B28" s="315"/>
      <c r="C28" s="315"/>
      <c r="D28" s="315"/>
    </row>
    <row r="29" spans="1:4" ht="15" customHeight="1" x14ac:dyDescent="0.25">
      <c r="A29" s="144" t="s">
        <v>753</v>
      </c>
      <c r="B29" s="210">
        <v>1025542</v>
      </c>
    </row>
    <row r="30" spans="1:4" ht="15" customHeight="1" x14ac:dyDescent="0.25">
      <c r="A30" s="144" t="s">
        <v>754</v>
      </c>
      <c r="B30" s="210">
        <v>237987</v>
      </c>
    </row>
    <row r="32" spans="1:4" ht="15" customHeight="1" x14ac:dyDescent="0.25">
      <c r="A32" s="315" t="s">
        <v>755</v>
      </c>
      <c r="B32" s="315"/>
      <c r="C32" s="315"/>
      <c r="D32" s="315"/>
    </row>
    <row r="33" spans="1:4" ht="15" customHeight="1" x14ac:dyDescent="0.25">
      <c r="A33" s="144" t="s">
        <v>756</v>
      </c>
      <c r="B33" s="210">
        <v>1615485</v>
      </c>
    </row>
    <row r="34" spans="1:4" ht="15" customHeight="1" x14ac:dyDescent="0.25">
      <c r="A34" s="144" t="s">
        <v>757</v>
      </c>
      <c r="B34" s="228">
        <v>0.15</v>
      </c>
    </row>
    <row r="35" spans="1:4" ht="15" customHeight="1" x14ac:dyDescent="0.25">
      <c r="A35" s="144" t="s">
        <v>758</v>
      </c>
      <c r="B35" s="147">
        <f>B34/4</f>
        <v>3.7499999999999999E-2</v>
      </c>
    </row>
    <row r="36" spans="1:4" ht="15" customHeight="1" x14ac:dyDescent="0.25">
      <c r="A36" s="144" t="s">
        <v>759</v>
      </c>
      <c r="B36" s="210">
        <v>130000</v>
      </c>
    </row>
    <row r="37" spans="1:4" ht="15" customHeight="1" x14ac:dyDescent="0.25">
      <c r="A37" s="144" t="s">
        <v>760</v>
      </c>
      <c r="B37" s="229">
        <v>7</v>
      </c>
    </row>
    <row r="38" spans="1:4" ht="15" customHeight="1" x14ac:dyDescent="0.25">
      <c r="A38" s="230" t="s">
        <v>761</v>
      </c>
    </row>
    <row r="40" spans="1:4" ht="15" customHeight="1" x14ac:dyDescent="0.25">
      <c r="A40" s="315" t="s">
        <v>762</v>
      </c>
      <c r="B40" s="315"/>
      <c r="C40" s="315"/>
      <c r="D40" s="315"/>
    </row>
    <row r="41" spans="1:4" ht="15" customHeight="1" x14ac:dyDescent="0.25">
      <c r="A41" s="144" t="s">
        <v>763</v>
      </c>
      <c r="B41" s="210">
        <v>1000000</v>
      </c>
    </row>
    <row r="42" spans="1:4" ht="15" customHeight="1" x14ac:dyDescent="0.25">
      <c r="A42" s="144" t="s">
        <v>764</v>
      </c>
      <c r="B42" s="231">
        <f>B41*0.25</f>
        <v>250000</v>
      </c>
    </row>
    <row r="43" spans="1:4" ht="15" customHeight="1" x14ac:dyDescent="0.25">
      <c r="A43" s="144" t="s">
        <v>765</v>
      </c>
      <c r="B43" s="210">
        <v>1000000</v>
      </c>
    </row>
    <row r="44" spans="1:4" ht="15" customHeight="1" x14ac:dyDescent="0.25">
      <c r="A44" s="230" t="s">
        <v>766</v>
      </c>
    </row>
    <row r="46" spans="1:4" ht="15" customHeight="1" x14ac:dyDescent="0.25">
      <c r="A46" s="315" t="s">
        <v>767</v>
      </c>
      <c r="B46" s="315"/>
      <c r="C46" s="315"/>
      <c r="D46" s="315"/>
    </row>
    <row r="47" spans="1:4" ht="15" customHeight="1" x14ac:dyDescent="0.25">
      <c r="A47" s="144" t="s">
        <v>768</v>
      </c>
      <c r="B47" s="228">
        <v>0.01</v>
      </c>
    </row>
    <row r="48" spans="1:4" ht="15" customHeight="1" x14ac:dyDescent="0.25">
      <c r="A48" s="144" t="s">
        <v>769</v>
      </c>
      <c r="B48" s="228">
        <v>0.03</v>
      </c>
    </row>
    <row r="50" spans="1:4" ht="15" customHeight="1" x14ac:dyDescent="0.25">
      <c r="A50" s="315" t="s">
        <v>770</v>
      </c>
      <c r="B50" s="315"/>
      <c r="C50" s="232"/>
      <c r="D50" s="315"/>
    </row>
    <row r="51" spans="1:4" ht="15" customHeight="1" x14ac:dyDescent="0.25">
      <c r="A51" s="144" t="s">
        <v>320</v>
      </c>
      <c r="B51" s="210">
        <v>2000000</v>
      </c>
    </row>
    <row r="52" spans="1:4" ht="15" customHeight="1" x14ac:dyDescent="0.25">
      <c r="A52" s="144" t="s">
        <v>321</v>
      </c>
      <c r="B52" s="210">
        <v>2000000</v>
      </c>
    </row>
    <row r="53" spans="1:4" ht="15" customHeight="1" x14ac:dyDescent="0.25">
      <c r="A53" s="144" t="s">
        <v>168</v>
      </c>
      <c r="B53" s="210">
        <v>5000000</v>
      </c>
      <c r="C53" s="136"/>
    </row>
    <row r="54" spans="1:4" ht="15" customHeight="1" x14ac:dyDescent="0.25">
      <c r="A54" s="144" t="s">
        <v>172</v>
      </c>
      <c r="B54" s="210">
        <v>5000000</v>
      </c>
      <c r="C54" s="136"/>
    </row>
    <row r="55" spans="1:4" ht="15" customHeight="1" x14ac:dyDescent="0.25">
      <c r="A55" s="144" t="s">
        <v>173</v>
      </c>
      <c r="B55" s="210">
        <v>5000000</v>
      </c>
      <c r="C55" s="136"/>
    </row>
    <row r="57" spans="1:4" ht="15" customHeight="1" x14ac:dyDescent="0.25">
      <c r="A57" s="315" t="s">
        <v>771</v>
      </c>
      <c r="B57" s="315"/>
      <c r="C57" s="315"/>
      <c r="D57" s="315"/>
    </row>
    <row r="58" spans="1:4" ht="15" customHeight="1" x14ac:dyDescent="0.25">
      <c r="A58" s="144" t="s">
        <v>772</v>
      </c>
      <c r="B58" s="228">
        <v>0.15</v>
      </c>
    </row>
    <row r="59" spans="1:4" ht="15" customHeight="1" x14ac:dyDescent="0.25">
      <c r="A59" s="144" t="s">
        <v>773</v>
      </c>
      <c r="B59" s="147">
        <f>B58/4</f>
        <v>3.7499999999999999E-2</v>
      </c>
    </row>
    <row r="60" spans="1:4" ht="15" customHeight="1" x14ac:dyDescent="0.25">
      <c r="A60" s="144" t="s">
        <v>774</v>
      </c>
      <c r="B60" s="210">
        <v>0</v>
      </c>
    </row>
    <row r="61" spans="1:4" ht="15" customHeight="1" x14ac:dyDescent="0.25">
      <c r="A61" s="144" t="s">
        <v>775</v>
      </c>
      <c r="B61" s="210">
        <v>0</v>
      </c>
    </row>
    <row r="62" spans="1:4" ht="15" customHeight="1" x14ac:dyDescent="0.25">
      <c r="A62" s="144" t="s">
        <v>776</v>
      </c>
      <c r="B62" s="210">
        <v>1784000</v>
      </c>
    </row>
    <row r="63" spans="1:4" ht="15" customHeight="1" x14ac:dyDescent="0.25">
      <c r="A63" s="144" t="s">
        <v>777</v>
      </c>
      <c r="B63" s="210">
        <v>1766181</v>
      </c>
    </row>
    <row r="64" spans="1:4" ht="15" customHeight="1" x14ac:dyDescent="0.25">
      <c r="A64" s="230" t="s">
        <v>778</v>
      </c>
    </row>
    <row r="66" spans="1:2" ht="15" customHeight="1" x14ac:dyDescent="0.25">
      <c r="A66" s="94" t="s">
        <v>97</v>
      </c>
    </row>
    <row r="67" spans="1:2" ht="15" customHeight="1" x14ac:dyDescent="0.25">
      <c r="A67" s="136" t="s">
        <v>779</v>
      </c>
      <c r="B67" s="233">
        <v>833.33</v>
      </c>
    </row>
    <row r="68" spans="1:2" ht="15" customHeight="1" x14ac:dyDescent="0.25">
      <c r="A68" s="136" t="s">
        <v>780</v>
      </c>
      <c r="B68" s="136">
        <v>5</v>
      </c>
    </row>
    <row r="70" spans="1:2" ht="15" customHeight="1" x14ac:dyDescent="0.25">
      <c r="A70" s="234" t="s">
        <v>781</v>
      </c>
      <c r="B70" s="234"/>
    </row>
    <row r="71" spans="1:2" ht="15" customHeight="1" x14ac:dyDescent="0.25">
      <c r="A71" s="235" t="s">
        <v>782</v>
      </c>
      <c r="B71" s="236">
        <v>1134000</v>
      </c>
    </row>
    <row r="72" spans="1:2" ht="15" customHeight="1" x14ac:dyDescent="0.25">
      <c r="A72" s="237" t="s">
        <v>783</v>
      </c>
      <c r="B72" s="238">
        <v>50000</v>
      </c>
    </row>
    <row r="73" spans="1:2" ht="15" customHeight="1" x14ac:dyDescent="0.25">
      <c r="A73" s="235" t="s">
        <v>784</v>
      </c>
      <c r="B73" s="239">
        <v>14</v>
      </c>
    </row>
    <row r="74" spans="1:2" ht="15" customHeight="1" x14ac:dyDescent="0.25">
      <c r="A74" s="237" t="s">
        <v>162</v>
      </c>
      <c r="B74" s="238">
        <v>-1450000</v>
      </c>
    </row>
    <row r="75" spans="1:2" ht="15" customHeight="1" x14ac:dyDescent="0.25">
      <c r="A75" s="235" t="s">
        <v>785</v>
      </c>
      <c r="B75" s="236">
        <v>264927.15000000002</v>
      </c>
    </row>
    <row r="76" spans="1:2" ht="15" customHeight="1" x14ac:dyDescent="0.25">
      <c r="A76" s="237" t="s">
        <v>786</v>
      </c>
      <c r="B76" s="238">
        <v>883090.5</v>
      </c>
    </row>
    <row r="77" spans="1:2" ht="15" customHeight="1" x14ac:dyDescent="0.25">
      <c r="A77" s="235" t="s">
        <v>157</v>
      </c>
      <c r="B77" s="236">
        <v>-1800000</v>
      </c>
    </row>
    <row r="79" spans="1:2" ht="19.5" customHeight="1" x14ac:dyDescent="0.25">
      <c r="A79" s="352" t="s">
        <v>787</v>
      </c>
    </row>
    <row r="80" spans="1:2" ht="15" customHeight="1" x14ac:dyDescent="0.25">
      <c r="A80" s="240" t="s">
        <v>788</v>
      </c>
      <c r="B80" s="241">
        <v>1</v>
      </c>
    </row>
    <row r="82" spans="1:3" ht="27.75" customHeight="1" x14ac:dyDescent="0.25">
      <c r="A82" s="116" t="s">
        <v>789</v>
      </c>
      <c r="B82" s="116" t="s">
        <v>790</v>
      </c>
      <c r="C82" s="116" t="s">
        <v>791</v>
      </c>
    </row>
    <row r="83" spans="1:3" ht="15" customHeight="1" x14ac:dyDescent="0.25">
      <c r="A83" s="242" t="s">
        <v>792</v>
      </c>
      <c r="B83" s="243">
        <v>0</v>
      </c>
      <c r="C83" s="244">
        <v>0.25</v>
      </c>
    </row>
    <row r="84" spans="1:3" ht="15" customHeight="1" x14ac:dyDescent="0.25">
      <c r="A84" s="242" t="s">
        <v>793</v>
      </c>
      <c r="B84" s="243">
        <v>20000000</v>
      </c>
      <c r="C84" s="244">
        <v>0.5</v>
      </c>
    </row>
    <row r="85" spans="1:3" ht="15" customHeight="1" x14ac:dyDescent="0.25">
      <c r="A85" s="242" t="s">
        <v>794</v>
      </c>
      <c r="B85" s="243">
        <v>40000000</v>
      </c>
      <c r="C85" s="244">
        <v>0.75</v>
      </c>
    </row>
    <row r="86" spans="1:3" ht="15" customHeight="1" x14ac:dyDescent="0.25">
      <c r="A86" s="242" t="s">
        <v>795</v>
      </c>
      <c r="B86" s="243">
        <v>60000000</v>
      </c>
      <c r="C86" s="244">
        <v>1</v>
      </c>
    </row>
    <row r="88" spans="1:3" ht="15" customHeight="1" x14ac:dyDescent="0.25">
      <c r="A88" s="91" t="s">
        <v>796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5E7B9B"/>
  </sheetPr>
  <dimension ref="A1:B106"/>
  <sheetViews>
    <sheetView zoomScale="85" zoomScaleNormal="85" workbookViewId="0"/>
  </sheetViews>
  <sheetFormatPr defaultColWidth="8.7109375" defaultRowHeight="15" customHeight="1" x14ac:dyDescent="0.25"/>
  <cols>
    <col min="1" max="1" width="10" customWidth="1"/>
    <col min="2" max="2" width="12" customWidth="1"/>
  </cols>
  <sheetData>
    <row r="1" spans="1:2" ht="15" customHeight="1" x14ac:dyDescent="0.25">
      <c r="A1" s="303" t="s">
        <v>797</v>
      </c>
      <c r="B1" s="303" t="s">
        <v>798</v>
      </c>
    </row>
    <row r="2" spans="1:2" ht="15" customHeight="1" x14ac:dyDescent="0.25">
      <c r="A2" s="240">
        <v>1</v>
      </c>
      <c r="B2" s="245">
        <f>(1+Assumptions!$B$26)^INT((A2-1)/12)</f>
        <v>1</v>
      </c>
    </row>
    <row r="3" spans="1:2" ht="15" customHeight="1" x14ac:dyDescent="0.25">
      <c r="A3" s="240">
        <v>2</v>
      </c>
      <c r="B3" s="245">
        <f>(1+Assumptions!$B$26)^INT((A3-1)/12)</f>
        <v>1</v>
      </c>
    </row>
    <row r="4" spans="1:2" ht="15" customHeight="1" x14ac:dyDescent="0.25">
      <c r="A4" s="240">
        <v>3</v>
      </c>
      <c r="B4" s="245">
        <f>(1+Assumptions!$B$26)^INT((A4-1)/12)</f>
        <v>1</v>
      </c>
    </row>
    <row r="5" spans="1:2" ht="15" customHeight="1" x14ac:dyDescent="0.25">
      <c r="A5" s="240">
        <v>4</v>
      </c>
      <c r="B5" s="245">
        <f>(1+Assumptions!$B$26)^INT((A5-1)/12)</f>
        <v>1</v>
      </c>
    </row>
    <row r="6" spans="1:2" ht="15" customHeight="1" x14ac:dyDescent="0.25">
      <c r="A6" s="240">
        <v>5</v>
      </c>
      <c r="B6" s="245">
        <f>(1+Assumptions!$B$26)^INT((A6-1)/12)</f>
        <v>1</v>
      </c>
    </row>
    <row r="7" spans="1:2" ht="15" customHeight="1" x14ac:dyDescent="0.25">
      <c r="A7" s="240">
        <v>6</v>
      </c>
      <c r="B7" s="245">
        <f>(1+Assumptions!$B$26)^INT((A7-1)/12)</f>
        <v>1</v>
      </c>
    </row>
    <row r="8" spans="1:2" ht="15" customHeight="1" x14ac:dyDescent="0.25">
      <c r="A8" s="240">
        <v>7</v>
      </c>
      <c r="B8" s="245">
        <f>(1+Assumptions!$B$26)^INT((A8-1)/12)</f>
        <v>1</v>
      </c>
    </row>
    <row r="9" spans="1:2" ht="15" customHeight="1" x14ac:dyDescent="0.25">
      <c r="A9" s="240">
        <v>8</v>
      </c>
      <c r="B9" s="245">
        <f>(1+Assumptions!$B$26)^INT((A9-1)/12)</f>
        <v>1</v>
      </c>
    </row>
    <row r="10" spans="1:2" ht="15" customHeight="1" x14ac:dyDescent="0.25">
      <c r="A10" s="240">
        <v>9</v>
      </c>
      <c r="B10" s="245">
        <f>(1+Assumptions!$B$26)^INT((A10-1)/12)</f>
        <v>1</v>
      </c>
    </row>
    <row r="11" spans="1:2" ht="15" customHeight="1" x14ac:dyDescent="0.25">
      <c r="A11" s="240">
        <v>10</v>
      </c>
      <c r="B11" s="245">
        <f>(1+Assumptions!$B$26)^INT((A11-1)/12)</f>
        <v>1</v>
      </c>
    </row>
    <row r="12" spans="1:2" ht="15" customHeight="1" x14ac:dyDescent="0.25">
      <c r="A12" s="240">
        <v>11</v>
      </c>
      <c r="B12" s="245">
        <f>(1+Assumptions!$B$26)^INT((A12-1)/12)</f>
        <v>1</v>
      </c>
    </row>
    <row r="13" spans="1:2" ht="15" customHeight="1" x14ac:dyDescent="0.25">
      <c r="A13" s="240">
        <v>12</v>
      </c>
      <c r="B13" s="245">
        <f>(1+Assumptions!$B$26)^INT((A13-1)/12)</f>
        <v>1</v>
      </c>
    </row>
    <row r="14" spans="1:2" ht="15" customHeight="1" x14ac:dyDescent="0.25">
      <c r="A14" s="240">
        <v>13</v>
      </c>
      <c r="B14" s="245">
        <f>(1+Assumptions!$B$26)^INT((A14-1)/12)</f>
        <v>1.02</v>
      </c>
    </row>
    <row r="15" spans="1:2" ht="15" customHeight="1" x14ac:dyDescent="0.25">
      <c r="A15" s="240">
        <v>14</v>
      </c>
      <c r="B15" s="245">
        <f>(1+Assumptions!$B$26)^INT((A15-1)/12)</f>
        <v>1.02</v>
      </c>
    </row>
    <row r="16" spans="1:2" ht="15" customHeight="1" x14ac:dyDescent="0.25">
      <c r="A16" s="240">
        <v>15</v>
      </c>
      <c r="B16" s="245">
        <f>(1+Assumptions!$B$26)^INT((A16-1)/12)</f>
        <v>1.02</v>
      </c>
    </row>
    <row r="17" spans="1:2" ht="15" customHeight="1" x14ac:dyDescent="0.25">
      <c r="A17" s="240">
        <v>16</v>
      </c>
      <c r="B17" s="245">
        <f>(1+Assumptions!$B$26)^INT((A17-1)/12)</f>
        <v>1.02</v>
      </c>
    </row>
    <row r="18" spans="1:2" ht="15" customHeight="1" x14ac:dyDescent="0.25">
      <c r="A18" s="240">
        <v>17</v>
      </c>
      <c r="B18" s="245">
        <f>(1+Assumptions!$B$26)^INT((A18-1)/12)</f>
        <v>1.02</v>
      </c>
    </row>
    <row r="19" spans="1:2" ht="15" customHeight="1" x14ac:dyDescent="0.25">
      <c r="A19" s="240">
        <v>18</v>
      </c>
      <c r="B19" s="245">
        <f>(1+Assumptions!$B$26)^INT((A19-1)/12)</f>
        <v>1.02</v>
      </c>
    </row>
    <row r="20" spans="1:2" ht="15" customHeight="1" x14ac:dyDescent="0.25">
      <c r="A20" s="240">
        <v>19</v>
      </c>
      <c r="B20" s="245">
        <f>(1+Assumptions!$B$26)^INT((A20-1)/12)</f>
        <v>1.02</v>
      </c>
    </row>
    <row r="21" spans="1:2" ht="15" customHeight="1" x14ac:dyDescent="0.25">
      <c r="A21" s="240">
        <v>20</v>
      </c>
      <c r="B21" s="245">
        <f>(1+Assumptions!$B$26)^INT((A21-1)/12)</f>
        <v>1.02</v>
      </c>
    </row>
    <row r="22" spans="1:2" ht="15" customHeight="1" x14ac:dyDescent="0.25">
      <c r="A22" s="240">
        <v>21</v>
      </c>
      <c r="B22" s="245">
        <f>(1+Assumptions!$B$26)^INT((A22-1)/12)</f>
        <v>1.02</v>
      </c>
    </row>
    <row r="23" spans="1:2" ht="15" customHeight="1" x14ac:dyDescent="0.25">
      <c r="A23" s="240">
        <v>22</v>
      </c>
      <c r="B23" s="245">
        <f>(1+Assumptions!$B$26)^INT((A23-1)/12)</f>
        <v>1.02</v>
      </c>
    </row>
    <row r="24" spans="1:2" ht="15" customHeight="1" x14ac:dyDescent="0.25">
      <c r="A24" s="240">
        <v>23</v>
      </c>
      <c r="B24" s="245">
        <f>(1+Assumptions!$B$26)^INT((A24-1)/12)</f>
        <v>1.02</v>
      </c>
    </row>
    <row r="25" spans="1:2" ht="15" customHeight="1" x14ac:dyDescent="0.25">
      <c r="A25" s="240">
        <v>24</v>
      </c>
      <c r="B25" s="245">
        <f>(1+Assumptions!$B$26)^INT((A25-1)/12)</f>
        <v>1.02</v>
      </c>
    </row>
    <row r="26" spans="1:2" ht="15" customHeight="1" x14ac:dyDescent="0.25">
      <c r="A26" s="240">
        <v>25</v>
      </c>
      <c r="B26" s="245">
        <f>(1+Assumptions!$B$26)^INT((A26-1)/12)</f>
        <v>1.0404</v>
      </c>
    </row>
    <row r="27" spans="1:2" ht="15" customHeight="1" x14ac:dyDescent="0.25">
      <c r="A27" s="240">
        <v>26</v>
      </c>
      <c r="B27" s="245">
        <f>(1+Assumptions!$B$26)^INT((A27-1)/12)</f>
        <v>1.0404</v>
      </c>
    </row>
    <row r="28" spans="1:2" ht="15" customHeight="1" x14ac:dyDescent="0.25">
      <c r="A28" s="240">
        <v>27</v>
      </c>
      <c r="B28" s="245">
        <f>(1+Assumptions!$B$26)^INT((A28-1)/12)</f>
        <v>1.0404</v>
      </c>
    </row>
    <row r="29" spans="1:2" ht="15" customHeight="1" x14ac:dyDescent="0.25">
      <c r="A29" s="240">
        <v>28</v>
      </c>
      <c r="B29" s="245">
        <f>(1+Assumptions!$B$26)^INT((A29-1)/12)</f>
        <v>1.0404</v>
      </c>
    </row>
    <row r="30" spans="1:2" ht="15" customHeight="1" x14ac:dyDescent="0.25">
      <c r="A30" s="240">
        <v>29</v>
      </c>
      <c r="B30" s="245">
        <f>(1+Assumptions!$B$26)^INT((A30-1)/12)</f>
        <v>1.0404</v>
      </c>
    </row>
    <row r="31" spans="1:2" ht="15" customHeight="1" x14ac:dyDescent="0.25">
      <c r="A31" s="240">
        <v>30</v>
      </c>
      <c r="B31" s="245">
        <f>(1+Assumptions!$B$26)^INT((A31-1)/12)</f>
        <v>1.0404</v>
      </c>
    </row>
    <row r="32" spans="1:2" ht="15" customHeight="1" x14ac:dyDescent="0.25">
      <c r="A32" s="240">
        <v>31</v>
      </c>
      <c r="B32" s="245">
        <f>(1+Assumptions!$B$26)^INT((A32-1)/12)</f>
        <v>1.0404</v>
      </c>
    </row>
    <row r="33" spans="1:2" ht="15" customHeight="1" x14ac:dyDescent="0.25">
      <c r="A33" s="240">
        <v>32</v>
      </c>
      <c r="B33" s="245">
        <f>(1+Assumptions!$B$26)^INT((A33-1)/12)</f>
        <v>1.0404</v>
      </c>
    </row>
    <row r="34" spans="1:2" ht="15" customHeight="1" x14ac:dyDescent="0.25">
      <c r="A34" s="240">
        <v>33</v>
      </c>
      <c r="B34" s="245">
        <f>(1+Assumptions!$B$26)^INT((A34-1)/12)</f>
        <v>1.0404</v>
      </c>
    </row>
    <row r="35" spans="1:2" ht="15" customHeight="1" x14ac:dyDescent="0.25">
      <c r="A35" s="240">
        <v>34</v>
      </c>
      <c r="B35" s="245">
        <f>(1+Assumptions!$B$26)^INT((A35-1)/12)</f>
        <v>1.0404</v>
      </c>
    </row>
    <row r="36" spans="1:2" ht="15" customHeight="1" x14ac:dyDescent="0.25">
      <c r="A36" s="240">
        <v>35</v>
      </c>
      <c r="B36" s="245">
        <f>(1+Assumptions!$B$26)^INT((A36-1)/12)</f>
        <v>1.0404</v>
      </c>
    </row>
    <row r="37" spans="1:2" ht="15" customHeight="1" x14ac:dyDescent="0.25">
      <c r="A37" s="240">
        <v>36</v>
      </c>
      <c r="B37" s="245">
        <f>(1+Assumptions!$B$26)^INT((A37-1)/12)</f>
        <v>1.0404</v>
      </c>
    </row>
    <row r="38" spans="1:2" ht="15" customHeight="1" x14ac:dyDescent="0.25">
      <c r="A38" s="240">
        <v>37</v>
      </c>
      <c r="B38" s="245">
        <f>(1+Assumptions!$B$26)^INT((A38-1)/12)</f>
        <v>1.0612079999999999</v>
      </c>
    </row>
    <row r="39" spans="1:2" ht="15" customHeight="1" x14ac:dyDescent="0.25">
      <c r="A39" s="240">
        <v>38</v>
      </c>
      <c r="B39" s="245">
        <f>(1+Assumptions!$B$26)^INT((A39-1)/12)</f>
        <v>1.0612079999999999</v>
      </c>
    </row>
    <row r="40" spans="1:2" ht="15" customHeight="1" x14ac:dyDescent="0.25">
      <c r="A40" s="240">
        <v>39</v>
      </c>
      <c r="B40" s="245">
        <f>(1+Assumptions!$B$26)^INT((A40-1)/12)</f>
        <v>1.0612079999999999</v>
      </c>
    </row>
    <row r="41" spans="1:2" ht="15" customHeight="1" x14ac:dyDescent="0.25">
      <c r="A41" s="240">
        <v>40</v>
      </c>
      <c r="B41" s="245">
        <f>(1+Assumptions!$B$26)^INT((A41-1)/12)</f>
        <v>1.0612079999999999</v>
      </c>
    </row>
    <row r="42" spans="1:2" ht="15" customHeight="1" x14ac:dyDescent="0.25">
      <c r="A42" s="240">
        <v>41</v>
      </c>
      <c r="B42" s="245">
        <f>(1+Assumptions!$B$26)^INT((A42-1)/12)</f>
        <v>1.0612079999999999</v>
      </c>
    </row>
    <row r="43" spans="1:2" ht="15" customHeight="1" x14ac:dyDescent="0.25">
      <c r="A43" s="240">
        <v>42</v>
      </c>
      <c r="B43" s="245">
        <f>(1+Assumptions!$B$26)^INT((A43-1)/12)</f>
        <v>1.0612079999999999</v>
      </c>
    </row>
    <row r="44" spans="1:2" ht="15" customHeight="1" x14ac:dyDescent="0.25">
      <c r="A44" s="240">
        <v>43</v>
      </c>
      <c r="B44" s="245">
        <f>(1+Assumptions!$B$26)^INT((A44-1)/12)</f>
        <v>1.0612079999999999</v>
      </c>
    </row>
    <row r="45" spans="1:2" ht="15" customHeight="1" x14ac:dyDescent="0.25">
      <c r="A45" s="240">
        <v>44</v>
      </c>
      <c r="B45" s="245">
        <f>(1+Assumptions!$B$26)^INT((A45-1)/12)</f>
        <v>1.0612079999999999</v>
      </c>
    </row>
    <row r="46" spans="1:2" ht="15" customHeight="1" x14ac:dyDescent="0.25">
      <c r="A46" s="240">
        <v>45</v>
      </c>
      <c r="B46" s="245">
        <f>(1+Assumptions!$B$26)^INT((A46-1)/12)</f>
        <v>1.0612079999999999</v>
      </c>
    </row>
    <row r="47" spans="1:2" ht="15" customHeight="1" x14ac:dyDescent="0.25">
      <c r="A47" s="240">
        <v>46</v>
      </c>
      <c r="B47" s="245">
        <f>(1+Assumptions!$B$26)^INT((A47-1)/12)</f>
        <v>1.0612079999999999</v>
      </c>
    </row>
    <row r="48" spans="1:2" ht="15" customHeight="1" x14ac:dyDescent="0.25">
      <c r="A48" s="240">
        <v>47</v>
      </c>
      <c r="B48" s="245">
        <f>(1+Assumptions!$B$26)^INT((A48-1)/12)</f>
        <v>1.0612079999999999</v>
      </c>
    </row>
    <row r="49" spans="1:2" ht="15" customHeight="1" x14ac:dyDescent="0.25">
      <c r="A49" s="240">
        <v>48</v>
      </c>
      <c r="B49" s="245">
        <f>(1+Assumptions!$B$26)^INT((A49-1)/12)</f>
        <v>1.0612079999999999</v>
      </c>
    </row>
    <row r="50" spans="1:2" ht="15" customHeight="1" x14ac:dyDescent="0.25">
      <c r="A50" s="240">
        <v>49</v>
      </c>
      <c r="B50" s="245">
        <f>(1+Assumptions!$B$26)^INT((A50-1)/12)</f>
        <v>1.08243216</v>
      </c>
    </row>
    <row r="51" spans="1:2" ht="15" customHeight="1" x14ac:dyDescent="0.25">
      <c r="A51" s="240">
        <v>50</v>
      </c>
      <c r="B51" s="245">
        <f>(1+Assumptions!$B$26)^INT((A51-1)/12)</f>
        <v>1.08243216</v>
      </c>
    </row>
    <row r="52" spans="1:2" ht="15" customHeight="1" x14ac:dyDescent="0.25">
      <c r="A52" s="240">
        <v>51</v>
      </c>
      <c r="B52" s="245">
        <f>(1+Assumptions!$B$26)^INT((A52-1)/12)</f>
        <v>1.08243216</v>
      </c>
    </row>
    <row r="53" spans="1:2" ht="15" customHeight="1" x14ac:dyDescent="0.25">
      <c r="A53" s="240">
        <v>52</v>
      </c>
      <c r="B53" s="245">
        <f>(1+Assumptions!$B$26)^INT((A53-1)/12)</f>
        <v>1.08243216</v>
      </c>
    </row>
    <row r="54" spans="1:2" ht="15" customHeight="1" x14ac:dyDescent="0.25">
      <c r="A54" s="240">
        <v>53</v>
      </c>
      <c r="B54" s="245">
        <f>(1+Assumptions!$B$26)^INT((A54-1)/12)</f>
        <v>1.08243216</v>
      </c>
    </row>
    <row r="55" spans="1:2" ht="15" customHeight="1" x14ac:dyDescent="0.25">
      <c r="A55" s="240">
        <v>54</v>
      </c>
      <c r="B55" s="245">
        <f>(1+Assumptions!$B$26)^INT((A55-1)/12)</f>
        <v>1.08243216</v>
      </c>
    </row>
    <row r="56" spans="1:2" ht="15" customHeight="1" x14ac:dyDescent="0.25">
      <c r="A56" s="240">
        <v>55</v>
      </c>
      <c r="B56" s="245">
        <f>(1+Assumptions!$B$26)^INT((A56-1)/12)</f>
        <v>1.08243216</v>
      </c>
    </row>
    <row r="57" spans="1:2" ht="15" customHeight="1" x14ac:dyDescent="0.25">
      <c r="A57" s="240">
        <v>56</v>
      </c>
      <c r="B57" s="245">
        <f>(1+Assumptions!$B$26)^INT((A57-1)/12)</f>
        <v>1.08243216</v>
      </c>
    </row>
    <row r="58" spans="1:2" ht="15" customHeight="1" x14ac:dyDescent="0.25">
      <c r="A58" s="240">
        <v>57</v>
      </c>
      <c r="B58" s="245">
        <f>(1+Assumptions!$B$26)^INT((A58-1)/12)</f>
        <v>1.08243216</v>
      </c>
    </row>
    <row r="59" spans="1:2" ht="15" customHeight="1" x14ac:dyDescent="0.25">
      <c r="A59" s="240">
        <v>58</v>
      </c>
      <c r="B59" s="245">
        <f>(1+Assumptions!$B$26)^INT((A59-1)/12)</f>
        <v>1.08243216</v>
      </c>
    </row>
    <row r="60" spans="1:2" ht="15" customHeight="1" x14ac:dyDescent="0.25">
      <c r="A60" s="240">
        <v>59</v>
      </c>
      <c r="B60" s="245">
        <f>(1+Assumptions!$B$26)^INT((A60-1)/12)</f>
        <v>1.08243216</v>
      </c>
    </row>
    <row r="61" spans="1:2" ht="15" customHeight="1" x14ac:dyDescent="0.25">
      <c r="A61" s="240">
        <v>60</v>
      </c>
      <c r="B61" s="245">
        <f>(1+Assumptions!$B$26)^INT((A61-1)/12)</f>
        <v>1.08243216</v>
      </c>
    </row>
    <row r="62" spans="1:2" ht="15" customHeight="1" x14ac:dyDescent="0.25">
      <c r="A62" s="240">
        <v>61</v>
      </c>
      <c r="B62" s="245">
        <f>(1+Assumptions!$B$26)^INT((A62-1)/12)</f>
        <v>1.1040808032</v>
      </c>
    </row>
    <row r="63" spans="1:2" ht="15" customHeight="1" x14ac:dyDescent="0.25">
      <c r="A63" s="240">
        <v>62</v>
      </c>
      <c r="B63" s="245">
        <f>(1+Assumptions!$B$26)^INT((A63-1)/12)</f>
        <v>1.1040808032</v>
      </c>
    </row>
    <row r="64" spans="1:2" ht="15" customHeight="1" x14ac:dyDescent="0.25">
      <c r="A64" s="240">
        <v>63</v>
      </c>
      <c r="B64" s="245">
        <f>(1+Assumptions!$B$26)^INT((A64-1)/12)</f>
        <v>1.1040808032</v>
      </c>
    </row>
    <row r="65" spans="1:2" ht="15" customHeight="1" x14ac:dyDescent="0.25">
      <c r="A65" s="240">
        <v>64</v>
      </c>
      <c r="B65" s="245">
        <f>(1+Assumptions!$B$26)^INT((A65-1)/12)</f>
        <v>1.1040808032</v>
      </c>
    </row>
    <row r="66" spans="1:2" ht="15" customHeight="1" x14ac:dyDescent="0.25">
      <c r="A66" s="240">
        <v>65</v>
      </c>
      <c r="B66" s="245">
        <f>(1+Assumptions!$B$26)^INT((A66-1)/12)</f>
        <v>1.1040808032</v>
      </c>
    </row>
    <row r="67" spans="1:2" ht="15" customHeight="1" x14ac:dyDescent="0.25">
      <c r="A67" s="240">
        <v>66</v>
      </c>
      <c r="B67" s="245">
        <f>(1+Assumptions!$B$26)^INT((A67-1)/12)</f>
        <v>1.1040808032</v>
      </c>
    </row>
    <row r="68" spans="1:2" ht="15" customHeight="1" x14ac:dyDescent="0.25">
      <c r="A68" s="240">
        <v>67</v>
      </c>
      <c r="B68" s="245">
        <f>(1+Assumptions!$B$26)^INT((A68-1)/12)</f>
        <v>1.1040808032</v>
      </c>
    </row>
    <row r="69" spans="1:2" ht="15" customHeight="1" x14ac:dyDescent="0.25">
      <c r="A69" s="240">
        <v>68</v>
      </c>
      <c r="B69" s="245">
        <f>(1+Assumptions!$B$26)^INT((A69-1)/12)</f>
        <v>1.1040808032</v>
      </c>
    </row>
    <row r="70" spans="1:2" ht="15" customHeight="1" x14ac:dyDescent="0.25">
      <c r="A70" s="240">
        <v>69</v>
      </c>
      <c r="B70" s="245">
        <f>(1+Assumptions!$B$26)^INT((A70-1)/12)</f>
        <v>1.1040808032</v>
      </c>
    </row>
    <row r="71" spans="1:2" ht="15" customHeight="1" x14ac:dyDescent="0.25">
      <c r="A71" s="240">
        <v>70</v>
      </c>
      <c r="B71" s="245">
        <f>(1+Assumptions!$B$26)^INT((A71-1)/12)</f>
        <v>1.1040808032</v>
      </c>
    </row>
    <row r="72" spans="1:2" ht="15" customHeight="1" x14ac:dyDescent="0.25">
      <c r="A72" s="240">
        <v>71</v>
      </c>
      <c r="B72" s="245">
        <f>(1+Assumptions!$B$26)^INT((A72-1)/12)</f>
        <v>1.1040808032</v>
      </c>
    </row>
    <row r="73" spans="1:2" ht="15" customHeight="1" x14ac:dyDescent="0.25">
      <c r="A73" s="240">
        <v>72</v>
      </c>
      <c r="B73" s="245">
        <f>(1+Assumptions!$B$26)^INT((A73-1)/12)</f>
        <v>1.1040808032</v>
      </c>
    </row>
    <row r="74" spans="1:2" ht="15" customHeight="1" x14ac:dyDescent="0.25">
      <c r="A74" s="240">
        <v>73</v>
      </c>
      <c r="B74" s="245">
        <f>(1+Assumptions!$B$26)^INT((A74-1)/12)</f>
        <v>1.1261624192640001</v>
      </c>
    </row>
    <row r="75" spans="1:2" ht="15" customHeight="1" x14ac:dyDescent="0.25">
      <c r="A75" s="240">
        <v>74</v>
      </c>
      <c r="B75" s="245">
        <f>(1+Assumptions!$B$26)^INT((A75-1)/12)</f>
        <v>1.1261624192640001</v>
      </c>
    </row>
    <row r="76" spans="1:2" ht="15" customHeight="1" x14ac:dyDescent="0.25">
      <c r="A76" s="240">
        <v>75</v>
      </c>
      <c r="B76" s="245">
        <f>(1+Assumptions!$B$26)^INT((A76-1)/12)</f>
        <v>1.1261624192640001</v>
      </c>
    </row>
    <row r="77" spans="1:2" ht="15" customHeight="1" x14ac:dyDescent="0.25">
      <c r="A77" s="240">
        <v>76</v>
      </c>
      <c r="B77" s="245">
        <f>(1+Assumptions!$B$26)^INT((A77-1)/12)</f>
        <v>1.1261624192640001</v>
      </c>
    </row>
    <row r="78" spans="1:2" ht="15" customHeight="1" x14ac:dyDescent="0.25">
      <c r="A78" s="240">
        <v>77</v>
      </c>
      <c r="B78" s="245">
        <f>(1+Assumptions!$B$26)^INT((A78-1)/12)</f>
        <v>1.1261624192640001</v>
      </c>
    </row>
    <row r="79" spans="1:2" ht="15" customHeight="1" x14ac:dyDescent="0.25">
      <c r="A79" s="240">
        <v>78</v>
      </c>
      <c r="B79" s="245">
        <f>(1+Assumptions!$B$26)^INT((A79-1)/12)</f>
        <v>1.1261624192640001</v>
      </c>
    </row>
    <row r="80" spans="1:2" ht="15" customHeight="1" x14ac:dyDescent="0.25">
      <c r="A80" s="240">
        <v>79</v>
      </c>
      <c r="B80" s="245">
        <f>(1+Assumptions!$B$26)^INT((A80-1)/12)</f>
        <v>1.1261624192640001</v>
      </c>
    </row>
    <row r="81" spans="1:2" ht="15" customHeight="1" x14ac:dyDescent="0.25">
      <c r="A81" s="240">
        <v>80</v>
      </c>
      <c r="B81" s="245">
        <f>(1+Assumptions!$B$26)^INT((A81-1)/12)</f>
        <v>1.1261624192640001</v>
      </c>
    </row>
    <row r="82" spans="1:2" ht="15" customHeight="1" x14ac:dyDescent="0.25">
      <c r="A82" s="240">
        <v>81</v>
      </c>
      <c r="B82" s="245">
        <f>(1+Assumptions!$B$26)^INT((A82-1)/12)</f>
        <v>1.1261624192640001</v>
      </c>
    </row>
    <row r="83" spans="1:2" ht="15" customHeight="1" x14ac:dyDescent="0.25">
      <c r="A83" s="240">
        <v>82</v>
      </c>
      <c r="B83" s="245">
        <f>(1+Assumptions!$B$26)^INT((A83-1)/12)</f>
        <v>1.1261624192640001</v>
      </c>
    </row>
    <row r="84" spans="1:2" ht="15" customHeight="1" x14ac:dyDescent="0.25">
      <c r="A84" s="240">
        <v>83</v>
      </c>
      <c r="B84" s="245">
        <f>(1+Assumptions!$B$26)^INT((A84-1)/12)</f>
        <v>1.1261624192640001</v>
      </c>
    </row>
    <row r="85" spans="1:2" ht="15" customHeight="1" x14ac:dyDescent="0.25">
      <c r="A85" s="240">
        <v>84</v>
      </c>
      <c r="B85" s="245">
        <f>(1+Assumptions!$B$26)^INT((A85-1)/12)</f>
        <v>1.1261624192640001</v>
      </c>
    </row>
    <row r="86" spans="1:2" ht="15" customHeight="1" x14ac:dyDescent="0.25">
      <c r="A86" s="195">
        <v>85</v>
      </c>
      <c r="B86" s="195">
        <f>(1+Assumptions!$B$26)^INT((A86-1)/12)</f>
        <v>1.1486856676492798</v>
      </c>
    </row>
    <row r="87" spans="1:2" ht="15" customHeight="1" x14ac:dyDescent="0.25">
      <c r="A87" s="195">
        <v>86</v>
      </c>
      <c r="B87" s="195">
        <f>(1+Assumptions!$B$26)^INT((A87-1)/12)</f>
        <v>1.1486856676492798</v>
      </c>
    </row>
    <row r="88" spans="1:2" ht="15" customHeight="1" x14ac:dyDescent="0.25">
      <c r="A88" s="195">
        <v>87</v>
      </c>
      <c r="B88" s="195">
        <f>(1+Assumptions!$B$26)^INT((A88-1)/12)</f>
        <v>1.1486856676492798</v>
      </c>
    </row>
    <row r="89" spans="1:2" ht="15" customHeight="1" x14ac:dyDescent="0.25">
      <c r="A89" s="195">
        <v>88</v>
      </c>
      <c r="B89" s="195">
        <f>(1+Assumptions!$B$26)^INT((A89-1)/12)</f>
        <v>1.1486856676492798</v>
      </c>
    </row>
    <row r="90" spans="1:2" ht="15" customHeight="1" x14ac:dyDescent="0.25">
      <c r="A90" s="195">
        <v>89</v>
      </c>
      <c r="B90" s="195">
        <f>(1+Assumptions!$B$26)^INT((A90-1)/12)</f>
        <v>1.1486856676492798</v>
      </c>
    </row>
    <row r="91" spans="1:2" ht="15" customHeight="1" x14ac:dyDescent="0.25">
      <c r="A91" s="195">
        <v>90</v>
      </c>
      <c r="B91" s="195">
        <f>(1+Assumptions!$B$26)^INT((A91-1)/12)</f>
        <v>1.1486856676492798</v>
      </c>
    </row>
    <row r="92" spans="1:2" ht="15" customHeight="1" x14ac:dyDescent="0.25">
      <c r="A92" s="195">
        <v>91</v>
      </c>
      <c r="B92" s="195">
        <f>(1+Assumptions!$B$26)^INT((A92-1)/12)</f>
        <v>1.1486856676492798</v>
      </c>
    </row>
    <row r="93" spans="1:2" ht="15" customHeight="1" x14ac:dyDescent="0.25">
      <c r="A93" s="195">
        <v>92</v>
      </c>
      <c r="B93" s="195">
        <f>(1+Assumptions!$B$26)^INT((A93-1)/12)</f>
        <v>1.1486856676492798</v>
      </c>
    </row>
    <row r="94" spans="1:2" ht="15" customHeight="1" x14ac:dyDescent="0.25">
      <c r="A94" s="195">
        <v>93</v>
      </c>
      <c r="B94" s="195">
        <f>(1+Assumptions!$B$26)^INT((A94-1)/12)</f>
        <v>1.1486856676492798</v>
      </c>
    </row>
    <row r="95" spans="1:2" ht="15" customHeight="1" x14ac:dyDescent="0.25">
      <c r="A95" s="195">
        <v>94</v>
      </c>
      <c r="B95" s="195">
        <f>(1+Assumptions!$B$26)^INT((A95-1)/12)</f>
        <v>1.1486856676492798</v>
      </c>
    </row>
    <row r="96" spans="1:2" ht="15" customHeight="1" x14ac:dyDescent="0.25">
      <c r="A96" s="195">
        <v>95</v>
      </c>
      <c r="B96" s="195">
        <f>(1+Assumptions!$B$26)^INT((A96-1)/12)</f>
        <v>1.1486856676492798</v>
      </c>
    </row>
    <row r="97" spans="1:2" ht="15" customHeight="1" x14ac:dyDescent="0.25">
      <c r="A97" s="195">
        <v>96</v>
      </c>
      <c r="B97" s="195">
        <f>(1+Assumptions!$B$26)^INT((A97-1)/12)</f>
        <v>1.1486856676492798</v>
      </c>
    </row>
    <row r="98" spans="1:2" ht="15" customHeight="1" x14ac:dyDescent="0.25">
      <c r="A98" s="195">
        <v>97</v>
      </c>
      <c r="B98" s="195">
        <f>(1+Assumptions!$B$26)^INT((A98-1)/12)</f>
        <v>1.1716593810022655</v>
      </c>
    </row>
    <row r="99" spans="1:2" ht="15" customHeight="1" x14ac:dyDescent="0.25">
      <c r="A99" s="195">
        <v>98</v>
      </c>
      <c r="B99" s="195">
        <f>(1+Assumptions!$B$26)^INT((A99-1)/12)</f>
        <v>1.1716593810022655</v>
      </c>
    </row>
    <row r="100" spans="1:2" ht="15" customHeight="1" x14ac:dyDescent="0.25">
      <c r="A100" s="195">
        <v>99</v>
      </c>
      <c r="B100" s="195">
        <f>(1+Assumptions!$B$26)^INT((A100-1)/12)</f>
        <v>1.1716593810022655</v>
      </c>
    </row>
    <row r="101" spans="1:2" ht="15" customHeight="1" x14ac:dyDescent="0.25">
      <c r="A101" s="195">
        <v>100</v>
      </c>
      <c r="B101" s="195">
        <f>(1+Assumptions!$B$26)^INT((A101-1)/12)</f>
        <v>1.1716593810022655</v>
      </c>
    </row>
    <row r="102" spans="1:2" ht="15" customHeight="1" x14ac:dyDescent="0.25">
      <c r="A102" s="195">
        <v>101</v>
      </c>
      <c r="B102" s="195">
        <f>(1+Assumptions!$B$26)^INT((A102-1)/12)</f>
        <v>1.1716593810022655</v>
      </c>
    </row>
    <row r="103" spans="1:2" ht="15" customHeight="1" x14ac:dyDescent="0.25">
      <c r="A103" s="195">
        <v>102</v>
      </c>
      <c r="B103" s="195">
        <f>(1+Assumptions!$B$26)^INT((A103-1)/12)</f>
        <v>1.1716593810022655</v>
      </c>
    </row>
    <row r="104" spans="1:2" ht="15" customHeight="1" x14ac:dyDescent="0.25">
      <c r="A104" s="195">
        <v>103</v>
      </c>
      <c r="B104" s="195">
        <f>(1+Assumptions!$B$26)^INT((A104-1)/12)</f>
        <v>1.1716593810022655</v>
      </c>
    </row>
    <row r="105" spans="1:2" ht="15" customHeight="1" x14ac:dyDescent="0.25">
      <c r="A105" s="195">
        <v>104</v>
      </c>
      <c r="B105" s="195">
        <f>(1+Assumptions!$B$26)^INT((A105-1)/12)</f>
        <v>1.1716593810022655</v>
      </c>
    </row>
    <row r="106" spans="1:2" ht="15" customHeight="1" x14ac:dyDescent="0.25">
      <c r="A106" s="195">
        <v>105</v>
      </c>
      <c r="B106" s="195">
        <f>(1+Assumptions!$B$26)^INT((A106-1)/12)</f>
        <v>1.1716593810022655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A3BE"/>
  </sheetPr>
  <dimension ref="A1:DF101"/>
  <sheetViews>
    <sheetView zoomScale="85" zoomScaleNormal="85" workbookViewId="0"/>
  </sheetViews>
  <sheetFormatPr defaultColWidth="8.7109375" defaultRowHeight="15" customHeight="1" x14ac:dyDescent="0.25"/>
  <cols>
    <col min="1" max="1" width="38" customWidth="1"/>
    <col min="2" max="2" width="14" customWidth="1"/>
    <col min="3" max="86" width="12" customWidth="1"/>
  </cols>
  <sheetData>
    <row r="1" spans="1:95" ht="17.25" customHeight="1" x14ac:dyDescent="0.3">
      <c r="A1" s="362" t="s">
        <v>799</v>
      </c>
      <c r="B1" s="356"/>
      <c r="C1" s="356"/>
      <c r="D1" s="356"/>
    </row>
    <row r="2" spans="1:95" ht="15" customHeight="1" x14ac:dyDescent="0.25">
      <c r="A2" s="303"/>
      <c r="B2" s="303"/>
      <c r="C2" s="304">
        <v>46113</v>
      </c>
      <c r="D2" s="304">
        <v>46143</v>
      </c>
      <c r="E2" s="304">
        <v>46174</v>
      </c>
      <c r="F2" s="304">
        <v>46204</v>
      </c>
      <c r="G2" s="304">
        <v>46235</v>
      </c>
      <c r="H2" s="304">
        <v>46266</v>
      </c>
      <c r="I2" s="304">
        <v>46296</v>
      </c>
      <c r="J2" s="304">
        <v>46327</v>
      </c>
      <c r="K2" s="304">
        <v>46357</v>
      </c>
      <c r="L2" s="304">
        <v>46388</v>
      </c>
      <c r="M2" s="304">
        <v>46419</v>
      </c>
      <c r="N2" s="304">
        <v>46447</v>
      </c>
      <c r="O2" s="304">
        <v>46478</v>
      </c>
      <c r="P2" s="304">
        <v>46508</v>
      </c>
      <c r="Q2" s="304">
        <v>46539</v>
      </c>
      <c r="R2" s="304">
        <v>46569</v>
      </c>
      <c r="S2" s="304">
        <v>46600</v>
      </c>
      <c r="T2" s="304">
        <v>46631</v>
      </c>
      <c r="U2" s="304">
        <v>46661</v>
      </c>
      <c r="V2" s="304">
        <v>46692</v>
      </c>
      <c r="W2" s="304">
        <v>46722</v>
      </c>
      <c r="X2" s="304">
        <v>46753</v>
      </c>
      <c r="Y2" s="304">
        <v>46784</v>
      </c>
      <c r="Z2" s="304">
        <v>46813</v>
      </c>
      <c r="AA2" s="304">
        <v>46844</v>
      </c>
      <c r="AB2" s="304">
        <v>46874</v>
      </c>
      <c r="AC2" s="304">
        <v>46905</v>
      </c>
      <c r="AD2" s="304">
        <v>46935</v>
      </c>
      <c r="AE2" s="304">
        <v>46966</v>
      </c>
      <c r="AF2" s="304">
        <v>46997</v>
      </c>
      <c r="AG2" s="304">
        <v>47027</v>
      </c>
      <c r="AH2" s="304">
        <v>47058</v>
      </c>
      <c r="AI2" s="304">
        <v>47088</v>
      </c>
      <c r="AJ2" s="304">
        <v>47119</v>
      </c>
      <c r="AK2" s="304">
        <v>47150</v>
      </c>
      <c r="AL2" s="304">
        <v>47178</v>
      </c>
      <c r="AM2" s="304">
        <v>47209</v>
      </c>
      <c r="AN2" s="304">
        <v>47239</v>
      </c>
      <c r="AO2" s="304">
        <v>47270</v>
      </c>
      <c r="AP2" s="304">
        <v>47300</v>
      </c>
      <c r="AQ2" s="304">
        <v>47331</v>
      </c>
      <c r="AR2" s="304">
        <v>47362</v>
      </c>
      <c r="AS2" s="304">
        <v>47392</v>
      </c>
      <c r="AT2" s="304">
        <v>47423</v>
      </c>
      <c r="AU2" s="304">
        <v>47453</v>
      </c>
      <c r="AV2" s="304">
        <v>47484</v>
      </c>
      <c r="AW2" s="304">
        <v>47515</v>
      </c>
      <c r="AX2" s="304">
        <v>47543</v>
      </c>
      <c r="AY2" s="304">
        <v>47574</v>
      </c>
      <c r="AZ2" s="304">
        <v>47604</v>
      </c>
      <c r="BA2" s="304">
        <v>47635</v>
      </c>
      <c r="BB2" s="304">
        <v>47665</v>
      </c>
      <c r="BC2" s="304">
        <v>47696</v>
      </c>
      <c r="BD2" s="304">
        <v>47727</v>
      </c>
      <c r="BE2" s="304">
        <v>47757</v>
      </c>
      <c r="BF2" s="304">
        <v>47788</v>
      </c>
      <c r="BG2" s="304">
        <v>47818</v>
      </c>
      <c r="BH2" s="304">
        <v>47849</v>
      </c>
      <c r="BI2" s="304">
        <v>47880</v>
      </c>
      <c r="BJ2" s="304">
        <v>47908</v>
      </c>
      <c r="BK2" s="304">
        <v>47939</v>
      </c>
      <c r="BL2" s="304">
        <v>47969</v>
      </c>
      <c r="BM2" s="304">
        <v>48000</v>
      </c>
      <c r="BN2" s="304">
        <v>48030</v>
      </c>
      <c r="BO2" s="304">
        <v>48061</v>
      </c>
      <c r="BP2" s="304">
        <v>48092</v>
      </c>
      <c r="BQ2" s="304">
        <v>48122</v>
      </c>
      <c r="BR2" s="304">
        <v>48153</v>
      </c>
      <c r="BS2" s="304">
        <v>48183</v>
      </c>
      <c r="BT2" s="304">
        <v>48214</v>
      </c>
      <c r="BU2" s="304">
        <v>48245</v>
      </c>
      <c r="BV2" s="304">
        <v>48274</v>
      </c>
      <c r="BW2" s="304">
        <v>48305</v>
      </c>
      <c r="BX2" s="304">
        <v>48335</v>
      </c>
      <c r="BY2" s="304">
        <v>48366</v>
      </c>
      <c r="BZ2" s="304">
        <v>48396</v>
      </c>
      <c r="CA2" s="304">
        <v>48427</v>
      </c>
      <c r="CB2" s="304">
        <v>48458</v>
      </c>
      <c r="CC2" s="304">
        <v>48488</v>
      </c>
      <c r="CD2" s="304">
        <v>48519</v>
      </c>
      <c r="CE2" s="304">
        <v>48549</v>
      </c>
      <c r="CF2" s="304">
        <v>48580</v>
      </c>
      <c r="CG2" s="304">
        <v>48611</v>
      </c>
      <c r="CH2" s="304">
        <v>48639</v>
      </c>
      <c r="CI2" s="304">
        <v>48639</v>
      </c>
      <c r="CJ2" s="304">
        <v>48639</v>
      </c>
      <c r="CK2" s="304">
        <v>48639</v>
      </c>
      <c r="CL2" s="304">
        <v>48639</v>
      </c>
      <c r="CM2" s="304">
        <v>48639</v>
      </c>
      <c r="CN2" s="304">
        <v>48639</v>
      </c>
      <c r="CO2" s="304">
        <v>48639</v>
      </c>
      <c r="CP2" s="304">
        <v>48639</v>
      </c>
      <c r="CQ2" s="304">
        <v>48639</v>
      </c>
    </row>
    <row r="3" spans="1:95" ht="15" hidden="1" customHeight="1" x14ac:dyDescent="0.25">
      <c r="A3" s="144" t="s">
        <v>53</v>
      </c>
      <c r="C3" s="240">
        <v>1</v>
      </c>
      <c r="D3" s="240">
        <v>2</v>
      </c>
      <c r="E3" s="240">
        <v>3</v>
      </c>
      <c r="F3" s="240">
        <v>4</v>
      </c>
      <c r="G3" s="240">
        <v>5</v>
      </c>
      <c r="H3" s="240">
        <v>6</v>
      </c>
      <c r="I3" s="240">
        <v>7</v>
      </c>
      <c r="J3" s="240">
        <v>8</v>
      </c>
      <c r="K3" s="240">
        <v>9</v>
      </c>
      <c r="L3" s="240">
        <v>10</v>
      </c>
      <c r="M3" s="240">
        <v>11</v>
      </c>
      <c r="N3" s="240">
        <v>12</v>
      </c>
      <c r="O3" s="240">
        <v>13</v>
      </c>
      <c r="P3" s="240">
        <v>14</v>
      </c>
      <c r="Q3" s="240">
        <v>15</v>
      </c>
      <c r="R3" s="240">
        <v>16</v>
      </c>
      <c r="S3" s="240">
        <v>17</v>
      </c>
      <c r="T3" s="240">
        <v>18</v>
      </c>
      <c r="U3" s="240">
        <v>19</v>
      </c>
      <c r="V3" s="240">
        <v>20</v>
      </c>
      <c r="W3" s="240">
        <v>21</v>
      </c>
      <c r="X3" s="240">
        <v>22</v>
      </c>
      <c r="Y3" s="240">
        <v>23</v>
      </c>
      <c r="Z3" s="240">
        <v>24</v>
      </c>
      <c r="AA3" s="240">
        <v>25</v>
      </c>
      <c r="AB3" s="240">
        <v>26</v>
      </c>
      <c r="AC3" s="240">
        <v>27</v>
      </c>
      <c r="AD3" s="240">
        <v>28</v>
      </c>
      <c r="AE3" s="240">
        <v>29</v>
      </c>
      <c r="AF3" s="240">
        <v>30</v>
      </c>
      <c r="AG3" s="240">
        <v>31</v>
      </c>
      <c r="AH3" s="240">
        <v>32</v>
      </c>
      <c r="AI3" s="240">
        <v>33</v>
      </c>
      <c r="AJ3" s="240">
        <v>34</v>
      </c>
      <c r="AK3" s="240">
        <v>35</v>
      </c>
      <c r="AL3" s="240">
        <v>36</v>
      </c>
      <c r="AM3" s="240">
        <v>37</v>
      </c>
      <c r="AN3" s="240">
        <v>38</v>
      </c>
      <c r="AO3" s="240">
        <v>39</v>
      </c>
      <c r="AP3" s="240">
        <v>40</v>
      </c>
      <c r="AQ3" s="240">
        <v>41</v>
      </c>
      <c r="AR3" s="240">
        <v>42</v>
      </c>
      <c r="AS3" s="240">
        <v>43</v>
      </c>
      <c r="AT3" s="240">
        <v>44</v>
      </c>
      <c r="AU3" s="240">
        <v>45</v>
      </c>
      <c r="AV3" s="240">
        <v>46</v>
      </c>
      <c r="AW3" s="240">
        <v>47</v>
      </c>
      <c r="AX3" s="240">
        <v>48</v>
      </c>
      <c r="AY3" s="240">
        <v>49</v>
      </c>
      <c r="AZ3" s="240">
        <v>50</v>
      </c>
      <c r="BA3" s="240">
        <v>51</v>
      </c>
      <c r="BB3" s="240">
        <v>52</v>
      </c>
      <c r="BC3" s="240">
        <v>53</v>
      </c>
      <c r="BD3" s="240">
        <v>54</v>
      </c>
      <c r="BE3" s="240">
        <v>55</v>
      </c>
      <c r="BF3" s="240">
        <v>56</v>
      </c>
      <c r="BG3" s="240">
        <v>57</v>
      </c>
      <c r="BH3" s="240">
        <v>58</v>
      </c>
      <c r="BI3" s="240">
        <v>59</v>
      </c>
      <c r="BJ3" s="240">
        <v>60</v>
      </c>
      <c r="BK3" s="240">
        <v>61</v>
      </c>
      <c r="BL3" s="240">
        <v>62</v>
      </c>
      <c r="BM3" s="240">
        <v>63</v>
      </c>
      <c r="BN3" s="240">
        <v>64</v>
      </c>
      <c r="BO3" s="240">
        <v>65</v>
      </c>
      <c r="BP3" s="240">
        <v>66</v>
      </c>
      <c r="BQ3" s="240">
        <v>67</v>
      </c>
      <c r="BR3" s="240">
        <v>68</v>
      </c>
      <c r="BS3" s="240">
        <v>69</v>
      </c>
      <c r="BT3" s="240">
        <v>70</v>
      </c>
      <c r="BU3" s="240">
        <v>71</v>
      </c>
      <c r="BV3" s="240">
        <v>72</v>
      </c>
      <c r="BW3" s="240">
        <v>73</v>
      </c>
      <c r="BX3" s="240">
        <v>74</v>
      </c>
      <c r="BY3" s="240">
        <v>75</v>
      </c>
      <c r="BZ3" s="240">
        <v>76</v>
      </c>
      <c r="CA3" s="240">
        <v>77</v>
      </c>
      <c r="CB3" s="240">
        <v>78</v>
      </c>
      <c r="CC3" s="240">
        <v>79</v>
      </c>
      <c r="CD3" s="240">
        <v>80</v>
      </c>
      <c r="CE3" s="240">
        <v>81</v>
      </c>
      <c r="CF3" s="240">
        <v>82</v>
      </c>
      <c r="CG3" s="240">
        <v>83</v>
      </c>
      <c r="CH3" s="240">
        <v>84</v>
      </c>
      <c r="CI3" s="240">
        <v>84</v>
      </c>
      <c r="CJ3" s="240">
        <v>84</v>
      </c>
      <c r="CK3" s="240">
        <v>84</v>
      </c>
      <c r="CL3" s="240">
        <v>84</v>
      </c>
      <c r="CM3" s="240">
        <v>84</v>
      </c>
      <c r="CN3" s="240">
        <v>84</v>
      </c>
      <c r="CO3" s="240">
        <v>84</v>
      </c>
      <c r="CP3" s="240">
        <v>84</v>
      </c>
      <c r="CQ3" s="240">
        <v>84</v>
      </c>
    </row>
    <row r="4" spans="1:95" ht="15" customHeight="1" x14ac:dyDescent="0.25">
      <c r="A4" s="144" t="s">
        <v>800</v>
      </c>
      <c r="C4" s="231">
        <f>(IF(AND(1&gt;=Personnel!$E$2,Personnel!$G$2="Yes"),Personnel!$D$2*(1-Personnel!$H$2),0)+IF(AND(1&gt;=Personnel!$E$3,Personnel!$G$3="Yes"),Personnel!$D$3*(1-Personnel!$H$3),0)+IF(AND(1&gt;=Personnel!$E$4,Personnel!$G$4="Yes"),Personnel!$D$4*(1-Personnel!$H$4),0)+IF(AND(1&gt;=Personnel!$E$5,Personnel!$G$5="Yes"),Personnel!$D$5*(1-Personnel!$H$5),0)+IF(AND(1&gt;=Personnel!$E$6,Personnel!$G$6="Yes"),Personnel!$D$6*(1-Personnel!$H$6),0)+IF(AND(1&gt;=Personnel!$E$7,Personnel!$G$7="Yes"),Personnel!$D$7*(1-Personnel!$H$7),0)+IF(AND(1&gt;=Personnel!$E$8,Personnel!$G$8="Yes"),Personnel!$D$8*(1-Personnel!$H$8),0)+IF(AND(1&gt;=Personnel!$E$9,Personnel!$G$9="Yes"),Personnel!$D$9*(1-Personnel!$H$9),0)+IF(AND(1&gt;=Personnel!$E$10,Personnel!$G$10="Yes"),Personnel!$D$10*(1-Personnel!$H$10),0)+IF(AND(1&gt;=Personnel!$E$11,Personnel!$G$11="Yes"),Personnel!$D$11*(1-Personnel!$H$11),0)+IF(AND(1&gt;=Personnel!$E$12,Personnel!$G$12="Yes"),Personnel!$D$12*(1-Personnel!$H$12),0)+IF(AND(1&gt;=Personnel!$E$13,Personnel!$G$13="Yes"),Personnel!$D$13*(1-Personnel!$H$13),0)+IF(AND(1&gt;=Personnel!$E$14,Personnel!$G$14="Yes"),Personnel!$D$14*(1-Personnel!$H$14),0)+IF(AND(1&gt;=Personnel!$E$15,Personnel!$G$15="Yes"),Personnel!$D$15*(1-Personnel!$H$15),0)+IF(AND(1&gt;=Personnel!$E$16,Personnel!$G$16="Yes"),Personnel!$D$16*(1-Personnel!$H$16),0)+IF(AND(1&gt;=Personnel!$E$17,Personnel!$G$17="Yes"),Personnel!$D$17*(1-Personnel!$H$17),0)+IF(AND(1&gt;=Personnel!$E$18,Personnel!$G$18="Yes"),Personnel!$D$18*(1-Personnel!$H$18),0)+IF(AND(1&gt;=Personnel!$E$19,Personnel!$G$19="Yes"),Personnel!$D$19*(1-Personnel!$H$19),0)+IF(AND(1&gt;=Personnel!$E$20,Personnel!$G$20="Yes"),Personnel!$D$20*(1-Personnel!$H$20),0)+IF(AND(1&gt;=Personnel!$E$21,Personnel!$G$21="Yes"),Personnel!$D$21*(1-Personnel!$H$21),0)+IF(AND(1&gt;=Personnel!$E$22,Personnel!$G$22="Yes"),Personnel!$D$22*(1-Personnel!$H$22),0)+IF(AND(1&gt;=Personnel!$E$23,Personnel!$G$23="Yes"),Personnel!$D$23*(1-Personnel!$H$23),0)+IF(AND(1&gt;=Personnel!$E$24,Personnel!$G$24="Yes"),Personnel!$D$24*(1-Personnel!$H$24),0)+IF(AND(1&gt;=Personnel!$E$25,Personnel!$G$25="Yes"),Personnel!$D$25*(1-Personnel!$H$25),0)+IF(AND(1&gt;=Personnel!$E$26,Personnel!$G$26="Yes"),Personnel!$D$26*(1-Personnel!$H$26),0)+IF(AND(1&gt;=Personnel!$E$27,Personnel!$G$27="Yes"),Personnel!$D$27*(1-Personnel!$H$27),0)+IF(AND(1&gt;=Personnel!$E$28,Personnel!$G$28="Yes"),Personnel!$D$28*(1-Personnel!$H$28),0)+IF(AND(1&gt;=Personnel!$E$29,Personnel!$G$29="Yes"),Personnel!$D$29*(1-Personnel!$H$29),0)+IF(AND(1&gt;=Personnel!$E$30,Personnel!$G$30="Yes"),Personnel!$D$30*(1-Personnel!$H$30),0)+IF(AND(1&gt;=Personnel!$E$31,Personnel!$G$31="Yes"),Personnel!$D$31*(1-Personnel!$H$31),0)+IF(AND(1&gt;=Personnel!$E$32,Personnel!$G$32="Yes"),Personnel!$D$32*(1-Personnel!$H$32),0)+IF(AND(1&gt;=Personnel!$E$33,Personnel!$G$33="Yes"),Personnel!$D$33*(1-Personnel!$H$33),0)+IF(AND(1&gt;=Personnel!$E$36,Personnel!$G$36="Yes"),Personnel!$D$36*(1-Personnel!$H$36),0)+IF(AND(1&gt;=Personnel!$E$37,Personnel!$G$37="Yes"),Personnel!$D$37*(1-Personnel!$H$37),0)+IF(AND(1&gt;=Personnel!$E$38,Personnel!$G$38="Yes"),Personnel!$D$38*(1-Personnel!$H$38),0)+IF(AND(1&gt;=Personnel!$E$39,Personnel!$G$39="Yes"),Personnel!$D$39*(1-Personnel!$H$39),0)+IF(AND(1&gt;=Personnel!$E$40,Personnel!$G$40="Yes"),Personnel!$D$40*(1-Personnel!$H$40),0)+IF(AND(1&gt;=Personnel!$E$41,Personnel!$G$41="Yes"),Personnel!$D$41*(1-Personnel!$H$41),0)+IF(AND(1&gt;=Personnel!$E$42,Personnel!$G$42="Yes"),Personnel!$D$42*(1-Personnel!$H$42),0))*Escalation!$B$2</f>
        <v>218958.33333333337</v>
      </c>
      <c r="D4" s="231">
        <f>(IF(AND(2&gt;=Personnel!$E$2,Personnel!$G$2="Yes"),Personnel!$D$2*(1-Personnel!$H$2),0)+IF(AND(2&gt;=Personnel!$E$3,Personnel!$G$3="Yes"),Personnel!$D$3*(1-Personnel!$H$3),0)+IF(AND(2&gt;=Personnel!$E$4,Personnel!$G$4="Yes"),Personnel!$D$4*(1-Personnel!$H$4),0)+IF(AND(2&gt;=Personnel!$E$5,Personnel!$G$5="Yes"),Personnel!$D$5*(1-Personnel!$H$5),0)+IF(AND(2&gt;=Personnel!$E$6,Personnel!$G$6="Yes"),Personnel!$D$6*(1-Personnel!$H$6),0)+IF(AND(2&gt;=Personnel!$E$7,Personnel!$G$7="Yes"),Personnel!$D$7*(1-Personnel!$H$7),0)+IF(AND(2&gt;=Personnel!$E$8,Personnel!$G$8="Yes"),Personnel!$D$8*(1-Personnel!$H$8),0)+IF(AND(2&gt;=Personnel!$E$9,Personnel!$G$9="Yes"),Personnel!$D$9*(1-Personnel!$H$9),0)+IF(AND(2&gt;=Personnel!$E$10,Personnel!$G$10="Yes"),Personnel!$D$10*(1-Personnel!$H$10),0)+IF(AND(2&gt;=Personnel!$E$11,Personnel!$G$11="Yes"),Personnel!$D$11*(1-Personnel!$H$11),0)+IF(AND(2&gt;=Personnel!$E$12,Personnel!$G$12="Yes"),Personnel!$D$12*(1-Personnel!$H$12),0)+IF(AND(2&gt;=Personnel!$E$13,Personnel!$G$13="Yes"),Personnel!$D$13*(1-Personnel!$H$13),0)+IF(AND(2&gt;=Personnel!$E$14,Personnel!$G$14="Yes"),Personnel!$D$14*(1-Personnel!$H$14),0)+IF(AND(2&gt;=Personnel!$E$15,Personnel!$G$15="Yes"),Personnel!$D$15*(1-Personnel!$H$15),0)+IF(AND(2&gt;=Personnel!$E$16,Personnel!$G$16="Yes"),Personnel!$D$16*(1-Personnel!$H$16),0)+IF(AND(2&gt;=Personnel!$E$17,Personnel!$G$17="Yes"),Personnel!$D$17*(1-Personnel!$H$17),0)+IF(AND(2&gt;=Personnel!$E$18,Personnel!$G$18="Yes"),Personnel!$D$18*(1-Personnel!$H$18),0)+IF(AND(2&gt;=Personnel!$E$19,Personnel!$G$19="Yes"),Personnel!$D$19*(1-Personnel!$H$19),0)+IF(AND(2&gt;=Personnel!$E$20,Personnel!$G$20="Yes"),Personnel!$D$20*(1-Personnel!$H$20),0)+IF(AND(2&gt;=Personnel!$E$21,Personnel!$G$21="Yes"),Personnel!$D$21*(1-Personnel!$H$21),0)+IF(AND(2&gt;=Personnel!$E$22,Personnel!$G$22="Yes"),Personnel!$D$22*(1-Personnel!$H$22),0)+IF(AND(2&gt;=Personnel!$E$23,Personnel!$G$23="Yes"),Personnel!$D$23*(1-Personnel!$H$23),0)+IF(AND(2&gt;=Personnel!$E$24,Personnel!$G$24="Yes"),Personnel!$D$24*(1-Personnel!$H$24),0)+IF(AND(2&gt;=Personnel!$E$25,Personnel!$G$25="Yes"),Personnel!$D$25*(1-Personnel!$H$25),0)+IF(AND(2&gt;=Personnel!$E$26,Personnel!$G$26="Yes"),Personnel!$D$26*(1-Personnel!$H$26),0)+IF(AND(2&gt;=Personnel!$E$27,Personnel!$G$27="Yes"),Personnel!$D$27*(1-Personnel!$H$27),0)+IF(AND(2&gt;=Personnel!$E$28,Personnel!$G$28="Yes"),Personnel!$D$28*(1-Personnel!$H$28),0)+IF(AND(2&gt;=Personnel!$E$29,Personnel!$G$29="Yes"),Personnel!$D$29*(1-Personnel!$H$29),0)+IF(AND(2&gt;=Personnel!$E$30,Personnel!$G$30="Yes"),Personnel!$D$30*(1-Personnel!$H$30),0)+IF(AND(2&gt;=Personnel!$E$31,Personnel!$G$31="Yes"),Personnel!$D$31*(1-Personnel!$H$31),0)+IF(AND(2&gt;=Personnel!$E$32,Personnel!$G$32="Yes"),Personnel!$D$32*(1-Personnel!$H$32),0)+IF(AND(2&gt;=Personnel!$E$33,Personnel!$G$33="Yes"),Personnel!$D$33*(1-Personnel!$H$33),0)+IF(AND(2&gt;=Personnel!$E$36,Personnel!$G$36="Yes"),Personnel!$D$36*(1-Personnel!$H$36),0)+IF(AND(2&gt;=Personnel!$E$37,Personnel!$G$37="Yes"),Personnel!$D$37*(1-Personnel!$H$37),0)+IF(AND(2&gt;=Personnel!$E$38,Personnel!$G$38="Yes"),Personnel!$D$38*(1-Personnel!$H$38),0)+IF(AND(2&gt;=Personnel!$E$39,Personnel!$G$39="Yes"),Personnel!$D$39*(1-Personnel!$H$39),0)+IF(AND(2&gt;=Personnel!$E$40,Personnel!$G$40="Yes"),Personnel!$D$40*(1-Personnel!$H$40),0)+IF(AND(2&gt;=Personnel!$E$41,Personnel!$G$41="Yes"),Personnel!$D$41*(1-Personnel!$H$41),0)+IF(AND(2&gt;=Personnel!$E$42,Personnel!$G$42="Yes"),Personnel!$D$42*(1-Personnel!$H$42),0))*Escalation!$B$3</f>
        <v>243541.66666666669</v>
      </c>
      <c r="E4" s="231">
        <f>(IF(AND(3&gt;=Personnel!$E$2,Personnel!$G$2="Yes"),Personnel!$D$2*(1-Personnel!$H$2),0)+IF(AND(3&gt;=Personnel!$E$3,Personnel!$G$3="Yes"),Personnel!$D$3*(1-Personnel!$H$3),0)+IF(AND(3&gt;=Personnel!$E$4,Personnel!$G$4="Yes"),Personnel!$D$4*(1-Personnel!$H$4),0)+IF(AND(3&gt;=Personnel!$E$5,Personnel!$G$5="Yes"),Personnel!$D$5*(1-Personnel!$H$5),0)+IF(AND(3&gt;=Personnel!$E$6,Personnel!$G$6="Yes"),Personnel!$D$6*(1-Personnel!$H$6),0)+IF(AND(3&gt;=Personnel!$E$7,Personnel!$G$7="Yes"),Personnel!$D$7*(1-Personnel!$H$7),0)+IF(AND(3&gt;=Personnel!$E$8,Personnel!$G$8="Yes"),Personnel!$D$8*(1-Personnel!$H$8),0)+IF(AND(3&gt;=Personnel!$E$9,Personnel!$G$9="Yes"),Personnel!$D$9*(1-Personnel!$H$9),0)+IF(AND(3&gt;=Personnel!$E$10,Personnel!$G$10="Yes"),Personnel!$D$10*(1-Personnel!$H$10),0)+IF(AND(3&gt;=Personnel!$E$11,Personnel!$G$11="Yes"),Personnel!$D$11*(1-Personnel!$H$11),0)+IF(AND(3&gt;=Personnel!$E$12,Personnel!$G$12="Yes"),Personnel!$D$12*(1-Personnel!$H$12),0)+IF(AND(3&gt;=Personnel!$E$13,Personnel!$G$13="Yes"),Personnel!$D$13*(1-Personnel!$H$13),0)+IF(AND(3&gt;=Personnel!$E$14,Personnel!$G$14="Yes"),Personnel!$D$14*(1-Personnel!$H$14),0)+IF(AND(3&gt;=Personnel!$E$15,Personnel!$G$15="Yes"),Personnel!$D$15*(1-Personnel!$H$15),0)+IF(AND(3&gt;=Personnel!$E$16,Personnel!$G$16="Yes"),Personnel!$D$16*(1-Personnel!$H$16),0)+IF(AND(3&gt;=Personnel!$E$17,Personnel!$G$17="Yes"),Personnel!$D$17*(1-Personnel!$H$17),0)+IF(AND(3&gt;=Personnel!$E$18,Personnel!$G$18="Yes"),Personnel!$D$18*(1-Personnel!$H$18),0)+IF(AND(3&gt;=Personnel!$E$19,Personnel!$G$19="Yes"),Personnel!$D$19*(1-Personnel!$H$19),0)+IF(AND(3&gt;=Personnel!$E$20,Personnel!$G$20="Yes"),Personnel!$D$20*(1-Personnel!$H$20),0)+IF(AND(3&gt;=Personnel!$E$21,Personnel!$G$21="Yes"),Personnel!$D$21*(1-Personnel!$H$21),0)+IF(AND(3&gt;=Personnel!$E$22,Personnel!$G$22="Yes"),Personnel!$D$22*(1-Personnel!$H$22),0)+IF(AND(3&gt;=Personnel!$E$23,Personnel!$G$23="Yes"),Personnel!$D$23*(1-Personnel!$H$23),0)+IF(AND(3&gt;=Personnel!$E$24,Personnel!$G$24="Yes"),Personnel!$D$24*(1-Personnel!$H$24),0)+IF(AND(3&gt;=Personnel!$E$25,Personnel!$G$25="Yes"),Personnel!$D$25*(1-Personnel!$H$25),0)+IF(AND(3&gt;=Personnel!$E$26,Personnel!$G$26="Yes"),Personnel!$D$26*(1-Personnel!$H$26),0)+IF(AND(3&gt;=Personnel!$E$27,Personnel!$G$27="Yes"),Personnel!$D$27*(1-Personnel!$H$27),0)+IF(AND(3&gt;=Personnel!$E$28,Personnel!$G$28="Yes"),Personnel!$D$28*(1-Personnel!$H$28),0)+IF(AND(3&gt;=Personnel!$E$29,Personnel!$G$29="Yes"),Personnel!$D$29*(1-Personnel!$H$29),0)+IF(AND(3&gt;=Personnel!$E$30,Personnel!$G$30="Yes"),Personnel!$D$30*(1-Personnel!$H$30),0)+IF(AND(3&gt;=Personnel!$E$31,Personnel!$G$31="Yes"),Personnel!$D$31*(1-Personnel!$H$31),0)+IF(AND(3&gt;=Personnel!$E$32,Personnel!$G$32="Yes"),Personnel!$D$32*(1-Personnel!$H$32),0)+IF(AND(3&gt;=Personnel!$E$33,Personnel!$G$33="Yes"),Personnel!$D$33*(1-Personnel!$H$33),0)+IF(AND(3&gt;=Personnel!$E$36,Personnel!$G$36="Yes"),Personnel!$D$36*(1-Personnel!$H$36),0)+IF(AND(3&gt;=Personnel!$E$37,Personnel!$G$37="Yes"),Personnel!$D$37*(1-Personnel!$H$37),0)+IF(AND(3&gt;=Personnel!$E$38,Personnel!$G$38="Yes"),Personnel!$D$38*(1-Personnel!$H$38),0)+IF(AND(3&gt;=Personnel!$E$39,Personnel!$G$39="Yes"),Personnel!$D$39*(1-Personnel!$H$39),0)+IF(AND(3&gt;=Personnel!$E$40,Personnel!$G$40="Yes"),Personnel!$D$40*(1-Personnel!$H$40),0)+IF(AND(3&gt;=Personnel!$E$41,Personnel!$G$41="Yes"),Personnel!$D$41*(1-Personnel!$H$41),0)+IF(AND(3&gt;=Personnel!$E$42,Personnel!$G$42="Yes"),Personnel!$D$42*(1-Personnel!$H$42),0))*Escalation!$B$4</f>
        <v>268541.66666666663</v>
      </c>
      <c r="F4" s="231">
        <f>(IF(AND(4&gt;=Personnel!$E$2,Personnel!$G$2="Yes"),Personnel!$D$2*(1-Personnel!$H$2),0)+IF(AND(4&gt;=Personnel!$E$3,Personnel!$G$3="Yes"),Personnel!$D$3*(1-Personnel!$H$3),0)+IF(AND(4&gt;=Personnel!$E$4,Personnel!$G$4="Yes"),Personnel!$D$4*(1-Personnel!$H$4),0)+IF(AND(4&gt;=Personnel!$E$5,Personnel!$G$5="Yes"),Personnel!$D$5*(1-Personnel!$H$5),0)+IF(AND(4&gt;=Personnel!$E$6,Personnel!$G$6="Yes"),Personnel!$D$6*(1-Personnel!$H$6),0)+IF(AND(4&gt;=Personnel!$E$7,Personnel!$G$7="Yes"),Personnel!$D$7*(1-Personnel!$H$7),0)+IF(AND(4&gt;=Personnel!$E$8,Personnel!$G$8="Yes"),Personnel!$D$8*(1-Personnel!$H$8),0)+IF(AND(4&gt;=Personnel!$E$9,Personnel!$G$9="Yes"),Personnel!$D$9*(1-Personnel!$H$9),0)+IF(AND(4&gt;=Personnel!$E$10,Personnel!$G$10="Yes"),Personnel!$D$10*(1-Personnel!$H$10),0)+IF(AND(4&gt;=Personnel!$E$11,Personnel!$G$11="Yes"),Personnel!$D$11*(1-Personnel!$H$11),0)+IF(AND(4&gt;=Personnel!$E$12,Personnel!$G$12="Yes"),Personnel!$D$12*(1-Personnel!$H$12),0)+IF(AND(4&gt;=Personnel!$E$13,Personnel!$G$13="Yes"),Personnel!$D$13*(1-Personnel!$H$13),0)+IF(AND(4&gt;=Personnel!$E$14,Personnel!$G$14="Yes"),Personnel!$D$14*(1-Personnel!$H$14),0)+IF(AND(4&gt;=Personnel!$E$15,Personnel!$G$15="Yes"),Personnel!$D$15*(1-Personnel!$H$15),0)+IF(AND(4&gt;=Personnel!$E$16,Personnel!$G$16="Yes"),Personnel!$D$16*(1-Personnel!$H$16),0)+IF(AND(4&gt;=Personnel!$E$17,Personnel!$G$17="Yes"),Personnel!$D$17*(1-Personnel!$H$17),0)+IF(AND(4&gt;=Personnel!$E$18,Personnel!$G$18="Yes"),Personnel!$D$18*(1-Personnel!$H$18),0)+IF(AND(4&gt;=Personnel!$E$19,Personnel!$G$19="Yes"),Personnel!$D$19*(1-Personnel!$H$19),0)+IF(AND(4&gt;=Personnel!$E$20,Personnel!$G$20="Yes"),Personnel!$D$20*(1-Personnel!$H$20),0)+IF(AND(4&gt;=Personnel!$E$21,Personnel!$G$21="Yes"),Personnel!$D$21*(1-Personnel!$H$21),0)+IF(AND(4&gt;=Personnel!$E$22,Personnel!$G$22="Yes"),Personnel!$D$22*(1-Personnel!$H$22),0)+IF(AND(4&gt;=Personnel!$E$23,Personnel!$G$23="Yes"),Personnel!$D$23*(1-Personnel!$H$23),0)+IF(AND(4&gt;=Personnel!$E$24,Personnel!$G$24="Yes"),Personnel!$D$24*(1-Personnel!$H$24),0)+IF(AND(4&gt;=Personnel!$E$25,Personnel!$G$25="Yes"),Personnel!$D$25*(1-Personnel!$H$25),0)+IF(AND(4&gt;=Personnel!$E$26,Personnel!$G$26="Yes"),Personnel!$D$26*(1-Personnel!$H$26),0)+IF(AND(4&gt;=Personnel!$E$27,Personnel!$G$27="Yes"),Personnel!$D$27*(1-Personnel!$H$27),0)+IF(AND(4&gt;=Personnel!$E$28,Personnel!$G$28="Yes"),Personnel!$D$28*(1-Personnel!$H$28),0)+IF(AND(4&gt;=Personnel!$E$29,Personnel!$G$29="Yes"),Personnel!$D$29*(1-Personnel!$H$29),0)+IF(AND(4&gt;=Personnel!$E$30,Personnel!$G$30="Yes"),Personnel!$D$30*(1-Personnel!$H$30),0)+IF(AND(4&gt;=Personnel!$E$31,Personnel!$G$31="Yes"),Personnel!$D$31*(1-Personnel!$H$31),0)+IF(AND(4&gt;=Personnel!$E$32,Personnel!$G$32="Yes"),Personnel!$D$32*(1-Personnel!$H$32),0)+IF(AND(4&gt;=Personnel!$E$33,Personnel!$G$33="Yes"),Personnel!$D$33*(1-Personnel!$H$33),0)+IF(AND(4&gt;=Personnel!$E$36,Personnel!$G$36="Yes"),Personnel!$D$36*(1-Personnel!$H$36),0)+IF(AND(4&gt;=Personnel!$E$37,Personnel!$G$37="Yes"),Personnel!$D$37*(1-Personnel!$H$37),0)+IF(AND(4&gt;=Personnel!$E$38,Personnel!$G$38="Yes"),Personnel!$D$38*(1-Personnel!$H$38),0)+IF(AND(4&gt;=Personnel!$E$39,Personnel!$G$39="Yes"),Personnel!$D$39*(1-Personnel!$H$39),0)+IF(AND(4&gt;=Personnel!$E$40,Personnel!$G$40="Yes"),Personnel!$D$40*(1-Personnel!$H$40),0)+IF(AND(4&gt;=Personnel!$E$41,Personnel!$G$41="Yes"),Personnel!$D$41*(1-Personnel!$H$41),0)+IF(AND(4&gt;=Personnel!$E$42,Personnel!$G$42="Yes"),Personnel!$D$42*(1-Personnel!$H$42),0))*Escalation!$B$5</f>
        <v>279375</v>
      </c>
      <c r="G4" s="231">
        <f>(IF(AND(5&gt;=Personnel!$E$2,Personnel!$G$2="Yes"),Personnel!$D$2*(1-Personnel!$H$2),0)+IF(AND(5&gt;=Personnel!$E$3,Personnel!$G$3="Yes"),Personnel!$D$3*(1-Personnel!$H$3),0)+IF(AND(5&gt;=Personnel!$E$4,Personnel!$G$4="Yes"),Personnel!$D$4*(1-Personnel!$H$4),0)+IF(AND(5&gt;=Personnel!$E$5,Personnel!$G$5="Yes"),Personnel!$D$5*(1-Personnel!$H$5),0)+IF(AND(5&gt;=Personnel!$E$6,Personnel!$G$6="Yes"),Personnel!$D$6*(1-Personnel!$H$6),0)+IF(AND(5&gt;=Personnel!$E$7,Personnel!$G$7="Yes"),Personnel!$D$7*(1-Personnel!$H$7),0)+IF(AND(5&gt;=Personnel!$E$8,Personnel!$G$8="Yes"),Personnel!$D$8*(1-Personnel!$H$8),0)+IF(AND(5&gt;=Personnel!$E$9,Personnel!$G$9="Yes"),Personnel!$D$9*(1-Personnel!$H$9),0)+IF(AND(5&gt;=Personnel!$E$10,Personnel!$G$10="Yes"),Personnel!$D$10*(1-Personnel!$H$10),0)+IF(AND(5&gt;=Personnel!$E$11,Personnel!$G$11="Yes"),Personnel!$D$11*(1-Personnel!$H$11),0)+IF(AND(5&gt;=Personnel!$E$12,Personnel!$G$12="Yes"),Personnel!$D$12*(1-Personnel!$H$12),0)+IF(AND(5&gt;=Personnel!$E$13,Personnel!$G$13="Yes"),Personnel!$D$13*(1-Personnel!$H$13),0)+IF(AND(5&gt;=Personnel!$E$14,Personnel!$G$14="Yes"),Personnel!$D$14*(1-Personnel!$H$14),0)+IF(AND(5&gt;=Personnel!$E$15,Personnel!$G$15="Yes"),Personnel!$D$15*(1-Personnel!$H$15),0)+IF(AND(5&gt;=Personnel!$E$16,Personnel!$G$16="Yes"),Personnel!$D$16*(1-Personnel!$H$16),0)+IF(AND(5&gt;=Personnel!$E$17,Personnel!$G$17="Yes"),Personnel!$D$17*(1-Personnel!$H$17),0)+IF(AND(5&gt;=Personnel!$E$18,Personnel!$G$18="Yes"),Personnel!$D$18*(1-Personnel!$H$18),0)+IF(AND(5&gt;=Personnel!$E$19,Personnel!$G$19="Yes"),Personnel!$D$19*(1-Personnel!$H$19),0)+IF(AND(5&gt;=Personnel!$E$20,Personnel!$G$20="Yes"),Personnel!$D$20*(1-Personnel!$H$20),0)+IF(AND(5&gt;=Personnel!$E$21,Personnel!$G$21="Yes"),Personnel!$D$21*(1-Personnel!$H$21),0)+IF(AND(5&gt;=Personnel!$E$22,Personnel!$G$22="Yes"),Personnel!$D$22*(1-Personnel!$H$22),0)+IF(AND(5&gt;=Personnel!$E$23,Personnel!$G$23="Yes"),Personnel!$D$23*(1-Personnel!$H$23),0)+IF(AND(5&gt;=Personnel!$E$24,Personnel!$G$24="Yes"),Personnel!$D$24*(1-Personnel!$H$24),0)+IF(AND(5&gt;=Personnel!$E$25,Personnel!$G$25="Yes"),Personnel!$D$25*(1-Personnel!$H$25),0)+IF(AND(5&gt;=Personnel!$E$26,Personnel!$G$26="Yes"),Personnel!$D$26*(1-Personnel!$H$26),0)+IF(AND(5&gt;=Personnel!$E$27,Personnel!$G$27="Yes"),Personnel!$D$27*(1-Personnel!$H$27),0)+IF(AND(5&gt;=Personnel!$E$28,Personnel!$G$28="Yes"),Personnel!$D$28*(1-Personnel!$H$28),0)+IF(AND(5&gt;=Personnel!$E$29,Personnel!$G$29="Yes"),Personnel!$D$29*(1-Personnel!$H$29),0)+IF(AND(5&gt;=Personnel!$E$30,Personnel!$G$30="Yes"),Personnel!$D$30*(1-Personnel!$H$30),0)+IF(AND(5&gt;=Personnel!$E$31,Personnel!$G$31="Yes"),Personnel!$D$31*(1-Personnel!$H$31),0)+IF(AND(5&gt;=Personnel!$E$32,Personnel!$G$32="Yes"),Personnel!$D$32*(1-Personnel!$H$32),0)+IF(AND(5&gt;=Personnel!$E$33,Personnel!$G$33="Yes"),Personnel!$D$33*(1-Personnel!$H$33),0)+IF(AND(5&gt;=Personnel!$E$36,Personnel!$G$36="Yes"),Personnel!$D$36*(1-Personnel!$H$36),0)+IF(AND(5&gt;=Personnel!$E$37,Personnel!$G$37="Yes"),Personnel!$D$37*(1-Personnel!$H$37),0)+IF(AND(5&gt;=Personnel!$E$38,Personnel!$G$38="Yes"),Personnel!$D$38*(1-Personnel!$H$38),0)+IF(AND(5&gt;=Personnel!$E$39,Personnel!$G$39="Yes"),Personnel!$D$39*(1-Personnel!$H$39),0)+IF(AND(5&gt;=Personnel!$E$40,Personnel!$G$40="Yes"),Personnel!$D$40*(1-Personnel!$H$40),0)+IF(AND(5&gt;=Personnel!$E$41,Personnel!$G$41="Yes"),Personnel!$D$41*(1-Personnel!$H$41),0)+IF(AND(5&gt;=Personnel!$E$42,Personnel!$G$42="Yes"),Personnel!$D$42*(1-Personnel!$H$42),0))*Escalation!$B$6</f>
        <v>279375</v>
      </c>
      <c r="H4" s="231">
        <f>(IF(AND(6&gt;=Personnel!$E$2,Personnel!$G$2="Yes"),Personnel!$D$2*(1-Personnel!$H$2),0)+IF(AND(6&gt;=Personnel!$E$3,Personnel!$G$3="Yes"),Personnel!$D$3*(1-Personnel!$H$3),0)+IF(AND(6&gt;=Personnel!$E$4,Personnel!$G$4="Yes"),Personnel!$D$4*(1-Personnel!$H$4),0)+IF(AND(6&gt;=Personnel!$E$5,Personnel!$G$5="Yes"),Personnel!$D$5*(1-Personnel!$H$5),0)+IF(AND(6&gt;=Personnel!$E$6,Personnel!$G$6="Yes"),Personnel!$D$6*(1-Personnel!$H$6),0)+IF(AND(6&gt;=Personnel!$E$7,Personnel!$G$7="Yes"),Personnel!$D$7*(1-Personnel!$H$7),0)+IF(AND(6&gt;=Personnel!$E$8,Personnel!$G$8="Yes"),Personnel!$D$8*(1-Personnel!$H$8),0)+IF(AND(6&gt;=Personnel!$E$9,Personnel!$G$9="Yes"),Personnel!$D$9*(1-Personnel!$H$9),0)+IF(AND(6&gt;=Personnel!$E$10,Personnel!$G$10="Yes"),Personnel!$D$10*(1-Personnel!$H$10),0)+IF(AND(6&gt;=Personnel!$E$11,Personnel!$G$11="Yes"),Personnel!$D$11*(1-Personnel!$H$11),0)+IF(AND(6&gt;=Personnel!$E$12,Personnel!$G$12="Yes"),Personnel!$D$12*(1-Personnel!$H$12),0)+IF(AND(6&gt;=Personnel!$E$13,Personnel!$G$13="Yes"),Personnel!$D$13*(1-Personnel!$H$13),0)+IF(AND(6&gt;=Personnel!$E$14,Personnel!$G$14="Yes"),Personnel!$D$14*(1-Personnel!$H$14),0)+IF(AND(6&gt;=Personnel!$E$15,Personnel!$G$15="Yes"),Personnel!$D$15*(1-Personnel!$H$15),0)+IF(AND(6&gt;=Personnel!$E$16,Personnel!$G$16="Yes"),Personnel!$D$16*(1-Personnel!$H$16),0)+IF(AND(6&gt;=Personnel!$E$17,Personnel!$G$17="Yes"),Personnel!$D$17*(1-Personnel!$H$17),0)+IF(AND(6&gt;=Personnel!$E$18,Personnel!$G$18="Yes"),Personnel!$D$18*(1-Personnel!$H$18),0)+IF(AND(6&gt;=Personnel!$E$19,Personnel!$G$19="Yes"),Personnel!$D$19*(1-Personnel!$H$19),0)+IF(AND(6&gt;=Personnel!$E$20,Personnel!$G$20="Yes"),Personnel!$D$20*(1-Personnel!$H$20),0)+IF(AND(6&gt;=Personnel!$E$21,Personnel!$G$21="Yes"),Personnel!$D$21*(1-Personnel!$H$21),0)+IF(AND(6&gt;=Personnel!$E$22,Personnel!$G$22="Yes"),Personnel!$D$22*(1-Personnel!$H$22),0)+IF(AND(6&gt;=Personnel!$E$23,Personnel!$G$23="Yes"),Personnel!$D$23*(1-Personnel!$H$23),0)+IF(AND(6&gt;=Personnel!$E$24,Personnel!$G$24="Yes"),Personnel!$D$24*(1-Personnel!$H$24),0)+IF(AND(6&gt;=Personnel!$E$25,Personnel!$G$25="Yes"),Personnel!$D$25*(1-Personnel!$H$25),0)+IF(AND(6&gt;=Personnel!$E$26,Personnel!$G$26="Yes"),Personnel!$D$26*(1-Personnel!$H$26),0)+IF(AND(6&gt;=Personnel!$E$27,Personnel!$G$27="Yes"),Personnel!$D$27*(1-Personnel!$H$27),0)+IF(AND(6&gt;=Personnel!$E$28,Personnel!$G$28="Yes"),Personnel!$D$28*(1-Personnel!$H$28),0)+IF(AND(6&gt;=Personnel!$E$29,Personnel!$G$29="Yes"),Personnel!$D$29*(1-Personnel!$H$29),0)+IF(AND(6&gt;=Personnel!$E$30,Personnel!$G$30="Yes"),Personnel!$D$30*(1-Personnel!$H$30),0)+IF(AND(6&gt;=Personnel!$E$31,Personnel!$G$31="Yes"),Personnel!$D$31*(1-Personnel!$H$31),0)+IF(AND(6&gt;=Personnel!$E$32,Personnel!$G$32="Yes"),Personnel!$D$32*(1-Personnel!$H$32),0)+IF(AND(6&gt;=Personnel!$E$33,Personnel!$G$33="Yes"),Personnel!$D$33*(1-Personnel!$H$33),0)+IF(AND(6&gt;=Personnel!$E$36,Personnel!$G$36="Yes"),Personnel!$D$36*(1-Personnel!$H$36),0)+IF(AND(6&gt;=Personnel!$E$37,Personnel!$G$37="Yes"),Personnel!$D$37*(1-Personnel!$H$37),0)+IF(AND(6&gt;=Personnel!$E$38,Personnel!$G$38="Yes"),Personnel!$D$38*(1-Personnel!$H$38),0)+IF(AND(6&gt;=Personnel!$E$39,Personnel!$G$39="Yes"),Personnel!$D$39*(1-Personnel!$H$39),0)+IF(AND(6&gt;=Personnel!$E$40,Personnel!$G$40="Yes"),Personnel!$D$40*(1-Personnel!$H$40),0)+IF(AND(6&gt;=Personnel!$E$41,Personnel!$G$41="Yes"),Personnel!$D$41*(1-Personnel!$H$41),0)+IF(AND(6&gt;=Personnel!$E$42,Personnel!$G$42="Yes"),Personnel!$D$42*(1-Personnel!$H$42),0))*Escalation!$B$7</f>
        <v>279375</v>
      </c>
      <c r="I4" s="231">
        <f>(IF(AND(7&gt;=Personnel!$E$2,Personnel!$G$2="Yes"),Personnel!$D$2*(1-Personnel!$H$2),0)+IF(AND(7&gt;=Personnel!$E$3,Personnel!$G$3="Yes"),Personnel!$D$3*(1-Personnel!$H$3),0)+IF(AND(7&gt;=Personnel!$E$4,Personnel!$G$4="Yes"),Personnel!$D$4*(1-Personnel!$H$4),0)+IF(AND(7&gt;=Personnel!$E$5,Personnel!$G$5="Yes"),Personnel!$D$5*(1-Personnel!$H$5),0)+IF(AND(7&gt;=Personnel!$E$6,Personnel!$G$6="Yes"),Personnel!$D$6*(1-Personnel!$H$6),0)+IF(AND(7&gt;=Personnel!$E$7,Personnel!$G$7="Yes"),Personnel!$D$7*(1-Personnel!$H$7),0)+IF(AND(7&gt;=Personnel!$E$8,Personnel!$G$8="Yes"),Personnel!$D$8*(1-Personnel!$H$8),0)+IF(AND(7&gt;=Personnel!$E$9,Personnel!$G$9="Yes"),Personnel!$D$9*(1-Personnel!$H$9),0)+IF(AND(7&gt;=Personnel!$E$10,Personnel!$G$10="Yes"),Personnel!$D$10*(1-Personnel!$H$10),0)+IF(AND(7&gt;=Personnel!$E$11,Personnel!$G$11="Yes"),Personnel!$D$11*(1-Personnel!$H$11),0)+IF(AND(7&gt;=Personnel!$E$12,Personnel!$G$12="Yes"),Personnel!$D$12*(1-Personnel!$H$12),0)+IF(AND(7&gt;=Personnel!$E$13,Personnel!$G$13="Yes"),Personnel!$D$13*(1-Personnel!$H$13),0)+IF(AND(7&gt;=Personnel!$E$14,Personnel!$G$14="Yes"),Personnel!$D$14*(1-Personnel!$H$14),0)+IF(AND(7&gt;=Personnel!$E$15,Personnel!$G$15="Yes"),Personnel!$D$15*(1-Personnel!$H$15),0)+IF(AND(7&gt;=Personnel!$E$16,Personnel!$G$16="Yes"),Personnel!$D$16*(1-Personnel!$H$16),0)+IF(AND(7&gt;=Personnel!$E$17,Personnel!$G$17="Yes"),Personnel!$D$17*(1-Personnel!$H$17),0)+IF(AND(7&gt;=Personnel!$E$18,Personnel!$G$18="Yes"),Personnel!$D$18*(1-Personnel!$H$18),0)+IF(AND(7&gt;=Personnel!$E$19,Personnel!$G$19="Yes"),Personnel!$D$19*(1-Personnel!$H$19),0)+IF(AND(7&gt;=Personnel!$E$20,Personnel!$G$20="Yes"),Personnel!$D$20*(1-Personnel!$H$20),0)+IF(AND(7&gt;=Personnel!$E$21,Personnel!$G$21="Yes"),Personnel!$D$21*(1-Personnel!$H$21),0)+IF(AND(7&gt;=Personnel!$E$22,Personnel!$G$22="Yes"),Personnel!$D$22*(1-Personnel!$H$22),0)+IF(AND(7&gt;=Personnel!$E$23,Personnel!$G$23="Yes"),Personnel!$D$23*(1-Personnel!$H$23),0)+IF(AND(7&gt;=Personnel!$E$24,Personnel!$G$24="Yes"),Personnel!$D$24*(1-Personnel!$H$24),0)+IF(AND(7&gt;=Personnel!$E$25,Personnel!$G$25="Yes"),Personnel!$D$25*(1-Personnel!$H$25),0)+IF(AND(7&gt;=Personnel!$E$26,Personnel!$G$26="Yes"),Personnel!$D$26*(1-Personnel!$H$26),0)+IF(AND(7&gt;=Personnel!$E$27,Personnel!$G$27="Yes"),Personnel!$D$27*(1-Personnel!$H$27),0)+IF(AND(7&gt;=Personnel!$E$28,Personnel!$G$28="Yes"),Personnel!$D$28*(1-Personnel!$H$28),0)+IF(AND(7&gt;=Personnel!$E$29,Personnel!$G$29="Yes"),Personnel!$D$29*(1-Personnel!$H$29),0)+IF(AND(7&gt;=Personnel!$E$30,Personnel!$G$30="Yes"),Personnel!$D$30*(1-Personnel!$H$30),0)+IF(AND(7&gt;=Personnel!$E$31,Personnel!$G$31="Yes"),Personnel!$D$31*(1-Personnel!$H$31),0)+IF(AND(7&gt;=Personnel!$E$32,Personnel!$G$32="Yes"),Personnel!$D$32*(1-Personnel!$H$32),0)+IF(AND(7&gt;=Personnel!$E$33,Personnel!$G$33="Yes"),Personnel!$D$33*(1-Personnel!$H$33),0)+IF(AND(7&gt;=Personnel!$E$36,Personnel!$G$36="Yes"),Personnel!$D$36*(1-Personnel!$H$36),0)+IF(AND(7&gt;=Personnel!$E$37,Personnel!$G$37="Yes"),Personnel!$D$37*(1-Personnel!$H$37),0)+IF(AND(7&gt;=Personnel!$E$38,Personnel!$G$38="Yes"),Personnel!$D$38*(1-Personnel!$H$38),0)+IF(AND(7&gt;=Personnel!$E$39,Personnel!$G$39="Yes"),Personnel!$D$39*(1-Personnel!$H$39),0)+IF(AND(7&gt;=Personnel!$E$40,Personnel!$G$40="Yes"),Personnel!$D$40*(1-Personnel!$H$40),0)+IF(AND(7&gt;=Personnel!$E$41,Personnel!$G$41="Yes"),Personnel!$D$41*(1-Personnel!$H$41),0)+IF(AND(7&gt;=Personnel!$E$42,Personnel!$G$42="Yes"),Personnel!$D$42*(1-Personnel!$H$42),0))*Escalation!$B$8</f>
        <v>300208.33333333326</v>
      </c>
      <c r="J4" s="231">
        <f>(IF(AND(8&gt;=Personnel!$E$2,Personnel!$G$2="Yes"),Personnel!$D$2*(1-Personnel!$H$2),0)+IF(AND(8&gt;=Personnel!$E$3,Personnel!$G$3="Yes"),Personnel!$D$3*(1-Personnel!$H$3),0)+IF(AND(8&gt;=Personnel!$E$4,Personnel!$G$4="Yes"),Personnel!$D$4*(1-Personnel!$H$4),0)+IF(AND(8&gt;=Personnel!$E$5,Personnel!$G$5="Yes"),Personnel!$D$5*(1-Personnel!$H$5),0)+IF(AND(8&gt;=Personnel!$E$6,Personnel!$G$6="Yes"),Personnel!$D$6*(1-Personnel!$H$6),0)+IF(AND(8&gt;=Personnel!$E$7,Personnel!$G$7="Yes"),Personnel!$D$7*(1-Personnel!$H$7),0)+IF(AND(8&gt;=Personnel!$E$8,Personnel!$G$8="Yes"),Personnel!$D$8*(1-Personnel!$H$8),0)+IF(AND(8&gt;=Personnel!$E$9,Personnel!$G$9="Yes"),Personnel!$D$9*(1-Personnel!$H$9),0)+IF(AND(8&gt;=Personnel!$E$10,Personnel!$G$10="Yes"),Personnel!$D$10*(1-Personnel!$H$10),0)+IF(AND(8&gt;=Personnel!$E$11,Personnel!$G$11="Yes"),Personnel!$D$11*(1-Personnel!$H$11),0)+IF(AND(8&gt;=Personnel!$E$12,Personnel!$G$12="Yes"),Personnel!$D$12*(1-Personnel!$H$12),0)+IF(AND(8&gt;=Personnel!$E$13,Personnel!$G$13="Yes"),Personnel!$D$13*(1-Personnel!$H$13),0)+IF(AND(8&gt;=Personnel!$E$14,Personnel!$G$14="Yes"),Personnel!$D$14*(1-Personnel!$H$14),0)+IF(AND(8&gt;=Personnel!$E$15,Personnel!$G$15="Yes"),Personnel!$D$15*(1-Personnel!$H$15),0)+IF(AND(8&gt;=Personnel!$E$16,Personnel!$G$16="Yes"),Personnel!$D$16*(1-Personnel!$H$16),0)+IF(AND(8&gt;=Personnel!$E$17,Personnel!$G$17="Yes"),Personnel!$D$17*(1-Personnel!$H$17),0)+IF(AND(8&gt;=Personnel!$E$18,Personnel!$G$18="Yes"),Personnel!$D$18*(1-Personnel!$H$18),0)+IF(AND(8&gt;=Personnel!$E$19,Personnel!$G$19="Yes"),Personnel!$D$19*(1-Personnel!$H$19),0)+IF(AND(8&gt;=Personnel!$E$20,Personnel!$G$20="Yes"),Personnel!$D$20*(1-Personnel!$H$20),0)+IF(AND(8&gt;=Personnel!$E$21,Personnel!$G$21="Yes"),Personnel!$D$21*(1-Personnel!$H$21),0)+IF(AND(8&gt;=Personnel!$E$22,Personnel!$G$22="Yes"),Personnel!$D$22*(1-Personnel!$H$22),0)+IF(AND(8&gt;=Personnel!$E$23,Personnel!$G$23="Yes"),Personnel!$D$23*(1-Personnel!$H$23),0)+IF(AND(8&gt;=Personnel!$E$24,Personnel!$G$24="Yes"),Personnel!$D$24*(1-Personnel!$H$24),0)+IF(AND(8&gt;=Personnel!$E$25,Personnel!$G$25="Yes"),Personnel!$D$25*(1-Personnel!$H$25),0)+IF(AND(8&gt;=Personnel!$E$26,Personnel!$G$26="Yes"),Personnel!$D$26*(1-Personnel!$H$26),0)+IF(AND(8&gt;=Personnel!$E$27,Personnel!$G$27="Yes"),Personnel!$D$27*(1-Personnel!$H$27),0)+IF(AND(8&gt;=Personnel!$E$28,Personnel!$G$28="Yes"),Personnel!$D$28*(1-Personnel!$H$28),0)+IF(AND(8&gt;=Personnel!$E$29,Personnel!$G$29="Yes"),Personnel!$D$29*(1-Personnel!$H$29),0)+IF(AND(8&gt;=Personnel!$E$30,Personnel!$G$30="Yes"),Personnel!$D$30*(1-Personnel!$H$30),0)+IF(AND(8&gt;=Personnel!$E$31,Personnel!$G$31="Yes"),Personnel!$D$31*(1-Personnel!$H$31),0)+IF(AND(8&gt;=Personnel!$E$32,Personnel!$G$32="Yes"),Personnel!$D$32*(1-Personnel!$H$32),0)+IF(AND(8&gt;=Personnel!$E$33,Personnel!$G$33="Yes"),Personnel!$D$33*(1-Personnel!$H$33),0)+IF(AND(8&gt;=Personnel!$E$36,Personnel!$G$36="Yes"),Personnel!$D$36*(1-Personnel!$H$36),0)+IF(AND(8&gt;=Personnel!$E$37,Personnel!$G$37="Yes"),Personnel!$D$37*(1-Personnel!$H$37),0)+IF(AND(8&gt;=Personnel!$E$38,Personnel!$G$38="Yes"),Personnel!$D$38*(1-Personnel!$H$38),0)+IF(AND(8&gt;=Personnel!$E$39,Personnel!$G$39="Yes"),Personnel!$D$39*(1-Personnel!$H$39),0)+IF(AND(8&gt;=Personnel!$E$40,Personnel!$G$40="Yes"),Personnel!$D$40*(1-Personnel!$H$40),0)+IF(AND(8&gt;=Personnel!$E$41,Personnel!$G$41="Yes"),Personnel!$D$41*(1-Personnel!$H$41),0)+IF(AND(8&gt;=Personnel!$E$42,Personnel!$G$42="Yes"),Personnel!$D$42*(1-Personnel!$H$42),0))*Escalation!$B$9</f>
        <v>330208.3333333332</v>
      </c>
      <c r="K4" s="231">
        <f>(IF(AND(9&gt;=Personnel!$E$2,Personnel!$G$2="Yes"),Personnel!$D$2*(1-Personnel!$H$2),0)+IF(AND(9&gt;=Personnel!$E$3,Personnel!$G$3="Yes"),Personnel!$D$3*(1-Personnel!$H$3),0)+IF(AND(9&gt;=Personnel!$E$4,Personnel!$G$4="Yes"),Personnel!$D$4*(1-Personnel!$H$4),0)+IF(AND(9&gt;=Personnel!$E$5,Personnel!$G$5="Yes"),Personnel!$D$5*(1-Personnel!$H$5),0)+IF(AND(9&gt;=Personnel!$E$6,Personnel!$G$6="Yes"),Personnel!$D$6*(1-Personnel!$H$6),0)+IF(AND(9&gt;=Personnel!$E$7,Personnel!$G$7="Yes"),Personnel!$D$7*(1-Personnel!$H$7),0)+IF(AND(9&gt;=Personnel!$E$8,Personnel!$G$8="Yes"),Personnel!$D$8*(1-Personnel!$H$8),0)+IF(AND(9&gt;=Personnel!$E$9,Personnel!$G$9="Yes"),Personnel!$D$9*(1-Personnel!$H$9),0)+IF(AND(9&gt;=Personnel!$E$10,Personnel!$G$10="Yes"),Personnel!$D$10*(1-Personnel!$H$10),0)+IF(AND(9&gt;=Personnel!$E$11,Personnel!$G$11="Yes"),Personnel!$D$11*(1-Personnel!$H$11),0)+IF(AND(9&gt;=Personnel!$E$12,Personnel!$G$12="Yes"),Personnel!$D$12*(1-Personnel!$H$12),0)+IF(AND(9&gt;=Personnel!$E$13,Personnel!$G$13="Yes"),Personnel!$D$13*(1-Personnel!$H$13),0)+IF(AND(9&gt;=Personnel!$E$14,Personnel!$G$14="Yes"),Personnel!$D$14*(1-Personnel!$H$14),0)+IF(AND(9&gt;=Personnel!$E$15,Personnel!$G$15="Yes"),Personnel!$D$15*(1-Personnel!$H$15),0)+IF(AND(9&gt;=Personnel!$E$16,Personnel!$G$16="Yes"),Personnel!$D$16*(1-Personnel!$H$16),0)+IF(AND(9&gt;=Personnel!$E$17,Personnel!$G$17="Yes"),Personnel!$D$17*(1-Personnel!$H$17),0)+IF(AND(9&gt;=Personnel!$E$18,Personnel!$G$18="Yes"),Personnel!$D$18*(1-Personnel!$H$18),0)+IF(AND(9&gt;=Personnel!$E$19,Personnel!$G$19="Yes"),Personnel!$D$19*(1-Personnel!$H$19),0)+IF(AND(9&gt;=Personnel!$E$20,Personnel!$G$20="Yes"),Personnel!$D$20*(1-Personnel!$H$20),0)+IF(AND(9&gt;=Personnel!$E$21,Personnel!$G$21="Yes"),Personnel!$D$21*(1-Personnel!$H$21),0)+IF(AND(9&gt;=Personnel!$E$22,Personnel!$G$22="Yes"),Personnel!$D$22*(1-Personnel!$H$22),0)+IF(AND(9&gt;=Personnel!$E$23,Personnel!$G$23="Yes"),Personnel!$D$23*(1-Personnel!$H$23),0)+IF(AND(9&gt;=Personnel!$E$24,Personnel!$G$24="Yes"),Personnel!$D$24*(1-Personnel!$H$24),0)+IF(AND(9&gt;=Personnel!$E$25,Personnel!$G$25="Yes"),Personnel!$D$25*(1-Personnel!$H$25),0)+IF(AND(9&gt;=Personnel!$E$26,Personnel!$G$26="Yes"),Personnel!$D$26*(1-Personnel!$H$26),0)+IF(AND(9&gt;=Personnel!$E$27,Personnel!$G$27="Yes"),Personnel!$D$27*(1-Personnel!$H$27),0)+IF(AND(9&gt;=Personnel!$E$28,Personnel!$G$28="Yes"),Personnel!$D$28*(1-Personnel!$H$28),0)+IF(AND(9&gt;=Personnel!$E$29,Personnel!$G$29="Yes"),Personnel!$D$29*(1-Personnel!$H$29),0)+IF(AND(9&gt;=Personnel!$E$30,Personnel!$G$30="Yes"),Personnel!$D$30*(1-Personnel!$H$30),0)+IF(AND(9&gt;=Personnel!$E$31,Personnel!$G$31="Yes"),Personnel!$D$31*(1-Personnel!$H$31),0)+IF(AND(9&gt;=Personnel!$E$32,Personnel!$G$32="Yes"),Personnel!$D$32*(1-Personnel!$H$32),0)+IF(AND(9&gt;=Personnel!$E$33,Personnel!$G$33="Yes"),Personnel!$D$33*(1-Personnel!$H$33),0)+IF(AND(9&gt;=Personnel!$E$36,Personnel!$G$36="Yes"),Personnel!$D$36*(1-Personnel!$H$36),0)+IF(AND(9&gt;=Personnel!$E$37,Personnel!$G$37="Yes"),Personnel!$D$37*(1-Personnel!$H$37),0)+IF(AND(9&gt;=Personnel!$E$38,Personnel!$G$38="Yes"),Personnel!$D$38*(1-Personnel!$H$38),0)+IF(AND(9&gt;=Personnel!$E$39,Personnel!$G$39="Yes"),Personnel!$D$39*(1-Personnel!$H$39),0)+IF(AND(9&gt;=Personnel!$E$40,Personnel!$G$40="Yes"),Personnel!$D$40*(1-Personnel!$H$40),0)+IF(AND(9&gt;=Personnel!$E$41,Personnel!$G$41="Yes"),Personnel!$D$41*(1-Personnel!$H$41),0)+IF(AND(9&gt;=Personnel!$E$42,Personnel!$G$42="Yes"),Personnel!$D$42*(1-Personnel!$H$42),0))*Escalation!$B$10</f>
        <v>330208.3333333332</v>
      </c>
      <c r="L4" s="231">
        <f>(IF(AND(10&gt;=Personnel!$E$2,Personnel!$G$2="Yes"),Personnel!$D$2*(1-Personnel!$H$2),0)+IF(AND(10&gt;=Personnel!$E$3,Personnel!$G$3="Yes"),Personnel!$D$3*(1-Personnel!$H$3),0)+IF(AND(10&gt;=Personnel!$E$4,Personnel!$G$4="Yes"),Personnel!$D$4*(1-Personnel!$H$4),0)+IF(AND(10&gt;=Personnel!$E$5,Personnel!$G$5="Yes"),Personnel!$D$5*(1-Personnel!$H$5),0)+IF(AND(10&gt;=Personnel!$E$6,Personnel!$G$6="Yes"),Personnel!$D$6*(1-Personnel!$H$6),0)+IF(AND(10&gt;=Personnel!$E$7,Personnel!$G$7="Yes"),Personnel!$D$7*(1-Personnel!$H$7),0)+IF(AND(10&gt;=Personnel!$E$8,Personnel!$G$8="Yes"),Personnel!$D$8*(1-Personnel!$H$8),0)+IF(AND(10&gt;=Personnel!$E$9,Personnel!$G$9="Yes"),Personnel!$D$9*(1-Personnel!$H$9),0)+IF(AND(10&gt;=Personnel!$E$10,Personnel!$G$10="Yes"),Personnel!$D$10*(1-Personnel!$H$10),0)+IF(AND(10&gt;=Personnel!$E$11,Personnel!$G$11="Yes"),Personnel!$D$11*(1-Personnel!$H$11),0)+IF(AND(10&gt;=Personnel!$E$12,Personnel!$G$12="Yes"),Personnel!$D$12*(1-Personnel!$H$12),0)+IF(AND(10&gt;=Personnel!$E$13,Personnel!$G$13="Yes"),Personnel!$D$13*(1-Personnel!$H$13),0)+IF(AND(10&gt;=Personnel!$E$14,Personnel!$G$14="Yes"),Personnel!$D$14*(1-Personnel!$H$14),0)+IF(AND(10&gt;=Personnel!$E$15,Personnel!$G$15="Yes"),Personnel!$D$15*(1-Personnel!$H$15),0)+IF(AND(10&gt;=Personnel!$E$16,Personnel!$G$16="Yes"),Personnel!$D$16*(1-Personnel!$H$16),0)+IF(AND(10&gt;=Personnel!$E$17,Personnel!$G$17="Yes"),Personnel!$D$17*(1-Personnel!$H$17),0)+IF(AND(10&gt;=Personnel!$E$18,Personnel!$G$18="Yes"),Personnel!$D$18*(1-Personnel!$H$18),0)+IF(AND(10&gt;=Personnel!$E$19,Personnel!$G$19="Yes"),Personnel!$D$19*(1-Personnel!$H$19),0)+IF(AND(10&gt;=Personnel!$E$20,Personnel!$G$20="Yes"),Personnel!$D$20*(1-Personnel!$H$20),0)+IF(AND(10&gt;=Personnel!$E$21,Personnel!$G$21="Yes"),Personnel!$D$21*(1-Personnel!$H$21),0)+IF(AND(10&gt;=Personnel!$E$22,Personnel!$G$22="Yes"),Personnel!$D$22*(1-Personnel!$H$22),0)+IF(AND(10&gt;=Personnel!$E$23,Personnel!$G$23="Yes"),Personnel!$D$23*(1-Personnel!$H$23),0)+IF(AND(10&gt;=Personnel!$E$24,Personnel!$G$24="Yes"),Personnel!$D$24*(1-Personnel!$H$24),0)+IF(AND(10&gt;=Personnel!$E$25,Personnel!$G$25="Yes"),Personnel!$D$25*(1-Personnel!$H$25),0)+IF(AND(10&gt;=Personnel!$E$26,Personnel!$G$26="Yes"),Personnel!$D$26*(1-Personnel!$H$26),0)+IF(AND(10&gt;=Personnel!$E$27,Personnel!$G$27="Yes"),Personnel!$D$27*(1-Personnel!$H$27),0)+IF(AND(10&gt;=Personnel!$E$28,Personnel!$G$28="Yes"),Personnel!$D$28*(1-Personnel!$H$28),0)+IF(AND(10&gt;=Personnel!$E$29,Personnel!$G$29="Yes"),Personnel!$D$29*(1-Personnel!$H$29),0)+IF(AND(10&gt;=Personnel!$E$30,Personnel!$G$30="Yes"),Personnel!$D$30*(1-Personnel!$H$30),0)+IF(AND(10&gt;=Personnel!$E$31,Personnel!$G$31="Yes"),Personnel!$D$31*(1-Personnel!$H$31),0)+IF(AND(10&gt;=Personnel!$E$32,Personnel!$G$32="Yes"),Personnel!$D$32*(1-Personnel!$H$32),0)+IF(AND(10&gt;=Personnel!$E$33,Personnel!$G$33="Yes"),Personnel!$D$33*(1-Personnel!$H$33),0)+IF(AND(10&gt;=Personnel!$E$36,Personnel!$G$36="Yes"),Personnel!$D$36*(1-Personnel!$H$36),0)+IF(AND(10&gt;=Personnel!$E$37,Personnel!$G$37="Yes"),Personnel!$D$37*(1-Personnel!$H$37),0)+IF(AND(10&gt;=Personnel!$E$38,Personnel!$G$38="Yes"),Personnel!$D$38*(1-Personnel!$H$38),0)+IF(AND(10&gt;=Personnel!$E$39,Personnel!$G$39="Yes"),Personnel!$D$39*(1-Personnel!$H$39),0)+IF(AND(10&gt;=Personnel!$E$40,Personnel!$G$40="Yes"),Personnel!$D$40*(1-Personnel!$H$40),0)+IF(AND(10&gt;=Personnel!$E$41,Personnel!$G$41="Yes"),Personnel!$D$41*(1-Personnel!$H$41),0)+IF(AND(10&gt;=Personnel!$E$42,Personnel!$G$42="Yes"),Personnel!$D$42*(1-Personnel!$H$42),0))*Escalation!$B$11</f>
        <v>330208.3333333332</v>
      </c>
      <c r="M4" s="231">
        <f>(IF(AND(11&gt;=Personnel!$E$2,Personnel!$G$2="Yes"),Personnel!$D$2*(1-Personnel!$H$2),0)+IF(AND(11&gt;=Personnel!$E$3,Personnel!$G$3="Yes"),Personnel!$D$3*(1-Personnel!$H$3),0)+IF(AND(11&gt;=Personnel!$E$4,Personnel!$G$4="Yes"),Personnel!$D$4*(1-Personnel!$H$4),0)+IF(AND(11&gt;=Personnel!$E$5,Personnel!$G$5="Yes"),Personnel!$D$5*(1-Personnel!$H$5),0)+IF(AND(11&gt;=Personnel!$E$6,Personnel!$G$6="Yes"),Personnel!$D$6*(1-Personnel!$H$6),0)+IF(AND(11&gt;=Personnel!$E$7,Personnel!$G$7="Yes"),Personnel!$D$7*(1-Personnel!$H$7),0)+IF(AND(11&gt;=Personnel!$E$8,Personnel!$G$8="Yes"),Personnel!$D$8*(1-Personnel!$H$8),0)+IF(AND(11&gt;=Personnel!$E$9,Personnel!$G$9="Yes"),Personnel!$D$9*(1-Personnel!$H$9),0)+IF(AND(11&gt;=Personnel!$E$10,Personnel!$G$10="Yes"),Personnel!$D$10*(1-Personnel!$H$10),0)+IF(AND(11&gt;=Personnel!$E$11,Personnel!$G$11="Yes"),Personnel!$D$11*(1-Personnel!$H$11),0)+IF(AND(11&gt;=Personnel!$E$12,Personnel!$G$12="Yes"),Personnel!$D$12*(1-Personnel!$H$12),0)+IF(AND(11&gt;=Personnel!$E$13,Personnel!$G$13="Yes"),Personnel!$D$13*(1-Personnel!$H$13),0)+IF(AND(11&gt;=Personnel!$E$14,Personnel!$G$14="Yes"),Personnel!$D$14*(1-Personnel!$H$14),0)+IF(AND(11&gt;=Personnel!$E$15,Personnel!$G$15="Yes"),Personnel!$D$15*(1-Personnel!$H$15),0)+IF(AND(11&gt;=Personnel!$E$16,Personnel!$G$16="Yes"),Personnel!$D$16*(1-Personnel!$H$16),0)+IF(AND(11&gt;=Personnel!$E$17,Personnel!$G$17="Yes"),Personnel!$D$17*(1-Personnel!$H$17),0)+IF(AND(11&gt;=Personnel!$E$18,Personnel!$G$18="Yes"),Personnel!$D$18*(1-Personnel!$H$18),0)+IF(AND(11&gt;=Personnel!$E$19,Personnel!$G$19="Yes"),Personnel!$D$19*(1-Personnel!$H$19),0)+IF(AND(11&gt;=Personnel!$E$20,Personnel!$G$20="Yes"),Personnel!$D$20*(1-Personnel!$H$20),0)+IF(AND(11&gt;=Personnel!$E$21,Personnel!$G$21="Yes"),Personnel!$D$21*(1-Personnel!$H$21),0)+IF(AND(11&gt;=Personnel!$E$22,Personnel!$G$22="Yes"),Personnel!$D$22*(1-Personnel!$H$22),0)+IF(AND(11&gt;=Personnel!$E$23,Personnel!$G$23="Yes"),Personnel!$D$23*(1-Personnel!$H$23),0)+IF(AND(11&gt;=Personnel!$E$24,Personnel!$G$24="Yes"),Personnel!$D$24*(1-Personnel!$H$24),0)+IF(AND(11&gt;=Personnel!$E$25,Personnel!$G$25="Yes"),Personnel!$D$25*(1-Personnel!$H$25),0)+IF(AND(11&gt;=Personnel!$E$26,Personnel!$G$26="Yes"),Personnel!$D$26*(1-Personnel!$H$26),0)+IF(AND(11&gt;=Personnel!$E$27,Personnel!$G$27="Yes"),Personnel!$D$27*(1-Personnel!$H$27),0)+IF(AND(11&gt;=Personnel!$E$28,Personnel!$G$28="Yes"),Personnel!$D$28*(1-Personnel!$H$28),0)+IF(AND(11&gt;=Personnel!$E$29,Personnel!$G$29="Yes"),Personnel!$D$29*(1-Personnel!$H$29),0)+IF(AND(11&gt;=Personnel!$E$30,Personnel!$G$30="Yes"),Personnel!$D$30*(1-Personnel!$H$30),0)+IF(AND(11&gt;=Personnel!$E$31,Personnel!$G$31="Yes"),Personnel!$D$31*(1-Personnel!$H$31),0)+IF(AND(11&gt;=Personnel!$E$32,Personnel!$G$32="Yes"),Personnel!$D$32*(1-Personnel!$H$32),0)+IF(AND(11&gt;=Personnel!$E$33,Personnel!$G$33="Yes"),Personnel!$D$33*(1-Personnel!$H$33),0)+IF(AND(11&gt;=Personnel!$E$36,Personnel!$G$36="Yes"),Personnel!$D$36*(1-Personnel!$H$36),0)+IF(AND(11&gt;=Personnel!$E$37,Personnel!$G$37="Yes"),Personnel!$D$37*(1-Personnel!$H$37),0)+IF(AND(11&gt;=Personnel!$E$38,Personnel!$G$38="Yes"),Personnel!$D$38*(1-Personnel!$H$38),0)+IF(AND(11&gt;=Personnel!$E$39,Personnel!$G$39="Yes"),Personnel!$D$39*(1-Personnel!$H$39),0)+IF(AND(11&gt;=Personnel!$E$40,Personnel!$G$40="Yes"),Personnel!$D$40*(1-Personnel!$H$40),0)+IF(AND(11&gt;=Personnel!$E$41,Personnel!$G$41="Yes"),Personnel!$D$41*(1-Personnel!$H$41),0)+IF(AND(11&gt;=Personnel!$E$42,Personnel!$G$42="Yes"),Personnel!$D$42*(1-Personnel!$H$42),0))*Escalation!$B$12</f>
        <v>330208.3333333332</v>
      </c>
      <c r="N4" s="231">
        <f>(IF(AND(12&gt;=Personnel!$E$2,Personnel!$G$2="Yes"),Personnel!$D$2*(1-Personnel!$H$2),0)+IF(AND(12&gt;=Personnel!$E$3,Personnel!$G$3="Yes"),Personnel!$D$3*(1-Personnel!$H$3),0)+IF(AND(12&gt;=Personnel!$E$4,Personnel!$G$4="Yes"),Personnel!$D$4*(1-Personnel!$H$4),0)+IF(AND(12&gt;=Personnel!$E$5,Personnel!$G$5="Yes"),Personnel!$D$5*(1-Personnel!$H$5),0)+IF(AND(12&gt;=Personnel!$E$6,Personnel!$G$6="Yes"),Personnel!$D$6*(1-Personnel!$H$6),0)+IF(AND(12&gt;=Personnel!$E$7,Personnel!$G$7="Yes"),Personnel!$D$7*(1-Personnel!$H$7),0)+IF(AND(12&gt;=Personnel!$E$8,Personnel!$G$8="Yes"),Personnel!$D$8*(1-Personnel!$H$8),0)+IF(AND(12&gt;=Personnel!$E$9,Personnel!$G$9="Yes"),Personnel!$D$9*(1-Personnel!$H$9),0)+IF(AND(12&gt;=Personnel!$E$10,Personnel!$G$10="Yes"),Personnel!$D$10*(1-Personnel!$H$10),0)+IF(AND(12&gt;=Personnel!$E$11,Personnel!$G$11="Yes"),Personnel!$D$11*(1-Personnel!$H$11),0)+IF(AND(12&gt;=Personnel!$E$12,Personnel!$G$12="Yes"),Personnel!$D$12*(1-Personnel!$H$12),0)+IF(AND(12&gt;=Personnel!$E$13,Personnel!$G$13="Yes"),Personnel!$D$13*(1-Personnel!$H$13),0)+IF(AND(12&gt;=Personnel!$E$14,Personnel!$G$14="Yes"),Personnel!$D$14*(1-Personnel!$H$14),0)+IF(AND(12&gt;=Personnel!$E$15,Personnel!$G$15="Yes"),Personnel!$D$15*(1-Personnel!$H$15),0)+IF(AND(12&gt;=Personnel!$E$16,Personnel!$G$16="Yes"),Personnel!$D$16*(1-Personnel!$H$16),0)+IF(AND(12&gt;=Personnel!$E$17,Personnel!$G$17="Yes"),Personnel!$D$17*(1-Personnel!$H$17),0)+IF(AND(12&gt;=Personnel!$E$18,Personnel!$G$18="Yes"),Personnel!$D$18*(1-Personnel!$H$18),0)+IF(AND(12&gt;=Personnel!$E$19,Personnel!$G$19="Yes"),Personnel!$D$19*(1-Personnel!$H$19),0)+IF(AND(12&gt;=Personnel!$E$20,Personnel!$G$20="Yes"),Personnel!$D$20*(1-Personnel!$H$20),0)+IF(AND(12&gt;=Personnel!$E$21,Personnel!$G$21="Yes"),Personnel!$D$21*(1-Personnel!$H$21),0)+IF(AND(12&gt;=Personnel!$E$22,Personnel!$G$22="Yes"),Personnel!$D$22*(1-Personnel!$H$22),0)+IF(AND(12&gt;=Personnel!$E$23,Personnel!$G$23="Yes"),Personnel!$D$23*(1-Personnel!$H$23),0)+IF(AND(12&gt;=Personnel!$E$24,Personnel!$G$24="Yes"),Personnel!$D$24*(1-Personnel!$H$24),0)+IF(AND(12&gt;=Personnel!$E$25,Personnel!$G$25="Yes"),Personnel!$D$25*(1-Personnel!$H$25),0)+IF(AND(12&gt;=Personnel!$E$26,Personnel!$G$26="Yes"),Personnel!$D$26*(1-Personnel!$H$26),0)+IF(AND(12&gt;=Personnel!$E$27,Personnel!$G$27="Yes"),Personnel!$D$27*(1-Personnel!$H$27),0)+IF(AND(12&gt;=Personnel!$E$28,Personnel!$G$28="Yes"),Personnel!$D$28*(1-Personnel!$H$28),0)+IF(AND(12&gt;=Personnel!$E$29,Personnel!$G$29="Yes"),Personnel!$D$29*(1-Personnel!$H$29),0)+IF(AND(12&gt;=Personnel!$E$30,Personnel!$G$30="Yes"),Personnel!$D$30*(1-Personnel!$H$30),0)+IF(AND(12&gt;=Personnel!$E$31,Personnel!$G$31="Yes"),Personnel!$D$31*(1-Personnel!$H$31),0)+IF(AND(12&gt;=Personnel!$E$32,Personnel!$G$32="Yes"),Personnel!$D$32*(1-Personnel!$H$32),0)+IF(AND(12&gt;=Personnel!$E$33,Personnel!$G$33="Yes"),Personnel!$D$33*(1-Personnel!$H$33),0)+IF(AND(12&gt;=Personnel!$E$36,Personnel!$G$36="Yes"),Personnel!$D$36*(1-Personnel!$H$36),0)+IF(AND(12&gt;=Personnel!$E$37,Personnel!$G$37="Yes"),Personnel!$D$37*(1-Personnel!$H$37),0)+IF(AND(12&gt;=Personnel!$E$38,Personnel!$G$38="Yes"),Personnel!$D$38*(1-Personnel!$H$38),0)+IF(AND(12&gt;=Personnel!$E$39,Personnel!$G$39="Yes"),Personnel!$D$39*(1-Personnel!$H$39),0)+IF(AND(12&gt;=Personnel!$E$40,Personnel!$G$40="Yes"),Personnel!$D$40*(1-Personnel!$H$40),0)+IF(AND(12&gt;=Personnel!$E$41,Personnel!$G$41="Yes"),Personnel!$D$41*(1-Personnel!$H$41),0)+IF(AND(12&gt;=Personnel!$E$42,Personnel!$G$42="Yes"),Personnel!$D$42*(1-Personnel!$H$42),0))*Escalation!$B$13</f>
        <v>330208.3333333332</v>
      </c>
      <c r="O4" s="231">
        <f>(IF(AND(13&gt;=Personnel!$E$2,Personnel!$G$2="Yes"),Personnel!$D$2*(1-Personnel!$H$2),0)+IF(AND(13&gt;=Personnel!$E$3,Personnel!$G$3="Yes"),Personnel!$D$3*(1-Personnel!$H$3),0)+IF(AND(13&gt;=Personnel!$E$4,Personnel!$G$4="Yes"),Personnel!$D$4*(1-Personnel!$H$4),0)+IF(AND(13&gt;=Personnel!$E$5,Personnel!$G$5="Yes"),Personnel!$D$5*(1-Personnel!$H$5),0)+IF(AND(13&gt;=Personnel!$E$6,Personnel!$G$6="Yes"),Personnel!$D$6*(1-Personnel!$H$6),0)+IF(AND(13&gt;=Personnel!$E$7,Personnel!$G$7="Yes"),Personnel!$D$7*(1-Personnel!$H$7),0)+IF(AND(13&gt;=Personnel!$E$8,Personnel!$G$8="Yes"),Personnel!$D$8*(1-Personnel!$H$8),0)+IF(AND(13&gt;=Personnel!$E$9,Personnel!$G$9="Yes"),Personnel!$D$9*(1-Personnel!$H$9),0)+IF(AND(13&gt;=Personnel!$E$10,Personnel!$G$10="Yes"),Personnel!$D$10*(1-Personnel!$H$10),0)+IF(AND(13&gt;=Personnel!$E$11,Personnel!$G$11="Yes"),Personnel!$D$11*(1-Personnel!$H$11),0)+IF(AND(13&gt;=Personnel!$E$12,Personnel!$G$12="Yes"),Personnel!$D$12*(1-Personnel!$H$12),0)+IF(AND(13&gt;=Personnel!$E$13,Personnel!$G$13="Yes"),Personnel!$D$13*(1-Personnel!$H$13),0)+IF(AND(13&gt;=Personnel!$E$14,Personnel!$G$14="Yes"),Personnel!$D$14*(1-Personnel!$H$14),0)+IF(AND(13&gt;=Personnel!$E$15,Personnel!$G$15="Yes"),Personnel!$D$15*(1-Personnel!$H$15),0)+IF(AND(13&gt;=Personnel!$E$16,Personnel!$G$16="Yes"),Personnel!$D$16*(1-Personnel!$H$16),0)+IF(AND(13&gt;=Personnel!$E$17,Personnel!$G$17="Yes"),Personnel!$D$17*(1-Personnel!$H$17),0)+IF(AND(13&gt;=Personnel!$E$18,Personnel!$G$18="Yes"),Personnel!$D$18*(1-Personnel!$H$18),0)+IF(AND(13&gt;=Personnel!$E$19,Personnel!$G$19="Yes"),Personnel!$D$19*(1-Personnel!$H$19),0)+IF(AND(13&gt;=Personnel!$E$20,Personnel!$G$20="Yes"),Personnel!$D$20*(1-Personnel!$H$20),0)+IF(AND(13&gt;=Personnel!$E$21,Personnel!$G$21="Yes"),Personnel!$D$21*(1-Personnel!$H$21),0)+IF(AND(13&gt;=Personnel!$E$22,Personnel!$G$22="Yes"),Personnel!$D$22*(1-Personnel!$H$22),0)+IF(AND(13&gt;=Personnel!$E$23,Personnel!$G$23="Yes"),Personnel!$D$23*(1-Personnel!$H$23),0)+IF(AND(13&gt;=Personnel!$E$24,Personnel!$G$24="Yes"),Personnel!$D$24*(1-Personnel!$H$24),0)+IF(AND(13&gt;=Personnel!$E$25,Personnel!$G$25="Yes"),Personnel!$D$25*(1-Personnel!$H$25),0)+IF(AND(13&gt;=Personnel!$E$26,Personnel!$G$26="Yes"),Personnel!$D$26*(1-Personnel!$H$26),0)+IF(AND(13&gt;=Personnel!$E$27,Personnel!$G$27="Yes"),Personnel!$D$27*(1-Personnel!$H$27),0)+IF(AND(13&gt;=Personnel!$E$28,Personnel!$G$28="Yes"),Personnel!$D$28*(1-Personnel!$H$28),0)+IF(AND(13&gt;=Personnel!$E$29,Personnel!$G$29="Yes"),Personnel!$D$29*(1-Personnel!$H$29),0)+IF(AND(13&gt;=Personnel!$E$30,Personnel!$G$30="Yes"),Personnel!$D$30*(1-Personnel!$H$30),0)+IF(AND(13&gt;=Personnel!$E$31,Personnel!$G$31="Yes"),Personnel!$D$31*(1-Personnel!$H$31),0)+IF(AND(13&gt;=Personnel!$E$32,Personnel!$G$32="Yes"),Personnel!$D$32*(1-Personnel!$H$32),0)+IF(AND(13&gt;=Personnel!$E$33,Personnel!$G$33="Yes"),Personnel!$D$33*(1-Personnel!$H$33),0)+IF(AND(13&gt;=Personnel!$E$36,Personnel!$G$36="Yes"),Personnel!$D$36*(1-Personnel!$H$36),0)+IF(AND(13&gt;=Personnel!$E$37,Personnel!$G$37="Yes"),Personnel!$D$37*(1-Personnel!$H$37),0)+IF(AND(13&gt;=Personnel!$E$38,Personnel!$G$38="Yes"),Personnel!$D$38*(1-Personnel!$H$38),0)+IF(AND(13&gt;=Personnel!$E$39,Personnel!$G$39="Yes"),Personnel!$D$39*(1-Personnel!$H$39),0)+IF(AND(13&gt;=Personnel!$E$40,Personnel!$G$40="Yes"),Personnel!$D$40*(1-Personnel!$H$40),0)+IF(AND(13&gt;=Personnel!$E$41,Personnel!$G$41="Yes"),Personnel!$D$41*(1-Personnel!$H$41),0)+IF(AND(13&gt;=Personnel!$E$42,Personnel!$G$42="Yes"),Personnel!$D$42*(1-Personnel!$H$42),0))*Escalation!$B$14</f>
        <v>350412.49999999988</v>
      </c>
      <c r="P4" s="231">
        <f>(IF(AND(14&gt;=Personnel!$E$2,Personnel!$G$2="Yes"),Personnel!$D$2*(1-Personnel!$H$2),0)+IF(AND(14&gt;=Personnel!$E$3,Personnel!$G$3="Yes"),Personnel!$D$3*(1-Personnel!$H$3),0)+IF(AND(14&gt;=Personnel!$E$4,Personnel!$G$4="Yes"),Personnel!$D$4*(1-Personnel!$H$4),0)+IF(AND(14&gt;=Personnel!$E$5,Personnel!$G$5="Yes"),Personnel!$D$5*(1-Personnel!$H$5),0)+IF(AND(14&gt;=Personnel!$E$6,Personnel!$G$6="Yes"),Personnel!$D$6*(1-Personnel!$H$6),0)+IF(AND(14&gt;=Personnel!$E$7,Personnel!$G$7="Yes"),Personnel!$D$7*(1-Personnel!$H$7),0)+IF(AND(14&gt;=Personnel!$E$8,Personnel!$G$8="Yes"),Personnel!$D$8*(1-Personnel!$H$8),0)+IF(AND(14&gt;=Personnel!$E$9,Personnel!$G$9="Yes"),Personnel!$D$9*(1-Personnel!$H$9),0)+IF(AND(14&gt;=Personnel!$E$10,Personnel!$G$10="Yes"),Personnel!$D$10*(1-Personnel!$H$10),0)+IF(AND(14&gt;=Personnel!$E$11,Personnel!$G$11="Yes"),Personnel!$D$11*(1-Personnel!$H$11),0)+IF(AND(14&gt;=Personnel!$E$12,Personnel!$G$12="Yes"),Personnel!$D$12*(1-Personnel!$H$12),0)+IF(AND(14&gt;=Personnel!$E$13,Personnel!$G$13="Yes"),Personnel!$D$13*(1-Personnel!$H$13),0)+IF(AND(14&gt;=Personnel!$E$14,Personnel!$G$14="Yes"),Personnel!$D$14*(1-Personnel!$H$14),0)+IF(AND(14&gt;=Personnel!$E$15,Personnel!$G$15="Yes"),Personnel!$D$15*(1-Personnel!$H$15),0)+IF(AND(14&gt;=Personnel!$E$16,Personnel!$G$16="Yes"),Personnel!$D$16*(1-Personnel!$H$16),0)+IF(AND(14&gt;=Personnel!$E$17,Personnel!$G$17="Yes"),Personnel!$D$17*(1-Personnel!$H$17),0)+IF(AND(14&gt;=Personnel!$E$18,Personnel!$G$18="Yes"),Personnel!$D$18*(1-Personnel!$H$18),0)+IF(AND(14&gt;=Personnel!$E$19,Personnel!$G$19="Yes"),Personnel!$D$19*(1-Personnel!$H$19),0)+IF(AND(14&gt;=Personnel!$E$20,Personnel!$G$20="Yes"),Personnel!$D$20*(1-Personnel!$H$20),0)+IF(AND(14&gt;=Personnel!$E$21,Personnel!$G$21="Yes"),Personnel!$D$21*(1-Personnel!$H$21),0)+IF(AND(14&gt;=Personnel!$E$22,Personnel!$G$22="Yes"),Personnel!$D$22*(1-Personnel!$H$22),0)+IF(AND(14&gt;=Personnel!$E$23,Personnel!$G$23="Yes"),Personnel!$D$23*(1-Personnel!$H$23),0)+IF(AND(14&gt;=Personnel!$E$24,Personnel!$G$24="Yes"),Personnel!$D$24*(1-Personnel!$H$24),0)+IF(AND(14&gt;=Personnel!$E$25,Personnel!$G$25="Yes"),Personnel!$D$25*(1-Personnel!$H$25),0)+IF(AND(14&gt;=Personnel!$E$26,Personnel!$G$26="Yes"),Personnel!$D$26*(1-Personnel!$H$26),0)+IF(AND(14&gt;=Personnel!$E$27,Personnel!$G$27="Yes"),Personnel!$D$27*(1-Personnel!$H$27),0)+IF(AND(14&gt;=Personnel!$E$28,Personnel!$G$28="Yes"),Personnel!$D$28*(1-Personnel!$H$28),0)+IF(AND(14&gt;=Personnel!$E$29,Personnel!$G$29="Yes"),Personnel!$D$29*(1-Personnel!$H$29),0)+IF(AND(14&gt;=Personnel!$E$30,Personnel!$G$30="Yes"),Personnel!$D$30*(1-Personnel!$H$30),0)+IF(AND(14&gt;=Personnel!$E$31,Personnel!$G$31="Yes"),Personnel!$D$31*(1-Personnel!$H$31),0)+IF(AND(14&gt;=Personnel!$E$32,Personnel!$G$32="Yes"),Personnel!$D$32*(1-Personnel!$H$32),0)+IF(AND(14&gt;=Personnel!$E$33,Personnel!$G$33="Yes"),Personnel!$D$33*(1-Personnel!$H$33),0)+IF(AND(14&gt;=Personnel!$E$36,Personnel!$G$36="Yes"),Personnel!$D$36*(1-Personnel!$H$36),0)+IF(AND(14&gt;=Personnel!$E$37,Personnel!$G$37="Yes"),Personnel!$D$37*(1-Personnel!$H$37),0)+IF(AND(14&gt;=Personnel!$E$38,Personnel!$G$38="Yes"),Personnel!$D$38*(1-Personnel!$H$38),0)+IF(AND(14&gt;=Personnel!$E$39,Personnel!$G$39="Yes"),Personnel!$D$39*(1-Personnel!$H$39),0)+IF(AND(14&gt;=Personnel!$E$40,Personnel!$G$40="Yes"),Personnel!$D$40*(1-Personnel!$H$40),0)+IF(AND(14&gt;=Personnel!$E$41,Personnel!$G$41="Yes"),Personnel!$D$41*(1-Personnel!$H$41),0)+IF(AND(14&gt;=Personnel!$E$42,Personnel!$G$42="Yes"),Personnel!$D$42*(1-Personnel!$H$42),0))*Escalation!$B$15</f>
        <v>350412.49999999988</v>
      </c>
      <c r="Q4" s="231">
        <f>(IF(AND(15&gt;=Personnel!$E$2,Personnel!$G$2="Yes"),Personnel!$D$2*(1-Personnel!$H$2),0)+IF(AND(15&gt;=Personnel!$E$3,Personnel!$G$3="Yes"),Personnel!$D$3*(1-Personnel!$H$3),0)+IF(AND(15&gt;=Personnel!$E$4,Personnel!$G$4="Yes"),Personnel!$D$4*(1-Personnel!$H$4),0)+IF(AND(15&gt;=Personnel!$E$5,Personnel!$G$5="Yes"),Personnel!$D$5*(1-Personnel!$H$5),0)+IF(AND(15&gt;=Personnel!$E$6,Personnel!$G$6="Yes"),Personnel!$D$6*(1-Personnel!$H$6),0)+IF(AND(15&gt;=Personnel!$E$7,Personnel!$G$7="Yes"),Personnel!$D$7*(1-Personnel!$H$7),0)+IF(AND(15&gt;=Personnel!$E$8,Personnel!$G$8="Yes"),Personnel!$D$8*(1-Personnel!$H$8),0)+IF(AND(15&gt;=Personnel!$E$9,Personnel!$G$9="Yes"),Personnel!$D$9*(1-Personnel!$H$9),0)+IF(AND(15&gt;=Personnel!$E$10,Personnel!$G$10="Yes"),Personnel!$D$10*(1-Personnel!$H$10),0)+IF(AND(15&gt;=Personnel!$E$11,Personnel!$G$11="Yes"),Personnel!$D$11*(1-Personnel!$H$11),0)+IF(AND(15&gt;=Personnel!$E$12,Personnel!$G$12="Yes"),Personnel!$D$12*(1-Personnel!$H$12),0)+IF(AND(15&gt;=Personnel!$E$13,Personnel!$G$13="Yes"),Personnel!$D$13*(1-Personnel!$H$13),0)+IF(AND(15&gt;=Personnel!$E$14,Personnel!$G$14="Yes"),Personnel!$D$14*(1-Personnel!$H$14),0)+IF(AND(15&gt;=Personnel!$E$15,Personnel!$G$15="Yes"),Personnel!$D$15*(1-Personnel!$H$15),0)+IF(AND(15&gt;=Personnel!$E$16,Personnel!$G$16="Yes"),Personnel!$D$16*(1-Personnel!$H$16),0)+IF(AND(15&gt;=Personnel!$E$17,Personnel!$G$17="Yes"),Personnel!$D$17*(1-Personnel!$H$17),0)+IF(AND(15&gt;=Personnel!$E$18,Personnel!$G$18="Yes"),Personnel!$D$18*(1-Personnel!$H$18),0)+IF(AND(15&gt;=Personnel!$E$19,Personnel!$G$19="Yes"),Personnel!$D$19*(1-Personnel!$H$19),0)+IF(AND(15&gt;=Personnel!$E$20,Personnel!$G$20="Yes"),Personnel!$D$20*(1-Personnel!$H$20),0)+IF(AND(15&gt;=Personnel!$E$21,Personnel!$G$21="Yes"),Personnel!$D$21*(1-Personnel!$H$21),0)+IF(AND(15&gt;=Personnel!$E$22,Personnel!$G$22="Yes"),Personnel!$D$22*(1-Personnel!$H$22),0)+IF(AND(15&gt;=Personnel!$E$23,Personnel!$G$23="Yes"),Personnel!$D$23*(1-Personnel!$H$23),0)+IF(AND(15&gt;=Personnel!$E$24,Personnel!$G$24="Yes"),Personnel!$D$24*(1-Personnel!$H$24),0)+IF(AND(15&gt;=Personnel!$E$25,Personnel!$G$25="Yes"),Personnel!$D$25*(1-Personnel!$H$25),0)+IF(AND(15&gt;=Personnel!$E$26,Personnel!$G$26="Yes"),Personnel!$D$26*(1-Personnel!$H$26),0)+IF(AND(15&gt;=Personnel!$E$27,Personnel!$G$27="Yes"),Personnel!$D$27*(1-Personnel!$H$27),0)+IF(AND(15&gt;=Personnel!$E$28,Personnel!$G$28="Yes"),Personnel!$D$28*(1-Personnel!$H$28),0)+IF(AND(15&gt;=Personnel!$E$29,Personnel!$G$29="Yes"),Personnel!$D$29*(1-Personnel!$H$29),0)+IF(AND(15&gt;=Personnel!$E$30,Personnel!$G$30="Yes"),Personnel!$D$30*(1-Personnel!$H$30),0)+IF(AND(15&gt;=Personnel!$E$31,Personnel!$G$31="Yes"),Personnel!$D$31*(1-Personnel!$H$31),0)+IF(AND(15&gt;=Personnel!$E$32,Personnel!$G$32="Yes"),Personnel!$D$32*(1-Personnel!$H$32),0)+IF(AND(15&gt;=Personnel!$E$33,Personnel!$G$33="Yes"),Personnel!$D$33*(1-Personnel!$H$33),0)+IF(AND(15&gt;=Personnel!$E$36,Personnel!$G$36="Yes"),Personnel!$D$36*(1-Personnel!$H$36),0)+IF(AND(15&gt;=Personnel!$E$37,Personnel!$G$37="Yes"),Personnel!$D$37*(1-Personnel!$H$37),0)+IF(AND(15&gt;=Personnel!$E$38,Personnel!$G$38="Yes"),Personnel!$D$38*(1-Personnel!$H$38),0)+IF(AND(15&gt;=Personnel!$E$39,Personnel!$G$39="Yes"),Personnel!$D$39*(1-Personnel!$H$39),0)+IF(AND(15&gt;=Personnel!$E$40,Personnel!$G$40="Yes"),Personnel!$D$40*(1-Personnel!$H$40),0)+IF(AND(15&gt;=Personnel!$E$41,Personnel!$G$41="Yes"),Personnel!$D$41*(1-Personnel!$H$41),0)+IF(AND(15&gt;=Personnel!$E$42,Personnel!$G$42="Yes"),Personnel!$D$42*(1-Personnel!$H$42),0))*Escalation!$B$16</f>
        <v>350412.49999999988</v>
      </c>
      <c r="R4" s="231">
        <f>(IF(AND(16&gt;=Personnel!$E$2,Personnel!$G$2="Yes"),Personnel!$D$2*(1-Personnel!$H$2),0)+IF(AND(16&gt;=Personnel!$E$3,Personnel!$G$3="Yes"),Personnel!$D$3*(1-Personnel!$H$3),0)+IF(AND(16&gt;=Personnel!$E$4,Personnel!$G$4="Yes"),Personnel!$D$4*(1-Personnel!$H$4),0)+IF(AND(16&gt;=Personnel!$E$5,Personnel!$G$5="Yes"),Personnel!$D$5*(1-Personnel!$H$5),0)+IF(AND(16&gt;=Personnel!$E$6,Personnel!$G$6="Yes"),Personnel!$D$6*(1-Personnel!$H$6),0)+IF(AND(16&gt;=Personnel!$E$7,Personnel!$G$7="Yes"),Personnel!$D$7*(1-Personnel!$H$7),0)+IF(AND(16&gt;=Personnel!$E$8,Personnel!$G$8="Yes"),Personnel!$D$8*(1-Personnel!$H$8),0)+IF(AND(16&gt;=Personnel!$E$9,Personnel!$G$9="Yes"),Personnel!$D$9*(1-Personnel!$H$9),0)+IF(AND(16&gt;=Personnel!$E$10,Personnel!$G$10="Yes"),Personnel!$D$10*(1-Personnel!$H$10),0)+IF(AND(16&gt;=Personnel!$E$11,Personnel!$G$11="Yes"),Personnel!$D$11*(1-Personnel!$H$11),0)+IF(AND(16&gt;=Personnel!$E$12,Personnel!$G$12="Yes"),Personnel!$D$12*(1-Personnel!$H$12),0)+IF(AND(16&gt;=Personnel!$E$13,Personnel!$G$13="Yes"),Personnel!$D$13*(1-Personnel!$H$13),0)+IF(AND(16&gt;=Personnel!$E$14,Personnel!$G$14="Yes"),Personnel!$D$14*(1-Personnel!$H$14),0)+IF(AND(16&gt;=Personnel!$E$15,Personnel!$G$15="Yes"),Personnel!$D$15*(1-Personnel!$H$15),0)+IF(AND(16&gt;=Personnel!$E$16,Personnel!$G$16="Yes"),Personnel!$D$16*(1-Personnel!$H$16),0)+IF(AND(16&gt;=Personnel!$E$17,Personnel!$G$17="Yes"),Personnel!$D$17*(1-Personnel!$H$17),0)+IF(AND(16&gt;=Personnel!$E$18,Personnel!$G$18="Yes"),Personnel!$D$18*(1-Personnel!$H$18),0)+IF(AND(16&gt;=Personnel!$E$19,Personnel!$G$19="Yes"),Personnel!$D$19*(1-Personnel!$H$19),0)+IF(AND(16&gt;=Personnel!$E$20,Personnel!$G$20="Yes"),Personnel!$D$20*(1-Personnel!$H$20),0)+IF(AND(16&gt;=Personnel!$E$21,Personnel!$G$21="Yes"),Personnel!$D$21*(1-Personnel!$H$21),0)+IF(AND(16&gt;=Personnel!$E$22,Personnel!$G$22="Yes"),Personnel!$D$22*(1-Personnel!$H$22),0)+IF(AND(16&gt;=Personnel!$E$23,Personnel!$G$23="Yes"),Personnel!$D$23*(1-Personnel!$H$23),0)+IF(AND(16&gt;=Personnel!$E$24,Personnel!$G$24="Yes"),Personnel!$D$24*(1-Personnel!$H$24),0)+IF(AND(16&gt;=Personnel!$E$25,Personnel!$G$25="Yes"),Personnel!$D$25*(1-Personnel!$H$25),0)+IF(AND(16&gt;=Personnel!$E$26,Personnel!$G$26="Yes"),Personnel!$D$26*(1-Personnel!$H$26),0)+IF(AND(16&gt;=Personnel!$E$27,Personnel!$G$27="Yes"),Personnel!$D$27*(1-Personnel!$H$27),0)+IF(AND(16&gt;=Personnel!$E$28,Personnel!$G$28="Yes"),Personnel!$D$28*(1-Personnel!$H$28),0)+IF(AND(16&gt;=Personnel!$E$29,Personnel!$G$29="Yes"),Personnel!$D$29*(1-Personnel!$H$29),0)+IF(AND(16&gt;=Personnel!$E$30,Personnel!$G$30="Yes"),Personnel!$D$30*(1-Personnel!$H$30),0)+IF(AND(16&gt;=Personnel!$E$31,Personnel!$G$31="Yes"),Personnel!$D$31*(1-Personnel!$H$31),0)+IF(AND(16&gt;=Personnel!$E$32,Personnel!$G$32="Yes"),Personnel!$D$32*(1-Personnel!$H$32),0)+IF(AND(16&gt;=Personnel!$E$33,Personnel!$G$33="Yes"),Personnel!$D$33*(1-Personnel!$H$33),0)+IF(AND(16&gt;=Personnel!$E$36,Personnel!$G$36="Yes"),Personnel!$D$36*(1-Personnel!$H$36),0)+IF(AND(16&gt;=Personnel!$E$37,Personnel!$G$37="Yes"),Personnel!$D$37*(1-Personnel!$H$37),0)+IF(AND(16&gt;=Personnel!$E$38,Personnel!$G$38="Yes"),Personnel!$D$38*(1-Personnel!$H$38),0)+IF(AND(16&gt;=Personnel!$E$39,Personnel!$G$39="Yes"),Personnel!$D$39*(1-Personnel!$H$39),0)+IF(AND(16&gt;=Personnel!$E$40,Personnel!$G$40="Yes"),Personnel!$D$40*(1-Personnel!$H$40),0)+IF(AND(16&gt;=Personnel!$E$41,Personnel!$G$41="Yes"),Personnel!$D$41*(1-Personnel!$H$41),0)+IF(AND(16&gt;=Personnel!$E$42,Personnel!$G$42="Yes"),Personnel!$D$42*(1-Personnel!$H$42),0))*Escalation!$B$17</f>
        <v>350412.49999999988</v>
      </c>
      <c r="S4" s="231">
        <f>(IF(AND(17&gt;=Personnel!$E$2,Personnel!$G$2="Yes"),Personnel!$D$2*(1-Personnel!$H$2),0)+IF(AND(17&gt;=Personnel!$E$3,Personnel!$G$3="Yes"),Personnel!$D$3*(1-Personnel!$H$3),0)+IF(AND(17&gt;=Personnel!$E$4,Personnel!$G$4="Yes"),Personnel!$D$4*(1-Personnel!$H$4),0)+IF(AND(17&gt;=Personnel!$E$5,Personnel!$G$5="Yes"),Personnel!$D$5*(1-Personnel!$H$5),0)+IF(AND(17&gt;=Personnel!$E$6,Personnel!$G$6="Yes"),Personnel!$D$6*(1-Personnel!$H$6),0)+IF(AND(17&gt;=Personnel!$E$7,Personnel!$G$7="Yes"),Personnel!$D$7*(1-Personnel!$H$7),0)+IF(AND(17&gt;=Personnel!$E$8,Personnel!$G$8="Yes"),Personnel!$D$8*(1-Personnel!$H$8),0)+IF(AND(17&gt;=Personnel!$E$9,Personnel!$G$9="Yes"),Personnel!$D$9*(1-Personnel!$H$9),0)+IF(AND(17&gt;=Personnel!$E$10,Personnel!$G$10="Yes"),Personnel!$D$10*(1-Personnel!$H$10),0)+IF(AND(17&gt;=Personnel!$E$11,Personnel!$G$11="Yes"),Personnel!$D$11*(1-Personnel!$H$11),0)+IF(AND(17&gt;=Personnel!$E$12,Personnel!$G$12="Yes"),Personnel!$D$12*(1-Personnel!$H$12),0)+IF(AND(17&gt;=Personnel!$E$13,Personnel!$G$13="Yes"),Personnel!$D$13*(1-Personnel!$H$13),0)+IF(AND(17&gt;=Personnel!$E$14,Personnel!$G$14="Yes"),Personnel!$D$14*(1-Personnel!$H$14),0)+IF(AND(17&gt;=Personnel!$E$15,Personnel!$G$15="Yes"),Personnel!$D$15*(1-Personnel!$H$15),0)+IF(AND(17&gt;=Personnel!$E$16,Personnel!$G$16="Yes"),Personnel!$D$16*(1-Personnel!$H$16),0)+IF(AND(17&gt;=Personnel!$E$17,Personnel!$G$17="Yes"),Personnel!$D$17*(1-Personnel!$H$17),0)+IF(AND(17&gt;=Personnel!$E$18,Personnel!$G$18="Yes"),Personnel!$D$18*(1-Personnel!$H$18),0)+IF(AND(17&gt;=Personnel!$E$19,Personnel!$G$19="Yes"),Personnel!$D$19*(1-Personnel!$H$19),0)+IF(AND(17&gt;=Personnel!$E$20,Personnel!$G$20="Yes"),Personnel!$D$20*(1-Personnel!$H$20),0)+IF(AND(17&gt;=Personnel!$E$21,Personnel!$G$21="Yes"),Personnel!$D$21*(1-Personnel!$H$21),0)+IF(AND(17&gt;=Personnel!$E$22,Personnel!$G$22="Yes"),Personnel!$D$22*(1-Personnel!$H$22),0)+IF(AND(17&gt;=Personnel!$E$23,Personnel!$G$23="Yes"),Personnel!$D$23*(1-Personnel!$H$23),0)+IF(AND(17&gt;=Personnel!$E$24,Personnel!$G$24="Yes"),Personnel!$D$24*(1-Personnel!$H$24),0)+IF(AND(17&gt;=Personnel!$E$25,Personnel!$G$25="Yes"),Personnel!$D$25*(1-Personnel!$H$25),0)+IF(AND(17&gt;=Personnel!$E$26,Personnel!$G$26="Yes"),Personnel!$D$26*(1-Personnel!$H$26),0)+IF(AND(17&gt;=Personnel!$E$27,Personnel!$G$27="Yes"),Personnel!$D$27*(1-Personnel!$H$27),0)+IF(AND(17&gt;=Personnel!$E$28,Personnel!$G$28="Yes"),Personnel!$D$28*(1-Personnel!$H$28),0)+IF(AND(17&gt;=Personnel!$E$29,Personnel!$G$29="Yes"),Personnel!$D$29*(1-Personnel!$H$29),0)+IF(AND(17&gt;=Personnel!$E$30,Personnel!$G$30="Yes"),Personnel!$D$30*(1-Personnel!$H$30),0)+IF(AND(17&gt;=Personnel!$E$31,Personnel!$G$31="Yes"),Personnel!$D$31*(1-Personnel!$H$31),0)+IF(AND(17&gt;=Personnel!$E$32,Personnel!$G$32="Yes"),Personnel!$D$32*(1-Personnel!$H$32),0)+IF(AND(17&gt;=Personnel!$E$33,Personnel!$G$33="Yes"),Personnel!$D$33*(1-Personnel!$H$33),0)+IF(AND(17&gt;=Personnel!$E$36,Personnel!$G$36="Yes"),Personnel!$D$36*(1-Personnel!$H$36),0)+IF(AND(17&gt;=Personnel!$E$37,Personnel!$G$37="Yes"),Personnel!$D$37*(1-Personnel!$H$37),0)+IF(AND(17&gt;=Personnel!$E$38,Personnel!$G$38="Yes"),Personnel!$D$38*(1-Personnel!$H$38),0)+IF(AND(17&gt;=Personnel!$E$39,Personnel!$G$39="Yes"),Personnel!$D$39*(1-Personnel!$H$39),0)+IF(AND(17&gt;=Personnel!$E$40,Personnel!$G$40="Yes"),Personnel!$D$40*(1-Personnel!$H$40),0)+IF(AND(17&gt;=Personnel!$E$41,Personnel!$G$41="Yes"),Personnel!$D$41*(1-Personnel!$H$41),0)+IF(AND(17&gt;=Personnel!$E$42,Personnel!$G$42="Yes"),Personnel!$D$42*(1-Personnel!$H$42),0))*Escalation!$B$18</f>
        <v>350412.49999999988</v>
      </c>
      <c r="T4" s="231">
        <f>(IF(AND(18&gt;=Personnel!$E$2,Personnel!$G$2="Yes"),Personnel!$D$2*(1-Personnel!$H$2),0)+IF(AND(18&gt;=Personnel!$E$3,Personnel!$G$3="Yes"),Personnel!$D$3*(1-Personnel!$H$3),0)+IF(AND(18&gt;=Personnel!$E$4,Personnel!$G$4="Yes"),Personnel!$D$4*(1-Personnel!$H$4),0)+IF(AND(18&gt;=Personnel!$E$5,Personnel!$G$5="Yes"),Personnel!$D$5*(1-Personnel!$H$5),0)+IF(AND(18&gt;=Personnel!$E$6,Personnel!$G$6="Yes"),Personnel!$D$6*(1-Personnel!$H$6),0)+IF(AND(18&gt;=Personnel!$E$7,Personnel!$G$7="Yes"),Personnel!$D$7*(1-Personnel!$H$7),0)+IF(AND(18&gt;=Personnel!$E$8,Personnel!$G$8="Yes"),Personnel!$D$8*(1-Personnel!$H$8),0)+IF(AND(18&gt;=Personnel!$E$9,Personnel!$G$9="Yes"),Personnel!$D$9*(1-Personnel!$H$9),0)+IF(AND(18&gt;=Personnel!$E$10,Personnel!$G$10="Yes"),Personnel!$D$10*(1-Personnel!$H$10),0)+IF(AND(18&gt;=Personnel!$E$11,Personnel!$G$11="Yes"),Personnel!$D$11*(1-Personnel!$H$11),0)+IF(AND(18&gt;=Personnel!$E$12,Personnel!$G$12="Yes"),Personnel!$D$12*(1-Personnel!$H$12),0)+IF(AND(18&gt;=Personnel!$E$13,Personnel!$G$13="Yes"),Personnel!$D$13*(1-Personnel!$H$13),0)+IF(AND(18&gt;=Personnel!$E$14,Personnel!$G$14="Yes"),Personnel!$D$14*(1-Personnel!$H$14),0)+IF(AND(18&gt;=Personnel!$E$15,Personnel!$G$15="Yes"),Personnel!$D$15*(1-Personnel!$H$15),0)+IF(AND(18&gt;=Personnel!$E$16,Personnel!$G$16="Yes"),Personnel!$D$16*(1-Personnel!$H$16),0)+IF(AND(18&gt;=Personnel!$E$17,Personnel!$G$17="Yes"),Personnel!$D$17*(1-Personnel!$H$17),0)+IF(AND(18&gt;=Personnel!$E$18,Personnel!$G$18="Yes"),Personnel!$D$18*(1-Personnel!$H$18),0)+IF(AND(18&gt;=Personnel!$E$19,Personnel!$G$19="Yes"),Personnel!$D$19*(1-Personnel!$H$19),0)+IF(AND(18&gt;=Personnel!$E$20,Personnel!$G$20="Yes"),Personnel!$D$20*(1-Personnel!$H$20),0)+IF(AND(18&gt;=Personnel!$E$21,Personnel!$G$21="Yes"),Personnel!$D$21*(1-Personnel!$H$21),0)+IF(AND(18&gt;=Personnel!$E$22,Personnel!$G$22="Yes"),Personnel!$D$22*(1-Personnel!$H$22),0)+IF(AND(18&gt;=Personnel!$E$23,Personnel!$G$23="Yes"),Personnel!$D$23*(1-Personnel!$H$23),0)+IF(AND(18&gt;=Personnel!$E$24,Personnel!$G$24="Yes"),Personnel!$D$24*(1-Personnel!$H$24),0)+IF(AND(18&gt;=Personnel!$E$25,Personnel!$G$25="Yes"),Personnel!$D$25*(1-Personnel!$H$25),0)+IF(AND(18&gt;=Personnel!$E$26,Personnel!$G$26="Yes"),Personnel!$D$26*(1-Personnel!$H$26),0)+IF(AND(18&gt;=Personnel!$E$27,Personnel!$G$27="Yes"),Personnel!$D$27*(1-Personnel!$H$27),0)+IF(AND(18&gt;=Personnel!$E$28,Personnel!$G$28="Yes"),Personnel!$D$28*(1-Personnel!$H$28),0)+IF(AND(18&gt;=Personnel!$E$29,Personnel!$G$29="Yes"),Personnel!$D$29*(1-Personnel!$H$29),0)+IF(AND(18&gt;=Personnel!$E$30,Personnel!$G$30="Yes"),Personnel!$D$30*(1-Personnel!$H$30),0)+IF(AND(18&gt;=Personnel!$E$31,Personnel!$G$31="Yes"),Personnel!$D$31*(1-Personnel!$H$31),0)+IF(AND(18&gt;=Personnel!$E$32,Personnel!$G$32="Yes"),Personnel!$D$32*(1-Personnel!$H$32),0)+IF(AND(18&gt;=Personnel!$E$33,Personnel!$G$33="Yes"),Personnel!$D$33*(1-Personnel!$H$33),0)+IF(AND(18&gt;=Personnel!$E$36,Personnel!$G$36="Yes"),Personnel!$D$36*(1-Personnel!$H$36),0)+IF(AND(18&gt;=Personnel!$E$37,Personnel!$G$37="Yes"),Personnel!$D$37*(1-Personnel!$H$37),0)+IF(AND(18&gt;=Personnel!$E$38,Personnel!$G$38="Yes"),Personnel!$D$38*(1-Personnel!$H$38),0)+IF(AND(18&gt;=Personnel!$E$39,Personnel!$G$39="Yes"),Personnel!$D$39*(1-Personnel!$H$39),0)+IF(AND(18&gt;=Personnel!$E$40,Personnel!$G$40="Yes"),Personnel!$D$40*(1-Personnel!$H$40),0)+IF(AND(18&gt;=Personnel!$E$41,Personnel!$G$41="Yes"),Personnel!$D$41*(1-Personnel!$H$41),0)+IF(AND(18&gt;=Personnel!$E$42,Personnel!$G$42="Yes"),Personnel!$D$42*(1-Personnel!$H$42),0))*Escalation!$B$19</f>
        <v>350412.49999999988</v>
      </c>
      <c r="U4" s="231">
        <f>(IF(AND(19&gt;=Personnel!$E$2,Personnel!$G$2="Yes"),Personnel!$D$2*(1-Personnel!$H$2),0)+IF(AND(19&gt;=Personnel!$E$3,Personnel!$G$3="Yes"),Personnel!$D$3*(1-Personnel!$H$3),0)+IF(AND(19&gt;=Personnel!$E$4,Personnel!$G$4="Yes"),Personnel!$D$4*(1-Personnel!$H$4),0)+IF(AND(19&gt;=Personnel!$E$5,Personnel!$G$5="Yes"),Personnel!$D$5*(1-Personnel!$H$5),0)+IF(AND(19&gt;=Personnel!$E$6,Personnel!$G$6="Yes"),Personnel!$D$6*(1-Personnel!$H$6),0)+IF(AND(19&gt;=Personnel!$E$7,Personnel!$G$7="Yes"),Personnel!$D$7*(1-Personnel!$H$7),0)+IF(AND(19&gt;=Personnel!$E$8,Personnel!$G$8="Yes"),Personnel!$D$8*(1-Personnel!$H$8),0)+IF(AND(19&gt;=Personnel!$E$9,Personnel!$G$9="Yes"),Personnel!$D$9*(1-Personnel!$H$9),0)+IF(AND(19&gt;=Personnel!$E$10,Personnel!$G$10="Yes"),Personnel!$D$10*(1-Personnel!$H$10),0)+IF(AND(19&gt;=Personnel!$E$11,Personnel!$G$11="Yes"),Personnel!$D$11*(1-Personnel!$H$11),0)+IF(AND(19&gt;=Personnel!$E$12,Personnel!$G$12="Yes"),Personnel!$D$12*(1-Personnel!$H$12),0)+IF(AND(19&gt;=Personnel!$E$13,Personnel!$G$13="Yes"),Personnel!$D$13*(1-Personnel!$H$13),0)+IF(AND(19&gt;=Personnel!$E$14,Personnel!$G$14="Yes"),Personnel!$D$14*(1-Personnel!$H$14),0)+IF(AND(19&gt;=Personnel!$E$15,Personnel!$G$15="Yes"),Personnel!$D$15*(1-Personnel!$H$15),0)+IF(AND(19&gt;=Personnel!$E$16,Personnel!$G$16="Yes"),Personnel!$D$16*(1-Personnel!$H$16),0)+IF(AND(19&gt;=Personnel!$E$17,Personnel!$G$17="Yes"),Personnel!$D$17*(1-Personnel!$H$17),0)+IF(AND(19&gt;=Personnel!$E$18,Personnel!$G$18="Yes"),Personnel!$D$18*(1-Personnel!$H$18),0)+IF(AND(19&gt;=Personnel!$E$19,Personnel!$G$19="Yes"),Personnel!$D$19*(1-Personnel!$H$19),0)+IF(AND(19&gt;=Personnel!$E$20,Personnel!$G$20="Yes"),Personnel!$D$20*(1-Personnel!$H$20),0)+IF(AND(19&gt;=Personnel!$E$21,Personnel!$G$21="Yes"),Personnel!$D$21*(1-Personnel!$H$21),0)+IF(AND(19&gt;=Personnel!$E$22,Personnel!$G$22="Yes"),Personnel!$D$22*(1-Personnel!$H$22),0)+IF(AND(19&gt;=Personnel!$E$23,Personnel!$G$23="Yes"),Personnel!$D$23*(1-Personnel!$H$23),0)+IF(AND(19&gt;=Personnel!$E$24,Personnel!$G$24="Yes"),Personnel!$D$24*(1-Personnel!$H$24),0)+IF(AND(19&gt;=Personnel!$E$25,Personnel!$G$25="Yes"),Personnel!$D$25*(1-Personnel!$H$25),0)+IF(AND(19&gt;=Personnel!$E$26,Personnel!$G$26="Yes"),Personnel!$D$26*(1-Personnel!$H$26),0)+IF(AND(19&gt;=Personnel!$E$27,Personnel!$G$27="Yes"),Personnel!$D$27*(1-Personnel!$H$27),0)+IF(AND(19&gt;=Personnel!$E$28,Personnel!$G$28="Yes"),Personnel!$D$28*(1-Personnel!$H$28),0)+IF(AND(19&gt;=Personnel!$E$29,Personnel!$G$29="Yes"),Personnel!$D$29*(1-Personnel!$H$29),0)+IF(AND(19&gt;=Personnel!$E$30,Personnel!$G$30="Yes"),Personnel!$D$30*(1-Personnel!$H$30),0)+IF(AND(19&gt;=Personnel!$E$31,Personnel!$G$31="Yes"),Personnel!$D$31*(1-Personnel!$H$31),0)+IF(AND(19&gt;=Personnel!$E$32,Personnel!$G$32="Yes"),Personnel!$D$32*(1-Personnel!$H$32),0)+IF(AND(19&gt;=Personnel!$E$33,Personnel!$G$33="Yes"),Personnel!$D$33*(1-Personnel!$H$33),0)+IF(AND(19&gt;=Personnel!$E$36,Personnel!$G$36="Yes"),Personnel!$D$36*(1-Personnel!$H$36),0)+IF(AND(19&gt;=Personnel!$E$37,Personnel!$G$37="Yes"),Personnel!$D$37*(1-Personnel!$H$37),0)+IF(AND(19&gt;=Personnel!$E$38,Personnel!$G$38="Yes"),Personnel!$D$38*(1-Personnel!$H$38),0)+IF(AND(19&gt;=Personnel!$E$39,Personnel!$G$39="Yes"),Personnel!$D$39*(1-Personnel!$H$39),0)+IF(AND(19&gt;=Personnel!$E$40,Personnel!$G$40="Yes"),Personnel!$D$40*(1-Personnel!$H$40),0)+IF(AND(19&gt;=Personnel!$E$41,Personnel!$G$41="Yes"),Personnel!$D$41*(1-Personnel!$H$41),0)+IF(AND(19&gt;=Personnel!$E$42,Personnel!$G$42="Yes"),Personnel!$D$42*(1-Personnel!$H$42),0))*Escalation!$B$20</f>
        <v>350412.49999999988</v>
      </c>
      <c r="V4" s="231">
        <f>(IF(AND(20&gt;=Personnel!$E$2,Personnel!$G$2="Yes"),Personnel!$D$2*(1-Personnel!$H$2),0)+IF(AND(20&gt;=Personnel!$E$3,Personnel!$G$3="Yes"),Personnel!$D$3*(1-Personnel!$H$3),0)+IF(AND(20&gt;=Personnel!$E$4,Personnel!$G$4="Yes"),Personnel!$D$4*(1-Personnel!$H$4),0)+IF(AND(20&gt;=Personnel!$E$5,Personnel!$G$5="Yes"),Personnel!$D$5*(1-Personnel!$H$5),0)+IF(AND(20&gt;=Personnel!$E$6,Personnel!$G$6="Yes"),Personnel!$D$6*(1-Personnel!$H$6),0)+IF(AND(20&gt;=Personnel!$E$7,Personnel!$G$7="Yes"),Personnel!$D$7*(1-Personnel!$H$7),0)+IF(AND(20&gt;=Personnel!$E$8,Personnel!$G$8="Yes"),Personnel!$D$8*(1-Personnel!$H$8),0)+IF(AND(20&gt;=Personnel!$E$9,Personnel!$G$9="Yes"),Personnel!$D$9*(1-Personnel!$H$9),0)+IF(AND(20&gt;=Personnel!$E$10,Personnel!$G$10="Yes"),Personnel!$D$10*(1-Personnel!$H$10),0)+IF(AND(20&gt;=Personnel!$E$11,Personnel!$G$11="Yes"),Personnel!$D$11*(1-Personnel!$H$11),0)+IF(AND(20&gt;=Personnel!$E$12,Personnel!$G$12="Yes"),Personnel!$D$12*(1-Personnel!$H$12),0)+IF(AND(20&gt;=Personnel!$E$13,Personnel!$G$13="Yes"),Personnel!$D$13*(1-Personnel!$H$13),0)+IF(AND(20&gt;=Personnel!$E$14,Personnel!$G$14="Yes"),Personnel!$D$14*(1-Personnel!$H$14),0)+IF(AND(20&gt;=Personnel!$E$15,Personnel!$G$15="Yes"),Personnel!$D$15*(1-Personnel!$H$15),0)+IF(AND(20&gt;=Personnel!$E$16,Personnel!$G$16="Yes"),Personnel!$D$16*(1-Personnel!$H$16),0)+IF(AND(20&gt;=Personnel!$E$17,Personnel!$G$17="Yes"),Personnel!$D$17*(1-Personnel!$H$17),0)+IF(AND(20&gt;=Personnel!$E$18,Personnel!$G$18="Yes"),Personnel!$D$18*(1-Personnel!$H$18),0)+IF(AND(20&gt;=Personnel!$E$19,Personnel!$G$19="Yes"),Personnel!$D$19*(1-Personnel!$H$19),0)+IF(AND(20&gt;=Personnel!$E$20,Personnel!$G$20="Yes"),Personnel!$D$20*(1-Personnel!$H$20),0)+IF(AND(20&gt;=Personnel!$E$21,Personnel!$G$21="Yes"),Personnel!$D$21*(1-Personnel!$H$21),0)+IF(AND(20&gt;=Personnel!$E$22,Personnel!$G$22="Yes"),Personnel!$D$22*(1-Personnel!$H$22),0)+IF(AND(20&gt;=Personnel!$E$23,Personnel!$G$23="Yes"),Personnel!$D$23*(1-Personnel!$H$23),0)+IF(AND(20&gt;=Personnel!$E$24,Personnel!$G$24="Yes"),Personnel!$D$24*(1-Personnel!$H$24),0)+IF(AND(20&gt;=Personnel!$E$25,Personnel!$G$25="Yes"),Personnel!$D$25*(1-Personnel!$H$25),0)+IF(AND(20&gt;=Personnel!$E$26,Personnel!$G$26="Yes"),Personnel!$D$26*(1-Personnel!$H$26),0)+IF(AND(20&gt;=Personnel!$E$27,Personnel!$G$27="Yes"),Personnel!$D$27*(1-Personnel!$H$27),0)+IF(AND(20&gt;=Personnel!$E$28,Personnel!$G$28="Yes"),Personnel!$D$28*(1-Personnel!$H$28),0)+IF(AND(20&gt;=Personnel!$E$29,Personnel!$G$29="Yes"),Personnel!$D$29*(1-Personnel!$H$29),0)+IF(AND(20&gt;=Personnel!$E$30,Personnel!$G$30="Yes"),Personnel!$D$30*(1-Personnel!$H$30),0)+IF(AND(20&gt;=Personnel!$E$31,Personnel!$G$31="Yes"),Personnel!$D$31*(1-Personnel!$H$31),0)+IF(AND(20&gt;=Personnel!$E$32,Personnel!$G$32="Yes"),Personnel!$D$32*(1-Personnel!$H$32),0)+IF(AND(20&gt;=Personnel!$E$33,Personnel!$G$33="Yes"),Personnel!$D$33*(1-Personnel!$H$33),0)+IF(AND(20&gt;=Personnel!$E$36,Personnel!$G$36="Yes"),Personnel!$D$36*(1-Personnel!$H$36),0)+IF(AND(20&gt;=Personnel!$E$37,Personnel!$G$37="Yes"),Personnel!$D$37*(1-Personnel!$H$37),0)+IF(AND(20&gt;=Personnel!$E$38,Personnel!$G$38="Yes"),Personnel!$D$38*(1-Personnel!$H$38),0)+IF(AND(20&gt;=Personnel!$E$39,Personnel!$G$39="Yes"),Personnel!$D$39*(1-Personnel!$H$39),0)+IF(AND(20&gt;=Personnel!$E$40,Personnel!$G$40="Yes"),Personnel!$D$40*(1-Personnel!$H$40),0)+IF(AND(20&gt;=Personnel!$E$41,Personnel!$G$41="Yes"),Personnel!$D$41*(1-Personnel!$H$41),0)+IF(AND(20&gt;=Personnel!$E$42,Personnel!$G$42="Yes"),Personnel!$D$42*(1-Personnel!$H$42),0))*Escalation!$B$21</f>
        <v>350412.49999999988</v>
      </c>
      <c r="W4" s="231">
        <f>(IF(AND(21&gt;=Personnel!$E$2,Personnel!$G$2="Yes"),Personnel!$D$2*(1-Personnel!$H$2),0)+IF(AND(21&gt;=Personnel!$E$3,Personnel!$G$3="Yes"),Personnel!$D$3*(1-Personnel!$H$3),0)+IF(AND(21&gt;=Personnel!$E$4,Personnel!$G$4="Yes"),Personnel!$D$4*(1-Personnel!$H$4),0)+IF(AND(21&gt;=Personnel!$E$5,Personnel!$G$5="Yes"),Personnel!$D$5*(1-Personnel!$H$5),0)+IF(AND(21&gt;=Personnel!$E$6,Personnel!$G$6="Yes"),Personnel!$D$6*(1-Personnel!$H$6),0)+IF(AND(21&gt;=Personnel!$E$7,Personnel!$G$7="Yes"),Personnel!$D$7*(1-Personnel!$H$7),0)+IF(AND(21&gt;=Personnel!$E$8,Personnel!$G$8="Yes"),Personnel!$D$8*(1-Personnel!$H$8),0)+IF(AND(21&gt;=Personnel!$E$9,Personnel!$G$9="Yes"),Personnel!$D$9*(1-Personnel!$H$9),0)+IF(AND(21&gt;=Personnel!$E$10,Personnel!$G$10="Yes"),Personnel!$D$10*(1-Personnel!$H$10),0)+IF(AND(21&gt;=Personnel!$E$11,Personnel!$G$11="Yes"),Personnel!$D$11*(1-Personnel!$H$11),0)+IF(AND(21&gt;=Personnel!$E$12,Personnel!$G$12="Yes"),Personnel!$D$12*(1-Personnel!$H$12),0)+IF(AND(21&gt;=Personnel!$E$13,Personnel!$G$13="Yes"),Personnel!$D$13*(1-Personnel!$H$13),0)+IF(AND(21&gt;=Personnel!$E$14,Personnel!$G$14="Yes"),Personnel!$D$14*(1-Personnel!$H$14),0)+IF(AND(21&gt;=Personnel!$E$15,Personnel!$G$15="Yes"),Personnel!$D$15*(1-Personnel!$H$15),0)+IF(AND(21&gt;=Personnel!$E$16,Personnel!$G$16="Yes"),Personnel!$D$16*(1-Personnel!$H$16),0)+IF(AND(21&gt;=Personnel!$E$17,Personnel!$G$17="Yes"),Personnel!$D$17*(1-Personnel!$H$17),0)+IF(AND(21&gt;=Personnel!$E$18,Personnel!$G$18="Yes"),Personnel!$D$18*(1-Personnel!$H$18),0)+IF(AND(21&gt;=Personnel!$E$19,Personnel!$G$19="Yes"),Personnel!$D$19*(1-Personnel!$H$19),0)+IF(AND(21&gt;=Personnel!$E$20,Personnel!$G$20="Yes"),Personnel!$D$20*(1-Personnel!$H$20),0)+IF(AND(21&gt;=Personnel!$E$21,Personnel!$G$21="Yes"),Personnel!$D$21*(1-Personnel!$H$21),0)+IF(AND(21&gt;=Personnel!$E$22,Personnel!$G$22="Yes"),Personnel!$D$22*(1-Personnel!$H$22),0)+IF(AND(21&gt;=Personnel!$E$23,Personnel!$G$23="Yes"),Personnel!$D$23*(1-Personnel!$H$23),0)+IF(AND(21&gt;=Personnel!$E$24,Personnel!$G$24="Yes"),Personnel!$D$24*(1-Personnel!$H$24),0)+IF(AND(21&gt;=Personnel!$E$25,Personnel!$G$25="Yes"),Personnel!$D$25*(1-Personnel!$H$25),0)+IF(AND(21&gt;=Personnel!$E$26,Personnel!$G$26="Yes"),Personnel!$D$26*(1-Personnel!$H$26),0)+IF(AND(21&gt;=Personnel!$E$27,Personnel!$G$27="Yes"),Personnel!$D$27*(1-Personnel!$H$27),0)+IF(AND(21&gt;=Personnel!$E$28,Personnel!$G$28="Yes"),Personnel!$D$28*(1-Personnel!$H$28),0)+IF(AND(21&gt;=Personnel!$E$29,Personnel!$G$29="Yes"),Personnel!$D$29*(1-Personnel!$H$29),0)+IF(AND(21&gt;=Personnel!$E$30,Personnel!$G$30="Yes"),Personnel!$D$30*(1-Personnel!$H$30),0)+IF(AND(21&gt;=Personnel!$E$31,Personnel!$G$31="Yes"),Personnel!$D$31*(1-Personnel!$H$31),0)+IF(AND(21&gt;=Personnel!$E$32,Personnel!$G$32="Yes"),Personnel!$D$32*(1-Personnel!$H$32),0)+IF(AND(21&gt;=Personnel!$E$33,Personnel!$G$33="Yes"),Personnel!$D$33*(1-Personnel!$H$33),0)+IF(AND(21&gt;=Personnel!$E$36,Personnel!$G$36="Yes"),Personnel!$D$36*(1-Personnel!$H$36),0)+IF(AND(21&gt;=Personnel!$E$37,Personnel!$G$37="Yes"),Personnel!$D$37*(1-Personnel!$H$37),0)+IF(AND(21&gt;=Personnel!$E$38,Personnel!$G$38="Yes"),Personnel!$D$38*(1-Personnel!$H$38),0)+IF(AND(21&gt;=Personnel!$E$39,Personnel!$G$39="Yes"),Personnel!$D$39*(1-Personnel!$H$39),0)+IF(AND(21&gt;=Personnel!$E$40,Personnel!$G$40="Yes"),Personnel!$D$40*(1-Personnel!$H$40),0)+IF(AND(21&gt;=Personnel!$E$41,Personnel!$G$41="Yes"),Personnel!$D$41*(1-Personnel!$H$41),0)+IF(AND(21&gt;=Personnel!$E$42,Personnel!$G$42="Yes"),Personnel!$D$42*(1-Personnel!$H$42),0))*Escalation!$B$22</f>
        <v>350412.49999999988</v>
      </c>
      <c r="X4" s="231">
        <f>(IF(AND(22&gt;=Personnel!$E$2,Personnel!$G$2="Yes"),Personnel!$D$2*(1-Personnel!$H$2),0)+IF(AND(22&gt;=Personnel!$E$3,Personnel!$G$3="Yes"),Personnel!$D$3*(1-Personnel!$H$3),0)+IF(AND(22&gt;=Personnel!$E$4,Personnel!$G$4="Yes"),Personnel!$D$4*(1-Personnel!$H$4),0)+IF(AND(22&gt;=Personnel!$E$5,Personnel!$G$5="Yes"),Personnel!$D$5*(1-Personnel!$H$5),0)+IF(AND(22&gt;=Personnel!$E$6,Personnel!$G$6="Yes"),Personnel!$D$6*(1-Personnel!$H$6),0)+IF(AND(22&gt;=Personnel!$E$7,Personnel!$G$7="Yes"),Personnel!$D$7*(1-Personnel!$H$7),0)+IF(AND(22&gt;=Personnel!$E$8,Personnel!$G$8="Yes"),Personnel!$D$8*(1-Personnel!$H$8),0)+IF(AND(22&gt;=Personnel!$E$9,Personnel!$G$9="Yes"),Personnel!$D$9*(1-Personnel!$H$9),0)+IF(AND(22&gt;=Personnel!$E$10,Personnel!$G$10="Yes"),Personnel!$D$10*(1-Personnel!$H$10),0)+IF(AND(22&gt;=Personnel!$E$11,Personnel!$G$11="Yes"),Personnel!$D$11*(1-Personnel!$H$11),0)+IF(AND(22&gt;=Personnel!$E$12,Personnel!$G$12="Yes"),Personnel!$D$12*(1-Personnel!$H$12),0)+IF(AND(22&gt;=Personnel!$E$13,Personnel!$G$13="Yes"),Personnel!$D$13*(1-Personnel!$H$13),0)+IF(AND(22&gt;=Personnel!$E$14,Personnel!$G$14="Yes"),Personnel!$D$14*(1-Personnel!$H$14),0)+IF(AND(22&gt;=Personnel!$E$15,Personnel!$G$15="Yes"),Personnel!$D$15*(1-Personnel!$H$15),0)+IF(AND(22&gt;=Personnel!$E$16,Personnel!$G$16="Yes"),Personnel!$D$16*(1-Personnel!$H$16),0)+IF(AND(22&gt;=Personnel!$E$17,Personnel!$G$17="Yes"),Personnel!$D$17*(1-Personnel!$H$17),0)+IF(AND(22&gt;=Personnel!$E$18,Personnel!$G$18="Yes"),Personnel!$D$18*(1-Personnel!$H$18),0)+IF(AND(22&gt;=Personnel!$E$19,Personnel!$G$19="Yes"),Personnel!$D$19*(1-Personnel!$H$19),0)+IF(AND(22&gt;=Personnel!$E$20,Personnel!$G$20="Yes"),Personnel!$D$20*(1-Personnel!$H$20),0)+IF(AND(22&gt;=Personnel!$E$21,Personnel!$G$21="Yes"),Personnel!$D$21*(1-Personnel!$H$21),0)+IF(AND(22&gt;=Personnel!$E$22,Personnel!$G$22="Yes"),Personnel!$D$22*(1-Personnel!$H$22),0)+IF(AND(22&gt;=Personnel!$E$23,Personnel!$G$23="Yes"),Personnel!$D$23*(1-Personnel!$H$23),0)+IF(AND(22&gt;=Personnel!$E$24,Personnel!$G$24="Yes"),Personnel!$D$24*(1-Personnel!$H$24),0)+IF(AND(22&gt;=Personnel!$E$25,Personnel!$G$25="Yes"),Personnel!$D$25*(1-Personnel!$H$25),0)+IF(AND(22&gt;=Personnel!$E$26,Personnel!$G$26="Yes"),Personnel!$D$26*(1-Personnel!$H$26),0)+IF(AND(22&gt;=Personnel!$E$27,Personnel!$G$27="Yes"),Personnel!$D$27*(1-Personnel!$H$27),0)+IF(AND(22&gt;=Personnel!$E$28,Personnel!$G$28="Yes"),Personnel!$D$28*(1-Personnel!$H$28),0)+IF(AND(22&gt;=Personnel!$E$29,Personnel!$G$29="Yes"),Personnel!$D$29*(1-Personnel!$H$29),0)+IF(AND(22&gt;=Personnel!$E$30,Personnel!$G$30="Yes"),Personnel!$D$30*(1-Personnel!$H$30),0)+IF(AND(22&gt;=Personnel!$E$31,Personnel!$G$31="Yes"),Personnel!$D$31*(1-Personnel!$H$31),0)+IF(AND(22&gt;=Personnel!$E$32,Personnel!$G$32="Yes"),Personnel!$D$32*(1-Personnel!$H$32),0)+IF(AND(22&gt;=Personnel!$E$33,Personnel!$G$33="Yes"),Personnel!$D$33*(1-Personnel!$H$33),0)+IF(AND(22&gt;=Personnel!$E$36,Personnel!$G$36="Yes"),Personnel!$D$36*(1-Personnel!$H$36),0)+IF(AND(22&gt;=Personnel!$E$37,Personnel!$G$37="Yes"),Personnel!$D$37*(1-Personnel!$H$37),0)+IF(AND(22&gt;=Personnel!$E$38,Personnel!$G$38="Yes"),Personnel!$D$38*(1-Personnel!$H$38),0)+IF(AND(22&gt;=Personnel!$E$39,Personnel!$G$39="Yes"),Personnel!$D$39*(1-Personnel!$H$39),0)+IF(AND(22&gt;=Personnel!$E$40,Personnel!$G$40="Yes"),Personnel!$D$40*(1-Personnel!$H$40),0)+IF(AND(22&gt;=Personnel!$E$41,Personnel!$G$41="Yes"),Personnel!$D$41*(1-Personnel!$H$41),0)+IF(AND(22&gt;=Personnel!$E$42,Personnel!$G$42="Yes"),Personnel!$D$42*(1-Personnel!$H$42),0))*Escalation!$B$23</f>
        <v>350412.49999999988</v>
      </c>
      <c r="Y4" s="231">
        <f>(IF(AND(23&gt;=Personnel!$E$2,Personnel!$G$2="Yes"),Personnel!$D$2*(1-Personnel!$H$2),0)+IF(AND(23&gt;=Personnel!$E$3,Personnel!$G$3="Yes"),Personnel!$D$3*(1-Personnel!$H$3),0)+IF(AND(23&gt;=Personnel!$E$4,Personnel!$G$4="Yes"),Personnel!$D$4*(1-Personnel!$H$4),0)+IF(AND(23&gt;=Personnel!$E$5,Personnel!$G$5="Yes"),Personnel!$D$5*(1-Personnel!$H$5),0)+IF(AND(23&gt;=Personnel!$E$6,Personnel!$G$6="Yes"),Personnel!$D$6*(1-Personnel!$H$6),0)+IF(AND(23&gt;=Personnel!$E$7,Personnel!$G$7="Yes"),Personnel!$D$7*(1-Personnel!$H$7),0)+IF(AND(23&gt;=Personnel!$E$8,Personnel!$G$8="Yes"),Personnel!$D$8*(1-Personnel!$H$8),0)+IF(AND(23&gt;=Personnel!$E$9,Personnel!$G$9="Yes"),Personnel!$D$9*(1-Personnel!$H$9),0)+IF(AND(23&gt;=Personnel!$E$10,Personnel!$G$10="Yes"),Personnel!$D$10*(1-Personnel!$H$10),0)+IF(AND(23&gt;=Personnel!$E$11,Personnel!$G$11="Yes"),Personnel!$D$11*(1-Personnel!$H$11),0)+IF(AND(23&gt;=Personnel!$E$12,Personnel!$G$12="Yes"),Personnel!$D$12*(1-Personnel!$H$12),0)+IF(AND(23&gt;=Personnel!$E$13,Personnel!$G$13="Yes"),Personnel!$D$13*(1-Personnel!$H$13),0)+IF(AND(23&gt;=Personnel!$E$14,Personnel!$G$14="Yes"),Personnel!$D$14*(1-Personnel!$H$14),0)+IF(AND(23&gt;=Personnel!$E$15,Personnel!$G$15="Yes"),Personnel!$D$15*(1-Personnel!$H$15),0)+IF(AND(23&gt;=Personnel!$E$16,Personnel!$G$16="Yes"),Personnel!$D$16*(1-Personnel!$H$16),0)+IF(AND(23&gt;=Personnel!$E$17,Personnel!$G$17="Yes"),Personnel!$D$17*(1-Personnel!$H$17),0)+IF(AND(23&gt;=Personnel!$E$18,Personnel!$G$18="Yes"),Personnel!$D$18*(1-Personnel!$H$18),0)+IF(AND(23&gt;=Personnel!$E$19,Personnel!$G$19="Yes"),Personnel!$D$19*(1-Personnel!$H$19),0)+IF(AND(23&gt;=Personnel!$E$20,Personnel!$G$20="Yes"),Personnel!$D$20*(1-Personnel!$H$20),0)+IF(AND(23&gt;=Personnel!$E$21,Personnel!$G$21="Yes"),Personnel!$D$21*(1-Personnel!$H$21),0)+IF(AND(23&gt;=Personnel!$E$22,Personnel!$G$22="Yes"),Personnel!$D$22*(1-Personnel!$H$22),0)+IF(AND(23&gt;=Personnel!$E$23,Personnel!$G$23="Yes"),Personnel!$D$23*(1-Personnel!$H$23),0)+IF(AND(23&gt;=Personnel!$E$24,Personnel!$G$24="Yes"),Personnel!$D$24*(1-Personnel!$H$24),0)+IF(AND(23&gt;=Personnel!$E$25,Personnel!$G$25="Yes"),Personnel!$D$25*(1-Personnel!$H$25),0)+IF(AND(23&gt;=Personnel!$E$26,Personnel!$G$26="Yes"),Personnel!$D$26*(1-Personnel!$H$26),0)+IF(AND(23&gt;=Personnel!$E$27,Personnel!$G$27="Yes"),Personnel!$D$27*(1-Personnel!$H$27),0)+IF(AND(23&gt;=Personnel!$E$28,Personnel!$G$28="Yes"),Personnel!$D$28*(1-Personnel!$H$28),0)+IF(AND(23&gt;=Personnel!$E$29,Personnel!$G$29="Yes"),Personnel!$D$29*(1-Personnel!$H$29),0)+IF(AND(23&gt;=Personnel!$E$30,Personnel!$G$30="Yes"),Personnel!$D$30*(1-Personnel!$H$30),0)+IF(AND(23&gt;=Personnel!$E$31,Personnel!$G$31="Yes"),Personnel!$D$31*(1-Personnel!$H$31),0)+IF(AND(23&gt;=Personnel!$E$32,Personnel!$G$32="Yes"),Personnel!$D$32*(1-Personnel!$H$32),0)+IF(AND(23&gt;=Personnel!$E$33,Personnel!$G$33="Yes"),Personnel!$D$33*(1-Personnel!$H$33),0)+IF(AND(23&gt;=Personnel!$E$36,Personnel!$G$36="Yes"),Personnel!$D$36*(1-Personnel!$H$36),0)+IF(AND(23&gt;=Personnel!$E$37,Personnel!$G$37="Yes"),Personnel!$D$37*(1-Personnel!$H$37),0)+IF(AND(23&gt;=Personnel!$E$38,Personnel!$G$38="Yes"),Personnel!$D$38*(1-Personnel!$H$38),0)+IF(AND(23&gt;=Personnel!$E$39,Personnel!$G$39="Yes"),Personnel!$D$39*(1-Personnel!$H$39),0)+IF(AND(23&gt;=Personnel!$E$40,Personnel!$G$40="Yes"),Personnel!$D$40*(1-Personnel!$H$40),0)+IF(AND(23&gt;=Personnel!$E$41,Personnel!$G$41="Yes"),Personnel!$D$41*(1-Personnel!$H$41),0)+IF(AND(23&gt;=Personnel!$E$42,Personnel!$G$42="Yes"),Personnel!$D$42*(1-Personnel!$H$42),0))*Escalation!$B$24</f>
        <v>350412.49999999988</v>
      </c>
      <c r="Z4" s="231">
        <f>(IF(AND(24&gt;=Personnel!$E$2,Personnel!$G$2="Yes"),Personnel!$D$2*(1-Personnel!$H$2),0)+IF(AND(24&gt;=Personnel!$E$3,Personnel!$G$3="Yes"),Personnel!$D$3*(1-Personnel!$H$3),0)+IF(AND(24&gt;=Personnel!$E$4,Personnel!$G$4="Yes"),Personnel!$D$4*(1-Personnel!$H$4),0)+IF(AND(24&gt;=Personnel!$E$5,Personnel!$G$5="Yes"),Personnel!$D$5*(1-Personnel!$H$5),0)+IF(AND(24&gt;=Personnel!$E$6,Personnel!$G$6="Yes"),Personnel!$D$6*(1-Personnel!$H$6),0)+IF(AND(24&gt;=Personnel!$E$7,Personnel!$G$7="Yes"),Personnel!$D$7*(1-Personnel!$H$7),0)+IF(AND(24&gt;=Personnel!$E$8,Personnel!$G$8="Yes"),Personnel!$D$8*(1-Personnel!$H$8),0)+IF(AND(24&gt;=Personnel!$E$9,Personnel!$G$9="Yes"),Personnel!$D$9*(1-Personnel!$H$9),0)+IF(AND(24&gt;=Personnel!$E$10,Personnel!$G$10="Yes"),Personnel!$D$10*(1-Personnel!$H$10),0)+IF(AND(24&gt;=Personnel!$E$11,Personnel!$G$11="Yes"),Personnel!$D$11*(1-Personnel!$H$11),0)+IF(AND(24&gt;=Personnel!$E$12,Personnel!$G$12="Yes"),Personnel!$D$12*(1-Personnel!$H$12),0)+IF(AND(24&gt;=Personnel!$E$13,Personnel!$G$13="Yes"),Personnel!$D$13*(1-Personnel!$H$13),0)+IF(AND(24&gt;=Personnel!$E$14,Personnel!$G$14="Yes"),Personnel!$D$14*(1-Personnel!$H$14),0)+IF(AND(24&gt;=Personnel!$E$15,Personnel!$G$15="Yes"),Personnel!$D$15*(1-Personnel!$H$15),0)+IF(AND(24&gt;=Personnel!$E$16,Personnel!$G$16="Yes"),Personnel!$D$16*(1-Personnel!$H$16),0)+IF(AND(24&gt;=Personnel!$E$17,Personnel!$G$17="Yes"),Personnel!$D$17*(1-Personnel!$H$17),0)+IF(AND(24&gt;=Personnel!$E$18,Personnel!$G$18="Yes"),Personnel!$D$18*(1-Personnel!$H$18),0)+IF(AND(24&gt;=Personnel!$E$19,Personnel!$G$19="Yes"),Personnel!$D$19*(1-Personnel!$H$19),0)+IF(AND(24&gt;=Personnel!$E$20,Personnel!$G$20="Yes"),Personnel!$D$20*(1-Personnel!$H$20),0)+IF(AND(24&gt;=Personnel!$E$21,Personnel!$G$21="Yes"),Personnel!$D$21*(1-Personnel!$H$21),0)+IF(AND(24&gt;=Personnel!$E$22,Personnel!$G$22="Yes"),Personnel!$D$22*(1-Personnel!$H$22),0)+IF(AND(24&gt;=Personnel!$E$23,Personnel!$G$23="Yes"),Personnel!$D$23*(1-Personnel!$H$23),0)+IF(AND(24&gt;=Personnel!$E$24,Personnel!$G$24="Yes"),Personnel!$D$24*(1-Personnel!$H$24),0)+IF(AND(24&gt;=Personnel!$E$25,Personnel!$G$25="Yes"),Personnel!$D$25*(1-Personnel!$H$25),0)+IF(AND(24&gt;=Personnel!$E$26,Personnel!$G$26="Yes"),Personnel!$D$26*(1-Personnel!$H$26),0)+IF(AND(24&gt;=Personnel!$E$27,Personnel!$G$27="Yes"),Personnel!$D$27*(1-Personnel!$H$27),0)+IF(AND(24&gt;=Personnel!$E$28,Personnel!$G$28="Yes"),Personnel!$D$28*(1-Personnel!$H$28),0)+IF(AND(24&gt;=Personnel!$E$29,Personnel!$G$29="Yes"),Personnel!$D$29*(1-Personnel!$H$29),0)+IF(AND(24&gt;=Personnel!$E$30,Personnel!$G$30="Yes"),Personnel!$D$30*(1-Personnel!$H$30),0)+IF(AND(24&gt;=Personnel!$E$31,Personnel!$G$31="Yes"),Personnel!$D$31*(1-Personnel!$H$31),0)+IF(AND(24&gt;=Personnel!$E$32,Personnel!$G$32="Yes"),Personnel!$D$32*(1-Personnel!$H$32),0)+IF(AND(24&gt;=Personnel!$E$33,Personnel!$G$33="Yes"),Personnel!$D$33*(1-Personnel!$H$33),0)+IF(AND(24&gt;=Personnel!$E$36,Personnel!$G$36="Yes"),Personnel!$D$36*(1-Personnel!$H$36),0)+IF(AND(24&gt;=Personnel!$E$37,Personnel!$G$37="Yes"),Personnel!$D$37*(1-Personnel!$H$37),0)+IF(AND(24&gt;=Personnel!$E$38,Personnel!$G$38="Yes"),Personnel!$D$38*(1-Personnel!$H$38),0)+IF(AND(24&gt;=Personnel!$E$39,Personnel!$G$39="Yes"),Personnel!$D$39*(1-Personnel!$H$39),0)+IF(AND(24&gt;=Personnel!$E$40,Personnel!$G$40="Yes"),Personnel!$D$40*(1-Personnel!$H$40),0)+IF(AND(24&gt;=Personnel!$E$41,Personnel!$G$41="Yes"),Personnel!$D$41*(1-Personnel!$H$41),0)+IF(AND(24&gt;=Personnel!$E$42,Personnel!$G$42="Yes"),Personnel!$D$42*(1-Personnel!$H$42),0))*Escalation!$B$25</f>
        <v>350412.49999999988</v>
      </c>
      <c r="AA4" s="231">
        <f>(IF(AND(25&gt;=Personnel!$E$2,Personnel!$G$2="Yes"),Personnel!$D$2*(1-Personnel!$H$2),0)+IF(AND(25&gt;=Personnel!$E$3,Personnel!$G$3="Yes"),Personnel!$D$3*(1-Personnel!$H$3),0)+IF(AND(25&gt;=Personnel!$E$4,Personnel!$G$4="Yes"),Personnel!$D$4*(1-Personnel!$H$4),0)+IF(AND(25&gt;=Personnel!$E$5,Personnel!$G$5="Yes"),Personnel!$D$5*(1-Personnel!$H$5),0)+IF(AND(25&gt;=Personnel!$E$6,Personnel!$G$6="Yes"),Personnel!$D$6*(1-Personnel!$H$6),0)+IF(AND(25&gt;=Personnel!$E$7,Personnel!$G$7="Yes"),Personnel!$D$7*(1-Personnel!$H$7),0)+IF(AND(25&gt;=Personnel!$E$8,Personnel!$G$8="Yes"),Personnel!$D$8*(1-Personnel!$H$8),0)+IF(AND(25&gt;=Personnel!$E$9,Personnel!$G$9="Yes"),Personnel!$D$9*(1-Personnel!$H$9),0)+IF(AND(25&gt;=Personnel!$E$10,Personnel!$G$10="Yes"),Personnel!$D$10*(1-Personnel!$H$10),0)+IF(AND(25&gt;=Personnel!$E$11,Personnel!$G$11="Yes"),Personnel!$D$11*(1-Personnel!$H$11),0)+IF(AND(25&gt;=Personnel!$E$12,Personnel!$G$12="Yes"),Personnel!$D$12*(1-Personnel!$H$12),0)+IF(AND(25&gt;=Personnel!$E$13,Personnel!$G$13="Yes"),Personnel!$D$13*(1-Personnel!$H$13),0)+IF(AND(25&gt;=Personnel!$E$14,Personnel!$G$14="Yes"),Personnel!$D$14*(1-Personnel!$H$14),0)+IF(AND(25&gt;=Personnel!$E$15,Personnel!$G$15="Yes"),Personnel!$D$15*(1-Personnel!$H$15),0)+IF(AND(25&gt;=Personnel!$E$16,Personnel!$G$16="Yes"),Personnel!$D$16*(1-Personnel!$H$16),0)+IF(AND(25&gt;=Personnel!$E$17,Personnel!$G$17="Yes"),Personnel!$D$17*(1-Personnel!$H$17),0)+IF(AND(25&gt;=Personnel!$E$18,Personnel!$G$18="Yes"),Personnel!$D$18*(1-Personnel!$H$18),0)+IF(AND(25&gt;=Personnel!$E$19,Personnel!$G$19="Yes"),Personnel!$D$19*(1-Personnel!$H$19),0)+IF(AND(25&gt;=Personnel!$E$20,Personnel!$G$20="Yes"),Personnel!$D$20*(1-Personnel!$H$20),0)+IF(AND(25&gt;=Personnel!$E$21,Personnel!$G$21="Yes"),Personnel!$D$21*(1-Personnel!$H$21),0)+IF(AND(25&gt;=Personnel!$E$22,Personnel!$G$22="Yes"),Personnel!$D$22*(1-Personnel!$H$22),0)+IF(AND(25&gt;=Personnel!$E$23,Personnel!$G$23="Yes"),Personnel!$D$23*(1-Personnel!$H$23),0)+IF(AND(25&gt;=Personnel!$E$24,Personnel!$G$24="Yes"),Personnel!$D$24*(1-Personnel!$H$24),0)+IF(AND(25&gt;=Personnel!$E$25,Personnel!$G$25="Yes"),Personnel!$D$25*(1-Personnel!$H$25),0)+IF(AND(25&gt;=Personnel!$E$26,Personnel!$G$26="Yes"),Personnel!$D$26*(1-Personnel!$H$26),0)+IF(AND(25&gt;=Personnel!$E$27,Personnel!$G$27="Yes"),Personnel!$D$27*(1-Personnel!$H$27),0)+IF(AND(25&gt;=Personnel!$E$28,Personnel!$G$28="Yes"),Personnel!$D$28*(1-Personnel!$H$28),0)+IF(AND(25&gt;=Personnel!$E$29,Personnel!$G$29="Yes"),Personnel!$D$29*(1-Personnel!$H$29),0)+IF(AND(25&gt;=Personnel!$E$30,Personnel!$G$30="Yes"),Personnel!$D$30*(1-Personnel!$H$30),0)+IF(AND(25&gt;=Personnel!$E$31,Personnel!$G$31="Yes"),Personnel!$D$31*(1-Personnel!$H$31),0)+IF(AND(25&gt;=Personnel!$E$32,Personnel!$G$32="Yes"),Personnel!$D$32*(1-Personnel!$H$32),0)+IF(AND(25&gt;=Personnel!$E$33,Personnel!$G$33="Yes"),Personnel!$D$33*(1-Personnel!$H$33),0)+IF(AND(25&gt;=Personnel!$E$36,Personnel!$G$36="Yes"),Personnel!$D$36*(1-Personnel!$H$36),0)+IF(AND(25&gt;=Personnel!$E$37,Personnel!$G$37="Yes"),Personnel!$D$37*(1-Personnel!$H$37),0)+IF(AND(25&gt;=Personnel!$E$38,Personnel!$G$38="Yes"),Personnel!$D$38*(1-Personnel!$H$38),0)+IF(AND(25&gt;=Personnel!$E$39,Personnel!$G$39="Yes"),Personnel!$D$39*(1-Personnel!$H$39),0)+IF(AND(25&gt;=Personnel!$E$40,Personnel!$G$40="Yes"),Personnel!$D$40*(1-Personnel!$H$40),0)+IF(AND(25&gt;=Personnel!$E$41,Personnel!$G$41="Yes"),Personnel!$D$41*(1-Personnel!$H$41),0)+IF(AND(25&gt;=Personnel!$E$42,Personnel!$G$42="Yes"),Personnel!$D$42*(1-Personnel!$H$42),0))*Escalation!$B$26</f>
        <v>357420.74999999988</v>
      </c>
      <c r="AB4" s="231">
        <f>(IF(AND(26&gt;=Personnel!$E$2,Personnel!$G$2="Yes"),Personnel!$D$2*(1-Personnel!$H$2),0)+IF(AND(26&gt;=Personnel!$E$3,Personnel!$G$3="Yes"),Personnel!$D$3*(1-Personnel!$H$3),0)+IF(AND(26&gt;=Personnel!$E$4,Personnel!$G$4="Yes"),Personnel!$D$4*(1-Personnel!$H$4),0)+IF(AND(26&gt;=Personnel!$E$5,Personnel!$G$5="Yes"),Personnel!$D$5*(1-Personnel!$H$5),0)+IF(AND(26&gt;=Personnel!$E$6,Personnel!$G$6="Yes"),Personnel!$D$6*(1-Personnel!$H$6),0)+IF(AND(26&gt;=Personnel!$E$7,Personnel!$G$7="Yes"),Personnel!$D$7*(1-Personnel!$H$7),0)+IF(AND(26&gt;=Personnel!$E$8,Personnel!$G$8="Yes"),Personnel!$D$8*(1-Personnel!$H$8),0)+IF(AND(26&gt;=Personnel!$E$9,Personnel!$G$9="Yes"),Personnel!$D$9*(1-Personnel!$H$9),0)+IF(AND(26&gt;=Personnel!$E$10,Personnel!$G$10="Yes"),Personnel!$D$10*(1-Personnel!$H$10),0)+IF(AND(26&gt;=Personnel!$E$11,Personnel!$G$11="Yes"),Personnel!$D$11*(1-Personnel!$H$11),0)+IF(AND(26&gt;=Personnel!$E$12,Personnel!$G$12="Yes"),Personnel!$D$12*(1-Personnel!$H$12),0)+IF(AND(26&gt;=Personnel!$E$13,Personnel!$G$13="Yes"),Personnel!$D$13*(1-Personnel!$H$13),0)+IF(AND(26&gt;=Personnel!$E$14,Personnel!$G$14="Yes"),Personnel!$D$14*(1-Personnel!$H$14),0)+IF(AND(26&gt;=Personnel!$E$15,Personnel!$G$15="Yes"),Personnel!$D$15*(1-Personnel!$H$15),0)+IF(AND(26&gt;=Personnel!$E$16,Personnel!$G$16="Yes"),Personnel!$D$16*(1-Personnel!$H$16),0)+IF(AND(26&gt;=Personnel!$E$17,Personnel!$G$17="Yes"),Personnel!$D$17*(1-Personnel!$H$17),0)+IF(AND(26&gt;=Personnel!$E$18,Personnel!$G$18="Yes"),Personnel!$D$18*(1-Personnel!$H$18),0)+IF(AND(26&gt;=Personnel!$E$19,Personnel!$G$19="Yes"),Personnel!$D$19*(1-Personnel!$H$19),0)+IF(AND(26&gt;=Personnel!$E$20,Personnel!$G$20="Yes"),Personnel!$D$20*(1-Personnel!$H$20),0)+IF(AND(26&gt;=Personnel!$E$21,Personnel!$G$21="Yes"),Personnel!$D$21*(1-Personnel!$H$21),0)+IF(AND(26&gt;=Personnel!$E$22,Personnel!$G$22="Yes"),Personnel!$D$22*(1-Personnel!$H$22),0)+IF(AND(26&gt;=Personnel!$E$23,Personnel!$G$23="Yes"),Personnel!$D$23*(1-Personnel!$H$23),0)+IF(AND(26&gt;=Personnel!$E$24,Personnel!$G$24="Yes"),Personnel!$D$24*(1-Personnel!$H$24),0)+IF(AND(26&gt;=Personnel!$E$25,Personnel!$G$25="Yes"),Personnel!$D$25*(1-Personnel!$H$25),0)+IF(AND(26&gt;=Personnel!$E$26,Personnel!$G$26="Yes"),Personnel!$D$26*(1-Personnel!$H$26),0)+IF(AND(26&gt;=Personnel!$E$27,Personnel!$G$27="Yes"),Personnel!$D$27*(1-Personnel!$H$27),0)+IF(AND(26&gt;=Personnel!$E$28,Personnel!$G$28="Yes"),Personnel!$D$28*(1-Personnel!$H$28),0)+IF(AND(26&gt;=Personnel!$E$29,Personnel!$G$29="Yes"),Personnel!$D$29*(1-Personnel!$H$29),0)+IF(AND(26&gt;=Personnel!$E$30,Personnel!$G$30="Yes"),Personnel!$D$30*(1-Personnel!$H$30),0)+IF(AND(26&gt;=Personnel!$E$31,Personnel!$G$31="Yes"),Personnel!$D$31*(1-Personnel!$H$31),0)+IF(AND(26&gt;=Personnel!$E$32,Personnel!$G$32="Yes"),Personnel!$D$32*(1-Personnel!$H$32),0)+IF(AND(26&gt;=Personnel!$E$33,Personnel!$G$33="Yes"),Personnel!$D$33*(1-Personnel!$H$33),0)+IF(AND(26&gt;=Personnel!$E$36,Personnel!$G$36="Yes"),Personnel!$D$36*(1-Personnel!$H$36),0)+IF(AND(26&gt;=Personnel!$E$37,Personnel!$G$37="Yes"),Personnel!$D$37*(1-Personnel!$H$37),0)+IF(AND(26&gt;=Personnel!$E$38,Personnel!$G$38="Yes"),Personnel!$D$38*(1-Personnel!$H$38),0)+IF(AND(26&gt;=Personnel!$E$39,Personnel!$G$39="Yes"),Personnel!$D$39*(1-Personnel!$H$39),0)+IF(AND(26&gt;=Personnel!$E$40,Personnel!$G$40="Yes"),Personnel!$D$40*(1-Personnel!$H$40),0)+IF(AND(26&gt;=Personnel!$E$41,Personnel!$G$41="Yes"),Personnel!$D$41*(1-Personnel!$H$41),0)+IF(AND(26&gt;=Personnel!$E$42,Personnel!$G$42="Yes"),Personnel!$D$42*(1-Personnel!$H$42),0))*Escalation!$B$27</f>
        <v>357420.74999999988</v>
      </c>
      <c r="AC4" s="231">
        <f>(IF(AND(27&gt;=Personnel!$E$2,Personnel!$G$2="Yes"),Personnel!$D$2*(1-Personnel!$H$2),0)+IF(AND(27&gt;=Personnel!$E$3,Personnel!$G$3="Yes"),Personnel!$D$3*(1-Personnel!$H$3),0)+IF(AND(27&gt;=Personnel!$E$4,Personnel!$G$4="Yes"),Personnel!$D$4*(1-Personnel!$H$4),0)+IF(AND(27&gt;=Personnel!$E$5,Personnel!$G$5="Yes"),Personnel!$D$5*(1-Personnel!$H$5),0)+IF(AND(27&gt;=Personnel!$E$6,Personnel!$G$6="Yes"),Personnel!$D$6*(1-Personnel!$H$6),0)+IF(AND(27&gt;=Personnel!$E$7,Personnel!$G$7="Yes"),Personnel!$D$7*(1-Personnel!$H$7),0)+IF(AND(27&gt;=Personnel!$E$8,Personnel!$G$8="Yes"),Personnel!$D$8*(1-Personnel!$H$8),0)+IF(AND(27&gt;=Personnel!$E$9,Personnel!$G$9="Yes"),Personnel!$D$9*(1-Personnel!$H$9),0)+IF(AND(27&gt;=Personnel!$E$10,Personnel!$G$10="Yes"),Personnel!$D$10*(1-Personnel!$H$10),0)+IF(AND(27&gt;=Personnel!$E$11,Personnel!$G$11="Yes"),Personnel!$D$11*(1-Personnel!$H$11),0)+IF(AND(27&gt;=Personnel!$E$12,Personnel!$G$12="Yes"),Personnel!$D$12*(1-Personnel!$H$12),0)+IF(AND(27&gt;=Personnel!$E$13,Personnel!$G$13="Yes"),Personnel!$D$13*(1-Personnel!$H$13),0)+IF(AND(27&gt;=Personnel!$E$14,Personnel!$G$14="Yes"),Personnel!$D$14*(1-Personnel!$H$14),0)+IF(AND(27&gt;=Personnel!$E$15,Personnel!$G$15="Yes"),Personnel!$D$15*(1-Personnel!$H$15),0)+IF(AND(27&gt;=Personnel!$E$16,Personnel!$G$16="Yes"),Personnel!$D$16*(1-Personnel!$H$16),0)+IF(AND(27&gt;=Personnel!$E$17,Personnel!$G$17="Yes"),Personnel!$D$17*(1-Personnel!$H$17),0)+IF(AND(27&gt;=Personnel!$E$18,Personnel!$G$18="Yes"),Personnel!$D$18*(1-Personnel!$H$18),0)+IF(AND(27&gt;=Personnel!$E$19,Personnel!$G$19="Yes"),Personnel!$D$19*(1-Personnel!$H$19),0)+IF(AND(27&gt;=Personnel!$E$20,Personnel!$G$20="Yes"),Personnel!$D$20*(1-Personnel!$H$20),0)+IF(AND(27&gt;=Personnel!$E$21,Personnel!$G$21="Yes"),Personnel!$D$21*(1-Personnel!$H$21),0)+IF(AND(27&gt;=Personnel!$E$22,Personnel!$G$22="Yes"),Personnel!$D$22*(1-Personnel!$H$22),0)+IF(AND(27&gt;=Personnel!$E$23,Personnel!$G$23="Yes"),Personnel!$D$23*(1-Personnel!$H$23),0)+IF(AND(27&gt;=Personnel!$E$24,Personnel!$G$24="Yes"),Personnel!$D$24*(1-Personnel!$H$24),0)+IF(AND(27&gt;=Personnel!$E$25,Personnel!$G$25="Yes"),Personnel!$D$25*(1-Personnel!$H$25),0)+IF(AND(27&gt;=Personnel!$E$26,Personnel!$G$26="Yes"),Personnel!$D$26*(1-Personnel!$H$26),0)+IF(AND(27&gt;=Personnel!$E$27,Personnel!$G$27="Yes"),Personnel!$D$27*(1-Personnel!$H$27),0)+IF(AND(27&gt;=Personnel!$E$28,Personnel!$G$28="Yes"),Personnel!$D$28*(1-Personnel!$H$28),0)+IF(AND(27&gt;=Personnel!$E$29,Personnel!$G$29="Yes"),Personnel!$D$29*(1-Personnel!$H$29),0)+IF(AND(27&gt;=Personnel!$E$30,Personnel!$G$30="Yes"),Personnel!$D$30*(1-Personnel!$H$30),0)+IF(AND(27&gt;=Personnel!$E$31,Personnel!$G$31="Yes"),Personnel!$D$31*(1-Personnel!$H$31),0)+IF(AND(27&gt;=Personnel!$E$32,Personnel!$G$32="Yes"),Personnel!$D$32*(1-Personnel!$H$32),0)+IF(AND(27&gt;=Personnel!$E$33,Personnel!$G$33="Yes"),Personnel!$D$33*(1-Personnel!$H$33),0)+IF(AND(27&gt;=Personnel!$E$36,Personnel!$G$36="Yes"),Personnel!$D$36*(1-Personnel!$H$36),0)+IF(AND(27&gt;=Personnel!$E$37,Personnel!$G$37="Yes"),Personnel!$D$37*(1-Personnel!$H$37),0)+IF(AND(27&gt;=Personnel!$E$38,Personnel!$G$38="Yes"),Personnel!$D$38*(1-Personnel!$H$38),0)+IF(AND(27&gt;=Personnel!$E$39,Personnel!$G$39="Yes"),Personnel!$D$39*(1-Personnel!$H$39),0)+IF(AND(27&gt;=Personnel!$E$40,Personnel!$G$40="Yes"),Personnel!$D$40*(1-Personnel!$H$40),0)+IF(AND(27&gt;=Personnel!$E$41,Personnel!$G$41="Yes"),Personnel!$D$41*(1-Personnel!$H$41),0)+IF(AND(27&gt;=Personnel!$E$42,Personnel!$G$42="Yes"),Personnel!$D$42*(1-Personnel!$H$42),0))*Escalation!$B$28</f>
        <v>357420.74999999988</v>
      </c>
      <c r="AD4" s="231">
        <f>(IF(AND(28&gt;=Personnel!$E$2,Personnel!$G$2="Yes"),Personnel!$D$2*(1-Personnel!$H$2),0)+IF(AND(28&gt;=Personnel!$E$3,Personnel!$G$3="Yes"),Personnel!$D$3*(1-Personnel!$H$3),0)+IF(AND(28&gt;=Personnel!$E$4,Personnel!$G$4="Yes"),Personnel!$D$4*(1-Personnel!$H$4),0)+IF(AND(28&gt;=Personnel!$E$5,Personnel!$G$5="Yes"),Personnel!$D$5*(1-Personnel!$H$5),0)+IF(AND(28&gt;=Personnel!$E$6,Personnel!$G$6="Yes"),Personnel!$D$6*(1-Personnel!$H$6),0)+IF(AND(28&gt;=Personnel!$E$7,Personnel!$G$7="Yes"),Personnel!$D$7*(1-Personnel!$H$7),0)+IF(AND(28&gt;=Personnel!$E$8,Personnel!$G$8="Yes"),Personnel!$D$8*(1-Personnel!$H$8),0)+IF(AND(28&gt;=Personnel!$E$9,Personnel!$G$9="Yes"),Personnel!$D$9*(1-Personnel!$H$9),0)+IF(AND(28&gt;=Personnel!$E$10,Personnel!$G$10="Yes"),Personnel!$D$10*(1-Personnel!$H$10),0)+IF(AND(28&gt;=Personnel!$E$11,Personnel!$G$11="Yes"),Personnel!$D$11*(1-Personnel!$H$11),0)+IF(AND(28&gt;=Personnel!$E$12,Personnel!$G$12="Yes"),Personnel!$D$12*(1-Personnel!$H$12),0)+IF(AND(28&gt;=Personnel!$E$13,Personnel!$G$13="Yes"),Personnel!$D$13*(1-Personnel!$H$13),0)+IF(AND(28&gt;=Personnel!$E$14,Personnel!$G$14="Yes"),Personnel!$D$14*(1-Personnel!$H$14),0)+IF(AND(28&gt;=Personnel!$E$15,Personnel!$G$15="Yes"),Personnel!$D$15*(1-Personnel!$H$15),0)+IF(AND(28&gt;=Personnel!$E$16,Personnel!$G$16="Yes"),Personnel!$D$16*(1-Personnel!$H$16),0)+IF(AND(28&gt;=Personnel!$E$17,Personnel!$G$17="Yes"),Personnel!$D$17*(1-Personnel!$H$17),0)+IF(AND(28&gt;=Personnel!$E$18,Personnel!$G$18="Yes"),Personnel!$D$18*(1-Personnel!$H$18),0)+IF(AND(28&gt;=Personnel!$E$19,Personnel!$G$19="Yes"),Personnel!$D$19*(1-Personnel!$H$19),0)+IF(AND(28&gt;=Personnel!$E$20,Personnel!$G$20="Yes"),Personnel!$D$20*(1-Personnel!$H$20),0)+IF(AND(28&gt;=Personnel!$E$21,Personnel!$G$21="Yes"),Personnel!$D$21*(1-Personnel!$H$21),0)+IF(AND(28&gt;=Personnel!$E$22,Personnel!$G$22="Yes"),Personnel!$D$22*(1-Personnel!$H$22),0)+IF(AND(28&gt;=Personnel!$E$23,Personnel!$G$23="Yes"),Personnel!$D$23*(1-Personnel!$H$23),0)+IF(AND(28&gt;=Personnel!$E$24,Personnel!$G$24="Yes"),Personnel!$D$24*(1-Personnel!$H$24),0)+IF(AND(28&gt;=Personnel!$E$25,Personnel!$G$25="Yes"),Personnel!$D$25*(1-Personnel!$H$25),0)+IF(AND(28&gt;=Personnel!$E$26,Personnel!$G$26="Yes"),Personnel!$D$26*(1-Personnel!$H$26),0)+IF(AND(28&gt;=Personnel!$E$27,Personnel!$G$27="Yes"),Personnel!$D$27*(1-Personnel!$H$27),0)+IF(AND(28&gt;=Personnel!$E$28,Personnel!$G$28="Yes"),Personnel!$D$28*(1-Personnel!$H$28),0)+IF(AND(28&gt;=Personnel!$E$29,Personnel!$G$29="Yes"),Personnel!$D$29*(1-Personnel!$H$29),0)+IF(AND(28&gt;=Personnel!$E$30,Personnel!$G$30="Yes"),Personnel!$D$30*(1-Personnel!$H$30),0)+IF(AND(28&gt;=Personnel!$E$31,Personnel!$G$31="Yes"),Personnel!$D$31*(1-Personnel!$H$31),0)+IF(AND(28&gt;=Personnel!$E$32,Personnel!$G$32="Yes"),Personnel!$D$32*(1-Personnel!$H$32),0)+IF(AND(28&gt;=Personnel!$E$33,Personnel!$G$33="Yes"),Personnel!$D$33*(1-Personnel!$H$33),0)+IF(AND(28&gt;=Personnel!$E$36,Personnel!$G$36="Yes"),Personnel!$D$36*(1-Personnel!$H$36),0)+IF(AND(28&gt;=Personnel!$E$37,Personnel!$G$37="Yes"),Personnel!$D$37*(1-Personnel!$H$37),0)+IF(AND(28&gt;=Personnel!$E$38,Personnel!$G$38="Yes"),Personnel!$D$38*(1-Personnel!$H$38),0)+IF(AND(28&gt;=Personnel!$E$39,Personnel!$G$39="Yes"),Personnel!$D$39*(1-Personnel!$H$39),0)+IF(AND(28&gt;=Personnel!$E$40,Personnel!$G$40="Yes"),Personnel!$D$40*(1-Personnel!$H$40),0)+IF(AND(28&gt;=Personnel!$E$41,Personnel!$G$41="Yes"),Personnel!$D$41*(1-Personnel!$H$41),0)+IF(AND(28&gt;=Personnel!$E$42,Personnel!$G$42="Yes"),Personnel!$D$42*(1-Personnel!$H$42),0))*Escalation!$B$29</f>
        <v>357420.74999999988</v>
      </c>
      <c r="AE4" s="231">
        <f>(IF(AND(29&gt;=Personnel!$E$2,Personnel!$G$2="Yes"),Personnel!$D$2*(1-Personnel!$H$2),0)+IF(AND(29&gt;=Personnel!$E$3,Personnel!$G$3="Yes"),Personnel!$D$3*(1-Personnel!$H$3),0)+IF(AND(29&gt;=Personnel!$E$4,Personnel!$G$4="Yes"),Personnel!$D$4*(1-Personnel!$H$4),0)+IF(AND(29&gt;=Personnel!$E$5,Personnel!$G$5="Yes"),Personnel!$D$5*(1-Personnel!$H$5),0)+IF(AND(29&gt;=Personnel!$E$6,Personnel!$G$6="Yes"),Personnel!$D$6*(1-Personnel!$H$6),0)+IF(AND(29&gt;=Personnel!$E$7,Personnel!$G$7="Yes"),Personnel!$D$7*(1-Personnel!$H$7),0)+IF(AND(29&gt;=Personnel!$E$8,Personnel!$G$8="Yes"),Personnel!$D$8*(1-Personnel!$H$8),0)+IF(AND(29&gt;=Personnel!$E$9,Personnel!$G$9="Yes"),Personnel!$D$9*(1-Personnel!$H$9),0)+IF(AND(29&gt;=Personnel!$E$10,Personnel!$G$10="Yes"),Personnel!$D$10*(1-Personnel!$H$10),0)+IF(AND(29&gt;=Personnel!$E$11,Personnel!$G$11="Yes"),Personnel!$D$11*(1-Personnel!$H$11),0)+IF(AND(29&gt;=Personnel!$E$12,Personnel!$G$12="Yes"),Personnel!$D$12*(1-Personnel!$H$12),0)+IF(AND(29&gt;=Personnel!$E$13,Personnel!$G$13="Yes"),Personnel!$D$13*(1-Personnel!$H$13),0)+IF(AND(29&gt;=Personnel!$E$14,Personnel!$G$14="Yes"),Personnel!$D$14*(1-Personnel!$H$14),0)+IF(AND(29&gt;=Personnel!$E$15,Personnel!$G$15="Yes"),Personnel!$D$15*(1-Personnel!$H$15),0)+IF(AND(29&gt;=Personnel!$E$16,Personnel!$G$16="Yes"),Personnel!$D$16*(1-Personnel!$H$16),0)+IF(AND(29&gt;=Personnel!$E$17,Personnel!$G$17="Yes"),Personnel!$D$17*(1-Personnel!$H$17),0)+IF(AND(29&gt;=Personnel!$E$18,Personnel!$G$18="Yes"),Personnel!$D$18*(1-Personnel!$H$18),0)+IF(AND(29&gt;=Personnel!$E$19,Personnel!$G$19="Yes"),Personnel!$D$19*(1-Personnel!$H$19),0)+IF(AND(29&gt;=Personnel!$E$20,Personnel!$G$20="Yes"),Personnel!$D$20*(1-Personnel!$H$20),0)+IF(AND(29&gt;=Personnel!$E$21,Personnel!$G$21="Yes"),Personnel!$D$21*(1-Personnel!$H$21),0)+IF(AND(29&gt;=Personnel!$E$22,Personnel!$G$22="Yes"),Personnel!$D$22*(1-Personnel!$H$22),0)+IF(AND(29&gt;=Personnel!$E$23,Personnel!$G$23="Yes"),Personnel!$D$23*(1-Personnel!$H$23),0)+IF(AND(29&gt;=Personnel!$E$24,Personnel!$G$24="Yes"),Personnel!$D$24*(1-Personnel!$H$24),0)+IF(AND(29&gt;=Personnel!$E$25,Personnel!$G$25="Yes"),Personnel!$D$25*(1-Personnel!$H$25),0)+IF(AND(29&gt;=Personnel!$E$26,Personnel!$G$26="Yes"),Personnel!$D$26*(1-Personnel!$H$26),0)+IF(AND(29&gt;=Personnel!$E$27,Personnel!$G$27="Yes"),Personnel!$D$27*(1-Personnel!$H$27),0)+IF(AND(29&gt;=Personnel!$E$28,Personnel!$G$28="Yes"),Personnel!$D$28*(1-Personnel!$H$28),0)+IF(AND(29&gt;=Personnel!$E$29,Personnel!$G$29="Yes"),Personnel!$D$29*(1-Personnel!$H$29),0)+IF(AND(29&gt;=Personnel!$E$30,Personnel!$G$30="Yes"),Personnel!$D$30*(1-Personnel!$H$30),0)+IF(AND(29&gt;=Personnel!$E$31,Personnel!$G$31="Yes"),Personnel!$D$31*(1-Personnel!$H$31),0)+IF(AND(29&gt;=Personnel!$E$32,Personnel!$G$32="Yes"),Personnel!$D$32*(1-Personnel!$H$32),0)+IF(AND(29&gt;=Personnel!$E$33,Personnel!$G$33="Yes"),Personnel!$D$33*(1-Personnel!$H$33),0)+IF(AND(29&gt;=Personnel!$E$36,Personnel!$G$36="Yes"),Personnel!$D$36*(1-Personnel!$H$36),0)+IF(AND(29&gt;=Personnel!$E$37,Personnel!$G$37="Yes"),Personnel!$D$37*(1-Personnel!$H$37),0)+IF(AND(29&gt;=Personnel!$E$38,Personnel!$G$38="Yes"),Personnel!$D$38*(1-Personnel!$H$38),0)+IF(AND(29&gt;=Personnel!$E$39,Personnel!$G$39="Yes"),Personnel!$D$39*(1-Personnel!$H$39),0)+IF(AND(29&gt;=Personnel!$E$40,Personnel!$G$40="Yes"),Personnel!$D$40*(1-Personnel!$H$40),0)+IF(AND(29&gt;=Personnel!$E$41,Personnel!$G$41="Yes"),Personnel!$D$41*(1-Personnel!$H$41),0)+IF(AND(29&gt;=Personnel!$E$42,Personnel!$G$42="Yes"),Personnel!$D$42*(1-Personnel!$H$42),0))*Escalation!$B$30</f>
        <v>357420.74999999988</v>
      </c>
      <c r="AF4" s="231">
        <f>(IF(AND(30&gt;=Personnel!$E$2,Personnel!$G$2="Yes"),Personnel!$D$2*(1-Personnel!$H$2),0)+IF(AND(30&gt;=Personnel!$E$3,Personnel!$G$3="Yes"),Personnel!$D$3*(1-Personnel!$H$3),0)+IF(AND(30&gt;=Personnel!$E$4,Personnel!$G$4="Yes"),Personnel!$D$4*(1-Personnel!$H$4),0)+IF(AND(30&gt;=Personnel!$E$5,Personnel!$G$5="Yes"),Personnel!$D$5*(1-Personnel!$H$5),0)+IF(AND(30&gt;=Personnel!$E$6,Personnel!$G$6="Yes"),Personnel!$D$6*(1-Personnel!$H$6),0)+IF(AND(30&gt;=Personnel!$E$7,Personnel!$G$7="Yes"),Personnel!$D$7*(1-Personnel!$H$7),0)+IF(AND(30&gt;=Personnel!$E$8,Personnel!$G$8="Yes"),Personnel!$D$8*(1-Personnel!$H$8),0)+IF(AND(30&gt;=Personnel!$E$9,Personnel!$G$9="Yes"),Personnel!$D$9*(1-Personnel!$H$9),0)+IF(AND(30&gt;=Personnel!$E$10,Personnel!$G$10="Yes"),Personnel!$D$10*(1-Personnel!$H$10),0)+IF(AND(30&gt;=Personnel!$E$11,Personnel!$G$11="Yes"),Personnel!$D$11*(1-Personnel!$H$11),0)+IF(AND(30&gt;=Personnel!$E$12,Personnel!$G$12="Yes"),Personnel!$D$12*(1-Personnel!$H$12),0)+IF(AND(30&gt;=Personnel!$E$13,Personnel!$G$13="Yes"),Personnel!$D$13*(1-Personnel!$H$13),0)+IF(AND(30&gt;=Personnel!$E$14,Personnel!$G$14="Yes"),Personnel!$D$14*(1-Personnel!$H$14),0)+IF(AND(30&gt;=Personnel!$E$15,Personnel!$G$15="Yes"),Personnel!$D$15*(1-Personnel!$H$15),0)+IF(AND(30&gt;=Personnel!$E$16,Personnel!$G$16="Yes"),Personnel!$D$16*(1-Personnel!$H$16),0)+IF(AND(30&gt;=Personnel!$E$17,Personnel!$G$17="Yes"),Personnel!$D$17*(1-Personnel!$H$17),0)+IF(AND(30&gt;=Personnel!$E$18,Personnel!$G$18="Yes"),Personnel!$D$18*(1-Personnel!$H$18),0)+IF(AND(30&gt;=Personnel!$E$19,Personnel!$G$19="Yes"),Personnel!$D$19*(1-Personnel!$H$19),0)+IF(AND(30&gt;=Personnel!$E$20,Personnel!$G$20="Yes"),Personnel!$D$20*(1-Personnel!$H$20),0)+IF(AND(30&gt;=Personnel!$E$21,Personnel!$G$21="Yes"),Personnel!$D$21*(1-Personnel!$H$21),0)+IF(AND(30&gt;=Personnel!$E$22,Personnel!$G$22="Yes"),Personnel!$D$22*(1-Personnel!$H$22),0)+IF(AND(30&gt;=Personnel!$E$23,Personnel!$G$23="Yes"),Personnel!$D$23*(1-Personnel!$H$23),0)+IF(AND(30&gt;=Personnel!$E$24,Personnel!$G$24="Yes"),Personnel!$D$24*(1-Personnel!$H$24),0)+IF(AND(30&gt;=Personnel!$E$25,Personnel!$G$25="Yes"),Personnel!$D$25*(1-Personnel!$H$25),0)+IF(AND(30&gt;=Personnel!$E$26,Personnel!$G$26="Yes"),Personnel!$D$26*(1-Personnel!$H$26),0)+IF(AND(30&gt;=Personnel!$E$27,Personnel!$G$27="Yes"),Personnel!$D$27*(1-Personnel!$H$27),0)+IF(AND(30&gt;=Personnel!$E$28,Personnel!$G$28="Yes"),Personnel!$D$28*(1-Personnel!$H$28),0)+IF(AND(30&gt;=Personnel!$E$29,Personnel!$G$29="Yes"),Personnel!$D$29*(1-Personnel!$H$29),0)+IF(AND(30&gt;=Personnel!$E$30,Personnel!$G$30="Yes"),Personnel!$D$30*(1-Personnel!$H$30),0)+IF(AND(30&gt;=Personnel!$E$31,Personnel!$G$31="Yes"),Personnel!$D$31*(1-Personnel!$H$31),0)+IF(AND(30&gt;=Personnel!$E$32,Personnel!$G$32="Yes"),Personnel!$D$32*(1-Personnel!$H$32),0)+IF(AND(30&gt;=Personnel!$E$33,Personnel!$G$33="Yes"),Personnel!$D$33*(1-Personnel!$H$33),0)+IF(AND(30&gt;=Personnel!$E$36,Personnel!$G$36="Yes"),Personnel!$D$36*(1-Personnel!$H$36),0)+IF(AND(30&gt;=Personnel!$E$37,Personnel!$G$37="Yes"),Personnel!$D$37*(1-Personnel!$H$37),0)+IF(AND(30&gt;=Personnel!$E$38,Personnel!$G$38="Yes"),Personnel!$D$38*(1-Personnel!$H$38),0)+IF(AND(30&gt;=Personnel!$E$39,Personnel!$G$39="Yes"),Personnel!$D$39*(1-Personnel!$H$39),0)+IF(AND(30&gt;=Personnel!$E$40,Personnel!$G$40="Yes"),Personnel!$D$40*(1-Personnel!$H$40),0)+IF(AND(30&gt;=Personnel!$E$41,Personnel!$G$41="Yes"),Personnel!$D$41*(1-Personnel!$H$41),0)+IF(AND(30&gt;=Personnel!$E$42,Personnel!$G$42="Yes"),Personnel!$D$42*(1-Personnel!$H$42),0))*Escalation!$B$31</f>
        <v>357420.74999999988</v>
      </c>
      <c r="AG4" s="231">
        <f>(IF(AND(31&gt;=Personnel!$E$2,Personnel!$G$2="Yes"),Personnel!$D$2*(1-Personnel!$H$2),0)+IF(AND(31&gt;=Personnel!$E$3,Personnel!$G$3="Yes"),Personnel!$D$3*(1-Personnel!$H$3),0)+IF(AND(31&gt;=Personnel!$E$4,Personnel!$G$4="Yes"),Personnel!$D$4*(1-Personnel!$H$4),0)+IF(AND(31&gt;=Personnel!$E$5,Personnel!$G$5="Yes"),Personnel!$D$5*(1-Personnel!$H$5),0)+IF(AND(31&gt;=Personnel!$E$6,Personnel!$G$6="Yes"),Personnel!$D$6*(1-Personnel!$H$6),0)+IF(AND(31&gt;=Personnel!$E$7,Personnel!$G$7="Yes"),Personnel!$D$7*(1-Personnel!$H$7),0)+IF(AND(31&gt;=Personnel!$E$8,Personnel!$G$8="Yes"),Personnel!$D$8*(1-Personnel!$H$8),0)+IF(AND(31&gt;=Personnel!$E$9,Personnel!$G$9="Yes"),Personnel!$D$9*(1-Personnel!$H$9),0)+IF(AND(31&gt;=Personnel!$E$10,Personnel!$G$10="Yes"),Personnel!$D$10*(1-Personnel!$H$10),0)+IF(AND(31&gt;=Personnel!$E$11,Personnel!$G$11="Yes"),Personnel!$D$11*(1-Personnel!$H$11),0)+IF(AND(31&gt;=Personnel!$E$12,Personnel!$G$12="Yes"),Personnel!$D$12*(1-Personnel!$H$12),0)+IF(AND(31&gt;=Personnel!$E$13,Personnel!$G$13="Yes"),Personnel!$D$13*(1-Personnel!$H$13),0)+IF(AND(31&gt;=Personnel!$E$14,Personnel!$G$14="Yes"),Personnel!$D$14*(1-Personnel!$H$14),0)+IF(AND(31&gt;=Personnel!$E$15,Personnel!$G$15="Yes"),Personnel!$D$15*(1-Personnel!$H$15),0)+IF(AND(31&gt;=Personnel!$E$16,Personnel!$G$16="Yes"),Personnel!$D$16*(1-Personnel!$H$16),0)+IF(AND(31&gt;=Personnel!$E$17,Personnel!$G$17="Yes"),Personnel!$D$17*(1-Personnel!$H$17),0)+IF(AND(31&gt;=Personnel!$E$18,Personnel!$G$18="Yes"),Personnel!$D$18*(1-Personnel!$H$18),0)+IF(AND(31&gt;=Personnel!$E$19,Personnel!$G$19="Yes"),Personnel!$D$19*(1-Personnel!$H$19),0)+IF(AND(31&gt;=Personnel!$E$20,Personnel!$G$20="Yes"),Personnel!$D$20*(1-Personnel!$H$20),0)+IF(AND(31&gt;=Personnel!$E$21,Personnel!$G$21="Yes"),Personnel!$D$21*(1-Personnel!$H$21),0)+IF(AND(31&gt;=Personnel!$E$22,Personnel!$G$22="Yes"),Personnel!$D$22*(1-Personnel!$H$22),0)+IF(AND(31&gt;=Personnel!$E$23,Personnel!$G$23="Yes"),Personnel!$D$23*(1-Personnel!$H$23),0)+IF(AND(31&gt;=Personnel!$E$24,Personnel!$G$24="Yes"),Personnel!$D$24*(1-Personnel!$H$24),0)+IF(AND(31&gt;=Personnel!$E$25,Personnel!$G$25="Yes"),Personnel!$D$25*(1-Personnel!$H$25),0)+IF(AND(31&gt;=Personnel!$E$26,Personnel!$G$26="Yes"),Personnel!$D$26*(1-Personnel!$H$26),0)+IF(AND(31&gt;=Personnel!$E$27,Personnel!$G$27="Yes"),Personnel!$D$27*(1-Personnel!$H$27),0)+IF(AND(31&gt;=Personnel!$E$28,Personnel!$G$28="Yes"),Personnel!$D$28*(1-Personnel!$H$28),0)+IF(AND(31&gt;=Personnel!$E$29,Personnel!$G$29="Yes"),Personnel!$D$29*(1-Personnel!$H$29),0)+IF(AND(31&gt;=Personnel!$E$30,Personnel!$G$30="Yes"),Personnel!$D$30*(1-Personnel!$H$30),0)+IF(AND(31&gt;=Personnel!$E$31,Personnel!$G$31="Yes"),Personnel!$D$31*(1-Personnel!$H$31),0)+IF(AND(31&gt;=Personnel!$E$32,Personnel!$G$32="Yes"),Personnel!$D$32*(1-Personnel!$H$32),0)+IF(AND(31&gt;=Personnel!$E$33,Personnel!$G$33="Yes"),Personnel!$D$33*(1-Personnel!$H$33),0)+IF(AND(31&gt;=Personnel!$E$36,Personnel!$G$36="Yes"),Personnel!$D$36*(1-Personnel!$H$36),0)+IF(AND(31&gt;=Personnel!$E$37,Personnel!$G$37="Yes"),Personnel!$D$37*(1-Personnel!$H$37),0)+IF(AND(31&gt;=Personnel!$E$38,Personnel!$G$38="Yes"),Personnel!$D$38*(1-Personnel!$H$38),0)+IF(AND(31&gt;=Personnel!$E$39,Personnel!$G$39="Yes"),Personnel!$D$39*(1-Personnel!$H$39),0)+IF(AND(31&gt;=Personnel!$E$40,Personnel!$G$40="Yes"),Personnel!$D$40*(1-Personnel!$H$40),0)+IF(AND(31&gt;=Personnel!$E$41,Personnel!$G$41="Yes"),Personnel!$D$41*(1-Personnel!$H$41),0)+IF(AND(31&gt;=Personnel!$E$42,Personnel!$G$42="Yes"),Personnel!$D$42*(1-Personnel!$H$42),0))*Escalation!$B$32</f>
        <v>357420.74999999988</v>
      </c>
      <c r="AH4" s="231">
        <f>(IF(AND(32&gt;=Personnel!$E$2,Personnel!$G$2="Yes"),Personnel!$D$2*(1-Personnel!$H$2),0)+IF(AND(32&gt;=Personnel!$E$3,Personnel!$G$3="Yes"),Personnel!$D$3*(1-Personnel!$H$3),0)+IF(AND(32&gt;=Personnel!$E$4,Personnel!$G$4="Yes"),Personnel!$D$4*(1-Personnel!$H$4),0)+IF(AND(32&gt;=Personnel!$E$5,Personnel!$G$5="Yes"),Personnel!$D$5*(1-Personnel!$H$5),0)+IF(AND(32&gt;=Personnel!$E$6,Personnel!$G$6="Yes"),Personnel!$D$6*(1-Personnel!$H$6),0)+IF(AND(32&gt;=Personnel!$E$7,Personnel!$G$7="Yes"),Personnel!$D$7*(1-Personnel!$H$7),0)+IF(AND(32&gt;=Personnel!$E$8,Personnel!$G$8="Yes"),Personnel!$D$8*(1-Personnel!$H$8),0)+IF(AND(32&gt;=Personnel!$E$9,Personnel!$G$9="Yes"),Personnel!$D$9*(1-Personnel!$H$9),0)+IF(AND(32&gt;=Personnel!$E$10,Personnel!$G$10="Yes"),Personnel!$D$10*(1-Personnel!$H$10),0)+IF(AND(32&gt;=Personnel!$E$11,Personnel!$G$11="Yes"),Personnel!$D$11*(1-Personnel!$H$11),0)+IF(AND(32&gt;=Personnel!$E$12,Personnel!$G$12="Yes"),Personnel!$D$12*(1-Personnel!$H$12),0)+IF(AND(32&gt;=Personnel!$E$13,Personnel!$G$13="Yes"),Personnel!$D$13*(1-Personnel!$H$13),0)+IF(AND(32&gt;=Personnel!$E$14,Personnel!$G$14="Yes"),Personnel!$D$14*(1-Personnel!$H$14),0)+IF(AND(32&gt;=Personnel!$E$15,Personnel!$G$15="Yes"),Personnel!$D$15*(1-Personnel!$H$15),0)+IF(AND(32&gt;=Personnel!$E$16,Personnel!$G$16="Yes"),Personnel!$D$16*(1-Personnel!$H$16),0)+IF(AND(32&gt;=Personnel!$E$17,Personnel!$G$17="Yes"),Personnel!$D$17*(1-Personnel!$H$17),0)+IF(AND(32&gt;=Personnel!$E$18,Personnel!$G$18="Yes"),Personnel!$D$18*(1-Personnel!$H$18),0)+IF(AND(32&gt;=Personnel!$E$19,Personnel!$G$19="Yes"),Personnel!$D$19*(1-Personnel!$H$19),0)+IF(AND(32&gt;=Personnel!$E$20,Personnel!$G$20="Yes"),Personnel!$D$20*(1-Personnel!$H$20),0)+IF(AND(32&gt;=Personnel!$E$21,Personnel!$G$21="Yes"),Personnel!$D$21*(1-Personnel!$H$21),0)+IF(AND(32&gt;=Personnel!$E$22,Personnel!$G$22="Yes"),Personnel!$D$22*(1-Personnel!$H$22),0)+IF(AND(32&gt;=Personnel!$E$23,Personnel!$G$23="Yes"),Personnel!$D$23*(1-Personnel!$H$23),0)+IF(AND(32&gt;=Personnel!$E$24,Personnel!$G$24="Yes"),Personnel!$D$24*(1-Personnel!$H$24),0)+IF(AND(32&gt;=Personnel!$E$25,Personnel!$G$25="Yes"),Personnel!$D$25*(1-Personnel!$H$25),0)+IF(AND(32&gt;=Personnel!$E$26,Personnel!$G$26="Yes"),Personnel!$D$26*(1-Personnel!$H$26),0)+IF(AND(32&gt;=Personnel!$E$27,Personnel!$G$27="Yes"),Personnel!$D$27*(1-Personnel!$H$27),0)+IF(AND(32&gt;=Personnel!$E$28,Personnel!$G$28="Yes"),Personnel!$D$28*(1-Personnel!$H$28),0)+IF(AND(32&gt;=Personnel!$E$29,Personnel!$G$29="Yes"),Personnel!$D$29*(1-Personnel!$H$29),0)+IF(AND(32&gt;=Personnel!$E$30,Personnel!$G$30="Yes"),Personnel!$D$30*(1-Personnel!$H$30),0)+IF(AND(32&gt;=Personnel!$E$31,Personnel!$G$31="Yes"),Personnel!$D$31*(1-Personnel!$H$31),0)+IF(AND(32&gt;=Personnel!$E$32,Personnel!$G$32="Yes"),Personnel!$D$32*(1-Personnel!$H$32),0)+IF(AND(32&gt;=Personnel!$E$33,Personnel!$G$33="Yes"),Personnel!$D$33*(1-Personnel!$H$33),0)+IF(AND(32&gt;=Personnel!$E$36,Personnel!$G$36="Yes"),Personnel!$D$36*(1-Personnel!$H$36),0)+IF(AND(32&gt;=Personnel!$E$37,Personnel!$G$37="Yes"),Personnel!$D$37*(1-Personnel!$H$37),0)+IF(AND(32&gt;=Personnel!$E$38,Personnel!$G$38="Yes"),Personnel!$D$38*(1-Personnel!$H$38),0)+IF(AND(32&gt;=Personnel!$E$39,Personnel!$G$39="Yes"),Personnel!$D$39*(1-Personnel!$H$39),0)+IF(AND(32&gt;=Personnel!$E$40,Personnel!$G$40="Yes"),Personnel!$D$40*(1-Personnel!$H$40),0)+IF(AND(32&gt;=Personnel!$E$41,Personnel!$G$41="Yes"),Personnel!$D$41*(1-Personnel!$H$41),0)+IF(AND(32&gt;=Personnel!$E$42,Personnel!$G$42="Yes"),Personnel!$D$42*(1-Personnel!$H$42),0))*Escalation!$B$33</f>
        <v>357420.74999999988</v>
      </c>
      <c r="AI4" s="231">
        <f>(IF(AND(33&gt;=Personnel!$E$2,Personnel!$G$2="Yes"),Personnel!$D$2*(1-Personnel!$H$2),0)+IF(AND(33&gt;=Personnel!$E$3,Personnel!$G$3="Yes"),Personnel!$D$3*(1-Personnel!$H$3),0)+IF(AND(33&gt;=Personnel!$E$4,Personnel!$G$4="Yes"),Personnel!$D$4*(1-Personnel!$H$4),0)+IF(AND(33&gt;=Personnel!$E$5,Personnel!$G$5="Yes"),Personnel!$D$5*(1-Personnel!$H$5),0)+IF(AND(33&gt;=Personnel!$E$6,Personnel!$G$6="Yes"),Personnel!$D$6*(1-Personnel!$H$6),0)+IF(AND(33&gt;=Personnel!$E$7,Personnel!$G$7="Yes"),Personnel!$D$7*(1-Personnel!$H$7),0)+IF(AND(33&gt;=Personnel!$E$8,Personnel!$G$8="Yes"),Personnel!$D$8*(1-Personnel!$H$8),0)+IF(AND(33&gt;=Personnel!$E$9,Personnel!$G$9="Yes"),Personnel!$D$9*(1-Personnel!$H$9),0)+IF(AND(33&gt;=Personnel!$E$10,Personnel!$G$10="Yes"),Personnel!$D$10*(1-Personnel!$H$10),0)+IF(AND(33&gt;=Personnel!$E$11,Personnel!$G$11="Yes"),Personnel!$D$11*(1-Personnel!$H$11),0)+IF(AND(33&gt;=Personnel!$E$12,Personnel!$G$12="Yes"),Personnel!$D$12*(1-Personnel!$H$12),0)+IF(AND(33&gt;=Personnel!$E$13,Personnel!$G$13="Yes"),Personnel!$D$13*(1-Personnel!$H$13),0)+IF(AND(33&gt;=Personnel!$E$14,Personnel!$G$14="Yes"),Personnel!$D$14*(1-Personnel!$H$14),0)+IF(AND(33&gt;=Personnel!$E$15,Personnel!$G$15="Yes"),Personnel!$D$15*(1-Personnel!$H$15),0)+IF(AND(33&gt;=Personnel!$E$16,Personnel!$G$16="Yes"),Personnel!$D$16*(1-Personnel!$H$16),0)+IF(AND(33&gt;=Personnel!$E$17,Personnel!$G$17="Yes"),Personnel!$D$17*(1-Personnel!$H$17),0)+IF(AND(33&gt;=Personnel!$E$18,Personnel!$G$18="Yes"),Personnel!$D$18*(1-Personnel!$H$18),0)+IF(AND(33&gt;=Personnel!$E$19,Personnel!$G$19="Yes"),Personnel!$D$19*(1-Personnel!$H$19),0)+IF(AND(33&gt;=Personnel!$E$20,Personnel!$G$20="Yes"),Personnel!$D$20*(1-Personnel!$H$20),0)+IF(AND(33&gt;=Personnel!$E$21,Personnel!$G$21="Yes"),Personnel!$D$21*(1-Personnel!$H$21),0)+IF(AND(33&gt;=Personnel!$E$22,Personnel!$G$22="Yes"),Personnel!$D$22*(1-Personnel!$H$22),0)+IF(AND(33&gt;=Personnel!$E$23,Personnel!$G$23="Yes"),Personnel!$D$23*(1-Personnel!$H$23),0)+IF(AND(33&gt;=Personnel!$E$24,Personnel!$G$24="Yes"),Personnel!$D$24*(1-Personnel!$H$24),0)+IF(AND(33&gt;=Personnel!$E$25,Personnel!$G$25="Yes"),Personnel!$D$25*(1-Personnel!$H$25),0)+IF(AND(33&gt;=Personnel!$E$26,Personnel!$G$26="Yes"),Personnel!$D$26*(1-Personnel!$H$26),0)+IF(AND(33&gt;=Personnel!$E$27,Personnel!$G$27="Yes"),Personnel!$D$27*(1-Personnel!$H$27),0)+IF(AND(33&gt;=Personnel!$E$28,Personnel!$G$28="Yes"),Personnel!$D$28*(1-Personnel!$H$28),0)+IF(AND(33&gt;=Personnel!$E$29,Personnel!$G$29="Yes"),Personnel!$D$29*(1-Personnel!$H$29),0)+IF(AND(33&gt;=Personnel!$E$30,Personnel!$G$30="Yes"),Personnel!$D$30*(1-Personnel!$H$30),0)+IF(AND(33&gt;=Personnel!$E$31,Personnel!$G$31="Yes"),Personnel!$D$31*(1-Personnel!$H$31),0)+IF(AND(33&gt;=Personnel!$E$32,Personnel!$G$32="Yes"),Personnel!$D$32*(1-Personnel!$H$32),0)+IF(AND(33&gt;=Personnel!$E$33,Personnel!$G$33="Yes"),Personnel!$D$33*(1-Personnel!$H$33),0)+IF(AND(33&gt;=Personnel!$E$36,Personnel!$G$36="Yes"),Personnel!$D$36*(1-Personnel!$H$36),0)+IF(AND(33&gt;=Personnel!$E$37,Personnel!$G$37="Yes"),Personnel!$D$37*(1-Personnel!$H$37),0)+IF(AND(33&gt;=Personnel!$E$38,Personnel!$G$38="Yes"),Personnel!$D$38*(1-Personnel!$H$38),0)+IF(AND(33&gt;=Personnel!$E$39,Personnel!$G$39="Yes"),Personnel!$D$39*(1-Personnel!$H$39),0)+IF(AND(33&gt;=Personnel!$E$40,Personnel!$G$40="Yes"),Personnel!$D$40*(1-Personnel!$H$40),0)+IF(AND(33&gt;=Personnel!$E$41,Personnel!$G$41="Yes"),Personnel!$D$41*(1-Personnel!$H$41),0)+IF(AND(33&gt;=Personnel!$E$42,Personnel!$G$42="Yes"),Personnel!$D$42*(1-Personnel!$H$42),0))*Escalation!$B$34</f>
        <v>357420.74999999988</v>
      </c>
      <c r="AJ4" s="231">
        <f>(IF(AND(34&gt;=Personnel!$E$2,Personnel!$G$2="Yes"),Personnel!$D$2*(1-Personnel!$H$2),0)+IF(AND(34&gt;=Personnel!$E$3,Personnel!$G$3="Yes"),Personnel!$D$3*(1-Personnel!$H$3),0)+IF(AND(34&gt;=Personnel!$E$4,Personnel!$G$4="Yes"),Personnel!$D$4*(1-Personnel!$H$4),0)+IF(AND(34&gt;=Personnel!$E$5,Personnel!$G$5="Yes"),Personnel!$D$5*(1-Personnel!$H$5),0)+IF(AND(34&gt;=Personnel!$E$6,Personnel!$G$6="Yes"),Personnel!$D$6*(1-Personnel!$H$6),0)+IF(AND(34&gt;=Personnel!$E$7,Personnel!$G$7="Yes"),Personnel!$D$7*(1-Personnel!$H$7),0)+IF(AND(34&gt;=Personnel!$E$8,Personnel!$G$8="Yes"),Personnel!$D$8*(1-Personnel!$H$8),0)+IF(AND(34&gt;=Personnel!$E$9,Personnel!$G$9="Yes"),Personnel!$D$9*(1-Personnel!$H$9),0)+IF(AND(34&gt;=Personnel!$E$10,Personnel!$G$10="Yes"),Personnel!$D$10*(1-Personnel!$H$10),0)+IF(AND(34&gt;=Personnel!$E$11,Personnel!$G$11="Yes"),Personnel!$D$11*(1-Personnel!$H$11),0)+IF(AND(34&gt;=Personnel!$E$12,Personnel!$G$12="Yes"),Personnel!$D$12*(1-Personnel!$H$12),0)+IF(AND(34&gt;=Personnel!$E$13,Personnel!$G$13="Yes"),Personnel!$D$13*(1-Personnel!$H$13),0)+IF(AND(34&gt;=Personnel!$E$14,Personnel!$G$14="Yes"),Personnel!$D$14*(1-Personnel!$H$14),0)+IF(AND(34&gt;=Personnel!$E$15,Personnel!$G$15="Yes"),Personnel!$D$15*(1-Personnel!$H$15),0)+IF(AND(34&gt;=Personnel!$E$16,Personnel!$G$16="Yes"),Personnel!$D$16*(1-Personnel!$H$16),0)+IF(AND(34&gt;=Personnel!$E$17,Personnel!$G$17="Yes"),Personnel!$D$17*(1-Personnel!$H$17),0)+IF(AND(34&gt;=Personnel!$E$18,Personnel!$G$18="Yes"),Personnel!$D$18*(1-Personnel!$H$18),0)+IF(AND(34&gt;=Personnel!$E$19,Personnel!$G$19="Yes"),Personnel!$D$19*(1-Personnel!$H$19),0)+IF(AND(34&gt;=Personnel!$E$20,Personnel!$G$20="Yes"),Personnel!$D$20*(1-Personnel!$H$20),0)+IF(AND(34&gt;=Personnel!$E$21,Personnel!$G$21="Yes"),Personnel!$D$21*(1-Personnel!$H$21),0)+IF(AND(34&gt;=Personnel!$E$22,Personnel!$G$22="Yes"),Personnel!$D$22*(1-Personnel!$H$22),0)+IF(AND(34&gt;=Personnel!$E$23,Personnel!$G$23="Yes"),Personnel!$D$23*(1-Personnel!$H$23),0)+IF(AND(34&gt;=Personnel!$E$24,Personnel!$G$24="Yes"),Personnel!$D$24*(1-Personnel!$H$24),0)+IF(AND(34&gt;=Personnel!$E$25,Personnel!$G$25="Yes"),Personnel!$D$25*(1-Personnel!$H$25),0)+IF(AND(34&gt;=Personnel!$E$26,Personnel!$G$26="Yes"),Personnel!$D$26*(1-Personnel!$H$26),0)+IF(AND(34&gt;=Personnel!$E$27,Personnel!$G$27="Yes"),Personnel!$D$27*(1-Personnel!$H$27),0)+IF(AND(34&gt;=Personnel!$E$28,Personnel!$G$28="Yes"),Personnel!$D$28*(1-Personnel!$H$28),0)+IF(AND(34&gt;=Personnel!$E$29,Personnel!$G$29="Yes"),Personnel!$D$29*(1-Personnel!$H$29),0)+IF(AND(34&gt;=Personnel!$E$30,Personnel!$G$30="Yes"),Personnel!$D$30*(1-Personnel!$H$30),0)+IF(AND(34&gt;=Personnel!$E$31,Personnel!$G$31="Yes"),Personnel!$D$31*(1-Personnel!$H$31),0)+IF(AND(34&gt;=Personnel!$E$32,Personnel!$G$32="Yes"),Personnel!$D$32*(1-Personnel!$H$32),0)+IF(AND(34&gt;=Personnel!$E$33,Personnel!$G$33="Yes"),Personnel!$D$33*(1-Personnel!$H$33),0)+IF(AND(34&gt;=Personnel!$E$36,Personnel!$G$36="Yes"),Personnel!$D$36*(1-Personnel!$H$36),0)+IF(AND(34&gt;=Personnel!$E$37,Personnel!$G$37="Yes"),Personnel!$D$37*(1-Personnel!$H$37),0)+IF(AND(34&gt;=Personnel!$E$38,Personnel!$G$38="Yes"),Personnel!$D$38*(1-Personnel!$H$38),0)+IF(AND(34&gt;=Personnel!$E$39,Personnel!$G$39="Yes"),Personnel!$D$39*(1-Personnel!$H$39),0)+IF(AND(34&gt;=Personnel!$E$40,Personnel!$G$40="Yes"),Personnel!$D$40*(1-Personnel!$H$40),0)+IF(AND(34&gt;=Personnel!$E$41,Personnel!$G$41="Yes"),Personnel!$D$41*(1-Personnel!$H$41),0)+IF(AND(34&gt;=Personnel!$E$42,Personnel!$G$42="Yes"),Personnel!$D$42*(1-Personnel!$H$42),0))*Escalation!$B$35</f>
        <v>357420.74999999988</v>
      </c>
      <c r="AK4" s="231">
        <f>(IF(AND(35&gt;=Personnel!$E$2,Personnel!$G$2="Yes"),Personnel!$D$2*(1-Personnel!$H$2),0)+IF(AND(35&gt;=Personnel!$E$3,Personnel!$G$3="Yes"),Personnel!$D$3*(1-Personnel!$H$3),0)+IF(AND(35&gt;=Personnel!$E$4,Personnel!$G$4="Yes"),Personnel!$D$4*(1-Personnel!$H$4),0)+IF(AND(35&gt;=Personnel!$E$5,Personnel!$G$5="Yes"),Personnel!$D$5*(1-Personnel!$H$5),0)+IF(AND(35&gt;=Personnel!$E$6,Personnel!$G$6="Yes"),Personnel!$D$6*(1-Personnel!$H$6),0)+IF(AND(35&gt;=Personnel!$E$7,Personnel!$G$7="Yes"),Personnel!$D$7*(1-Personnel!$H$7),0)+IF(AND(35&gt;=Personnel!$E$8,Personnel!$G$8="Yes"),Personnel!$D$8*(1-Personnel!$H$8),0)+IF(AND(35&gt;=Personnel!$E$9,Personnel!$G$9="Yes"),Personnel!$D$9*(1-Personnel!$H$9),0)+IF(AND(35&gt;=Personnel!$E$10,Personnel!$G$10="Yes"),Personnel!$D$10*(1-Personnel!$H$10),0)+IF(AND(35&gt;=Personnel!$E$11,Personnel!$G$11="Yes"),Personnel!$D$11*(1-Personnel!$H$11),0)+IF(AND(35&gt;=Personnel!$E$12,Personnel!$G$12="Yes"),Personnel!$D$12*(1-Personnel!$H$12),0)+IF(AND(35&gt;=Personnel!$E$13,Personnel!$G$13="Yes"),Personnel!$D$13*(1-Personnel!$H$13),0)+IF(AND(35&gt;=Personnel!$E$14,Personnel!$G$14="Yes"),Personnel!$D$14*(1-Personnel!$H$14),0)+IF(AND(35&gt;=Personnel!$E$15,Personnel!$G$15="Yes"),Personnel!$D$15*(1-Personnel!$H$15),0)+IF(AND(35&gt;=Personnel!$E$16,Personnel!$G$16="Yes"),Personnel!$D$16*(1-Personnel!$H$16),0)+IF(AND(35&gt;=Personnel!$E$17,Personnel!$G$17="Yes"),Personnel!$D$17*(1-Personnel!$H$17),0)+IF(AND(35&gt;=Personnel!$E$18,Personnel!$G$18="Yes"),Personnel!$D$18*(1-Personnel!$H$18),0)+IF(AND(35&gt;=Personnel!$E$19,Personnel!$G$19="Yes"),Personnel!$D$19*(1-Personnel!$H$19),0)+IF(AND(35&gt;=Personnel!$E$20,Personnel!$G$20="Yes"),Personnel!$D$20*(1-Personnel!$H$20),0)+IF(AND(35&gt;=Personnel!$E$21,Personnel!$G$21="Yes"),Personnel!$D$21*(1-Personnel!$H$21),0)+IF(AND(35&gt;=Personnel!$E$22,Personnel!$G$22="Yes"),Personnel!$D$22*(1-Personnel!$H$22),0)+IF(AND(35&gt;=Personnel!$E$23,Personnel!$G$23="Yes"),Personnel!$D$23*(1-Personnel!$H$23),0)+IF(AND(35&gt;=Personnel!$E$24,Personnel!$G$24="Yes"),Personnel!$D$24*(1-Personnel!$H$24),0)+IF(AND(35&gt;=Personnel!$E$25,Personnel!$G$25="Yes"),Personnel!$D$25*(1-Personnel!$H$25),0)+IF(AND(35&gt;=Personnel!$E$26,Personnel!$G$26="Yes"),Personnel!$D$26*(1-Personnel!$H$26),0)+IF(AND(35&gt;=Personnel!$E$27,Personnel!$G$27="Yes"),Personnel!$D$27*(1-Personnel!$H$27),0)+IF(AND(35&gt;=Personnel!$E$28,Personnel!$G$28="Yes"),Personnel!$D$28*(1-Personnel!$H$28),0)+IF(AND(35&gt;=Personnel!$E$29,Personnel!$G$29="Yes"),Personnel!$D$29*(1-Personnel!$H$29),0)+IF(AND(35&gt;=Personnel!$E$30,Personnel!$G$30="Yes"),Personnel!$D$30*(1-Personnel!$H$30),0)+IF(AND(35&gt;=Personnel!$E$31,Personnel!$G$31="Yes"),Personnel!$D$31*(1-Personnel!$H$31),0)+IF(AND(35&gt;=Personnel!$E$32,Personnel!$G$32="Yes"),Personnel!$D$32*(1-Personnel!$H$32),0)+IF(AND(35&gt;=Personnel!$E$33,Personnel!$G$33="Yes"),Personnel!$D$33*(1-Personnel!$H$33),0)+IF(AND(35&gt;=Personnel!$E$36,Personnel!$G$36="Yes"),Personnel!$D$36*(1-Personnel!$H$36),0)+IF(AND(35&gt;=Personnel!$E$37,Personnel!$G$37="Yes"),Personnel!$D$37*(1-Personnel!$H$37),0)+IF(AND(35&gt;=Personnel!$E$38,Personnel!$G$38="Yes"),Personnel!$D$38*(1-Personnel!$H$38),0)+IF(AND(35&gt;=Personnel!$E$39,Personnel!$G$39="Yes"),Personnel!$D$39*(1-Personnel!$H$39),0)+IF(AND(35&gt;=Personnel!$E$40,Personnel!$G$40="Yes"),Personnel!$D$40*(1-Personnel!$H$40),0)+IF(AND(35&gt;=Personnel!$E$41,Personnel!$G$41="Yes"),Personnel!$D$41*(1-Personnel!$H$41),0)+IF(AND(35&gt;=Personnel!$E$42,Personnel!$G$42="Yes"),Personnel!$D$42*(1-Personnel!$H$42),0))*Escalation!$B$36</f>
        <v>357420.74999999988</v>
      </c>
      <c r="AL4" s="231">
        <f>(IF(AND(36&gt;=Personnel!$E$2,Personnel!$G$2="Yes"),Personnel!$D$2*(1-Personnel!$H$2),0)+IF(AND(36&gt;=Personnel!$E$3,Personnel!$G$3="Yes"),Personnel!$D$3*(1-Personnel!$H$3),0)+IF(AND(36&gt;=Personnel!$E$4,Personnel!$G$4="Yes"),Personnel!$D$4*(1-Personnel!$H$4),0)+IF(AND(36&gt;=Personnel!$E$5,Personnel!$G$5="Yes"),Personnel!$D$5*(1-Personnel!$H$5),0)+IF(AND(36&gt;=Personnel!$E$6,Personnel!$G$6="Yes"),Personnel!$D$6*(1-Personnel!$H$6),0)+IF(AND(36&gt;=Personnel!$E$7,Personnel!$G$7="Yes"),Personnel!$D$7*(1-Personnel!$H$7),0)+IF(AND(36&gt;=Personnel!$E$8,Personnel!$G$8="Yes"),Personnel!$D$8*(1-Personnel!$H$8),0)+IF(AND(36&gt;=Personnel!$E$9,Personnel!$G$9="Yes"),Personnel!$D$9*(1-Personnel!$H$9),0)+IF(AND(36&gt;=Personnel!$E$10,Personnel!$G$10="Yes"),Personnel!$D$10*(1-Personnel!$H$10),0)+IF(AND(36&gt;=Personnel!$E$11,Personnel!$G$11="Yes"),Personnel!$D$11*(1-Personnel!$H$11),0)+IF(AND(36&gt;=Personnel!$E$12,Personnel!$G$12="Yes"),Personnel!$D$12*(1-Personnel!$H$12),0)+IF(AND(36&gt;=Personnel!$E$13,Personnel!$G$13="Yes"),Personnel!$D$13*(1-Personnel!$H$13),0)+IF(AND(36&gt;=Personnel!$E$14,Personnel!$G$14="Yes"),Personnel!$D$14*(1-Personnel!$H$14),0)+IF(AND(36&gt;=Personnel!$E$15,Personnel!$G$15="Yes"),Personnel!$D$15*(1-Personnel!$H$15),0)+IF(AND(36&gt;=Personnel!$E$16,Personnel!$G$16="Yes"),Personnel!$D$16*(1-Personnel!$H$16),0)+IF(AND(36&gt;=Personnel!$E$17,Personnel!$G$17="Yes"),Personnel!$D$17*(1-Personnel!$H$17),0)+IF(AND(36&gt;=Personnel!$E$18,Personnel!$G$18="Yes"),Personnel!$D$18*(1-Personnel!$H$18),0)+IF(AND(36&gt;=Personnel!$E$19,Personnel!$G$19="Yes"),Personnel!$D$19*(1-Personnel!$H$19),0)+IF(AND(36&gt;=Personnel!$E$20,Personnel!$G$20="Yes"),Personnel!$D$20*(1-Personnel!$H$20),0)+IF(AND(36&gt;=Personnel!$E$21,Personnel!$G$21="Yes"),Personnel!$D$21*(1-Personnel!$H$21),0)+IF(AND(36&gt;=Personnel!$E$22,Personnel!$G$22="Yes"),Personnel!$D$22*(1-Personnel!$H$22),0)+IF(AND(36&gt;=Personnel!$E$23,Personnel!$G$23="Yes"),Personnel!$D$23*(1-Personnel!$H$23),0)+IF(AND(36&gt;=Personnel!$E$24,Personnel!$G$24="Yes"),Personnel!$D$24*(1-Personnel!$H$24),0)+IF(AND(36&gt;=Personnel!$E$25,Personnel!$G$25="Yes"),Personnel!$D$25*(1-Personnel!$H$25),0)+IF(AND(36&gt;=Personnel!$E$26,Personnel!$G$26="Yes"),Personnel!$D$26*(1-Personnel!$H$26),0)+IF(AND(36&gt;=Personnel!$E$27,Personnel!$G$27="Yes"),Personnel!$D$27*(1-Personnel!$H$27),0)+IF(AND(36&gt;=Personnel!$E$28,Personnel!$G$28="Yes"),Personnel!$D$28*(1-Personnel!$H$28),0)+IF(AND(36&gt;=Personnel!$E$29,Personnel!$G$29="Yes"),Personnel!$D$29*(1-Personnel!$H$29),0)+IF(AND(36&gt;=Personnel!$E$30,Personnel!$G$30="Yes"),Personnel!$D$30*(1-Personnel!$H$30),0)+IF(AND(36&gt;=Personnel!$E$31,Personnel!$G$31="Yes"),Personnel!$D$31*(1-Personnel!$H$31),0)+IF(AND(36&gt;=Personnel!$E$32,Personnel!$G$32="Yes"),Personnel!$D$32*(1-Personnel!$H$32),0)+IF(AND(36&gt;=Personnel!$E$33,Personnel!$G$33="Yes"),Personnel!$D$33*(1-Personnel!$H$33),0)+IF(AND(36&gt;=Personnel!$E$36,Personnel!$G$36="Yes"),Personnel!$D$36*(1-Personnel!$H$36),0)+IF(AND(36&gt;=Personnel!$E$37,Personnel!$G$37="Yes"),Personnel!$D$37*(1-Personnel!$H$37),0)+IF(AND(36&gt;=Personnel!$E$38,Personnel!$G$38="Yes"),Personnel!$D$38*(1-Personnel!$H$38),0)+IF(AND(36&gt;=Personnel!$E$39,Personnel!$G$39="Yes"),Personnel!$D$39*(1-Personnel!$H$39),0)+IF(AND(36&gt;=Personnel!$E$40,Personnel!$G$40="Yes"),Personnel!$D$40*(1-Personnel!$H$40),0)+IF(AND(36&gt;=Personnel!$E$41,Personnel!$G$41="Yes"),Personnel!$D$41*(1-Personnel!$H$41),0)+IF(AND(36&gt;=Personnel!$E$42,Personnel!$G$42="Yes"),Personnel!$D$42*(1-Personnel!$H$42),0))*Escalation!$B$37</f>
        <v>357420.74999999988</v>
      </c>
      <c r="AM4" s="231">
        <f>(IF(AND(37&gt;=Personnel!$E$2,Personnel!$G$2="Yes"),Personnel!$D$2*(1-Personnel!$H$2),0)+IF(AND(37&gt;=Personnel!$E$3,Personnel!$G$3="Yes"),Personnel!$D$3*(1-Personnel!$H$3),0)+IF(AND(37&gt;=Personnel!$E$4,Personnel!$G$4="Yes"),Personnel!$D$4*(1-Personnel!$H$4),0)+IF(AND(37&gt;=Personnel!$E$5,Personnel!$G$5="Yes"),Personnel!$D$5*(1-Personnel!$H$5),0)+IF(AND(37&gt;=Personnel!$E$6,Personnel!$G$6="Yes"),Personnel!$D$6*(1-Personnel!$H$6),0)+IF(AND(37&gt;=Personnel!$E$7,Personnel!$G$7="Yes"),Personnel!$D$7*(1-Personnel!$H$7),0)+IF(AND(37&gt;=Personnel!$E$8,Personnel!$G$8="Yes"),Personnel!$D$8*(1-Personnel!$H$8),0)+IF(AND(37&gt;=Personnel!$E$9,Personnel!$G$9="Yes"),Personnel!$D$9*(1-Personnel!$H$9),0)+IF(AND(37&gt;=Personnel!$E$10,Personnel!$G$10="Yes"),Personnel!$D$10*(1-Personnel!$H$10),0)+IF(AND(37&gt;=Personnel!$E$11,Personnel!$G$11="Yes"),Personnel!$D$11*(1-Personnel!$H$11),0)+IF(AND(37&gt;=Personnel!$E$12,Personnel!$G$12="Yes"),Personnel!$D$12*(1-Personnel!$H$12),0)+IF(AND(37&gt;=Personnel!$E$13,Personnel!$G$13="Yes"),Personnel!$D$13*(1-Personnel!$H$13),0)+IF(AND(37&gt;=Personnel!$E$14,Personnel!$G$14="Yes"),Personnel!$D$14*(1-Personnel!$H$14),0)+IF(AND(37&gt;=Personnel!$E$15,Personnel!$G$15="Yes"),Personnel!$D$15*(1-Personnel!$H$15),0)+IF(AND(37&gt;=Personnel!$E$16,Personnel!$G$16="Yes"),Personnel!$D$16*(1-Personnel!$H$16),0)+IF(AND(37&gt;=Personnel!$E$17,Personnel!$G$17="Yes"),Personnel!$D$17*(1-Personnel!$H$17),0)+IF(AND(37&gt;=Personnel!$E$18,Personnel!$G$18="Yes"),Personnel!$D$18*(1-Personnel!$H$18),0)+IF(AND(37&gt;=Personnel!$E$19,Personnel!$G$19="Yes"),Personnel!$D$19*(1-Personnel!$H$19),0)+IF(AND(37&gt;=Personnel!$E$20,Personnel!$G$20="Yes"),Personnel!$D$20*(1-Personnel!$H$20),0)+IF(AND(37&gt;=Personnel!$E$21,Personnel!$G$21="Yes"),Personnel!$D$21*(1-Personnel!$H$21),0)+IF(AND(37&gt;=Personnel!$E$22,Personnel!$G$22="Yes"),Personnel!$D$22*(1-Personnel!$H$22),0)+IF(AND(37&gt;=Personnel!$E$23,Personnel!$G$23="Yes"),Personnel!$D$23*(1-Personnel!$H$23),0)+IF(AND(37&gt;=Personnel!$E$24,Personnel!$G$24="Yes"),Personnel!$D$24*(1-Personnel!$H$24),0)+IF(AND(37&gt;=Personnel!$E$25,Personnel!$G$25="Yes"),Personnel!$D$25*(1-Personnel!$H$25),0)+IF(AND(37&gt;=Personnel!$E$26,Personnel!$G$26="Yes"),Personnel!$D$26*(1-Personnel!$H$26),0)+IF(AND(37&gt;=Personnel!$E$27,Personnel!$G$27="Yes"),Personnel!$D$27*(1-Personnel!$H$27),0)+IF(AND(37&gt;=Personnel!$E$28,Personnel!$G$28="Yes"),Personnel!$D$28*(1-Personnel!$H$28),0)+IF(AND(37&gt;=Personnel!$E$29,Personnel!$G$29="Yes"),Personnel!$D$29*(1-Personnel!$H$29),0)+IF(AND(37&gt;=Personnel!$E$30,Personnel!$G$30="Yes"),Personnel!$D$30*(1-Personnel!$H$30),0)+IF(AND(37&gt;=Personnel!$E$31,Personnel!$G$31="Yes"),Personnel!$D$31*(1-Personnel!$H$31),0)+IF(AND(37&gt;=Personnel!$E$32,Personnel!$G$32="Yes"),Personnel!$D$32*(1-Personnel!$H$32),0)+IF(AND(37&gt;=Personnel!$E$33,Personnel!$G$33="Yes"),Personnel!$D$33*(1-Personnel!$H$33),0)+IF(AND(37&gt;=Personnel!$E$36,Personnel!$G$36="Yes"),Personnel!$D$36*(1-Personnel!$H$36),0)+IF(AND(37&gt;=Personnel!$E$37,Personnel!$G$37="Yes"),Personnel!$D$37*(1-Personnel!$H$37),0)+IF(AND(37&gt;=Personnel!$E$38,Personnel!$G$38="Yes"),Personnel!$D$38*(1-Personnel!$H$38),0)+IF(AND(37&gt;=Personnel!$E$39,Personnel!$G$39="Yes"),Personnel!$D$39*(1-Personnel!$H$39),0)+IF(AND(37&gt;=Personnel!$E$40,Personnel!$G$40="Yes"),Personnel!$D$40*(1-Personnel!$H$40),0)+IF(AND(37&gt;=Personnel!$E$41,Personnel!$G$41="Yes"),Personnel!$D$41*(1-Personnel!$H$41),0)+IF(AND(37&gt;=Personnel!$E$42,Personnel!$G$42="Yes"),Personnel!$D$42*(1-Personnel!$H$42),0))*Escalation!$B$38</f>
        <v>364569.16499999986</v>
      </c>
      <c r="AN4" s="231">
        <f>(IF(AND(38&gt;=Personnel!$E$2,Personnel!$G$2="Yes"),Personnel!$D$2*(1-Personnel!$H$2),0)+IF(AND(38&gt;=Personnel!$E$3,Personnel!$G$3="Yes"),Personnel!$D$3*(1-Personnel!$H$3),0)+IF(AND(38&gt;=Personnel!$E$4,Personnel!$G$4="Yes"),Personnel!$D$4*(1-Personnel!$H$4),0)+IF(AND(38&gt;=Personnel!$E$5,Personnel!$G$5="Yes"),Personnel!$D$5*(1-Personnel!$H$5),0)+IF(AND(38&gt;=Personnel!$E$6,Personnel!$G$6="Yes"),Personnel!$D$6*(1-Personnel!$H$6),0)+IF(AND(38&gt;=Personnel!$E$7,Personnel!$G$7="Yes"),Personnel!$D$7*(1-Personnel!$H$7),0)+IF(AND(38&gt;=Personnel!$E$8,Personnel!$G$8="Yes"),Personnel!$D$8*(1-Personnel!$H$8),0)+IF(AND(38&gt;=Personnel!$E$9,Personnel!$G$9="Yes"),Personnel!$D$9*(1-Personnel!$H$9),0)+IF(AND(38&gt;=Personnel!$E$10,Personnel!$G$10="Yes"),Personnel!$D$10*(1-Personnel!$H$10),0)+IF(AND(38&gt;=Personnel!$E$11,Personnel!$G$11="Yes"),Personnel!$D$11*(1-Personnel!$H$11),0)+IF(AND(38&gt;=Personnel!$E$12,Personnel!$G$12="Yes"),Personnel!$D$12*(1-Personnel!$H$12),0)+IF(AND(38&gt;=Personnel!$E$13,Personnel!$G$13="Yes"),Personnel!$D$13*(1-Personnel!$H$13),0)+IF(AND(38&gt;=Personnel!$E$14,Personnel!$G$14="Yes"),Personnel!$D$14*(1-Personnel!$H$14),0)+IF(AND(38&gt;=Personnel!$E$15,Personnel!$G$15="Yes"),Personnel!$D$15*(1-Personnel!$H$15),0)+IF(AND(38&gt;=Personnel!$E$16,Personnel!$G$16="Yes"),Personnel!$D$16*(1-Personnel!$H$16),0)+IF(AND(38&gt;=Personnel!$E$17,Personnel!$G$17="Yes"),Personnel!$D$17*(1-Personnel!$H$17),0)+IF(AND(38&gt;=Personnel!$E$18,Personnel!$G$18="Yes"),Personnel!$D$18*(1-Personnel!$H$18),0)+IF(AND(38&gt;=Personnel!$E$19,Personnel!$G$19="Yes"),Personnel!$D$19*(1-Personnel!$H$19),0)+IF(AND(38&gt;=Personnel!$E$20,Personnel!$G$20="Yes"),Personnel!$D$20*(1-Personnel!$H$20),0)+IF(AND(38&gt;=Personnel!$E$21,Personnel!$G$21="Yes"),Personnel!$D$21*(1-Personnel!$H$21),0)+IF(AND(38&gt;=Personnel!$E$22,Personnel!$G$22="Yes"),Personnel!$D$22*(1-Personnel!$H$22),0)+IF(AND(38&gt;=Personnel!$E$23,Personnel!$G$23="Yes"),Personnel!$D$23*(1-Personnel!$H$23),0)+IF(AND(38&gt;=Personnel!$E$24,Personnel!$G$24="Yes"),Personnel!$D$24*(1-Personnel!$H$24),0)+IF(AND(38&gt;=Personnel!$E$25,Personnel!$G$25="Yes"),Personnel!$D$25*(1-Personnel!$H$25),0)+IF(AND(38&gt;=Personnel!$E$26,Personnel!$G$26="Yes"),Personnel!$D$26*(1-Personnel!$H$26),0)+IF(AND(38&gt;=Personnel!$E$27,Personnel!$G$27="Yes"),Personnel!$D$27*(1-Personnel!$H$27),0)+IF(AND(38&gt;=Personnel!$E$28,Personnel!$G$28="Yes"),Personnel!$D$28*(1-Personnel!$H$28),0)+IF(AND(38&gt;=Personnel!$E$29,Personnel!$G$29="Yes"),Personnel!$D$29*(1-Personnel!$H$29),0)+IF(AND(38&gt;=Personnel!$E$30,Personnel!$G$30="Yes"),Personnel!$D$30*(1-Personnel!$H$30),0)+IF(AND(38&gt;=Personnel!$E$31,Personnel!$G$31="Yes"),Personnel!$D$31*(1-Personnel!$H$31),0)+IF(AND(38&gt;=Personnel!$E$32,Personnel!$G$32="Yes"),Personnel!$D$32*(1-Personnel!$H$32),0)+IF(AND(38&gt;=Personnel!$E$33,Personnel!$G$33="Yes"),Personnel!$D$33*(1-Personnel!$H$33),0)+IF(AND(38&gt;=Personnel!$E$36,Personnel!$G$36="Yes"),Personnel!$D$36*(1-Personnel!$H$36),0)+IF(AND(38&gt;=Personnel!$E$37,Personnel!$G$37="Yes"),Personnel!$D$37*(1-Personnel!$H$37),0)+IF(AND(38&gt;=Personnel!$E$38,Personnel!$G$38="Yes"),Personnel!$D$38*(1-Personnel!$H$38),0)+IF(AND(38&gt;=Personnel!$E$39,Personnel!$G$39="Yes"),Personnel!$D$39*(1-Personnel!$H$39),0)+IF(AND(38&gt;=Personnel!$E$40,Personnel!$G$40="Yes"),Personnel!$D$40*(1-Personnel!$H$40),0)+IF(AND(38&gt;=Personnel!$E$41,Personnel!$G$41="Yes"),Personnel!$D$41*(1-Personnel!$H$41),0)+IF(AND(38&gt;=Personnel!$E$42,Personnel!$G$42="Yes"),Personnel!$D$42*(1-Personnel!$H$42),0))*Escalation!$B$39</f>
        <v>364569.16499999986</v>
      </c>
      <c r="AO4" s="231">
        <f>(IF(AND(39&gt;=Personnel!$E$2,Personnel!$G$2="Yes"),Personnel!$D$2*(1-Personnel!$H$2),0)+IF(AND(39&gt;=Personnel!$E$3,Personnel!$G$3="Yes"),Personnel!$D$3*(1-Personnel!$H$3),0)+IF(AND(39&gt;=Personnel!$E$4,Personnel!$G$4="Yes"),Personnel!$D$4*(1-Personnel!$H$4),0)+IF(AND(39&gt;=Personnel!$E$5,Personnel!$G$5="Yes"),Personnel!$D$5*(1-Personnel!$H$5),0)+IF(AND(39&gt;=Personnel!$E$6,Personnel!$G$6="Yes"),Personnel!$D$6*(1-Personnel!$H$6),0)+IF(AND(39&gt;=Personnel!$E$7,Personnel!$G$7="Yes"),Personnel!$D$7*(1-Personnel!$H$7),0)+IF(AND(39&gt;=Personnel!$E$8,Personnel!$G$8="Yes"),Personnel!$D$8*(1-Personnel!$H$8),0)+IF(AND(39&gt;=Personnel!$E$9,Personnel!$G$9="Yes"),Personnel!$D$9*(1-Personnel!$H$9),0)+IF(AND(39&gt;=Personnel!$E$10,Personnel!$G$10="Yes"),Personnel!$D$10*(1-Personnel!$H$10),0)+IF(AND(39&gt;=Personnel!$E$11,Personnel!$G$11="Yes"),Personnel!$D$11*(1-Personnel!$H$11),0)+IF(AND(39&gt;=Personnel!$E$12,Personnel!$G$12="Yes"),Personnel!$D$12*(1-Personnel!$H$12),0)+IF(AND(39&gt;=Personnel!$E$13,Personnel!$G$13="Yes"),Personnel!$D$13*(1-Personnel!$H$13),0)+IF(AND(39&gt;=Personnel!$E$14,Personnel!$G$14="Yes"),Personnel!$D$14*(1-Personnel!$H$14),0)+IF(AND(39&gt;=Personnel!$E$15,Personnel!$G$15="Yes"),Personnel!$D$15*(1-Personnel!$H$15),0)+IF(AND(39&gt;=Personnel!$E$16,Personnel!$G$16="Yes"),Personnel!$D$16*(1-Personnel!$H$16),0)+IF(AND(39&gt;=Personnel!$E$17,Personnel!$G$17="Yes"),Personnel!$D$17*(1-Personnel!$H$17),0)+IF(AND(39&gt;=Personnel!$E$18,Personnel!$G$18="Yes"),Personnel!$D$18*(1-Personnel!$H$18),0)+IF(AND(39&gt;=Personnel!$E$19,Personnel!$G$19="Yes"),Personnel!$D$19*(1-Personnel!$H$19),0)+IF(AND(39&gt;=Personnel!$E$20,Personnel!$G$20="Yes"),Personnel!$D$20*(1-Personnel!$H$20),0)+IF(AND(39&gt;=Personnel!$E$21,Personnel!$G$21="Yes"),Personnel!$D$21*(1-Personnel!$H$21),0)+IF(AND(39&gt;=Personnel!$E$22,Personnel!$G$22="Yes"),Personnel!$D$22*(1-Personnel!$H$22),0)+IF(AND(39&gt;=Personnel!$E$23,Personnel!$G$23="Yes"),Personnel!$D$23*(1-Personnel!$H$23),0)+IF(AND(39&gt;=Personnel!$E$24,Personnel!$G$24="Yes"),Personnel!$D$24*(1-Personnel!$H$24),0)+IF(AND(39&gt;=Personnel!$E$25,Personnel!$G$25="Yes"),Personnel!$D$25*(1-Personnel!$H$25),0)+IF(AND(39&gt;=Personnel!$E$26,Personnel!$G$26="Yes"),Personnel!$D$26*(1-Personnel!$H$26),0)+IF(AND(39&gt;=Personnel!$E$27,Personnel!$G$27="Yes"),Personnel!$D$27*(1-Personnel!$H$27),0)+IF(AND(39&gt;=Personnel!$E$28,Personnel!$G$28="Yes"),Personnel!$D$28*(1-Personnel!$H$28),0)+IF(AND(39&gt;=Personnel!$E$29,Personnel!$G$29="Yes"),Personnel!$D$29*(1-Personnel!$H$29),0)+IF(AND(39&gt;=Personnel!$E$30,Personnel!$G$30="Yes"),Personnel!$D$30*(1-Personnel!$H$30),0)+IF(AND(39&gt;=Personnel!$E$31,Personnel!$G$31="Yes"),Personnel!$D$31*(1-Personnel!$H$31),0)+IF(AND(39&gt;=Personnel!$E$32,Personnel!$G$32="Yes"),Personnel!$D$32*(1-Personnel!$H$32),0)+IF(AND(39&gt;=Personnel!$E$33,Personnel!$G$33="Yes"),Personnel!$D$33*(1-Personnel!$H$33),0)+IF(AND(39&gt;=Personnel!$E$36,Personnel!$G$36="Yes"),Personnel!$D$36*(1-Personnel!$H$36),0)+IF(AND(39&gt;=Personnel!$E$37,Personnel!$G$37="Yes"),Personnel!$D$37*(1-Personnel!$H$37),0)+IF(AND(39&gt;=Personnel!$E$38,Personnel!$G$38="Yes"),Personnel!$D$38*(1-Personnel!$H$38),0)+IF(AND(39&gt;=Personnel!$E$39,Personnel!$G$39="Yes"),Personnel!$D$39*(1-Personnel!$H$39),0)+IF(AND(39&gt;=Personnel!$E$40,Personnel!$G$40="Yes"),Personnel!$D$40*(1-Personnel!$H$40),0)+IF(AND(39&gt;=Personnel!$E$41,Personnel!$G$41="Yes"),Personnel!$D$41*(1-Personnel!$H$41),0)+IF(AND(39&gt;=Personnel!$E$42,Personnel!$G$42="Yes"),Personnel!$D$42*(1-Personnel!$H$42),0))*Escalation!$B$40</f>
        <v>364569.16499999986</v>
      </c>
      <c r="AP4" s="231">
        <f>(IF(AND(40&gt;=Personnel!$E$2,Personnel!$G$2="Yes"),Personnel!$D$2*(1-Personnel!$H$2),0)+IF(AND(40&gt;=Personnel!$E$3,Personnel!$G$3="Yes"),Personnel!$D$3*(1-Personnel!$H$3),0)+IF(AND(40&gt;=Personnel!$E$4,Personnel!$G$4="Yes"),Personnel!$D$4*(1-Personnel!$H$4),0)+IF(AND(40&gt;=Personnel!$E$5,Personnel!$G$5="Yes"),Personnel!$D$5*(1-Personnel!$H$5),0)+IF(AND(40&gt;=Personnel!$E$6,Personnel!$G$6="Yes"),Personnel!$D$6*(1-Personnel!$H$6),0)+IF(AND(40&gt;=Personnel!$E$7,Personnel!$G$7="Yes"),Personnel!$D$7*(1-Personnel!$H$7),0)+IF(AND(40&gt;=Personnel!$E$8,Personnel!$G$8="Yes"),Personnel!$D$8*(1-Personnel!$H$8),0)+IF(AND(40&gt;=Personnel!$E$9,Personnel!$G$9="Yes"),Personnel!$D$9*(1-Personnel!$H$9),0)+IF(AND(40&gt;=Personnel!$E$10,Personnel!$G$10="Yes"),Personnel!$D$10*(1-Personnel!$H$10),0)+IF(AND(40&gt;=Personnel!$E$11,Personnel!$G$11="Yes"),Personnel!$D$11*(1-Personnel!$H$11),0)+IF(AND(40&gt;=Personnel!$E$12,Personnel!$G$12="Yes"),Personnel!$D$12*(1-Personnel!$H$12),0)+IF(AND(40&gt;=Personnel!$E$13,Personnel!$G$13="Yes"),Personnel!$D$13*(1-Personnel!$H$13),0)+IF(AND(40&gt;=Personnel!$E$14,Personnel!$G$14="Yes"),Personnel!$D$14*(1-Personnel!$H$14),0)+IF(AND(40&gt;=Personnel!$E$15,Personnel!$G$15="Yes"),Personnel!$D$15*(1-Personnel!$H$15),0)+IF(AND(40&gt;=Personnel!$E$16,Personnel!$G$16="Yes"),Personnel!$D$16*(1-Personnel!$H$16),0)+IF(AND(40&gt;=Personnel!$E$17,Personnel!$G$17="Yes"),Personnel!$D$17*(1-Personnel!$H$17),0)+IF(AND(40&gt;=Personnel!$E$18,Personnel!$G$18="Yes"),Personnel!$D$18*(1-Personnel!$H$18),0)+IF(AND(40&gt;=Personnel!$E$19,Personnel!$G$19="Yes"),Personnel!$D$19*(1-Personnel!$H$19),0)+IF(AND(40&gt;=Personnel!$E$20,Personnel!$G$20="Yes"),Personnel!$D$20*(1-Personnel!$H$20),0)+IF(AND(40&gt;=Personnel!$E$21,Personnel!$G$21="Yes"),Personnel!$D$21*(1-Personnel!$H$21),0)+IF(AND(40&gt;=Personnel!$E$22,Personnel!$G$22="Yes"),Personnel!$D$22*(1-Personnel!$H$22),0)+IF(AND(40&gt;=Personnel!$E$23,Personnel!$G$23="Yes"),Personnel!$D$23*(1-Personnel!$H$23),0)+IF(AND(40&gt;=Personnel!$E$24,Personnel!$G$24="Yes"),Personnel!$D$24*(1-Personnel!$H$24),0)+IF(AND(40&gt;=Personnel!$E$25,Personnel!$G$25="Yes"),Personnel!$D$25*(1-Personnel!$H$25),0)+IF(AND(40&gt;=Personnel!$E$26,Personnel!$G$26="Yes"),Personnel!$D$26*(1-Personnel!$H$26),0)+IF(AND(40&gt;=Personnel!$E$27,Personnel!$G$27="Yes"),Personnel!$D$27*(1-Personnel!$H$27),0)+IF(AND(40&gt;=Personnel!$E$28,Personnel!$G$28="Yes"),Personnel!$D$28*(1-Personnel!$H$28),0)+IF(AND(40&gt;=Personnel!$E$29,Personnel!$G$29="Yes"),Personnel!$D$29*(1-Personnel!$H$29),0)+IF(AND(40&gt;=Personnel!$E$30,Personnel!$G$30="Yes"),Personnel!$D$30*(1-Personnel!$H$30),0)+IF(AND(40&gt;=Personnel!$E$31,Personnel!$G$31="Yes"),Personnel!$D$31*(1-Personnel!$H$31),0)+IF(AND(40&gt;=Personnel!$E$32,Personnel!$G$32="Yes"),Personnel!$D$32*(1-Personnel!$H$32),0)+IF(AND(40&gt;=Personnel!$E$33,Personnel!$G$33="Yes"),Personnel!$D$33*(1-Personnel!$H$33),0)+IF(AND(40&gt;=Personnel!$E$36,Personnel!$G$36="Yes"),Personnel!$D$36*(1-Personnel!$H$36),0)+IF(AND(40&gt;=Personnel!$E$37,Personnel!$G$37="Yes"),Personnel!$D$37*(1-Personnel!$H$37),0)+IF(AND(40&gt;=Personnel!$E$38,Personnel!$G$38="Yes"),Personnel!$D$38*(1-Personnel!$H$38),0)+IF(AND(40&gt;=Personnel!$E$39,Personnel!$G$39="Yes"),Personnel!$D$39*(1-Personnel!$H$39),0)+IF(AND(40&gt;=Personnel!$E$40,Personnel!$G$40="Yes"),Personnel!$D$40*(1-Personnel!$H$40),0)+IF(AND(40&gt;=Personnel!$E$41,Personnel!$G$41="Yes"),Personnel!$D$41*(1-Personnel!$H$41),0)+IF(AND(40&gt;=Personnel!$E$42,Personnel!$G$42="Yes"),Personnel!$D$42*(1-Personnel!$H$42),0))*Escalation!$B$41</f>
        <v>364569.16499999986</v>
      </c>
      <c r="AQ4" s="231">
        <f>(IF(AND(41&gt;=Personnel!$E$2,Personnel!$G$2="Yes"),Personnel!$D$2*(1-Personnel!$H$2),0)+IF(AND(41&gt;=Personnel!$E$3,Personnel!$G$3="Yes"),Personnel!$D$3*(1-Personnel!$H$3),0)+IF(AND(41&gt;=Personnel!$E$4,Personnel!$G$4="Yes"),Personnel!$D$4*(1-Personnel!$H$4),0)+IF(AND(41&gt;=Personnel!$E$5,Personnel!$G$5="Yes"),Personnel!$D$5*(1-Personnel!$H$5),0)+IF(AND(41&gt;=Personnel!$E$6,Personnel!$G$6="Yes"),Personnel!$D$6*(1-Personnel!$H$6),0)+IF(AND(41&gt;=Personnel!$E$7,Personnel!$G$7="Yes"),Personnel!$D$7*(1-Personnel!$H$7),0)+IF(AND(41&gt;=Personnel!$E$8,Personnel!$G$8="Yes"),Personnel!$D$8*(1-Personnel!$H$8),0)+IF(AND(41&gt;=Personnel!$E$9,Personnel!$G$9="Yes"),Personnel!$D$9*(1-Personnel!$H$9),0)+IF(AND(41&gt;=Personnel!$E$10,Personnel!$G$10="Yes"),Personnel!$D$10*(1-Personnel!$H$10),0)+IF(AND(41&gt;=Personnel!$E$11,Personnel!$G$11="Yes"),Personnel!$D$11*(1-Personnel!$H$11),0)+IF(AND(41&gt;=Personnel!$E$12,Personnel!$G$12="Yes"),Personnel!$D$12*(1-Personnel!$H$12),0)+IF(AND(41&gt;=Personnel!$E$13,Personnel!$G$13="Yes"),Personnel!$D$13*(1-Personnel!$H$13),0)+IF(AND(41&gt;=Personnel!$E$14,Personnel!$G$14="Yes"),Personnel!$D$14*(1-Personnel!$H$14),0)+IF(AND(41&gt;=Personnel!$E$15,Personnel!$G$15="Yes"),Personnel!$D$15*(1-Personnel!$H$15),0)+IF(AND(41&gt;=Personnel!$E$16,Personnel!$G$16="Yes"),Personnel!$D$16*(1-Personnel!$H$16),0)+IF(AND(41&gt;=Personnel!$E$17,Personnel!$G$17="Yes"),Personnel!$D$17*(1-Personnel!$H$17),0)+IF(AND(41&gt;=Personnel!$E$18,Personnel!$G$18="Yes"),Personnel!$D$18*(1-Personnel!$H$18),0)+IF(AND(41&gt;=Personnel!$E$19,Personnel!$G$19="Yes"),Personnel!$D$19*(1-Personnel!$H$19),0)+IF(AND(41&gt;=Personnel!$E$20,Personnel!$G$20="Yes"),Personnel!$D$20*(1-Personnel!$H$20),0)+IF(AND(41&gt;=Personnel!$E$21,Personnel!$G$21="Yes"),Personnel!$D$21*(1-Personnel!$H$21),0)+IF(AND(41&gt;=Personnel!$E$22,Personnel!$G$22="Yes"),Personnel!$D$22*(1-Personnel!$H$22),0)+IF(AND(41&gt;=Personnel!$E$23,Personnel!$G$23="Yes"),Personnel!$D$23*(1-Personnel!$H$23),0)+IF(AND(41&gt;=Personnel!$E$24,Personnel!$G$24="Yes"),Personnel!$D$24*(1-Personnel!$H$24),0)+IF(AND(41&gt;=Personnel!$E$25,Personnel!$G$25="Yes"),Personnel!$D$25*(1-Personnel!$H$25),0)+IF(AND(41&gt;=Personnel!$E$26,Personnel!$G$26="Yes"),Personnel!$D$26*(1-Personnel!$H$26),0)+IF(AND(41&gt;=Personnel!$E$27,Personnel!$G$27="Yes"),Personnel!$D$27*(1-Personnel!$H$27),0)+IF(AND(41&gt;=Personnel!$E$28,Personnel!$G$28="Yes"),Personnel!$D$28*(1-Personnel!$H$28),0)+IF(AND(41&gt;=Personnel!$E$29,Personnel!$G$29="Yes"),Personnel!$D$29*(1-Personnel!$H$29),0)+IF(AND(41&gt;=Personnel!$E$30,Personnel!$G$30="Yes"),Personnel!$D$30*(1-Personnel!$H$30),0)+IF(AND(41&gt;=Personnel!$E$31,Personnel!$G$31="Yes"),Personnel!$D$31*(1-Personnel!$H$31),0)+IF(AND(41&gt;=Personnel!$E$32,Personnel!$G$32="Yes"),Personnel!$D$32*(1-Personnel!$H$32),0)+IF(AND(41&gt;=Personnel!$E$33,Personnel!$G$33="Yes"),Personnel!$D$33*(1-Personnel!$H$33),0)+IF(AND(41&gt;=Personnel!$E$36,Personnel!$G$36="Yes"),Personnel!$D$36*(1-Personnel!$H$36),0)+IF(AND(41&gt;=Personnel!$E$37,Personnel!$G$37="Yes"),Personnel!$D$37*(1-Personnel!$H$37),0)+IF(AND(41&gt;=Personnel!$E$38,Personnel!$G$38="Yes"),Personnel!$D$38*(1-Personnel!$H$38),0)+IF(AND(41&gt;=Personnel!$E$39,Personnel!$G$39="Yes"),Personnel!$D$39*(1-Personnel!$H$39),0)+IF(AND(41&gt;=Personnel!$E$40,Personnel!$G$40="Yes"),Personnel!$D$40*(1-Personnel!$H$40),0)+IF(AND(41&gt;=Personnel!$E$41,Personnel!$G$41="Yes"),Personnel!$D$41*(1-Personnel!$H$41),0)+IF(AND(41&gt;=Personnel!$E$42,Personnel!$G$42="Yes"),Personnel!$D$42*(1-Personnel!$H$42),0))*Escalation!$B$42</f>
        <v>364569.16499999986</v>
      </c>
      <c r="AR4" s="231">
        <f>(IF(AND(42&gt;=Personnel!$E$2,Personnel!$G$2="Yes"),Personnel!$D$2*(1-Personnel!$H$2),0)+IF(AND(42&gt;=Personnel!$E$3,Personnel!$G$3="Yes"),Personnel!$D$3*(1-Personnel!$H$3),0)+IF(AND(42&gt;=Personnel!$E$4,Personnel!$G$4="Yes"),Personnel!$D$4*(1-Personnel!$H$4),0)+IF(AND(42&gt;=Personnel!$E$5,Personnel!$G$5="Yes"),Personnel!$D$5*(1-Personnel!$H$5),0)+IF(AND(42&gt;=Personnel!$E$6,Personnel!$G$6="Yes"),Personnel!$D$6*(1-Personnel!$H$6),0)+IF(AND(42&gt;=Personnel!$E$7,Personnel!$G$7="Yes"),Personnel!$D$7*(1-Personnel!$H$7),0)+IF(AND(42&gt;=Personnel!$E$8,Personnel!$G$8="Yes"),Personnel!$D$8*(1-Personnel!$H$8),0)+IF(AND(42&gt;=Personnel!$E$9,Personnel!$G$9="Yes"),Personnel!$D$9*(1-Personnel!$H$9),0)+IF(AND(42&gt;=Personnel!$E$10,Personnel!$G$10="Yes"),Personnel!$D$10*(1-Personnel!$H$10),0)+IF(AND(42&gt;=Personnel!$E$11,Personnel!$G$11="Yes"),Personnel!$D$11*(1-Personnel!$H$11),0)+IF(AND(42&gt;=Personnel!$E$12,Personnel!$G$12="Yes"),Personnel!$D$12*(1-Personnel!$H$12),0)+IF(AND(42&gt;=Personnel!$E$13,Personnel!$G$13="Yes"),Personnel!$D$13*(1-Personnel!$H$13),0)+IF(AND(42&gt;=Personnel!$E$14,Personnel!$G$14="Yes"),Personnel!$D$14*(1-Personnel!$H$14),0)+IF(AND(42&gt;=Personnel!$E$15,Personnel!$G$15="Yes"),Personnel!$D$15*(1-Personnel!$H$15),0)+IF(AND(42&gt;=Personnel!$E$16,Personnel!$G$16="Yes"),Personnel!$D$16*(1-Personnel!$H$16),0)+IF(AND(42&gt;=Personnel!$E$17,Personnel!$G$17="Yes"),Personnel!$D$17*(1-Personnel!$H$17),0)+IF(AND(42&gt;=Personnel!$E$18,Personnel!$G$18="Yes"),Personnel!$D$18*(1-Personnel!$H$18),0)+IF(AND(42&gt;=Personnel!$E$19,Personnel!$G$19="Yes"),Personnel!$D$19*(1-Personnel!$H$19),0)+IF(AND(42&gt;=Personnel!$E$20,Personnel!$G$20="Yes"),Personnel!$D$20*(1-Personnel!$H$20),0)+IF(AND(42&gt;=Personnel!$E$21,Personnel!$G$21="Yes"),Personnel!$D$21*(1-Personnel!$H$21),0)+IF(AND(42&gt;=Personnel!$E$22,Personnel!$G$22="Yes"),Personnel!$D$22*(1-Personnel!$H$22),0)+IF(AND(42&gt;=Personnel!$E$23,Personnel!$G$23="Yes"),Personnel!$D$23*(1-Personnel!$H$23),0)+IF(AND(42&gt;=Personnel!$E$24,Personnel!$G$24="Yes"),Personnel!$D$24*(1-Personnel!$H$24),0)+IF(AND(42&gt;=Personnel!$E$25,Personnel!$G$25="Yes"),Personnel!$D$25*(1-Personnel!$H$25),0)+IF(AND(42&gt;=Personnel!$E$26,Personnel!$G$26="Yes"),Personnel!$D$26*(1-Personnel!$H$26),0)+IF(AND(42&gt;=Personnel!$E$27,Personnel!$G$27="Yes"),Personnel!$D$27*(1-Personnel!$H$27),0)+IF(AND(42&gt;=Personnel!$E$28,Personnel!$G$28="Yes"),Personnel!$D$28*(1-Personnel!$H$28),0)+IF(AND(42&gt;=Personnel!$E$29,Personnel!$G$29="Yes"),Personnel!$D$29*(1-Personnel!$H$29),0)+IF(AND(42&gt;=Personnel!$E$30,Personnel!$G$30="Yes"),Personnel!$D$30*(1-Personnel!$H$30),0)+IF(AND(42&gt;=Personnel!$E$31,Personnel!$G$31="Yes"),Personnel!$D$31*(1-Personnel!$H$31),0)+IF(AND(42&gt;=Personnel!$E$32,Personnel!$G$32="Yes"),Personnel!$D$32*(1-Personnel!$H$32),0)+IF(AND(42&gt;=Personnel!$E$33,Personnel!$G$33="Yes"),Personnel!$D$33*(1-Personnel!$H$33),0)+IF(AND(42&gt;=Personnel!$E$36,Personnel!$G$36="Yes"),Personnel!$D$36*(1-Personnel!$H$36),0)+IF(AND(42&gt;=Personnel!$E$37,Personnel!$G$37="Yes"),Personnel!$D$37*(1-Personnel!$H$37),0)+IF(AND(42&gt;=Personnel!$E$38,Personnel!$G$38="Yes"),Personnel!$D$38*(1-Personnel!$H$38),0)+IF(AND(42&gt;=Personnel!$E$39,Personnel!$G$39="Yes"),Personnel!$D$39*(1-Personnel!$H$39),0)+IF(AND(42&gt;=Personnel!$E$40,Personnel!$G$40="Yes"),Personnel!$D$40*(1-Personnel!$H$40),0)+IF(AND(42&gt;=Personnel!$E$41,Personnel!$G$41="Yes"),Personnel!$D$41*(1-Personnel!$H$41),0)+IF(AND(42&gt;=Personnel!$E$42,Personnel!$G$42="Yes"),Personnel!$D$42*(1-Personnel!$H$42),0))*Escalation!$B$43</f>
        <v>364569.16499999986</v>
      </c>
      <c r="AS4" s="231">
        <f>(IF(AND(43&gt;=Personnel!$E$2,Personnel!$G$2="Yes"),Personnel!$D$2*(1-Personnel!$H$2),0)+IF(AND(43&gt;=Personnel!$E$3,Personnel!$G$3="Yes"),Personnel!$D$3*(1-Personnel!$H$3),0)+IF(AND(43&gt;=Personnel!$E$4,Personnel!$G$4="Yes"),Personnel!$D$4*(1-Personnel!$H$4),0)+IF(AND(43&gt;=Personnel!$E$5,Personnel!$G$5="Yes"),Personnel!$D$5*(1-Personnel!$H$5),0)+IF(AND(43&gt;=Personnel!$E$6,Personnel!$G$6="Yes"),Personnel!$D$6*(1-Personnel!$H$6),0)+IF(AND(43&gt;=Personnel!$E$7,Personnel!$G$7="Yes"),Personnel!$D$7*(1-Personnel!$H$7),0)+IF(AND(43&gt;=Personnel!$E$8,Personnel!$G$8="Yes"),Personnel!$D$8*(1-Personnel!$H$8),0)+IF(AND(43&gt;=Personnel!$E$9,Personnel!$G$9="Yes"),Personnel!$D$9*(1-Personnel!$H$9),0)+IF(AND(43&gt;=Personnel!$E$10,Personnel!$G$10="Yes"),Personnel!$D$10*(1-Personnel!$H$10),0)+IF(AND(43&gt;=Personnel!$E$11,Personnel!$G$11="Yes"),Personnel!$D$11*(1-Personnel!$H$11),0)+IF(AND(43&gt;=Personnel!$E$12,Personnel!$G$12="Yes"),Personnel!$D$12*(1-Personnel!$H$12),0)+IF(AND(43&gt;=Personnel!$E$13,Personnel!$G$13="Yes"),Personnel!$D$13*(1-Personnel!$H$13),0)+IF(AND(43&gt;=Personnel!$E$14,Personnel!$G$14="Yes"),Personnel!$D$14*(1-Personnel!$H$14),0)+IF(AND(43&gt;=Personnel!$E$15,Personnel!$G$15="Yes"),Personnel!$D$15*(1-Personnel!$H$15),0)+IF(AND(43&gt;=Personnel!$E$16,Personnel!$G$16="Yes"),Personnel!$D$16*(1-Personnel!$H$16),0)+IF(AND(43&gt;=Personnel!$E$17,Personnel!$G$17="Yes"),Personnel!$D$17*(1-Personnel!$H$17),0)+IF(AND(43&gt;=Personnel!$E$18,Personnel!$G$18="Yes"),Personnel!$D$18*(1-Personnel!$H$18),0)+IF(AND(43&gt;=Personnel!$E$19,Personnel!$G$19="Yes"),Personnel!$D$19*(1-Personnel!$H$19),0)+IF(AND(43&gt;=Personnel!$E$20,Personnel!$G$20="Yes"),Personnel!$D$20*(1-Personnel!$H$20),0)+IF(AND(43&gt;=Personnel!$E$21,Personnel!$G$21="Yes"),Personnel!$D$21*(1-Personnel!$H$21),0)+IF(AND(43&gt;=Personnel!$E$22,Personnel!$G$22="Yes"),Personnel!$D$22*(1-Personnel!$H$22),0)+IF(AND(43&gt;=Personnel!$E$23,Personnel!$G$23="Yes"),Personnel!$D$23*(1-Personnel!$H$23),0)+IF(AND(43&gt;=Personnel!$E$24,Personnel!$G$24="Yes"),Personnel!$D$24*(1-Personnel!$H$24),0)+IF(AND(43&gt;=Personnel!$E$25,Personnel!$G$25="Yes"),Personnel!$D$25*(1-Personnel!$H$25),0)+IF(AND(43&gt;=Personnel!$E$26,Personnel!$G$26="Yes"),Personnel!$D$26*(1-Personnel!$H$26),0)+IF(AND(43&gt;=Personnel!$E$27,Personnel!$G$27="Yes"),Personnel!$D$27*(1-Personnel!$H$27),0)+IF(AND(43&gt;=Personnel!$E$28,Personnel!$G$28="Yes"),Personnel!$D$28*(1-Personnel!$H$28),0)+IF(AND(43&gt;=Personnel!$E$29,Personnel!$G$29="Yes"),Personnel!$D$29*(1-Personnel!$H$29),0)+IF(AND(43&gt;=Personnel!$E$30,Personnel!$G$30="Yes"),Personnel!$D$30*(1-Personnel!$H$30),0)+IF(AND(43&gt;=Personnel!$E$31,Personnel!$G$31="Yes"),Personnel!$D$31*(1-Personnel!$H$31),0)+IF(AND(43&gt;=Personnel!$E$32,Personnel!$G$32="Yes"),Personnel!$D$32*(1-Personnel!$H$32),0)+IF(AND(43&gt;=Personnel!$E$33,Personnel!$G$33="Yes"),Personnel!$D$33*(1-Personnel!$H$33),0)+IF(AND(43&gt;=Personnel!$E$36,Personnel!$G$36="Yes"),Personnel!$D$36*(1-Personnel!$H$36),0)+IF(AND(43&gt;=Personnel!$E$37,Personnel!$G$37="Yes"),Personnel!$D$37*(1-Personnel!$H$37),0)+IF(AND(43&gt;=Personnel!$E$38,Personnel!$G$38="Yes"),Personnel!$D$38*(1-Personnel!$H$38),0)+IF(AND(43&gt;=Personnel!$E$39,Personnel!$G$39="Yes"),Personnel!$D$39*(1-Personnel!$H$39),0)+IF(AND(43&gt;=Personnel!$E$40,Personnel!$G$40="Yes"),Personnel!$D$40*(1-Personnel!$H$40),0)+IF(AND(43&gt;=Personnel!$E$41,Personnel!$G$41="Yes"),Personnel!$D$41*(1-Personnel!$H$41),0)+IF(AND(43&gt;=Personnel!$E$42,Personnel!$G$42="Yes"),Personnel!$D$42*(1-Personnel!$H$42),0))*Escalation!$B$44</f>
        <v>364569.16499999986</v>
      </c>
      <c r="AT4" s="231">
        <f>(IF(AND(44&gt;=Personnel!$E$2,Personnel!$G$2="Yes"),Personnel!$D$2*(1-Personnel!$H$2),0)+IF(AND(44&gt;=Personnel!$E$3,Personnel!$G$3="Yes"),Personnel!$D$3*(1-Personnel!$H$3),0)+IF(AND(44&gt;=Personnel!$E$4,Personnel!$G$4="Yes"),Personnel!$D$4*(1-Personnel!$H$4),0)+IF(AND(44&gt;=Personnel!$E$5,Personnel!$G$5="Yes"),Personnel!$D$5*(1-Personnel!$H$5),0)+IF(AND(44&gt;=Personnel!$E$6,Personnel!$G$6="Yes"),Personnel!$D$6*(1-Personnel!$H$6),0)+IF(AND(44&gt;=Personnel!$E$7,Personnel!$G$7="Yes"),Personnel!$D$7*(1-Personnel!$H$7),0)+IF(AND(44&gt;=Personnel!$E$8,Personnel!$G$8="Yes"),Personnel!$D$8*(1-Personnel!$H$8),0)+IF(AND(44&gt;=Personnel!$E$9,Personnel!$G$9="Yes"),Personnel!$D$9*(1-Personnel!$H$9),0)+IF(AND(44&gt;=Personnel!$E$10,Personnel!$G$10="Yes"),Personnel!$D$10*(1-Personnel!$H$10),0)+IF(AND(44&gt;=Personnel!$E$11,Personnel!$G$11="Yes"),Personnel!$D$11*(1-Personnel!$H$11),0)+IF(AND(44&gt;=Personnel!$E$12,Personnel!$G$12="Yes"),Personnel!$D$12*(1-Personnel!$H$12),0)+IF(AND(44&gt;=Personnel!$E$13,Personnel!$G$13="Yes"),Personnel!$D$13*(1-Personnel!$H$13),0)+IF(AND(44&gt;=Personnel!$E$14,Personnel!$G$14="Yes"),Personnel!$D$14*(1-Personnel!$H$14),0)+IF(AND(44&gt;=Personnel!$E$15,Personnel!$G$15="Yes"),Personnel!$D$15*(1-Personnel!$H$15),0)+IF(AND(44&gt;=Personnel!$E$16,Personnel!$G$16="Yes"),Personnel!$D$16*(1-Personnel!$H$16),0)+IF(AND(44&gt;=Personnel!$E$17,Personnel!$G$17="Yes"),Personnel!$D$17*(1-Personnel!$H$17),0)+IF(AND(44&gt;=Personnel!$E$18,Personnel!$G$18="Yes"),Personnel!$D$18*(1-Personnel!$H$18),0)+IF(AND(44&gt;=Personnel!$E$19,Personnel!$G$19="Yes"),Personnel!$D$19*(1-Personnel!$H$19),0)+IF(AND(44&gt;=Personnel!$E$20,Personnel!$G$20="Yes"),Personnel!$D$20*(1-Personnel!$H$20),0)+IF(AND(44&gt;=Personnel!$E$21,Personnel!$G$21="Yes"),Personnel!$D$21*(1-Personnel!$H$21),0)+IF(AND(44&gt;=Personnel!$E$22,Personnel!$G$22="Yes"),Personnel!$D$22*(1-Personnel!$H$22),0)+IF(AND(44&gt;=Personnel!$E$23,Personnel!$G$23="Yes"),Personnel!$D$23*(1-Personnel!$H$23),0)+IF(AND(44&gt;=Personnel!$E$24,Personnel!$G$24="Yes"),Personnel!$D$24*(1-Personnel!$H$24),0)+IF(AND(44&gt;=Personnel!$E$25,Personnel!$G$25="Yes"),Personnel!$D$25*(1-Personnel!$H$25),0)+IF(AND(44&gt;=Personnel!$E$26,Personnel!$G$26="Yes"),Personnel!$D$26*(1-Personnel!$H$26),0)+IF(AND(44&gt;=Personnel!$E$27,Personnel!$G$27="Yes"),Personnel!$D$27*(1-Personnel!$H$27),0)+IF(AND(44&gt;=Personnel!$E$28,Personnel!$G$28="Yes"),Personnel!$D$28*(1-Personnel!$H$28),0)+IF(AND(44&gt;=Personnel!$E$29,Personnel!$G$29="Yes"),Personnel!$D$29*(1-Personnel!$H$29),0)+IF(AND(44&gt;=Personnel!$E$30,Personnel!$G$30="Yes"),Personnel!$D$30*(1-Personnel!$H$30),0)+IF(AND(44&gt;=Personnel!$E$31,Personnel!$G$31="Yes"),Personnel!$D$31*(1-Personnel!$H$31),0)+IF(AND(44&gt;=Personnel!$E$32,Personnel!$G$32="Yes"),Personnel!$D$32*(1-Personnel!$H$32),0)+IF(AND(44&gt;=Personnel!$E$33,Personnel!$G$33="Yes"),Personnel!$D$33*(1-Personnel!$H$33),0)+IF(AND(44&gt;=Personnel!$E$36,Personnel!$G$36="Yes"),Personnel!$D$36*(1-Personnel!$H$36),0)+IF(AND(44&gt;=Personnel!$E$37,Personnel!$G$37="Yes"),Personnel!$D$37*(1-Personnel!$H$37),0)+IF(AND(44&gt;=Personnel!$E$38,Personnel!$G$38="Yes"),Personnel!$D$38*(1-Personnel!$H$38),0)+IF(AND(44&gt;=Personnel!$E$39,Personnel!$G$39="Yes"),Personnel!$D$39*(1-Personnel!$H$39),0)+IF(AND(44&gt;=Personnel!$E$40,Personnel!$G$40="Yes"),Personnel!$D$40*(1-Personnel!$H$40),0)+IF(AND(44&gt;=Personnel!$E$41,Personnel!$G$41="Yes"),Personnel!$D$41*(1-Personnel!$H$41),0)+IF(AND(44&gt;=Personnel!$E$42,Personnel!$G$42="Yes"),Personnel!$D$42*(1-Personnel!$H$42),0))*Escalation!$B$45</f>
        <v>364569.16499999986</v>
      </c>
      <c r="AU4" s="231">
        <f>(IF(AND(45&gt;=Personnel!$E$2,Personnel!$G$2="Yes"),Personnel!$D$2*(1-Personnel!$H$2),0)+IF(AND(45&gt;=Personnel!$E$3,Personnel!$G$3="Yes"),Personnel!$D$3*(1-Personnel!$H$3),0)+IF(AND(45&gt;=Personnel!$E$4,Personnel!$G$4="Yes"),Personnel!$D$4*(1-Personnel!$H$4),0)+IF(AND(45&gt;=Personnel!$E$5,Personnel!$G$5="Yes"),Personnel!$D$5*(1-Personnel!$H$5),0)+IF(AND(45&gt;=Personnel!$E$6,Personnel!$G$6="Yes"),Personnel!$D$6*(1-Personnel!$H$6),0)+IF(AND(45&gt;=Personnel!$E$7,Personnel!$G$7="Yes"),Personnel!$D$7*(1-Personnel!$H$7),0)+IF(AND(45&gt;=Personnel!$E$8,Personnel!$G$8="Yes"),Personnel!$D$8*(1-Personnel!$H$8),0)+IF(AND(45&gt;=Personnel!$E$9,Personnel!$G$9="Yes"),Personnel!$D$9*(1-Personnel!$H$9),0)+IF(AND(45&gt;=Personnel!$E$10,Personnel!$G$10="Yes"),Personnel!$D$10*(1-Personnel!$H$10),0)+IF(AND(45&gt;=Personnel!$E$11,Personnel!$G$11="Yes"),Personnel!$D$11*(1-Personnel!$H$11),0)+IF(AND(45&gt;=Personnel!$E$12,Personnel!$G$12="Yes"),Personnel!$D$12*(1-Personnel!$H$12),0)+IF(AND(45&gt;=Personnel!$E$13,Personnel!$G$13="Yes"),Personnel!$D$13*(1-Personnel!$H$13),0)+IF(AND(45&gt;=Personnel!$E$14,Personnel!$G$14="Yes"),Personnel!$D$14*(1-Personnel!$H$14),0)+IF(AND(45&gt;=Personnel!$E$15,Personnel!$G$15="Yes"),Personnel!$D$15*(1-Personnel!$H$15),0)+IF(AND(45&gt;=Personnel!$E$16,Personnel!$G$16="Yes"),Personnel!$D$16*(1-Personnel!$H$16),0)+IF(AND(45&gt;=Personnel!$E$17,Personnel!$G$17="Yes"),Personnel!$D$17*(1-Personnel!$H$17),0)+IF(AND(45&gt;=Personnel!$E$18,Personnel!$G$18="Yes"),Personnel!$D$18*(1-Personnel!$H$18),0)+IF(AND(45&gt;=Personnel!$E$19,Personnel!$G$19="Yes"),Personnel!$D$19*(1-Personnel!$H$19),0)+IF(AND(45&gt;=Personnel!$E$20,Personnel!$G$20="Yes"),Personnel!$D$20*(1-Personnel!$H$20),0)+IF(AND(45&gt;=Personnel!$E$21,Personnel!$G$21="Yes"),Personnel!$D$21*(1-Personnel!$H$21),0)+IF(AND(45&gt;=Personnel!$E$22,Personnel!$G$22="Yes"),Personnel!$D$22*(1-Personnel!$H$22),0)+IF(AND(45&gt;=Personnel!$E$23,Personnel!$G$23="Yes"),Personnel!$D$23*(1-Personnel!$H$23),0)+IF(AND(45&gt;=Personnel!$E$24,Personnel!$G$24="Yes"),Personnel!$D$24*(1-Personnel!$H$24),0)+IF(AND(45&gt;=Personnel!$E$25,Personnel!$G$25="Yes"),Personnel!$D$25*(1-Personnel!$H$25),0)+IF(AND(45&gt;=Personnel!$E$26,Personnel!$G$26="Yes"),Personnel!$D$26*(1-Personnel!$H$26),0)+IF(AND(45&gt;=Personnel!$E$27,Personnel!$G$27="Yes"),Personnel!$D$27*(1-Personnel!$H$27),0)+IF(AND(45&gt;=Personnel!$E$28,Personnel!$G$28="Yes"),Personnel!$D$28*(1-Personnel!$H$28),0)+IF(AND(45&gt;=Personnel!$E$29,Personnel!$G$29="Yes"),Personnel!$D$29*(1-Personnel!$H$29),0)+IF(AND(45&gt;=Personnel!$E$30,Personnel!$G$30="Yes"),Personnel!$D$30*(1-Personnel!$H$30),0)+IF(AND(45&gt;=Personnel!$E$31,Personnel!$G$31="Yes"),Personnel!$D$31*(1-Personnel!$H$31),0)+IF(AND(45&gt;=Personnel!$E$32,Personnel!$G$32="Yes"),Personnel!$D$32*(1-Personnel!$H$32),0)+IF(AND(45&gt;=Personnel!$E$33,Personnel!$G$33="Yes"),Personnel!$D$33*(1-Personnel!$H$33),0)+IF(AND(45&gt;=Personnel!$E$36,Personnel!$G$36="Yes"),Personnel!$D$36*(1-Personnel!$H$36),0)+IF(AND(45&gt;=Personnel!$E$37,Personnel!$G$37="Yes"),Personnel!$D$37*(1-Personnel!$H$37),0)+IF(AND(45&gt;=Personnel!$E$38,Personnel!$G$38="Yes"),Personnel!$D$38*(1-Personnel!$H$38),0)+IF(AND(45&gt;=Personnel!$E$39,Personnel!$G$39="Yes"),Personnel!$D$39*(1-Personnel!$H$39),0)+IF(AND(45&gt;=Personnel!$E$40,Personnel!$G$40="Yes"),Personnel!$D$40*(1-Personnel!$H$40),0)+IF(AND(45&gt;=Personnel!$E$41,Personnel!$G$41="Yes"),Personnel!$D$41*(1-Personnel!$H$41),0)+IF(AND(45&gt;=Personnel!$E$42,Personnel!$G$42="Yes"),Personnel!$D$42*(1-Personnel!$H$42),0))*Escalation!$B$46</f>
        <v>364569.16499999986</v>
      </c>
      <c r="AV4" s="231">
        <f>(IF(AND(46&gt;=Personnel!$E$2,Personnel!$G$2="Yes"),Personnel!$D$2*(1-Personnel!$H$2),0)+IF(AND(46&gt;=Personnel!$E$3,Personnel!$G$3="Yes"),Personnel!$D$3*(1-Personnel!$H$3),0)+IF(AND(46&gt;=Personnel!$E$4,Personnel!$G$4="Yes"),Personnel!$D$4*(1-Personnel!$H$4),0)+IF(AND(46&gt;=Personnel!$E$5,Personnel!$G$5="Yes"),Personnel!$D$5*(1-Personnel!$H$5),0)+IF(AND(46&gt;=Personnel!$E$6,Personnel!$G$6="Yes"),Personnel!$D$6*(1-Personnel!$H$6),0)+IF(AND(46&gt;=Personnel!$E$7,Personnel!$G$7="Yes"),Personnel!$D$7*(1-Personnel!$H$7),0)+IF(AND(46&gt;=Personnel!$E$8,Personnel!$G$8="Yes"),Personnel!$D$8*(1-Personnel!$H$8),0)+IF(AND(46&gt;=Personnel!$E$9,Personnel!$G$9="Yes"),Personnel!$D$9*(1-Personnel!$H$9),0)+IF(AND(46&gt;=Personnel!$E$10,Personnel!$G$10="Yes"),Personnel!$D$10*(1-Personnel!$H$10),0)+IF(AND(46&gt;=Personnel!$E$11,Personnel!$G$11="Yes"),Personnel!$D$11*(1-Personnel!$H$11),0)+IF(AND(46&gt;=Personnel!$E$12,Personnel!$G$12="Yes"),Personnel!$D$12*(1-Personnel!$H$12),0)+IF(AND(46&gt;=Personnel!$E$13,Personnel!$G$13="Yes"),Personnel!$D$13*(1-Personnel!$H$13),0)+IF(AND(46&gt;=Personnel!$E$14,Personnel!$G$14="Yes"),Personnel!$D$14*(1-Personnel!$H$14),0)+IF(AND(46&gt;=Personnel!$E$15,Personnel!$G$15="Yes"),Personnel!$D$15*(1-Personnel!$H$15),0)+IF(AND(46&gt;=Personnel!$E$16,Personnel!$G$16="Yes"),Personnel!$D$16*(1-Personnel!$H$16),0)+IF(AND(46&gt;=Personnel!$E$17,Personnel!$G$17="Yes"),Personnel!$D$17*(1-Personnel!$H$17),0)+IF(AND(46&gt;=Personnel!$E$18,Personnel!$G$18="Yes"),Personnel!$D$18*(1-Personnel!$H$18),0)+IF(AND(46&gt;=Personnel!$E$19,Personnel!$G$19="Yes"),Personnel!$D$19*(1-Personnel!$H$19),0)+IF(AND(46&gt;=Personnel!$E$20,Personnel!$G$20="Yes"),Personnel!$D$20*(1-Personnel!$H$20),0)+IF(AND(46&gt;=Personnel!$E$21,Personnel!$G$21="Yes"),Personnel!$D$21*(1-Personnel!$H$21),0)+IF(AND(46&gt;=Personnel!$E$22,Personnel!$G$22="Yes"),Personnel!$D$22*(1-Personnel!$H$22),0)+IF(AND(46&gt;=Personnel!$E$23,Personnel!$G$23="Yes"),Personnel!$D$23*(1-Personnel!$H$23),0)+IF(AND(46&gt;=Personnel!$E$24,Personnel!$G$24="Yes"),Personnel!$D$24*(1-Personnel!$H$24),0)+IF(AND(46&gt;=Personnel!$E$25,Personnel!$G$25="Yes"),Personnel!$D$25*(1-Personnel!$H$25),0)+IF(AND(46&gt;=Personnel!$E$26,Personnel!$G$26="Yes"),Personnel!$D$26*(1-Personnel!$H$26),0)+IF(AND(46&gt;=Personnel!$E$27,Personnel!$G$27="Yes"),Personnel!$D$27*(1-Personnel!$H$27),0)+IF(AND(46&gt;=Personnel!$E$28,Personnel!$G$28="Yes"),Personnel!$D$28*(1-Personnel!$H$28),0)+IF(AND(46&gt;=Personnel!$E$29,Personnel!$G$29="Yes"),Personnel!$D$29*(1-Personnel!$H$29),0)+IF(AND(46&gt;=Personnel!$E$30,Personnel!$G$30="Yes"),Personnel!$D$30*(1-Personnel!$H$30),0)+IF(AND(46&gt;=Personnel!$E$31,Personnel!$G$31="Yes"),Personnel!$D$31*(1-Personnel!$H$31),0)+IF(AND(46&gt;=Personnel!$E$32,Personnel!$G$32="Yes"),Personnel!$D$32*(1-Personnel!$H$32),0)+IF(AND(46&gt;=Personnel!$E$33,Personnel!$G$33="Yes"),Personnel!$D$33*(1-Personnel!$H$33),0)+IF(AND(46&gt;=Personnel!$E$36,Personnel!$G$36="Yes"),Personnel!$D$36*(1-Personnel!$H$36),0)+IF(AND(46&gt;=Personnel!$E$37,Personnel!$G$37="Yes"),Personnel!$D$37*(1-Personnel!$H$37),0)+IF(AND(46&gt;=Personnel!$E$38,Personnel!$G$38="Yes"),Personnel!$D$38*(1-Personnel!$H$38),0)+IF(AND(46&gt;=Personnel!$E$39,Personnel!$G$39="Yes"),Personnel!$D$39*(1-Personnel!$H$39),0)+IF(AND(46&gt;=Personnel!$E$40,Personnel!$G$40="Yes"),Personnel!$D$40*(1-Personnel!$H$40),0)+IF(AND(46&gt;=Personnel!$E$41,Personnel!$G$41="Yes"),Personnel!$D$41*(1-Personnel!$H$41),0)+IF(AND(46&gt;=Personnel!$E$42,Personnel!$G$42="Yes"),Personnel!$D$42*(1-Personnel!$H$42),0))*Escalation!$B$47</f>
        <v>364569.16499999986</v>
      </c>
      <c r="AW4" s="231">
        <f>(IF(AND(47&gt;=Personnel!$E$2,Personnel!$G$2="Yes"),Personnel!$D$2*(1-Personnel!$H$2),0)+IF(AND(47&gt;=Personnel!$E$3,Personnel!$G$3="Yes"),Personnel!$D$3*(1-Personnel!$H$3),0)+IF(AND(47&gt;=Personnel!$E$4,Personnel!$G$4="Yes"),Personnel!$D$4*(1-Personnel!$H$4),0)+IF(AND(47&gt;=Personnel!$E$5,Personnel!$G$5="Yes"),Personnel!$D$5*(1-Personnel!$H$5),0)+IF(AND(47&gt;=Personnel!$E$6,Personnel!$G$6="Yes"),Personnel!$D$6*(1-Personnel!$H$6),0)+IF(AND(47&gt;=Personnel!$E$7,Personnel!$G$7="Yes"),Personnel!$D$7*(1-Personnel!$H$7),0)+IF(AND(47&gt;=Personnel!$E$8,Personnel!$G$8="Yes"),Personnel!$D$8*(1-Personnel!$H$8),0)+IF(AND(47&gt;=Personnel!$E$9,Personnel!$G$9="Yes"),Personnel!$D$9*(1-Personnel!$H$9),0)+IF(AND(47&gt;=Personnel!$E$10,Personnel!$G$10="Yes"),Personnel!$D$10*(1-Personnel!$H$10),0)+IF(AND(47&gt;=Personnel!$E$11,Personnel!$G$11="Yes"),Personnel!$D$11*(1-Personnel!$H$11),0)+IF(AND(47&gt;=Personnel!$E$12,Personnel!$G$12="Yes"),Personnel!$D$12*(1-Personnel!$H$12),0)+IF(AND(47&gt;=Personnel!$E$13,Personnel!$G$13="Yes"),Personnel!$D$13*(1-Personnel!$H$13),0)+IF(AND(47&gt;=Personnel!$E$14,Personnel!$G$14="Yes"),Personnel!$D$14*(1-Personnel!$H$14),0)+IF(AND(47&gt;=Personnel!$E$15,Personnel!$G$15="Yes"),Personnel!$D$15*(1-Personnel!$H$15),0)+IF(AND(47&gt;=Personnel!$E$16,Personnel!$G$16="Yes"),Personnel!$D$16*(1-Personnel!$H$16),0)+IF(AND(47&gt;=Personnel!$E$17,Personnel!$G$17="Yes"),Personnel!$D$17*(1-Personnel!$H$17),0)+IF(AND(47&gt;=Personnel!$E$18,Personnel!$G$18="Yes"),Personnel!$D$18*(1-Personnel!$H$18),0)+IF(AND(47&gt;=Personnel!$E$19,Personnel!$G$19="Yes"),Personnel!$D$19*(1-Personnel!$H$19),0)+IF(AND(47&gt;=Personnel!$E$20,Personnel!$G$20="Yes"),Personnel!$D$20*(1-Personnel!$H$20),0)+IF(AND(47&gt;=Personnel!$E$21,Personnel!$G$21="Yes"),Personnel!$D$21*(1-Personnel!$H$21),0)+IF(AND(47&gt;=Personnel!$E$22,Personnel!$G$22="Yes"),Personnel!$D$22*(1-Personnel!$H$22),0)+IF(AND(47&gt;=Personnel!$E$23,Personnel!$G$23="Yes"),Personnel!$D$23*(1-Personnel!$H$23),0)+IF(AND(47&gt;=Personnel!$E$24,Personnel!$G$24="Yes"),Personnel!$D$24*(1-Personnel!$H$24),0)+IF(AND(47&gt;=Personnel!$E$25,Personnel!$G$25="Yes"),Personnel!$D$25*(1-Personnel!$H$25),0)+IF(AND(47&gt;=Personnel!$E$26,Personnel!$G$26="Yes"),Personnel!$D$26*(1-Personnel!$H$26),0)+IF(AND(47&gt;=Personnel!$E$27,Personnel!$G$27="Yes"),Personnel!$D$27*(1-Personnel!$H$27),0)+IF(AND(47&gt;=Personnel!$E$28,Personnel!$G$28="Yes"),Personnel!$D$28*(1-Personnel!$H$28),0)+IF(AND(47&gt;=Personnel!$E$29,Personnel!$G$29="Yes"),Personnel!$D$29*(1-Personnel!$H$29),0)+IF(AND(47&gt;=Personnel!$E$30,Personnel!$G$30="Yes"),Personnel!$D$30*(1-Personnel!$H$30),0)+IF(AND(47&gt;=Personnel!$E$31,Personnel!$G$31="Yes"),Personnel!$D$31*(1-Personnel!$H$31),0)+IF(AND(47&gt;=Personnel!$E$32,Personnel!$G$32="Yes"),Personnel!$D$32*(1-Personnel!$H$32),0)+IF(AND(47&gt;=Personnel!$E$33,Personnel!$G$33="Yes"),Personnel!$D$33*(1-Personnel!$H$33),0)+IF(AND(47&gt;=Personnel!$E$36,Personnel!$G$36="Yes"),Personnel!$D$36*(1-Personnel!$H$36),0)+IF(AND(47&gt;=Personnel!$E$37,Personnel!$G$37="Yes"),Personnel!$D$37*(1-Personnel!$H$37),0)+IF(AND(47&gt;=Personnel!$E$38,Personnel!$G$38="Yes"),Personnel!$D$38*(1-Personnel!$H$38),0)+IF(AND(47&gt;=Personnel!$E$39,Personnel!$G$39="Yes"),Personnel!$D$39*(1-Personnel!$H$39),0)+IF(AND(47&gt;=Personnel!$E$40,Personnel!$G$40="Yes"),Personnel!$D$40*(1-Personnel!$H$40),0)+IF(AND(47&gt;=Personnel!$E$41,Personnel!$G$41="Yes"),Personnel!$D$41*(1-Personnel!$H$41),0)+IF(AND(47&gt;=Personnel!$E$42,Personnel!$G$42="Yes"),Personnel!$D$42*(1-Personnel!$H$42),0))*Escalation!$B$48</f>
        <v>364569.16499999986</v>
      </c>
      <c r="AX4" s="231">
        <f>(IF(AND(48&gt;=Personnel!$E$2,Personnel!$G$2="Yes"),Personnel!$D$2*(1-Personnel!$H$2),0)+IF(AND(48&gt;=Personnel!$E$3,Personnel!$G$3="Yes"),Personnel!$D$3*(1-Personnel!$H$3),0)+IF(AND(48&gt;=Personnel!$E$4,Personnel!$G$4="Yes"),Personnel!$D$4*(1-Personnel!$H$4),0)+IF(AND(48&gt;=Personnel!$E$5,Personnel!$G$5="Yes"),Personnel!$D$5*(1-Personnel!$H$5),0)+IF(AND(48&gt;=Personnel!$E$6,Personnel!$G$6="Yes"),Personnel!$D$6*(1-Personnel!$H$6),0)+IF(AND(48&gt;=Personnel!$E$7,Personnel!$G$7="Yes"),Personnel!$D$7*(1-Personnel!$H$7),0)+IF(AND(48&gt;=Personnel!$E$8,Personnel!$G$8="Yes"),Personnel!$D$8*(1-Personnel!$H$8),0)+IF(AND(48&gt;=Personnel!$E$9,Personnel!$G$9="Yes"),Personnel!$D$9*(1-Personnel!$H$9),0)+IF(AND(48&gt;=Personnel!$E$10,Personnel!$G$10="Yes"),Personnel!$D$10*(1-Personnel!$H$10),0)+IF(AND(48&gt;=Personnel!$E$11,Personnel!$G$11="Yes"),Personnel!$D$11*(1-Personnel!$H$11),0)+IF(AND(48&gt;=Personnel!$E$12,Personnel!$G$12="Yes"),Personnel!$D$12*(1-Personnel!$H$12),0)+IF(AND(48&gt;=Personnel!$E$13,Personnel!$G$13="Yes"),Personnel!$D$13*(1-Personnel!$H$13),0)+IF(AND(48&gt;=Personnel!$E$14,Personnel!$G$14="Yes"),Personnel!$D$14*(1-Personnel!$H$14),0)+IF(AND(48&gt;=Personnel!$E$15,Personnel!$G$15="Yes"),Personnel!$D$15*(1-Personnel!$H$15),0)+IF(AND(48&gt;=Personnel!$E$16,Personnel!$G$16="Yes"),Personnel!$D$16*(1-Personnel!$H$16),0)+IF(AND(48&gt;=Personnel!$E$17,Personnel!$G$17="Yes"),Personnel!$D$17*(1-Personnel!$H$17),0)+IF(AND(48&gt;=Personnel!$E$18,Personnel!$G$18="Yes"),Personnel!$D$18*(1-Personnel!$H$18),0)+IF(AND(48&gt;=Personnel!$E$19,Personnel!$G$19="Yes"),Personnel!$D$19*(1-Personnel!$H$19),0)+IF(AND(48&gt;=Personnel!$E$20,Personnel!$G$20="Yes"),Personnel!$D$20*(1-Personnel!$H$20),0)+IF(AND(48&gt;=Personnel!$E$21,Personnel!$G$21="Yes"),Personnel!$D$21*(1-Personnel!$H$21),0)+IF(AND(48&gt;=Personnel!$E$22,Personnel!$G$22="Yes"),Personnel!$D$22*(1-Personnel!$H$22),0)+IF(AND(48&gt;=Personnel!$E$23,Personnel!$G$23="Yes"),Personnel!$D$23*(1-Personnel!$H$23),0)+IF(AND(48&gt;=Personnel!$E$24,Personnel!$G$24="Yes"),Personnel!$D$24*(1-Personnel!$H$24),0)+IF(AND(48&gt;=Personnel!$E$25,Personnel!$G$25="Yes"),Personnel!$D$25*(1-Personnel!$H$25),0)+IF(AND(48&gt;=Personnel!$E$26,Personnel!$G$26="Yes"),Personnel!$D$26*(1-Personnel!$H$26),0)+IF(AND(48&gt;=Personnel!$E$27,Personnel!$G$27="Yes"),Personnel!$D$27*(1-Personnel!$H$27),0)+IF(AND(48&gt;=Personnel!$E$28,Personnel!$G$28="Yes"),Personnel!$D$28*(1-Personnel!$H$28),0)+IF(AND(48&gt;=Personnel!$E$29,Personnel!$G$29="Yes"),Personnel!$D$29*(1-Personnel!$H$29),0)+IF(AND(48&gt;=Personnel!$E$30,Personnel!$G$30="Yes"),Personnel!$D$30*(1-Personnel!$H$30),0)+IF(AND(48&gt;=Personnel!$E$31,Personnel!$G$31="Yes"),Personnel!$D$31*(1-Personnel!$H$31),0)+IF(AND(48&gt;=Personnel!$E$32,Personnel!$G$32="Yes"),Personnel!$D$32*(1-Personnel!$H$32),0)+IF(AND(48&gt;=Personnel!$E$33,Personnel!$G$33="Yes"),Personnel!$D$33*(1-Personnel!$H$33),0)+IF(AND(48&gt;=Personnel!$E$36,Personnel!$G$36="Yes"),Personnel!$D$36*(1-Personnel!$H$36),0)+IF(AND(48&gt;=Personnel!$E$37,Personnel!$G$37="Yes"),Personnel!$D$37*(1-Personnel!$H$37),0)+IF(AND(48&gt;=Personnel!$E$38,Personnel!$G$38="Yes"),Personnel!$D$38*(1-Personnel!$H$38),0)+IF(AND(48&gt;=Personnel!$E$39,Personnel!$G$39="Yes"),Personnel!$D$39*(1-Personnel!$H$39),0)+IF(AND(48&gt;=Personnel!$E$40,Personnel!$G$40="Yes"),Personnel!$D$40*(1-Personnel!$H$40),0)+IF(AND(48&gt;=Personnel!$E$41,Personnel!$G$41="Yes"),Personnel!$D$41*(1-Personnel!$H$41),0)+IF(AND(48&gt;=Personnel!$E$42,Personnel!$G$42="Yes"),Personnel!$D$42*(1-Personnel!$H$42),0))*Escalation!$B$49</f>
        <v>364569.16499999986</v>
      </c>
      <c r="AY4" s="231">
        <f>(IF(AND(49&gt;=Personnel!$E$2,Personnel!$G$2="Yes"),Personnel!$D$2*(1-Personnel!$H$2),0)+IF(AND(49&gt;=Personnel!$E$3,Personnel!$G$3="Yes"),Personnel!$D$3*(1-Personnel!$H$3),0)+IF(AND(49&gt;=Personnel!$E$4,Personnel!$G$4="Yes"),Personnel!$D$4*(1-Personnel!$H$4),0)+IF(AND(49&gt;=Personnel!$E$5,Personnel!$G$5="Yes"),Personnel!$D$5*(1-Personnel!$H$5),0)+IF(AND(49&gt;=Personnel!$E$6,Personnel!$G$6="Yes"),Personnel!$D$6*(1-Personnel!$H$6),0)+IF(AND(49&gt;=Personnel!$E$7,Personnel!$G$7="Yes"),Personnel!$D$7*(1-Personnel!$H$7),0)+IF(AND(49&gt;=Personnel!$E$8,Personnel!$G$8="Yes"),Personnel!$D$8*(1-Personnel!$H$8),0)+IF(AND(49&gt;=Personnel!$E$9,Personnel!$G$9="Yes"),Personnel!$D$9*(1-Personnel!$H$9),0)+IF(AND(49&gt;=Personnel!$E$10,Personnel!$G$10="Yes"),Personnel!$D$10*(1-Personnel!$H$10),0)+IF(AND(49&gt;=Personnel!$E$11,Personnel!$G$11="Yes"),Personnel!$D$11*(1-Personnel!$H$11),0)+IF(AND(49&gt;=Personnel!$E$12,Personnel!$G$12="Yes"),Personnel!$D$12*(1-Personnel!$H$12),0)+IF(AND(49&gt;=Personnel!$E$13,Personnel!$G$13="Yes"),Personnel!$D$13*(1-Personnel!$H$13),0)+IF(AND(49&gt;=Personnel!$E$14,Personnel!$G$14="Yes"),Personnel!$D$14*(1-Personnel!$H$14),0)+IF(AND(49&gt;=Personnel!$E$15,Personnel!$G$15="Yes"),Personnel!$D$15*(1-Personnel!$H$15),0)+IF(AND(49&gt;=Personnel!$E$16,Personnel!$G$16="Yes"),Personnel!$D$16*(1-Personnel!$H$16),0)+IF(AND(49&gt;=Personnel!$E$17,Personnel!$G$17="Yes"),Personnel!$D$17*(1-Personnel!$H$17),0)+IF(AND(49&gt;=Personnel!$E$18,Personnel!$G$18="Yes"),Personnel!$D$18*(1-Personnel!$H$18),0)+IF(AND(49&gt;=Personnel!$E$19,Personnel!$G$19="Yes"),Personnel!$D$19*(1-Personnel!$H$19),0)+IF(AND(49&gt;=Personnel!$E$20,Personnel!$G$20="Yes"),Personnel!$D$20*(1-Personnel!$H$20),0)+IF(AND(49&gt;=Personnel!$E$21,Personnel!$G$21="Yes"),Personnel!$D$21*(1-Personnel!$H$21),0)+IF(AND(49&gt;=Personnel!$E$22,Personnel!$G$22="Yes"),Personnel!$D$22*(1-Personnel!$H$22),0)+IF(AND(49&gt;=Personnel!$E$23,Personnel!$G$23="Yes"),Personnel!$D$23*(1-Personnel!$H$23),0)+IF(AND(49&gt;=Personnel!$E$24,Personnel!$G$24="Yes"),Personnel!$D$24*(1-Personnel!$H$24),0)+IF(AND(49&gt;=Personnel!$E$25,Personnel!$G$25="Yes"),Personnel!$D$25*(1-Personnel!$H$25),0)+IF(AND(49&gt;=Personnel!$E$26,Personnel!$G$26="Yes"),Personnel!$D$26*(1-Personnel!$H$26),0)+IF(AND(49&gt;=Personnel!$E$27,Personnel!$G$27="Yes"),Personnel!$D$27*(1-Personnel!$H$27),0)+IF(AND(49&gt;=Personnel!$E$28,Personnel!$G$28="Yes"),Personnel!$D$28*(1-Personnel!$H$28),0)+IF(AND(49&gt;=Personnel!$E$29,Personnel!$G$29="Yes"),Personnel!$D$29*(1-Personnel!$H$29),0)+IF(AND(49&gt;=Personnel!$E$30,Personnel!$G$30="Yes"),Personnel!$D$30*(1-Personnel!$H$30),0)+IF(AND(49&gt;=Personnel!$E$31,Personnel!$G$31="Yes"),Personnel!$D$31*(1-Personnel!$H$31),0)+IF(AND(49&gt;=Personnel!$E$32,Personnel!$G$32="Yes"),Personnel!$D$32*(1-Personnel!$H$32),0)+IF(AND(49&gt;=Personnel!$E$33,Personnel!$G$33="Yes"),Personnel!$D$33*(1-Personnel!$H$33),0)+IF(AND(49&gt;=Personnel!$E$36,Personnel!$G$36="Yes"),Personnel!$D$36*(1-Personnel!$H$36),0)+IF(AND(49&gt;=Personnel!$E$37,Personnel!$G$37="Yes"),Personnel!$D$37*(1-Personnel!$H$37),0)+IF(AND(49&gt;=Personnel!$E$38,Personnel!$G$38="Yes"),Personnel!$D$38*(1-Personnel!$H$38),0)+IF(AND(49&gt;=Personnel!$E$39,Personnel!$G$39="Yes"),Personnel!$D$39*(1-Personnel!$H$39),0)+IF(AND(49&gt;=Personnel!$E$40,Personnel!$G$40="Yes"),Personnel!$D$40*(1-Personnel!$H$40),0)+IF(AND(49&gt;=Personnel!$E$41,Personnel!$G$41="Yes"),Personnel!$D$41*(1-Personnel!$H$41),0)+IF(AND(49&gt;=Personnel!$E$42,Personnel!$G$42="Yes"),Personnel!$D$42*(1-Personnel!$H$42),0))*Escalation!$B$50</f>
        <v>371860.54829999991</v>
      </c>
      <c r="AZ4" s="231">
        <f>(IF(AND(50&gt;=Personnel!$E$2,Personnel!$G$2="Yes"),Personnel!$D$2*(1-Personnel!$H$2),0)+IF(AND(50&gt;=Personnel!$E$3,Personnel!$G$3="Yes"),Personnel!$D$3*(1-Personnel!$H$3),0)+IF(AND(50&gt;=Personnel!$E$4,Personnel!$G$4="Yes"),Personnel!$D$4*(1-Personnel!$H$4),0)+IF(AND(50&gt;=Personnel!$E$5,Personnel!$G$5="Yes"),Personnel!$D$5*(1-Personnel!$H$5),0)+IF(AND(50&gt;=Personnel!$E$6,Personnel!$G$6="Yes"),Personnel!$D$6*(1-Personnel!$H$6),0)+IF(AND(50&gt;=Personnel!$E$7,Personnel!$G$7="Yes"),Personnel!$D$7*(1-Personnel!$H$7),0)+IF(AND(50&gt;=Personnel!$E$8,Personnel!$G$8="Yes"),Personnel!$D$8*(1-Personnel!$H$8),0)+IF(AND(50&gt;=Personnel!$E$9,Personnel!$G$9="Yes"),Personnel!$D$9*(1-Personnel!$H$9),0)+IF(AND(50&gt;=Personnel!$E$10,Personnel!$G$10="Yes"),Personnel!$D$10*(1-Personnel!$H$10),0)+IF(AND(50&gt;=Personnel!$E$11,Personnel!$G$11="Yes"),Personnel!$D$11*(1-Personnel!$H$11),0)+IF(AND(50&gt;=Personnel!$E$12,Personnel!$G$12="Yes"),Personnel!$D$12*(1-Personnel!$H$12),0)+IF(AND(50&gt;=Personnel!$E$13,Personnel!$G$13="Yes"),Personnel!$D$13*(1-Personnel!$H$13),0)+IF(AND(50&gt;=Personnel!$E$14,Personnel!$G$14="Yes"),Personnel!$D$14*(1-Personnel!$H$14),0)+IF(AND(50&gt;=Personnel!$E$15,Personnel!$G$15="Yes"),Personnel!$D$15*(1-Personnel!$H$15),0)+IF(AND(50&gt;=Personnel!$E$16,Personnel!$G$16="Yes"),Personnel!$D$16*(1-Personnel!$H$16),0)+IF(AND(50&gt;=Personnel!$E$17,Personnel!$G$17="Yes"),Personnel!$D$17*(1-Personnel!$H$17),0)+IF(AND(50&gt;=Personnel!$E$18,Personnel!$G$18="Yes"),Personnel!$D$18*(1-Personnel!$H$18),0)+IF(AND(50&gt;=Personnel!$E$19,Personnel!$G$19="Yes"),Personnel!$D$19*(1-Personnel!$H$19),0)+IF(AND(50&gt;=Personnel!$E$20,Personnel!$G$20="Yes"),Personnel!$D$20*(1-Personnel!$H$20),0)+IF(AND(50&gt;=Personnel!$E$21,Personnel!$G$21="Yes"),Personnel!$D$21*(1-Personnel!$H$21),0)+IF(AND(50&gt;=Personnel!$E$22,Personnel!$G$22="Yes"),Personnel!$D$22*(1-Personnel!$H$22),0)+IF(AND(50&gt;=Personnel!$E$23,Personnel!$G$23="Yes"),Personnel!$D$23*(1-Personnel!$H$23),0)+IF(AND(50&gt;=Personnel!$E$24,Personnel!$G$24="Yes"),Personnel!$D$24*(1-Personnel!$H$24),0)+IF(AND(50&gt;=Personnel!$E$25,Personnel!$G$25="Yes"),Personnel!$D$25*(1-Personnel!$H$25),0)+IF(AND(50&gt;=Personnel!$E$26,Personnel!$G$26="Yes"),Personnel!$D$26*(1-Personnel!$H$26),0)+IF(AND(50&gt;=Personnel!$E$27,Personnel!$G$27="Yes"),Personnel!$D$27*(1-Personnel!$H$27),0)+IF(AND(50&gt;=Personnel!$E$28,Personnel!$G$28="Yes"),Personnel!$D$28*(1-Personnel!$H$28),0)+IF(AND(50&gt;=Personnel!$E$29,Personnel!$G$29="Yes"),Personnel!$D$29*(1-Personnel!$H$29),0)+IF(AND(50&gt;=Personnel!$E$30,Personnel!$G$30="Yes"),Personnel!$D$30*(1-Personnel!$H$30),0)+IF(AND(50&gt;=Personnel!$E$31,Personnel!$G$31="Yes"),Personnel!$D$31*(1-Personnel!$H$31),0)+IF(AND(50&gt;=Personnel!$E$32,Personnel!$G$32="Yes"),Personnel!$D$32*(1-Personnel!$H$32),0)+IF(AND(50&gt;=Personnel!$E$33,Personnel!$G$33="Yes"),Personnel!$D$33*(1-Personnel!$H$33),0)+IF(AND(50&gt;=Personnel!$E$36,Personnel!$G$36="Yes"),Personnel!$D$36*(1-Personnel!$H$36),0)+IF(AND(50&gt;=Personnel!$E$37,Personnel!$G$37="Yes"),Personnel!$D$37*(1-Personnel!$H$37),0)+IF(AND(50&gt;=Personnel!$E$38,Personnel!$G$38="Yes"),Personnel!$D$38*(1-Personnel!$H$38),0)+IF(AND(50&gt;=Personnel!$E$39,Personnel!$G$39="Yes"),Personnel!$D$39*(1-Personnel!$H$39),0)+IF(AND(50&gt;=Personnel!$E$40,Personnel!$G$40="Yes"),Personnel!$D$40*(1-Personnel!$H$40),0)+IF(AND(50&gt;=Personnel!$E$41,Personnel!$G$41="Yes"),Personnel!$D$41*(1-Personnel!$H$41),0)+IF(AND(50&gt;=Personnel!$E$42,Personnel!$G$42="Yes"),Personnel!$D$42*(1-Personnel!$H$42),0))*Escalation!$B$51</f>
        <v>371860.54829999991</v>
      </c>
      <c r="BA4" s="231">
        <f>(IF(AND(51&gt;=Personnel!$E$2,Personnel!$G$2="Yes"),Personnel!$D$2*(1-Personnel!$H$2),0)+IF(AND(51&gt;=Personnel!$E$3,Personnel!$G$3="Yes"),Personnel!$D$3*(1-Personnel!$H$3),0)+IF(AND(51&gt;=Personnel!$E$4,Personnel!$G$4="Yes"),Personnel!$D$4*(1-Personnel!$H$4),0)+IF(AND(51&gt;=Personnel!$E$5,Personnel!$G$5="Yes"),Personnel!$D$5*(1-Personnel!$H$5),0)+IF(AND(51&gt;=Personnel!$E$6,Personnel!$G$6="Yes"),Personnel!$D$6*(1-Personnel!$H$6),0)+IF(AND(51&gt;=Personnel!$E$7,Personnel!$G$7="Yes"),Personnel!$D$7*(1-Personnel!$H$7),0)+IF(AND(51&gt;=Personnel!$E$8,Personnel!$G$8="Yes"),Personnel!$D$8*(1-Personnel!$H$8),0)+IF(AND(51&gt;=Personnel!$E$9,Personnel!$G$9="Yes"),Personnel!$D$9*(1-Personnel!$H$9),0)+IF(AND(51&gt;=Personnel!$E$10,Personnel!$G$10="Yes"),Personnel!$D$10*(1-Personnel!$H$10),0)+IF(AND(51&gt;=Personnel!$E$11,Personnel!$G$11="Yes"),Personnel!$D$11*(1-Personnel!$H$11),0)+IF(AND(51&gt;=Personnel!$E$12,Personnel!$G$12="Yes"),Personnel!$D$12*(1-Personnel!$H$12),0)+IF(AND(51&gt;=Personnel!$E$13,Personnel!$G$13="Yes"),Personnel!$D$13*(1-Personnel!$H$13),0)+IF(AND(51&gt;=Personnel!$E$14,Personnel!$G$14="Yes"),Personnel!$D$14*(1-Personnel!$H$14),0)+IF(AND(51&gt;=Personnel!$E$15,Personnel!$G$15="Yes"),Personnel!$D$15*(1-Personnel!$H$15),0)+IF(AND(51&gt;=Personnel!$E$16,Personnel!$G$16="Yes"),Personnel!$D$16*(1-Personnel!$H$16),0)+IF(AND(51&gt;=Personnel!$E$17,Personnel!$G$17="Yes"),Personnel!$D$17*(1-Personnel!$H$17),0)+IF(AND(51&gt;=Personnel!$E$18,Personnel!$G$18="Yes"),Personnel!$D$18*(1-Personnel!$H$18),0)+IF(AND(51&gt;=Personnel!$E$19,Personnel!$G$19="Yes"),Personnel!$D$19*(1-Personnel!$H$19),0)+IF(AND(51&gt;=Personnel!$E$20,Personnel!$G$20="Yes"),Personnel!$D$20*(1-Personnel!$H$20),0)+IF(AND(51&gt;=Personnel!$E$21,Personnel!$G$21="Yes"),Personnel!$D$21*(1-Personnel!$H$21),0)+IF(AND(51&gt;=Personnel!$E$22,Personnel!$G$22="Yes"),Personnel!$D$22*(1-Personnel!$H$22),0)+IF(AND(51&gt;=Personnel!$E$23,Personnel!$G$23="Yes"),Personnel!$D$23*(1-Personnel!$H$23),0)+IF(AND(51&gt;=Personnel!$E$24,Personnel!$G$24="Yes"),Personnel!$D$24*(1-Personnel!$H$24),0)+IF(AND(51&gt;=Personnel!$E$25,Personnel!$G$25="Yes"),Personnel!$D$25*(1-Personnel!$H$25),0)+IF(AND(51&gt;=Personnel!$E$26,Personnel!$G$26="Yes"),Personnel!$D$26*(1-Personnel!$H$26),0)+IF(AND(51&gt;=Personnel!$E$27,Personnel!$G$27="Yes"),Personnel!$D$27*(1-Personnel!$H$27),0)+IF(AND(51&gt;=Personnel!$E$28,Personnel!$G$28="Yes"),Personnel!$D$28*(1-Personnel!$H$28),0)+IF(AND(51&gt;=Personnel!$E$29,Personnel!$G$29="Yes"),Personnel!$D$29*(1-Personnel!$H$29),0)+IF(AND(51&gt;=Personnel!$E$30,Personnel!$G$30="Yes"),Personnel!$D$30*(1-Personnel!$H$30),0)+IF(AND(51&gt;=Personnel!$E$31,Personnel!$G$31="Yes"),Personnel!$D$31*(1-Personnel!$H$31),0)+IF(AND(51&gt;=Personnel!$E$32,Personnel!$G$32="Yes"),Personnel!$D$32*(1-Personnel!$H$32),0)+IF(AND(51&gt;=Personnel!$E$33,Personnel!$G$33="Yes"),Personnel!$D$33*(1-Personnel!$H$33),0)+IF(AND(51&gt;=Personnel!$E$36,Personnel!$G$36="Yes"),Personnel!$D$36*(1-Personnel!$H$36),0)+IF(AND(51&gt;=Personnel!$E$37,Personnel!$G$37="Yes"),Personnel!$D$37*(1-Personnel!$H$37),0)+IF(AND(51&gt;=Personnel!$E$38,Personnel!$G$38="Yes"),Personnel!$D$38*(1-Personnel!$H$38),0)+IF(AND(51&gt;=Personnel!$E$39,Personnel!$G$39="Yes"),Personnel!$D$39*(1-Personnel!$H$39),0)+IF(AND(51&gt;=Personnel!$E$40,Personnel!$G$40="Yes"),Personnel!$D$40*(1-Personnel!$H$40),0)+IF(AND(51&gt;=Personnel!$E$41,Personnel!$G$41="Yes"),Personnel!$D$41*(1-Personnel!$H$41),0)+IF(AND(51&gt;=Personnel!$E$42,Personnel!$G$42="Yes"),Personnel!$D$42*(1-Personnel!$H$42),0))*Escalation!$B$52</f>
        <v>371860.54829999991</v>
      </c>
      <c r="BB4" s="231">
        <f>(IF(AND(52&gt;=Personnel!$E$2,Personnel!$G$2="Yes"),Personnel!$D$2*(1-Personnel!$H$2),0)+IF(AND(52&gt;=Personnel!$E$3,Personnel!$G$3="Yes"),Personnel!$D$3*(1-Personnel!$H$3),0)+IF(AND(52&gt;=Personnel!$E$4,Personnel!$G$4="Yes"),Personnel!$D$4*(1-Personnel!$H$4),0)+IF(AND(52&gt;=Personnel!$E$5,Personnel!$G$5="Yes"),Personnel!$D$5*(1-Personnel!$H$5),0)+IF(AND(52&gt;=Personnel!$E$6,Personnel!$G$6="Yes"),Personnel!$D$6*(1-Personnel!$H$6),0)+IF(AND(52&gt;=Personnel!$E$7,Personnel!$G$7="Yes"),Personnel!$D$7*(1-Personnel!$H$7),0)+IF(AND(52&gt;=Personnel!$E$8,Personnel!$G$8="Yes"),Personnel!$D$8*(1-Personnel!$H$8),0)+IF(AND(52&gt;=Personnel!$E$9,Personnel!$G$9="Yes"),Personnel!$D$9*(1-Personnel!$H$9),0)+IF(AND(52&gt;=Personnel!$E$10,Personnel!$G$10="Yes"),Personnel!$D$10*(1-Personnel!$H$10),0)+IF(AND(52&gt;=Personnel!$E$11,Personnel!$G$11="Yes"),Personnel!$D$11*(1-Personnel!$H$11),0)+IF(AND(52&gt;=Personnel!$E$12,Personnel!$G$12="Yes"),Personnel!$D$12*(1-Personnel!$H$12),0)+IF(AND(52&gt;=Personnel!$E$13,Personnel!$G$13="Yes"),Personnel!$D$13*(1-Personnel!$H$13),0)+IF(AND(52&gt;=Personnel!$E$14,Personnel!$G$14="Yes"),Personnel!$D$14*(1-Personnel!$H$14),0)+IF(AND(52&gt;=Personnel!$E$15,Personnel!$G$15="Yes"),Personnel!$D$15*(1-Personnel!$H$15),0)+IF(AND(52&gt;=Personnel!$E$16,Personnel!$G$16="Yes"),Personnel!$D$16*(1-Personnel!$H$16),0)+IF(AND(52&gt;=Personnel!$E$17,Personnel!$G$17="Yes"),Personnel!$D$17*(1-Personnel!$H$17),0)+IF(AND(52&gt;=Personnel!$E$18,Personnel!$G$18="Yes"),Personnel!$D$18*(1-Personnel!$H$18),0)+IF(AND(52&gt;=Personnel!$E$19,Personnel!$G$19="Yes"),Personnel!$D$19*(1-Personnel!$H$19),0)+IF(AND(52&gt;=Personnel!$E$20,Personnel!$G$20="Yes"),Personnel!$D$20*(1-Personnel!$H$20),0)+IF(AND(52&gt;=Personnel!$E$21,Personnel!$G$21="Yes"),Personnel!$D$21*(1-Personnel!$H$21),0)+IF(AND(52&gt;=Personnel!$E$22,Personnel!$G$22="Yes"),Personnel!$D$22*(1-Personnel!$H$22),0)+IF(AND(52&gt;=Personnel!$E$23,Personnel!$G$23="Yes"),Personnel!$D$23*(1-Personnel!$H$23),0)+IF(AND(52&gt;=Personnel!$E$24,Personnel!$G$24="Yes"),Personnel!$D$24*(1-Personnel!$H$24),0)+IF(AND(52&gt;=Personnel!$E$25,Personnel!$G$25="Yes"),Personnel!$D$25*(1-Personnel!$H$25),0)+IF(AND(52&gt;=Personnel!$E$26,Personnel!$G$26="Yes"),Personnel!$D$26*(1-Personnel!$H$26),0)+IF(AND(52&gt;=Personnel!$E$27,Personnel!$G$27="Yes"),Personnel!$D$27*(1-Personnel!$H$27),0)+IF(AND(52&gt;=Personnel!$E$28,Personnel!$G$28="Yes"),Personnel!$D$28*(1-Personnel!$H$28),0)+IF(AND(52&gt;=Personnel!$E$29,Personnel!$G$29="Yes"),Personnel!$D$29*(1-Personnel!$H$29),0)+IF(AND(52&gt;=Personnel!$E$30,Personnel!$G$30="Yes"),Personnel!$D$30*(1-Personnel!$H$30),0)+IF(AND(52&gt;=Personnel!$E$31,Personnel!$G$31="Yes"),Personnel!$D$31*(1-Personnel!$H$31),0)+IF(AND(52&gt;=Personnel!$E$32,Personnel!$G$32="Yes"),Personnel!$D$32*(1-Personnel!$H$32),0)+IF(AND(52&gt;=Personnel!$E$33,Personnel!$G$33="Yes"),Personnel!$D$33*(1-Personnel!$H$33),0)+IF(AND(52&gt;=Personnel!$E$36,Personnel!$G$36="Yes"),Personnel!$D$36*(1-Personnel!$H$36),0)+IF(AND(52&gt;=Personnel!$E$37,Personnel!$G$37="Yes"),Personnel!$D$37*(1-Personnel!$H$37),0)+IF(AND(52&gt;=Personnel!$E$38,Personnel!$G$38="Yes"),Personnel!$D$38*(1-Personnel!$H$38),0)+IF(AND(52&gt;=Personnel!$E$39,Personnel!$G$39="Yes"),Personnel!$D$39*(1-Personnel!$H$39),0)+IF(AND(52&gt;=Personnel!$E$40,Personnel!$G$40="Yes"),Personnel!$D$40*(1-Personnel!$H$40),0)+IF(AND(52&gt;=Personnel!$E$41,Personnel!$G$41="Yes"),Personnel!$D$41*(1-Personnel!$H$41),0)+IF(AND(52&gt;=Personnel!$E$42,Personnel!$G$42="Yes"),Personnel!$D$42*(1-Personnel!$H$42),0))*Escalation!$B$53</f>
        <v>371860.54829999991</v>
      </c>
      <c r="BC4" s="231">
        <f>(IF(AND(53&gt;=Personnel!$E$2,Personnel!$G$2="Yes"),Personnel!$D$2*(1-Personnel!$H$2),0)+IF(AND(53&gt;=Personnel!$E$3,Personnel!$G$3="Yes"),Personnel!$D$3*(1-Personnel!$H$3),0)+IF(AND(53&gt;=Personnel!$E$4,Personnel!$G$4="Yes"),Personnel!$D$4*(1-Personnel!$H$4),0)+IF(AND(53&gt;=Personnel!$E$5,Personnel!$G$5="Yes"),Personnel!$D$5*(1-Personnel!$H$5),0)+IF(AND(53&gt;=Personnel!$E$6,Personnel!$G$6="Yes"),Personnel!$D$6*(1-Personnel!$H$6),0)+IF(AND(53&gt;=Personnel!$E$7,Personnel!$G$7="Yes"),Personnel!$D$7*(1-Personnel!$H$7),0)+IF(AND(53&gt;=Personnel!$E$8,Personnel!$G$8="Yes"),Personnel!$D$8*(1-Personnel!$H$8),0)+IF(AND(53&gt;=Personnel!$E$9,Personnel!$G$9="Yes"),Personnel!$D$9*(1-Personnel!$H$9),0)+IF(AND(53&gt;=Personnel!$E$10,Personnel!$G$10="Yes"),Personnel!$D$10*(1-Personnel!$H$10),0)+IF(AND(53&gt;=Personnel!$E$11,Personnel!$G$11="Yes"),Personnel!$D$11*(1-Personnel!$H$11),0)+IF(AND(53&gt;=Personnel!$E$12,Personnel!$G$12="Yes"),Personnel!$D$12*(1-Personnel!$H$12),0)+IF(AND(53&gt;=Personnel!$E$13,Personnel!$G$13="Yes"),Personnel!$D$13*(1-Personnel!$H$13),0)+IF(AND(53&gt;=Personnel!$E$14,Personnel!$G$14="Yes"),Personnel!$D$14*(1-Personnel!$H$14),0)+IF(AND(53&gt;=Personnel!$E$15,Personnel!$G$15="Yes"),Personnel!$D$15*(1-Personnel!$H$15),0)+IF(AND(53&gt;=Personnel!$E$16,Personnel!$G$16="Yes"),Personnel!$D$16*(1-Personnel!$H$16),0)+IF(AND(53&gt;=Personnel!$E$17,Personnel!$G$17="Yes"),Personnel!$D$17*(1-Personnel!$H$17),0)+IF(AND(53&gt;=Personnel!$E$18,Personnel!$G$18="Yes"),Personnel!$D$18*(1-Personnel!$H$18),0)+IF(AND(53&gt;=Personnel!$E$19,Personnel!$G$19="Yes"),Personnel!$D$19*(1-Personnel!$H$19),0)+IF(AND(53&gt;=Personnel!$E$20,Personnel!$G$20="Yes"),Personnel!$D$20*(1-Personnel!$H$20),0)+IF(AND(53&gt;=Personnel!$E$21,Personnel!$G$21="Yes"),Personnel!$D$21*(1-Personnel!$H$21),0)+IF(AND(53&gt;=Personnel!$E$22,Personnel!$G$22="Yes"),Personnel!$D$22*(1-Personnel!$H$22),0)+IF(AND(53&gt;=Personnel!$E$23,Personnel!$G$23="Yes"),Personnel!$D$23*(1-Personnel!$H$23),0)+IF(AND(53&gt;=Personnel!$E$24,Personnel!$G$24="Yes"),Personnel!$D$24*(1-Personnel!$H$24),0)+IF(AND(53&gt;=Personnel!$E$25,Personnel!$G$25="Yes"),Personnel!$D$25*(1-Personnel!$H$25),0)+IF(AND(53&gt;=Personnel!$E$26,Personnel!$G$26="Yes"),Personnel!$D$26*(1-Personnel!$H$26),0)+IF(AND(53&gt;=Personnel!$E$27,Personnel!$G$27="Yes"),Personnel!$D$27*(1-Personnel!$H$27),0)+IF(AND(53&gt;=Personnel!$E$28,Personnel!$G$28="Yes"),Personnel!$D$28*(1-Personnel!$H$28),0)+IF(AND(53&gt;=Personnel!$E$29,Personnel!$G$29="Yes"),Personnel!$D$29*(1-Personnel!$H$29),0)+IF(AND(53&gt;=Personnel!$E$30,Personnel!$G$30="Yes"),Personnel!$D$30*(1-Personnel!$H$30),0)+IF(AND(53&gt;=Personnel!$E$31,Personnel!$G$31="Yes"),Personnel!$D$31*(1-Personnel!$H$31),0)+IF(AND(53&gt;=Personnel!$E$32,Personnel!$G$32="Yes"),Personnel!$D$32*(1-Personnel!$H$32),0)+IF(AND(53&gt;=Personnel!$E$33,Personnel!$G$33="Yes"),Personnel!$D$33*(1-Personnel!$H$33),0)+IF(AND(53&gt;=Personnel!$E$36,Personnel!$G$36="Yes"),Personnel!$D$36*(1-Personnel!$H$36),0)+IF(AND(53&gt;=Personnel!$E$37,Personnel!$G$37="Yes"),Personnel!$D$37*(1-Personnel!$H$37),0)+IF(AND(53&gt;=Personnel!$E$38,Personnel!$G$38="Yes"),Personnel!$D$38*(1-Personnel!$H$38),0)+IF(AND(53&gt;=Personnel!$E$39,Personnel!$G$39="Yes"),Personnel!$D$39*(1-Personnel!$H$39),0)+IF(AND(53&gt;=Personnel!$E$40,Personnel!$G$40="Yes"),Personnel!$D$40*(1-Personnel!$H$40),0)+IF(AND(53&gt;=Personnel!$E$41,Personnel!$G$41="Yes"),Personnel!$D$41*(1-Personnel!$H$41),0)+IF(AND(53&gt;=Personnel!$E$42,Personnel!$G$42="Yes"),Personnel!$D$42*(1-Personnel!$H$42),0))*Escalation!$B$54</f>
        <v>371860.54829999991</v>
      </c>
      <c r="BD4" s="231">
        <f>(IF(AND(54&gt;=Personnel!$E$2,Personnel!$G$2="Yes"),Personnel!$D$2*(1-Personnel!$H$2),0)+IF(AND(54&gt;=Personnel!$E$3,Personnel!$G$3="Yes"),Personnel!$D$3*(1-Personnel!$H$3),0)+IF(AND(54&gt;=Personnel!$E$4,Personnel!$G$4="Yes"),Personnel!$D$4*(1-Personnel!$H$4),0)+IF(AND(54&gt;=Personnel!$E$5,Personnel!$G$5="Yes"),Personnel!$D$5*(1-Personnel!$H$5),0)+IF(AND(54&gt;=Personnel!$E$6,Personnel!$G$6="Yes"),Personnel!$D$6*(1-Personnel!$H$6),0)+IF(AND(54&gt;=Personnel!$E$7,Personnel!$G$7="Yes"),Personnel!$D$7*(1-Personnel!$H$7),0)+IF(AND(54&gt;=Personnel!$E$8,Personnel!$G$8="Yes"),Personnel!$D$8*(1-Personnel!$H$8),0)+IF(AND(54&gt;=Personnel!$E$9,Personnel!$G$9="Yes"),Personnel!$D$9*(1-Personnel!$H$9),0)+IF(AND(54&gt;=Personnel!$E$10,Personnel!$G$10="Yes"),Personnel!$D$10*(1-Personnel!$H$10),0)+IF(AND(54&gt;=Personnel!$E$11,Personnel!$G$11="Yes"),Personnel!$D$11*(1-Personnel!$H$11),0)+IF(AND(54&gt;=Personnel!$E$12,Personnel!$G$12="Yes"),Personnel!$D$12*(1-Personnel!$H$12),0)+IF(AND(54&gt;=Personnel!$E$13,Personnel!$G$13="Yes"),Personnel!$D$13*(1-Personnel!$H$13),0)+IF(AND(54&gt;=Personnel!$E$14,Personnel!$G$14="Yes"),Personnel!$D$14*(1-Personnel!$H$14),0)+IF(AND(54&gt;=Personnel!$E$15,Personnel!$G$15="Yes"),Personnel!$D$15*(1-Personnel!$H$15),0)+IF(AND(54&gt;=Personnel!$E$16,Personnel!$G$16="Yes"),Personnel!$D$16*(1-Personnel!$H$16),0)+IF(AND(54&gt;=Personnel!$E$17,Personnel!$G$17="Yes"),Personnel!$D$17*(1-Personnel!$H$17),0)+IF(AND(54&gt;=Personnel!$E$18,Personnel!$G$18="Yes"),Personnel!$D$18*(1-Personnel!$H$18),0)+IF(AND(54&gt;=Personnel!$E$19,Personnel!$G$19="Yes"),Personnel!$D$19*(1-Personnel!$H$19),0)+IF(AND(54&gt;=Personnel!$E$20,Personnel!$G$20="Yes"),Personnel!$D$20*(1-Personnel!$H$20),0)+IF(AND(54&gt;=Personnel!$E$21,Personnel!$G$21="Yes"),Personnel!$D$21*(1-Personnel!$H$21),0)+IF(AND(54&gt;=Personnel!$E$22,Personnel!$G$22="Yes"),Personnel!$D$22*(1-Personnel!$H$22),0)+IF(AND(54&gt;=Personnel!$E$23,Personnel!$G$23="Yes"),Personnel!$D$23*(1-Personnel!$H$23),0)+IF(AND(54&gt;=Personnel!$E$24,Personnel!$G$24="Yes"),Personnel!$D$24*(1-Personnel!$H$24),0)+IF(AND(54&gt;=Personnel!$E$25,Personnel!$G$25="Yes"),Personnel!$D$25*(1-Personnel!$H$25),0)+IF(AND(54&gt;=Personnel!$E$26,Personnel!$G$26="Yes"),Personnel!$D$26*(1-Personnel!$H$26),0)+IF(AND(54&gt;=Personnel!$E$27,Personnel!$G$27="Yes"),Personnel!$D$27*(1-Personnel!$H$27),0)+IF(AND(54&gt;=Personnel!$E$28,Personnel!$G$28="Yes"),Personnel!$D$28*(1-Personnel!$H$28),0)+IF(AND(54&gt;=Personnel!$E$29,Personnel!$G$29="Yes"),Personnel!$D$29*(1-Personnel!$H$29),0)+IF(AND(54&gt;=Personnel!$E$30,Personnel!$G$30="Yes"),Personnel!$D$30*(1-Personnel!$H$30),0)+IF(AND(54&gt;=Personnel!$E$31,Personnel!$G$31="Yes"),Personnel!$D$31*(1-Personnel!$H$31),0)+IF(AND(54&gt;=Personnel!$E$32,Personnel!$G$32="Yes"),Personnel!$D$32*(1-Personnel!$H$32),0)+IF(AND(54&gt;=Personnel!$E$33,Personnel!$G$33="Yes"),Personnel!$D$33*(1-Personnel!$H$33),0)+IF(AND(54&gt;=Personnel!$E$36,Personnel!$G$36="Yes"),Personnel!$D$36*(1-Personnel!$H$36),0)+IF(AND(54&gt;=Personnel!$E$37,Personnel!$G$37="Yes"),Personnel!$D$37*(1-Personnel!$H$37),0)+IF(AND(54&gt;=Personnel!$E$38,Personnel!$G$38="Yes"),Personnel!$D$38*(1-Personnel!$H$38),0)+IF(AND(54&gt;=Personnel!$E$39,Personnel!$G$39="Yes"),Personnel!$D$39*(1-Personnel!$H$39),0)+IF(AND(54&gt;=Personnel!$E$40,Personnel!$G$40="Yes"),Personnel!$D$40*(1-Personnel!$H$40),0)+IF(AND(54&gt;=Personnel!$E$41,Personnel!$G$41="Yes"),Personnel!$D$41*(1-Personnel!$H$41),0)+IF(AND(54&gt;=Personnel!$E$42,Personnel!$G$42="Yes"),Personnel!$D$42*(1-Personnel!$H$42),0))*Escalation!$B$55</f>
        <v>371860.54829999991</v>
      </c>
      <c r="BE4" s="231">
        <f>(IF(AND(55&gt;=Personnel!$E$2,Personnel!$G$2="Yes"),Personnel!$D$2*(1-Personnel!$H$2),0)+IF(AND(55&gt;=Personnel!$E$3,Personnel!$G$3="Yes"),Personnel!$D$3*(1-Personnel!$H$3),0)+IF(AND(55&gt;=Personnel!$E$4,Personnel!$G$4="Yes"),Personnel!$D$4*(1-Personnel!$H$4),0)+IF(AND(55&gt;=Personnel!$E$5,Personnel!$G$5="Yes"),Personnel!$D$5*(1-Personnel!$H$5),0)+IF(AND(55&gt;=Personnel!$E$6,Personnel!$G$6="Yes"),Personnel!$D$6*(1-Personnel!$H$6),0)+IF(AND(55&gt;=Personnel!$E$7,Personnel!$G$7="Yes"),Personnel!$D$7*(1-Personnel!$H$7),0)+IF(AND(55&gt;=Personnel!$E$8,Personnel!$G$8="Yes"),Personnel!$D$8*(1-Personnel!$H$8),0)+IF(AND(55&gt;=Personnel!$E$9,Personnel!$G$9="Yes"),Personnel!$D$9*(1-Personnel!$H$9),0)+IF(AND(55&gt;=Personnel!$E$10,Personnel!$G$10="Yes"),Personnel!$D$10*(1-Personnel!$H$10),0)+IF(AND(55&gt;=Personnel!$E$11,Personnel!$G$11="Yes"),Personnel!$D$11*(1-Personnel!$H$11),0)+IF(AND(55&gt;=Personnel!$E$12,Personnel!$G$12="Yes"),Personnel!$D$12*(1-Personnel!$H$12),0)+IF(AND(55&gt;=Personnel!$E$13,Personnel!$G$13="Yes"),Personnel!$D$13*(1-Personnel!$H$13),0)+IF(AND(55&gt;=Personnel!$E$14,Personnel!$G$14="Yes"),Personnel!$D$14*(1-Personnel!$H$14),0)+IF(AND(55&gt;=Personnel!$E$15,Personnel!$G$15="Yes"),Personnel!$D$15*(1-Personnel!$H$15),0)+IF(AND(55&gt;=Personnel!$E$16,Personnel!$G$16="Yes"),Personnel!$D$16*(1-Personnel!$H$16),0)+IF(AND(55&gt;=Personnel!$E$17,Personnel!$G$17="Yes"),Personnel!$D$17*(1-Personnel!$H$17),0)+IF(AND(55&gt;=Personnel!$E$18,Personnel!$G$18="Yes"),Personnel!$D$18*(1-Personnel!$H$18),0)+IF(AND(55&gt;=Personnel!$E$19,Personnel!$G$19="Yes"),Personnel!$D$19*(1-Personnel!$H$19),0)+IF(AND(55&gt;=Personnel!$E$20,Personnel!$G$20="Yes"),Personnel!$D$20*(1-Personnel!$H$20),0)+IF(AND(55&gt;=Personnel!$E$21,Personnel!$G$21="Yes"),Personnel!$D$21*(1-Personnel!$H$21),0)+IF(AND(55&gt;=Personnel!$E$22,Personnel!$G$22="Yes"),Personnel!$D$22*(1-Personnel!$H$22),0)+IF(AND(55&gt;=Personnel!$E$23,Personnel!$G$23="Yes"),Personnel!$D$23*(1-Personnel!$H$23),0)+IF(AND(55&gt;=Personnel!$E$24,Personnel!$G$24="Yes"),Personnel!$D$24*(1-Personnel!$H$24),0)+IF(AND(55&gt;=Personnel!$E$25,Personnel!$G$25="Yes"),Personnel!$D$25*(1-Personnel!$H$25),0)+IF(AND(55&gt;=Personnel!$E$26,Personnel!$G$26="Yes"),Personnel!$D$26*(1-Personnel!$H$26),0)+IF(AND(55&gt;=Personnel!$E$27,Personnel!$G$27="Yes"),Personnel!$D$27*(1-Personnel!$H$27),0)+IF(AND(55&gt;=Personnel!$E$28,Personnel!$G$28="Yes"),Personnel!$D$28*(1-Personnel!$H$28),0)+IF(AND(55&gt;=Personnel!$E$29,Personnel!$G$29="Yes"),Personnel!$D$29*(1-Personnel!$H$29),0)+IF(AND(55&gt;=Personnel!$E$30,Personnel!$G$30="Yes"),Personnel!$D$30*(1-Personnel!$H$30),0)+IF(AND(55&gt;=Personnel!$E$31,Personnel!$G$31="Yes"),Personnel!$D$31*(1-Personnel!$H$31),0)+IF(AND(55&gt;=Personnel!$E$32,Personnel!$G$32="Yes"),Personnel!$D$32*(1-Personnel!$H$32),0)+IF(AND(55&gt;=Personnel!$E$33,Personnel!$G$33="Yes"),Personnel!$D$33*(1-Personnel!$H$33),0)+IF(AND(55&gt;=Personnel!$E$36,Personnel!$G$36="Yes"),Personnel!$D$36*(1-Personnel!$H$36),0)+IF(AND(55&gt;=Personnel!$E$37,Personnel!$G$37="Yes"),Personnel!$D$37*(1-Personnel!$H$37),0)+IF(AND(55&gt;=Personnel!$E$38,Personnel!$G$38="Yes"),Personnel!$D$38*(1-Personnel!$H$38),0)+IF(AND(55&gt;=Personnel!$E$39,Personnel!$G$39="Yes"),Personnel!$D$39*(1-Personnel!$H$39),0)+IF(AND(55&gt;=Personnel!$E$40,Personnel!$G$40="Yes"),Personnel!$D$40*(1-Personnel!$H$40),0)+IF(AND(55&gt;=Personnel!$E$41,Personnel!$G$41="Yes"),Personnel!$D$41*(1-Personnel!$H$41),0)+IF(AND(55&gt;=Personnel!$E$42,Personnel!$G$42="Yes"),Personnel!$D$42*(1-Personnel!$H$42),0))*Escalation!$B$56</f>
        <v>371860.54829999991</v>
      </c>
      <c r="BF4" s="231">
        <f>(IF(AND(56&gt;=Personnel!$E$2,Personnel!$G$2="Yes"),Personnel!$D$2*(1-Personnel!$H$2),0)+IF(AND(56&gt;=Personnel!$E$3,Personnel!$G$3="Yes"),Personnel!$D$3*(1-Personnel!$H$3),0)+IF(AND(56&gt;=Personnel!$E$4,Personnel!$G$4="Yes"),Personnel!$D$4*(1-Personnel!$H$4),0)+IF(AND(56&gt;=Personnel!$E$5,Personnel!$G$5="Yes"),Personnel!$D$5*(1-Personnel!$H$5),0)+IF(AND(56&gt;=Personnel!$E$6,Personnel!$G$6="Yes"),Personnel!$D$6*(1-Personnel!$H$6),0)+IF(AND(56&gt;=Personnel!$E$7,Personnel!$G$7="Yes"),Personnel!$D$7*(1-Personnel!$H$7),0)+IF(AND(56&gt;=Personnel!$E$8,Personnel!$G$8="Yes"),Personnel!$D$8*(1-Personnel!$H$8),0)+IF(AND(56&gt;=Personnel!$E$9,Personnel!$G$9="Yes"),Personnel!$D$9*(1-Personnel!$H$9),0)+IF(AND(56&gt;=Personnel!$E$10,Personnel!$G$10="Yes"),Personnel!$D$10*(1-Personnel!$H$10),0)+IF(AND(56&gt;=Personnel!$E$11,Personnel!$G$11="Yes"),Personnel!$D$11*(1-Personnel!$H$11),0)+IF(AND(56&gt;=Personnel!$E$12,Personnel!$G$12="Yes"),Personnel!$D$12*(1-Personnel!$H$12),0)+IF(AND(56&gt;=Personnel!$E$13,Personnel!$G$13="Yes"),Personnel!$D$13*(1-Personnel!$H$13),0)+IF(AND(56&gt;=Personnel!$E$14,Personnel!$G$14="Yes"),Personnel!$D$14*(1-Personnel!$H$14),0)+IF(AND(56&gt;=Personnel!$E$15,Personnel!$G$15="Yes"),Personnel!$D$15*(1-Personnel!$H$15),0)+IF(AND(56&gt;=Personnel!$E$16,Personnel!$G$16="Yes"),Personnel!$D$16*(1-Personnel!$H$16),0)+IF(AND(56&gt;=Personnel!$E$17,Personnel!$G$17="Yes"),Personnel!$D$17*(1-Personnel!$H$17),0)+IF(AND(56&gt;=Personnel!$E$18,Personnel!$G$18="Yes"),Personnel!$D$18*(1-Personnel!$H$18),0)+IF(AND(56&gt;=Personnel!$E$19,Personnel!$G$19="Yes"),Personnel!$D$19*(1-Personnel!$H$19),0)+IF(AND(56&gt;=Personnel!$E$20,Personnel!$G$20="Yes"),Personnel!$D$20*(1-Personnel!$H$20),0)+IF(AND(56&gt;=Personnel!$E$21,Personnel!$G$21="Yes"),Personnel!$D$21*(1-Personnel!$H$21),0)+IF(AND(56&gt;=Personnel!$E$22,Personnel!$G$22="Yes"),Personnel!$D$22*(1-Personnel!$H$22),0)+IF(AND(56&gt;=Personnel!$E$23,Personnel!$G$23="Yes"),Personnel!$D$23*(1-Personnel!$H$23),0)+IF(AND(56&gt;=Personnel!$E$24,Personnel!$G$24="Yes"),Personnel!$D$24*(1-Personnel!$H$24),0)+IF(AND(56&gt;=Personnel!$E$25,Personnel!$G$25="Yes"),Personnel!$D$25*(1-Personnel!$H$25),0)+IF(AND(56&gt;=Personnel!$E$26,Personnel!$G$26="Yes"),Personnel!$D$26*(1-Personnel!$H$26),0)+IF(AND(56&gt;=Personnel!$E$27,Personnel!$G$27="Yes"),Personnel!$D$27*(1-Personnel!$H$27),0)+IF(AND(56&gt;=Personnel!$E$28,Personnel!$G$28="Yes"),Personnel!$D$28*(1-Personnel!$H$28),0)+IF(AND(56&gt;=Personnel!$E$29,Personnel!$G$29="Yes"),Personnel!$D$29*(1-Personnel!$H$29),0)+IF(AND(56&gt;=Personnel!$E$30,Personnel!$G$30="Yes"),Personnel!$D$30*(1-Personnel!$H$30),0)+IF(AND(56&gt;=Personnel!$E$31,Personnel!$G$31="Yes"),Personnel!$D$31*(1-Personnel!$H$31),0)+IF(AND(56&gt;=Personnel!$E$32,Personnel!$G$32="Yes"),Personnel!$D$32*(1-Personnel!$H$32),0)+IF(AND(56&gt;=Personnel!$E$33,Personnel!$G$33="Yes"),Personnel!$D$33*(1-Personnel!$H$33),0)+IF(AND(56&gt;=Personnel!$E$36,Personnel!$G$36="Yes"),Personnel!$D$36*(1-Personnel!$H$36),0)+IF(AND(56&gt;=Personnel!$E$37,Personnel!$G$37="Yes"),Personnel!$D$37*(1-Personnel!$H$37),0)+IF(AND(56&gt;=Personnel!$E$38,Personnel!$G$38="Yes"),Personnel!$D$38*(1-Personnel!$H$38),0)+IF(AND(56&gt;=Personnel!$E$39,Personnel!$G$39="Yes"),Personnel!$D$39*(1-Personnel!$H$39),0)+IF(AND(56&gt;=Personnel!$E$40,Personnel!$G$40="Yes"),Personnel!$D$40*(1-Personnel!$H$40),0)+IF(AND(56&gt;=Personnel!$E$41,Personnel!$G$41="Yes"),Personnel!$D$41*(1-Personnel!$H$41),0)+IF(AND(56&gt;=Personnel!$E$42,Personnel!$G$42="Yes"),Personnel!$D$42*(1-Personnel!$H$42),0))*Escalation!$B$57</f>
        <v>371860.54829999991</v>
      </c>
      <c r="BG4" s="231">
        <f>(IF(AND(57&gt;=Personnel!$E$2,Personnel!$G$2="Yes"),Personnel!$D$2*(1-Personnel!$H$2),0)+IF(AND(57&gt;=Personnel!$E$3,Personnel!$G$3="Yes"),Personnel!$D$3*(1-Personnel!$H$3),0)+IF(AND(57&gt;=Personnel!$E$4,Personnel!$G$4="Yes"),Personnel!$D$4*(1-Personnel!$H$4),0)+IF(AND(57&gt;=Personnel!$E$5,Personnel!$G$5="Yes"),Personnel!$D$5*(1-Personnel!$H$5),0)+IF(AND(57&gt;=Personnel!$E$6,Personnel!$G$6="Yes"),Personnel!$D$6*(1-Personnel!$H$6),0)+IF(AND(57&gt;=Personnel!$E$7,Personnel!$G$7="Yes"),Personnel!$D$7*(1-Personnel!$H$7),0)+IF(AND(57&gt;=Personnel!$E$8,Personnel!$G$8="Yes"),Personnel!$D$8*(1-Personnel!$H$8),0)+IF(AND(57&gt;=Personnel!$E$9,Personnel!$G$9="Yes"),Personnel!$D$9*(1-Personnel!$H$9),0)+IF(AND(57&gt;=Personnel!$E$10,Personnel!$G$10="Yes"),Personnel!$D$10*(1-Personnel!$H$10),0)+IF(AND(57&gt;=Personnel!$E$11,Personnel!$G$11="Yes"),Personnel!$D$11*(1-Personnel!$H$11),0)+IF(AND(57&gt;=Personnel!$E$12,Personnel!$G$12="Yes"),Personnel!$D$12*(1-Personnel!$H$12),0)+IF(AND(57&gt;=Personnel!$E$13,Personnel!$G$13="Yes"),Personnel!$D$13*(1-Personnel!$H$13),0)+IF(AND(57&gt;=Personnel!$E$14,Personnel!$G$14="Yes"),Personnel!$D$14*(1-Personnel!$H$14),0)+IF(AND(57&gt;=Personnel!$E$15,Personnel!$G$15="Yes"),Personnel!$D$15*(1-Personnel!$H$15),0)+IF(AND(57&gt;=Personnel!$E$16,Personnel!$G$16="Yes"),Personnel!$D$16*(1-Personnel!$H$16),0)+IF(AND(57&gt;=Personnel!$E$17,Personnel!$G$17="Yes"),Personnel!$D$17*(1-Personnel!$H$17),0)+IF(AND(57&gt;=Personnel!$E$18,Personnel!$G$18="Yes"),Personnel!$D$18*(1-Personnel!$H$18),0)+IF(AND(57&gt;=Personnel!$E$19,Personnel!$G$19="Yes"),Personnel!$D$19*(1-Personnel!$H$19),0)+IF(AND(57&gt;=Personnel!$E$20,Personnel!$G$20="Yes"),Personnel!$D$20*(1-Personnel!$H$20),0)+IF(AND(57&gt;=Personnel!$E$21,Personnel!$G$21="Yes"),Personnel!$D$21*(1-Personnel!$H$21),0)+IF(AND(57&gt;=Personnel!$E$22,Personnel!$G$22="Yes"),Personnel!$D$22*(1-Personnel!$H$22),0)+IF(AND(57&gt;=Personnel!$E$23,Personnel!$G$23="Yes"),Personnel!$D$23*(1-Personnel!$H$23),0)+IF(AND(57&gt;=Personnel!$E$24,Personnel!$G$24="Yes"),Personnel!$D$24*(1-Personnel!$H$24),0)+IF(AND(57&gt;=Personnel!$E$25,Personnel!$G$25="Yes"),Personnel!$D$25*(1-Personnel!$H$25),0)+IF(AND(57&gt;=Personnel!$E$26,Personnel!$G$26="Yes"),Personnel!$D$26*(1-Personnel!$H$26),0)+IF(AND(57&gt;=Personnel!$E$27,Personnel!$G$27="Yes"),Personnel!$D$27*(1-Personnel!$H$27),0)+IF(AND(57&gt;=Personnel!$E$28,Personnel!$G$28="Yes"),Personnel!$D$28*(1-Personnel!$H$28),0)+IF(AND(57&gt;=Personnel!$E$29,Personnel!$G$29="Yes"),Personnel!$D$29*(1-Personnel!$H$29),0)+IF(AND(57&gt;=Personnel!$E$30,Personnel!$G$30="Yes"),Personnel!$D$30*(1-Personnel!$H$30),0)+IF(AND(57&gt;=Personnel!$E$31,Personnel!$G$31="Yes"),Personnel!$D$31*(1-Personnel!$H$31),0)+IF(AND(57&gt;=Personnel!$E$32,Personnel!$G$32="Yes"),Personnel!$D$32*(1-Personnel!$H$32),0)+IF(AND(57&gt;=Personnel!$E$33,Personnel!$G$33="Yes"),Personnel!$D$33*(1-Personnel!$H$33),0)+IF(AND(57&gt;=Personnel!$E$36,Personnel!$G$36="Yes"),Personnel!$D$36*(1-Personnel!$H$36),0)+IF(AND(57&gt;=Personnel!$E$37,Personnel!$G$37="Yes"),Personnel!$D$37*(1-Personnel!$H$37),0)+IF(AND(57&gt;=Personnel!$E$38,Personnel!$G$38="Yes"),Personnel!$D$38*(1-Personnel!$H$38),0)+IF(AND(57&gt;=Personnel!$E$39,Personnel!$G$39="Yes"),Personnel!$D$39*(1-Personnel!$H$39),0)+IF(AND(57&gt;=Personnel!$E$40,Personnel!$G$40="Yes"),Personnel!$D$40*(1-Personnel!$H$40),0)+IF(AND(57&gt;=Personnel!$E$41,Personnel!$G$41="Yes"),Personnel!$D$41*(1-Personnel!$H$41),0)+IF(AND(57&gt;=Personnel!$E$42,Personnel!$G$42="Yes"),Personnel!$D$42*(1-Personnel!$H$42),0))*Escalation!$B$58</f>
        <v>371860.54829999991</v>
      </c>
      <c r="BH4" s="231">
        <f>(IF(AND(58&gt;=Personnel!$E$2,Personnel!$G$2="Yes"),Personnel!$D$2*(1-Personnel!$H$2),0)+IF(AND(58&gt;=Personnel!$E$3,Personnel!$G$3="Yes"),Personnel!$D$3*(1-Personnel!$H$3),0)+IF(AND(58&gt;=Personnel!$E$4,Personnel!$G$4="Yes"),Personnel!$D$4*(1-Personnel!$H$4),0)+IF(AND(58&gt;=Personnel!$E$5,Personnel!$G$5="Yes"),Personnel!$D$5*(1-Personnel!$H$5),0)+IF(AND(58&gt;=Personnel!$E$6,Personnel!$G$6="Yes"),Personnel!$D$6*(1-Personnel!$H$6),0)+IF(AND(58&gt;=Personnel!$E$7,Personnel!$G$7="Yes"),Personnel!$D$7*(1-Personnel!$H$7),0)+IF(AND(58&gt;=Personnel!$E$8,Personnel!$G$8="Yes"),Personnel!$D$8*(1-Personnel!$H$8),0)+IF(AND(58&gt;=Personnel!$E$9,Personnel!$G$9="Yes"),Personnel!$D$9*(1-Personnel!$H$9),0)+IF(AND(58&gt;=Personnel!$E$10,Personnel!$G$10="Yes"),Personnel!$D$10*(1-Personnel!$H$10),0)+IF(AND(58&gt;=Personnel!$E$11,Personnel!$G$11="Yes"),Personnel!$D$11*(1-Personnel!$H$11),0)+IF(AND(58&gt;=Personnel!$E$12,Personnel!$G$12="Yes"),Personnel!$D$12*(1-Personnel!$H$12),0)+IF(AND(58&gt;=Personnel!$E$13,Personnel!$G$13="Yes"),Personnel!$D$13*(1-Personnel!$H$13),0)+IF(AND(58&gt;=Personnel!$E$14,Personnel!$G$14="Yes"),Personnel!$D$14*(1-Personnel!$H$14),0)+IF(AND(58&gt;=Personnel!$E$15,Personnel!$G$15="Yes"),Personnel!$D$15*(1-Personnel!$H$15),0)+IF(AND(58&gt;=Personnel!$E$16,Personnel!$G$16="Yes"),Personnel!$D$16*(1-Personnel!$H$16),0)+IF(AND(58&gt;=Personnel!$E$17,Personnel!$G$17="Yes"),Personnel!$D$17*(1-Personnel!$H$17),0)+IF(AND(58&gt;=Personnel!$E$18,Personnel!$G$18="Yes"),Personnel!$D$18*(1-Personnel!$H$18),0)+IF(AND(58&gt;=Personnel!$E$19,Personnel!$G$19="Yes"),Personnel!$D$19*(1-Personnel!$H$19),0)+IF(AND(58&gt;=Personnel!$E$20,Personnel!$G$20="Yes"),Personnel!$D$20*(1-Personnel!$H$20),0)+IF(AND(58&gt;=Personnel!$E$21,Personnel!$G$21="Yes"),Personnel!$D$21*(1-Personnel!$H$21),0)+IF(AND(58&gt;=Personnel!$E$22,Personnel!$G$22="Yes"),Personnel!$D$22*(1-Personnel!$H$22),0)+IF(AND(58&gt;=Personnel!$E$23,Personnel!$G$23="Yes"),Personnel!$D$23*(1-Personnel!$H$23),0)+IF(AND(58&gt;=Personnel!$E$24,Personnel!$G$24="Yes"),Personnel!$D$24*(1-Personnel!$H$24),0)+IF(AND(58&gt;=Personnel!$E$25,Personnel!$G$25="Yes"),Personnel!$D$25*(1-Personnel!$H$25),0)+IF(AND(58&gt;=Personnel!$E$26,Personnel!$G$26="Yes"),Personnel!$D$26*(1-Personnel!$H$26),0)+IF(AND(58&gt;=Personnel!$E$27,Personnel!$G$27="Yes"),Personnel!$D$27*(1-Personnel!$H$27),0)+IF(AND(58&gt;=Personnel!$E$28,Personnel!$G$28="Yes"),Personnel!$D$28*(1-Personnel!$H$28),0)+IF(AND(58&gt;=Personnel!$E$29,Personnel!$G$29="Yes"),Personnel!$D$29*(1-Personnel!$H$29),0)+IF(AND(58&gt;=Personnel!$E$30,Personnel!$G$30="Yes"),Personnel!$D$30*(1-Personnel!$H$30),0)+IF(AND(58&gt;=Personnel!$E$31,Personnel!$G$31="Yes"),Personnel!$D$31*(1-Personnel!$H$31),0)+IF(AND(58&gt;=Personnel!$E$32,Personnel!$G$32="Yes"),Personnel!$D$32*(1-Personnel!$H$32),0)+IF(AND(58&gt;=Personnel!$E$33,Personnel!$G$33="Yes"),Personnel!$D$33*(1-Personnel!$H$33),0)+IF(AND(58&gt;=Personnel!$E$36,Personnel!$G$36="Yes"),Personnel!$D$36*(1-Personnel!$H$36),0)+IF(AND(58&gt;=Personnel!$E$37,Personnel!$G$37="Yes"),Personnel!$D$37*(1-Personnel!$H$37),0)+IF(AND(58&gt;=Personnel!$E$38,Personnel!$G$38="Yes"),Personnel!$D$38*(1-Personnel!$H$38),0)+IF(AND(58&gt;=Personnel!$E$39,Personnel!$G$39="Yes"),Personnel!$D$39*(1-Personnel!$H$39),0)+IF(AND(58&gt;=Personnel!$E$40,Personnel!$G$40="Yes"),Personnel!$D$40*(1-Personnel!$H$40),0)+IF(AND(58&gt;=Personnel!$E$41,Personnel!$G$41="Yes"),Personnel!$D$41*(1-Personnel!$H$41),0)+IF(AND(58&gt;=Personnel!$E$42,Personnel!$G$42="Yes"),Personnel!$D$42*(1-Personnel!$H$42),0))*Escalation!$B$59</f>
        <v>371860.54829999991</v>
      </c>
      <c r="BI4" s="231">
        <f>(IF(AND(59&gt;=Personnel!$E$2,Personnel!$G$2="Yes"),Personnel!$D$2*(1-Personnel!$H$2),0)+IF(AND(59&gt;=Personnel!$E$3,Personnel!$G$3="Yes"),Personnel!$D$3*(1-Personnel!$H$3),0)+IF(AND(59&gt;=Personnel!$E$4,Personnel!$G$4="Yes"),Personnel!$D$4*(1-Personnel!$H$4),0)+IF(AND(59&gt;=Personnel!$E$5,Personnel!$G$5="Yes"),Personnel!$D$5*(1-Personnel!$H$5),0)+IF(AND(59&gt;=Personnel!$E$6,Personnel!$G$6="Yes"),Personnel!$D$6*(1-Personnel!$H$6),0)+IF(AND(59&gt;=Personnel!$E$7,Personnel!$G$7="Yes"),Personnel!$D$7*(1-Personnel!$H$7),0)+IF(AND(59&gt;=Personnel!$E$8,Personnel!$G$8="Yes"),Personnel!$D$8*(1-Personnel!$H$8),0)+IF(AND(59&gt;=Personnel!$E$9,Personnel!$G$9="Yes"),Personnel!$D$9*(1-Personnel!$H$9),0)+IF(AND(59&gt;=Personnel!$E$10,Personnel!$G$10="Yes"),Personnel!$D$10*(1-Personnel!$H$10),0)+IF(AND(59&gt;=Personnel!$E$11,Personnel!$G$11="Yes"),Personnel!$D$11*(1-Personnel!$H$11),0)+IF(AND(59&gt;=Personnel!$E$12,Personnel!$G$12="Yes"),Personnel!$D$12*(1-Personnel!$H$12),0)+IF(AND(59&gt;=Personnel!$E$13,Personnel!$G$13="Yes"),Personnel!$D$13*(1-Personnel!$H$13),0)+IF(AND(59&gt;=Personnel!$E$14,Personnel!$G$14="Yes"),Personnel!$D$14*(1-Personnel!$H$14),0)+IF(AND(59&gt;=Personnel!$E$15,Personnel!$G$15="Yes"),Personnel!$D$15*(1-Personnel!$H$15),0)+IF(AND(59&gt;=Personnel!$E$16,Personnel!$G$16="Yes"),Personnel!$D$16*(1-Personnel!$H$16),0)+IF(AND(59&gt;=Personnel!$E$17,Personnel!$G$17="Yes"),Personnel!$D$17*(1-Personnel!$H$17),0)+IF(AND(59&gt;=Personnel!$E$18,Personnel!$G$18="Yes"),Personnel!$D$18*(1-Personnel!$H$18),0)+IF(AND(59&gt;=Personnel!$E$19,Personnel!$G$19="Yes"),Personnel!$D$19*(1-Personnel!$H$19),0)+IF(AND(59&gt;=Personnel!$E$20,Personnel!$G$20="Yes"),Personnel!$D$20*(1-Personnel!$H$20),0)+IF(AND(59&gt;=Personnel!$E$21,Personnel!$G$21="Yes"),Personnel!$D$21*(1-Personnel!$H$21),0)+IF(AND(59&gt;=Personnel!$E$22,Personnel!$G$22="Yes"),Personnel!$D$22*(1-Personnel!$H$22),0)+IF(AND(59&gt;=Personnel!$E$23,Personnel!$G$23="Yes"),Personnel!$D$23*(1-Personnel!$H$23),0)+IF(AND(59&gt;=Personnel!$E$24,Personnel!$G$24="Yes"),Personnel!$D$24*(1-Personnel!$H$24),0)+IF(AND(59&gt;=Personnel!$E$25,Personnel!$G$25="Yes"),Personnel!$D$25*(1-Personnel!$H$25),0)+IF(AND(59&gt;=Personnel!$E$26,Personnel!$G$26="Yes"),Personnel!$D$26*(1-Personnel!$H$26),0)+IF(AND(59&gt;=Personnel!$E$27,Personnel!$G$27="Yes"),Personnel!$D$27*(1-Personnel!$H$27),0)+IF(AND(59&gt;=Personnel!$E$28,Personnel!$G$28="Yes"),Personnel!$D$28*(1-Personnel!$H$28),0)+IF(AND(59&gt;=Personnel!$E$29,Personnel!$G$29="Yes"),Personnel!$D$29*(1-Personnel!$H$29),0)+IF(AND(59&gt;=Personnel!$E$30,Personnel!$G$30="Yes"),Personnel!$D$30*(1-Personnel!$H$30),0)+IF(AND(59&gt;=Personnel!$E$31,Personnel!$G$31="Yes"),Personnel!$D$31*(1-Personnel!$H$31),0)+IF(AND(59&gt;=Personnel!$E$32,Personnel!$G$32="Yes"),Personnel!$D$32*(1-Personnel!$H$32),0)+IF(AND(59&gt;=Personnel!$E$33,Personnel!$G$33="Yes"),Personnel!$D$33*(1-Personnel!$H$33),0)+IF(AND(59&gt;=Personnel!$E$36,Personnel!$G$36="Yes"),Personnel!$D$36*(1-Personnel!$H$36),0)+IF(AND(59&gt;=Personnel!$E$37,Personnel!$G$37="Yes"),Personnel!$D$37*(1-Personnel!$H$37),0)+IF(AND(59&gt;=Personnel!$E$38,Personnel!$G$38="Yes"),Personnel!$D$38*(1-Personnel!$H$38),0)+IF(AND(59&gt;=Personnel!$E$39,Personnel!$G$39="Yes"),Personnel!$D$39*(1-Personnel!$H$39),0)+IF(AND(59&gt;=Personnel!$E$40,Personnel!$G$40="Yes"),Personnel!$D$40*(1-Personnel!$H$40),0)+IF(AND(59&gt;=Personnel!$E$41,Personnel!$G$41="Yes"),Personnel!$D$41*(1-Personnel!$H$41),0)+IF(AND(59&gt;=Personnel!$E$42,Personnel!$G$42="Yes"),Personnel!$D$42*(1-Personnel!$H$42),0))*Escalation!$B$60</f>
        <v>371860.54829999991</v>
      </c>
      <c r="BJ4" s="231">
        <f>(IF(AND(60&gt;=Personnel!$E$2,Personnel!$G$2="Yes"),Personnel!$D$2*(1-Personnel!$H$2),0)+IF(AND(60&gt;=Personnel!$E$3,Personnel!$G$3="Yes"),Personnel!$D$3*(1-Personnel!$H$3),0)+IF(AND(60&gt;=Personnel!$E$4,Personnel!$G$4="Yes"),Personnel!$D$4*(1-Personnel!$H$4),0)+IF(AND(60&gt;=Personnel!$E$5,Personnel!$G$5="Yes"),Personnel!$D$5*(1-Personnel!$H$5),0)+IF(AND(60&gt;=Personnel!$E$6,Personnel!$G$6="Yes"),Personnel!$D$6*(1-Personnel!$H$6),0)+IF(AND(60&gt;=Personnel!$E$7,Personnel!$G$7="Yes"),Personnel!$D$7*(1-Personnel!$H$7),0)+IF(AND(60&gt;=Personnel!$E$8,Personnel!$G$8="Yes"),Personnel!$D$8*(1-Personnel!$H$8),0)+IF(AND(60&gt;=Personnel!$E$9,Personnel!$G$9="Yes"),Personnel!$D$9*(1-Personnel!$H$9),0)+IF(AND(60&gt;=Personnel!$E$10,Personnel!$G$10="Yes"),Personnel!$D$10*(1-Personnel!$H$10),0)+IF(AND(60&gt;=Personnel!$E$11,Personnel!$G$11="Yes"),Personnel!$D$11*(1-Personnel!$H$11),0)+IF(AND(60&gt;=Personnel!$E$12,Personnel!$G$12="Yes"),Personnel!$D$12*(1-Personnel!$H$12),0)+IF(AND(60&gt;=Personnel!$E$13,Personnel!$G$13="Yes"),Personnel!$D$13*(1-Personnel!$H$13),0)+IF(AND(60&gt;=Personnel!$E$14,Personnel!$G$14="Yes"),Personnel!$D$14*(1-Personnel!$H$14),0)+IF(AND(60&gt;=Personnel!$E$15,Personnel!$G$15="Yes"),Personnel!$D$15*(1-Personnel!$H$15),0)+IF(AND(60&gt;=Personnel!$E$16,Personnel!$G$16="Yes"),Personnel!$D$16*(1-Personnel!$H$16),0)+IF(AND(60&gt;=Personnel!$E$17,Personnel!$G$17="Yes"),Personnel!$D$17*(1-Personnel!$H$17),0)+IF(AND(60&gt;=Personnel!$E$18,Personnel!$G$18="Yes"),Personnel!$D$18*(1-Personnel!$H$18),0)+IF(AND(60&gt;=Personnel!$E$19,Personnel!$G$19="Yes"),Personnel!$D$19*(1-Personnel!$H$19),0)+IF(AND(60&gt;=Personnel!$E$20,Personnel!$G$20="Yes"),Personnel!$D$20*(1-Personnel!$H$20),0)+IF(AND(60&gt;=Personnel!$E$21,Personnel!$G$21="Yes"),Personnel!$D$21*(1-Personnel!$H$21),0)+IF(AND(60&gt;=Personnel!$E$22,Personnel!$G$22="Yes"),Personnel!$D$22*(1-Personnel!$H$22),0)+IF(AND(60&gt;=Personnel!$E$23,Personnel!$G$23="Yes"),Personnel!$D$23*(1-Personnel!$H$23),0)+IF(AND(60&gt;=Personnel!$E$24,Personnel!$G$24="Yes"),Personnel!$D$24*(1-Personnel!$H$24),0)+IF(AND(60&gt;=Personnel!$E$25,Personnel!$G$25="Yes"),Personnel!$D$25*(1-Personnel!$H$25),0)+IF(AND(60&gt;=Personnel!$E$26,Personnel!$G$26="Yes"),Personnel!$D$26*(1-Personnel!$H$26),0)+IF(AND(60&gt;=Personnel!$E$27,Personnel!$G$27="Yes"),Personnel!$D$27*(1-Personnel!$H$27),0)+IF(AND(60&gt;=Personnel!$E$28,Personnel!$G$28="Yes"),Personnel!$D$28*(1-Personnel!$H$28),0)+IF(AND(60&gt;=Personnel!$E$29,Personnel!$G$29="Yes"),Personnel!$D$29*(1-Personnel!$H$29),0)+IF(AND(60&gt;=Personnel!$E$30,Personnel!$G$30="Yes"),Personnel!$D$30*(1-Personnel!$H$30),0)+IF(AND(60&gt;=Personnel!$E$31,Personnel!$G$31="Yes"),Personnel!$D$31*(1-Personnel!$H$31),0)+IF(AND(60&gt;=Personnel!$E$32,Personnel!$G$32="Yes"),Personnel!$D$32*(1-Personnel!$H$32),0)+IF(AND(60&gt;=Personnel!$E$33,Personnel!$G$33="Yes"),Personnel!$D$33*(1-Personnel!$H$33),0)+IF(AND(60&gt;=Personnel!$E$36,Personnel!$G$36="Yes"),Personnel!$D$36*(1-Personnel!$H$36),0)+IF(AND(60&gt;=Personnel!$E$37,Personnel!$G$37="Yes"),Personnel!$D$37*(1-Personnel!$H$37),0)+IF(AND(60&gt;=Personnel!$E$38,Personnel!$G$38="Yes"),Personnel!$D$38*(1-Personnel!$H$38),0)+IF(AND(60&gt;=Personnel!$E$39,Personnel!$G$39="Yes"),Personnel!$D$39*(1-Personnel!$H$39),0)+IF(AND(60&gt;=Personnel!$E$40,Personnel!$G$40="Yes"),Personnel!$D$40*(1-Personnel!$H$40),0)+IF(AND(60&gt;=Personnel!$E$41,Personnel!$G$41="Yes"),Personnel!$D$41*(1-Personnel!$H$41),0)+IF(AND(60&gt;=Personnel!$E$42,Personnel!$G$42="Yes"),Personnel!$D$42*(1-Personnel!$H$42),0))*Escalation!$B$61</f>
        <v>371860.54829999991</v>
      </c>
      <c r="BK4" s="231">
        <f>(IF(AND(61&gt;=Personnel!$E$2,Personnel!$G$2="Yes"),Personnel!$D$2*(1-Personnel!$H$2),0)+IF(AND(61&gt;=Personnel!$E$3,Personnel!$G$3="Yes"),Personnel!$D$3*(1-Personnel!$H$3),0)+IF(AND(61&gt;=Personnel!$E$4,Personnel!$G$4="Yes"),Personnel!$D$4*(1-Personnel!$H$4),0)+IF(AND(61&gt;=Personnel!$E$5,Personnel!$G$5="Yes"),Personnel!$D$5*(1-Personnel!$H$5),0)+IF(AND(61&gt;=Personnel!$E$6,Personnel!$G$6="Yes"),Personnel!$D$6*(1-Personnel!$H$6),0)+IF(AND(61&gt;=Personnel!$E$7,Personnel!$G$7="Yes"),Personnel!$D$7*(1-Personnel!$H$7),0)+IF(AND(61&gt;=Personnel!$E$8,Personnel!$G$8="Yes"),Personnel!$D$8*(1-Personnel!$H$8),0)+IF(AND(61&gt;=Personnel!$E$9,Personnel!$G$9="Yes"),Personnel!$D$9*(1-Personnel!$H$9),0)+IF(AND(61&gt;=Personnel!$E$10,Personnel!$G$10="Yes"),Personnel!$D$10*(1-Personnel!$H$10),0)+IF(AND(61&gt;=Personnel!$E$11,Personnel!$G$11="Yes"),Personnel!$D$11*(1-Personnel!$H$11),0)+IF(AND(61&gt;=Personnel!$E$12,Personnel!$G$12="Yes"),Personnel!$D$12*(1-Personnel!$H$12),0)+IF(AND(61&gt;=Personnel!$E$13,Personnel!$G$13="Yes"),Personnel!$D$13*(1-Personnel!$H$13),0)+IF(AND(61&gt;=Personnel!$E$14,Personnel!$G$14="Yes"),Personnel!$D$14*(1-Personnel!$H$14),0)+IF(AND(61&gt;=Personnel!$E$15,Personnel!$G$15="Yes"),Personnel!$D$15*(1-Personnel!$H$15),0)+IF(AND(61&gt;=Personnel!$E$16,Personnel!$G$16="Yes"),Personnel!$D$16*(1-Personnel!$H$16),0)+IF(AND(61&gt;=Personnel!$E$17,Personnel!$G$17="Yes"),Personnel!$D$17*(1-Personnel!$H$17),0)+IF(AND(61&gt;=Personnel!$E$18,Personnel!$G$18="Yes"),Personnel!$D$18*(1-Personnel!$H$18),0)+IF(AND(61&gt;=Personnel!$E$19,Personnel!$G$19="Yes"),Personnel!$D$19*(1-Personnel!$H$19),0)+IF(AND(61&gt;=Personnel!$E$20,Personnel!$G$20="Yes"),Personnel!$D$20*(1-Personnel!$H$20),0)+IF(AND(61&gt;=Personnel!$E$21,Personnel!$G$21="Yes"),Personnel!$D$21*(1-Personnel!$H$21),0)+IF(AND(61&gt;=Personnel!$E$22,Personnel!$G$22="Yes"),Personnel!$D$22*(1-Personnel!$H$22),0)+IF(AND(61&gt;=Personnel!$E$23,Personnel!$G$23="Yes"),Personnel!$D$23*(1-Personnel!$H$23),0)+IF(AND(61&gt;=Personnel!$E$24,Personnel!$G$24="Yes"),Personnel!$D$24*(1-Personnel!$H$24),0)+IF(AND(61&gt;=Personnel!$E$25,Personnel!$G$25="Yes"),Personnel!$D$25*(1-Personnel!$H$25),0)+IF(AND(61&gt;=Personnel!$E$26,Personnel!$G$26="Yes"),Personnel!$D$26*(1-Personnel!$H$26),0)+IF(AND(61&gt;=Personnel!$E$27,Personnel!$G$27="Yes"),Personnel!$D$27*(1-Personnel!$H$27),0)+IF(AND(61&gt;=Personnel!$E$28,Personnel!$G$28="Yes"),Personnel!$D$28*(1-Personnel!$H$28),0)+IF(AND(61&gt;=Personnel!$E$29,Personnel!$G$29="Yes"),Personnel!$D$29*(1-Personnel!$H$29),0)+IF(AND(61&gt;=Personnel!$E$30,Personnel!$G$30="Yes"),Personnel!$D$30*(1-Personnel!$H$30),0)+IF(AND(61&gt;=Personnel!$E$31,Personnel!$G$31="Yes"),Personnel!$D$31*(1-Personnel!$H$31),0)+IF(AND(61&gt;=Personnel!$E$32,Personnel!$G$32="Yes"),Personnel!$D$32*(1-Personnel!$H$32),0)+IF(AND(61&gt;=Personnel!$E$33,Personnel!$G$33="Yes"),Personnel!$D$33*(1-Personnel!$H$33),0)+IF(AND(61&gt;=Personnel!$E$36,Personnel!$G$36="Yes"),Personnel!$D$36*(1-Personnel!$H$36),0)+IF(AND(61&gt;=Personnel!$E$37,Personnel!$G$37="Yes"),Personnel!$D$37*(1-Personnel!$H$37),0)+IF(AND(61&gt;=Personnel!$E$38,Personnel!$G$38="Yes"),Personnel!$D$38*(1-Personnel!$H$38),0)+IF(AND(61&gt;=Personnel!$E$39,Personnel!$G$39="Yes"),Personnel!$D$39*(1-Personnel!$H$39),0)+IF(AND(61&gt;=Personnel!$E$40,Personnel!$G$40="Yes"),Personnel!$D$40*(1-Personnel!$H$40),0)+IF(AND(61&gt;=Personnel!$E$41,Personnel!$G$41="Yes"),Personnel!$D$41*(1-Personnel!$H$41),0)+IF(AND(61&gt;=Personnel!$E$42,Personnel!$G$42="Yes"),Personnel!$D$42*(1-Personnel!$H$42),0))*Escalation!$B$62</f>
        <v>379297.75926599989</v>
      </c>
      <c r="BL4" s="231">
        <f>(IF(AND(62&gt;=Personnel!$E$2,Personnel!$G$2="Yes"),Personnel!$D$2*(1-Personnel!$H$2),0)+IF(AND(62&gt;=Personnel!$E$3,Personnel!$G$3="Yes"),Personnel!$D$3*(1-Personnel!$H$3),0)+IF(AND(62&gt;=Personnel!$E$4,Personnel!$G$4="Yes"),Personnel!$D$4*(1-Personnel!$H$4),0)+IF(AND(62&gt;=Personnel!$E$5,Personnel!$G$5="Yes"),Personnel!$D$5*(1-Personnel!$H$5),0)+IF(AND(62&gt;=Personnel!$E$6,Personnel!$G$6="Yes"),Personnel!$D$6*(1-Personnel!$H$6),0)+IF(AND(62&gt;=Personnel!$E$7,Personnel!$G$7="Yes"),Personnel!$D$7*(1-Personnel!$H$7),0)+IF(AND(62&gt;=Personnel!$E$8,Personnel!$G$8="Yes"),Personnel!$D$8*(1-Personnel!$H$8),0)+IF(AND(62&gt;=Personnel!$E$9,Personnel!$G$9="Yes"),Personnel!$D$9*(1-Personnel!$H$9),0)+IF(AND(62&gt;=Personnel!$E$10,Personnel!$G$10="Yes"),Personnel!$D$10*(1-Personnel!$H$10),0)+IF(AND(62&gt;=Personnel!$E$11,Personnel!$G$11="Yes"),Personnel!$D$11*(1-Personnel!$H$11),0)+IF(AND(62&gt;=Personnel!$E$12,Personnel!$G$12="Yes"),Personnel!$D$12*(1-Personnel!$H$12),0)+IF(AND(62&gt;=Personnel!$E$13,Personnel!$G$13="Yes"),Personnel!$D$13*(1-Personnel!$H$13),0)+IF(AND(62&gt;=Personnel!$E$14,Personnel!$G$14="Yes"),Personnel!$D$14*(1-Personnel!$H$14),0)+IF(AND(62&gt;=Personnel!$E$15,Personnel!$G$15="Yes"),Personnel!$D$15*(1-Personnel!$H$15),0)+IF(AND(62&gt;=Personnel!$E$16,Personnel!$G$16="Yes"),Personnel!$D$16*(1-Personnel!$H$16),0)+IF(AND(62&gt;=Personnel!$E$17,Personnel!$G$17="Yes"),Personnel!$D$17*(1-Personnel!$H$17),0)+IF(AND(62&gt;=Personnel!$E$18,Personnel!$G$18="Yes"),Personnel!$D$18*(1-Personnel!$H$18),0)+IF(AND(62&gt;=Personnel!$E$19,Personnel!$G$19="Yes"),Personnel!$D$19*(1-Personnel!$H$19),0)+IF(AND(62&gt;=Personnel!$E$20,Personnel!$G$20="Yes"),Personnel!$D$20*(1-Personnel!$H$20),0)+IF(AND(62&gt;=Personnel!$E$21,Personnel!$G$21="Yes"),Personnel!$D$21*(1-Personnel!$H$21),0)+IF(AND(62&gt;=Personnel!$E$22,Personnel!$G$22="Yes"),Personnel!$D$22*(1-Personnel!$H$22),0)+IF(AND(62&gt;=Personnel!$E$23,Personnel!$G$23="Yes"),Personnel!$D$23*(1-Personnel!$H$23),0)+IF(AND(62&gt;=Personnel!$E$24,Personnel!$G$24="Yes"),Personnel!$D$24*(1-Personnel!$H$24),0)+IF(AND(62&gt;=Personnel!$E$25,Personnel!$G$25="Yes"),Personnel!$D$25*(1-Personnel!$H$25),0)+IF(AND(62&gt;=Personnel!$E$26,Personnel!$G$26="Yes"),Personnel!$D$26*(1-Personnel!$H$26),0)+IF(AND(62&gt;=Personnel!$E$27,Personnel!$G$27="Yes"),Personnel!$D$27*(1-Personnel!$H$27),0)+IF(AND(62&gt;=Personnel!$E$28,Personnel!$G$28="Yes"),Personnel!$D$28*(1-Personnel!$H$28),0)+IF(AND(62&gt;=Personnel!$E$29,Personnel!$G$29="Yes"),Personnel!$D$29*(1-Personnel!$H$29),0)+IF(AND(62&gt;=Personnel!$E$30,Personnel!$G$30="Yes"),Personnel!$D$30*(1-Personnel!$H$30),0)+IF(AND(62&gt;=Personnel!$E$31,Personnel!$G$31="Yes"),Personnel!$D$31*(1-Personnel!$H$31),0)+IF(AND(62&gt;=Personnel!$E$32,Personnel!$G$32="Yes"),Personnel!$D$32*(1-Personnel!$H$32),0)+IF(AND(62&gt;=Personnel!$E$33,Personnel!$G$33="Yes"),Personnel!$D$33*(1-Personnel!$H$33),0)+IF(AND(62&gt;=Personnel!$E$36,Personnel!$G$36="Yes"),Personnel!$D$36*(1-Personnel!$H$36),0)+IF(AND(62&gt;=Personnel!$E$37,Personnel!$G$37="Yes"),Personnel!$D$37*(1-Personnel!$H$37),0)+IF(AND(62&gt;=Personnel!$E$38,Personnel!$G$38="Yes"),Personnel!$D$38*(1-Personnel!$H$38),0)+IF(AND(62&gt;=Personnel!$E$39,Personnel!$G$39="Yes"),Personnel!$D$39*(1-Personnel!$H$39),0)+IF(AND(62&gt;=Personnel!$E$40,Personnel!$G$40="Yes"),Personnel!$D$40*(1-Personnel!$H$40),0)+IF(AND(62&gt;=Personnel!$E$41,Personnel!$G$41="Yes"),Personnel!$D$41*(1-Personnel!$H$41),0)+IF(AND(62&gt;=Personnel!$E$42,Personnel!$G$42="Yes"),Personnel!$D$42*(1-Personnel!$H$42),0))*Escalation!$B$63</f>
        <v>379297.75926599989</v>
      </c>
      <c r="BM4" s="231">
        <f>(IF(AND(63&gt;=Personnel!$E$2,Personnel!$G$2="Yes"),Personnel!$D$2*(1-Personnel!$H$2),0)+IF(AND(63&gt;=Personnel!$E$3,Personnel!$G$3="Yes"),Personnel!$D$3*(1-Personnel!$H$3),0)+IF(AND(63&gt;=Personnel!$E$4,Personnel!$G$4="Yes"),Personnel!$D$4*(1-Personnel!$H$4),0)+IF(AND(63&gt;=Personnel!$E$5,Personnel!$G$5="Yes"),Personnel!$D$5*(1-Personnel!$H$5),0)+IF(AND(63&gt;=Personnel!$E$6,Personnel!$G$6="Yes"),Personnel!$D$6*(1-Personnel!$H$6),0)+IF(AND(63&gt;=Personnel!$E$7,Personnel!$G$7="Yes"),Personnel!$D$7*(1-Personnel!$H$7),0)+IF(AND(63&gt;=Personnel!$E$8,Personnel!$G$8="Yes"),Personnel!$D$8*(1-Personnel!$H$8),0)+IF(AND(63&gt;=Personnel!$E$9,Personnel!$G$9="Yes"),Personnel!$D$9*(1-Personnel!$H$9),0)+IF(AND(63&gt;=Personnel!$E$10,Personnel!$G$10="Yes"),Personnel!$D$10*(1-Personnel!$H$10),0)+IF(AND(63&gt;=Personnel!$E$11,Personnel!$G$11="Yes"),Personnel!$D$11*(1-Personnel!$H$11),0)+IF(AND(63&gt;=Personnel!$E$12,Personnel!$G$12="Yes"),Personnel!$D$12*(1-Personnel!$H$12),0)+IF(AND(63&gt;=Personnel!$E$13,Personnel!$G$13="Yes"),Personnel!$D$13*(1-Personnel!$H$13),0)+IF(AND(63&gt;=Personnel!$E$14,Personnel!$G$14="Yes"),Personnel!$D$14*(1-Personnel!$H$14),0)+IF(AND(63&gt;=Personnel!$E$15,Personnel!$G$15="Yes"),Personnel!$D$15*(1-Personnel!$H$15),0)+IF(AND(63&gt;=Personnel!$E$16,Personnel!$G$16="Yes"),Personnel!$D$16*(1-Personnel!$H$16),0)+IF(AND(63&gt;=Personnel!$E$17,Personnel!$G$17="Yes"),Personnel!$D$17*(1-Personnel!$H$17),0)+IF(AND(63&gt;=Personnel!$E$18,Personnel!$G$18="Yes"),Personnel!$D$18*(1-Personnel!$H$18),0)+IF(AND(63&gt;=Personnel!$E$19,Personnel!$G$19="Yes"),Personnel!$D$19*(1-Personnel!$H$19),0)+IF(AND(63&gt;=Personnel!$E$20,Personnel!$G$20="Yes"),Personnel!$D$20*(1-Personnel!$H$20),0)+IF(AND(63&gt;=Personnel!$E$21,Personnel!$G$21="Yes"),Personnel!$D$21*(1-Personnel!$H$21),0)+IF(AND(63&gt;=Personnel!$E$22,Personnel!$G$22="Yes"),Personnel!$D$22*(1-Personnel!$H$22),0)+IF(AND(63&gt;=Personnel!$E$23,Personnel!$G$23="Yes"),Personnel!$D$23*(1-Personnel!$H$23),0)+IF(AND(63&gt;=Personnel!$E$24,Personnel!$G$24="Yes"),Personnel!$D$24*(1-Personnel!$H$24),0)+IF(AND(63&gt;=Personnel!$E$25,Personnel!$G$25="Yes"),Personnel!$D$25*(1-Personnel!$H$25),0)+IF(AND(63&gt;=Personnel!$E$26,Personnel!$G$26="Yes"),Personnel!$D$26*(1-Personnel!$H$26),0)+IF(AND(63&gt;=Personnel!$E$27,Personnel!$G$27="Yes"),Personnel!$D$27*(1-Personnel!$H$27),0)+IF(AND(63&gt;=Personnel!$E$28,Personnel!$G$28="Yes"),Personnel!$D$28*(1-Personnel!$H$28),0)+IF(AND(63&gt;=Personnel!$E$29,Personnel!$G$29="Yes"),Personnel!$D$29*(1-Personnel!$H$29),0)+IF(AND(63&gt;=Personnel!$E$30,Personnel!$G$30="Yes"),Personnel!$D$30*(1-Personnel!$H$30),0)+IF(AND(63&gt;=Personnel!$E$31,Personnel!$G$31="Yes"),Personnel!$D$31*(1-Personnel!$H$31),0)+IF(AND(63&gt;=Personnel!$E$32,Personnel!$G$32="Yes"),Personnel!$D$32*(1-Personnel!$H$32),0)+IF(AND(63&gt;=Personnel!$E$33,Personnel!$G$33="Yes"),Personnel!$D$33*(1-Personnel!$H$33),0)+IF(AND(63&gt;=Personnel!$E$36,Personnel!$G$36="Yes"),Personnel!$D$36*(1-Personnel!$H$36),0)+IF(AND(63&gt;=Personnel!$E$37,Personnel!$G$37="Yes"),Personnel!$D$37*(1-Personnel!$H$37),0)+IF(AND(63&gt;=Personnel!$E$38,Personnel!$G$38="Yes"),Personnel!$D$38*(1-Personnel!$H$38),0)+IF(AND(63&gt;=Personnel!$E$39,Personnel!$G$39="Yes"),Personnel!$D$39*(1-Personnel!$H$39),0)+IF(AND(63&gt;=Personnel!$E$40,Personnel!$G$40="Yes"),Personnel!$D$40*(1-Personnel!$H$40),0)+IF(AND(63&gt;=Personnel!$E$41,Personnel!$G$41="Yes"),Personnel!$D$41*(1-Personnel!$H$41),0)+IF(AND(63&gt;=Personnel!$E$42,Personnel!$G$42="Yes"),Personnel!$D$42*(1-Personnel!$H$42),0))*Escalation!$B$64</f>
        <v>379297.75926599989</v>
      </c>
      <c r="BN4" s="231">
        <f>(IF(AND(64&gt;=Personnel!$E$2,Personnel!$G$2="Yes"),Personnel!$D$2*(1-Personnel!$H$2),0)+IF(AND(64&gt;=Personnel!$E$3,Personnel!$G$3="Yes"),Personnel!$D$3*(1-Personnel!$H$3),0)+IF(AND(64&gt;=Personnel!$E$4,Personnel!$G$4="Yes"),Personnel!$D$4*(1-Personnel!$H$4),0)+IF(AND(64&gt;=Personnel!$E$5,Personnel!$G$5="Yes"),Personnel!$D$5*(1-Personnel!$H$5),0)+IF(AND(64&gt;=Personnel!$E$6,Personnel!$G$6="Yes"),Personnel!$D$6*(1-Personnel!$H$6),0)+IF(AND(64&gt;=Personnel!$E$7,Personnel!$G$7="Yes"),Personnel!$D$7*(1-Personnel!$H$7),0)+IF(AND(64&gt;=Personnel!$E$8,Personnel!$G$8="Yes"),Personnel!$D$8*(1-Personnel!$H$8),0)+IF(AND(64&gt;=Personnel!$E$9,Personnel!$G$9="Yes"),Personnel!$D$9*(1-Personnel!$H$9),0)+IF(AND(64&gt;=Personnel!$E$10,Personnel!$G$10="Yes"),Personnel!$D$10*(1-Personnel!$H$10),0)+IF(AND(64&gt;=Personnel!$E$11,Personnel!$G$11="Yes"),Personnel!$D$11*(1-Personnel!$H$11),0)+IF(AND(64&gt;=Personnel!$E$12,Personnel!$G$12="Yes"),Personnel!$D$12*(1-Personnel!$H$12),0)+IF(AND(64&gt;=Personnel!$E$13,Personnel!$G$13="Yes"),Personnel!$D$13*(1-Personnel!$H$13),0)+IF(AND(64&gt;=Personnel!$E$14,Personnel!$G$14="Yes"),Personnel!$D$14*(1-Personnel!$H$14),0)+IF(AND(64&gt;=Personnel!$E$15,Personnel!$G$15="Yes"),Personnel!$D$15*(1-Personnel!$H$15),0)+IF(AND(64&gt;=Personnel!$E$16,Personnel!$G$16="Yes"),Personnel!$D$16*(1-Personnel!$H$16),0)+IF(AND(64&gt;=Personnel!$E$17,Personnel!$G$17="Yes"),Personnel!$D$17*(1-Personnel!$H$17),0)+IF(AND(64&gt;=Personnel!$E$18,Personnel!$G$18="Yes"),Personnel!$D$18*(1-Personnel!$H$18),0)+IF(AND(64&gt;=Personnel!$E$19,Personnel!$G$19="Yes"),Personnel!$D$19*(1-Personnel!$H$19),0)+IF(AND(64&gt;=Personnel!$E$20,Personnel!$G$20="Yes"),Personnel!$D$20*(1-Personnel!$H$20),0)+IF(AND(64&gt;=Personnel!$E$21,Personnel!$G$21="Yes"),Personnel!$D$21*(1-Personnel!$H$21),0)+IF(AND(64&gt;=Personnel!$E$22,Personnel!$G$22="Yes"),Personnel!$D$22*(1-Personnel!$H$22),0)+IF(AND(64&gt;=Personnel!$E$23,Personnel!$G$23="Yes"),Personnel!$D$23*(1-Personnel!$H$23),0)+IF(AND(64&gt;=Personnel!$E$24,Personnel!$G$24="Yes"),Personnel!$D$24*(1-Personnel!$H$24),0)+IF(AND(64&gt;=Personnel!$E$25,Personnel!$G$25="Yes"),Personnel!$D$25*(1-Personnel!$H$25),0)+IF(AND(64&gt;=Personnel!$E$26,Personnel!$G$26="Yes"),Personnel!$D$26*(1-Personnel!$H$26),0)+IF(AND(64&gt;=Personnel!$E$27,Personnel!$G$27="Yes"),Personnel!$D$27*(1-Personnel!$H$27),0)+IF(AND(64&gt;=Personnel!$E$28,Personnel!$G$28="Yes"),Personnel!$D$28*(1-Personnel!$H$28),0)+IF(AND(64&gt;=Personnel!$E$29,Personnel!$G$29="Yes"),Personnel!$D$29*(1-Personnel!$H$29),0)+IF(AND(64&gt;=Personnel!$E$30,Personnel!$G$30="Yes"),Personnel!$D$30*(1-Personnel!$H$30),0)+IF(AND(64&gt;=Personnel!$E$31,Personnel!$G$31="Yes"),Personnel!$D$31*(1-Personnel!$H$31),0)+IF(AND(64&gt;=Personnel!$E$32,Personnel!$G$32="Yes"),Personnel!$D$32*(1-Personnel!$H$32),0)+IF(AND(64&gt;=Personnel!$E$33,Personnel!$G$33="Yes"),Personnel!$D$33*(1-Personnel!$H$33),0)+IF(AND(64&gt;=Personnel!$E$36,Personnel!$G$36="Yes"),Personnel!$D$36*(1-Personnel!$H$36),0)+IF(AND(64&gt;=Personnel!$E$37,Personnel!$G$37="Yes"),Personnel!$D$37*(1-Personnel!$H$37),0)+IF(AND(64&gt;=Personnel!$E$38,Personnel!$G$38="Yes"),Personnel!$D$38*(1-Personnel!$H$38),0)+IF(AND(64&gt;=Personnel!$E$39,Personnel!$G$39="Yes"),Personnel!$D$39*(1-Personnel!$H$39),0)+IF(AND(64&gt;=Personnel!$E$40,Personnel!$G$40="Yes"),Personnel!$D$40*(1-Personnel!$H$40),0)+IF(AND(64&gt;=Personnel!$E$41,Personnel!$G$41="Yes"),Personnel!$D$41*(1-Personnel!$H$41),0)+IF(AND(64&gt;=Personnel!$E$42,Personnel!$G$42="Yes"),Personnel!$D$42*(1-Personnel!$H$42),0))*Escalation!$B$65</f>
        <v>379297.75926599989</v>
      </c>
      <c r="BO4" s="231">
        <f>(IF(AND(65&gt;=Personnel!$E$2,Personnel!$G$2="Yes"),Personnel!$D$2*(1-Personnel!$H$2),0)+IF(AND(65&gt;=Personnel!$E$3,Personnel!$G$3="Yes"),Personnel!$D$3*(1-Personnel!$H$3),0)+IF(AND(65&gt;=Personnel!$E$4,Personnel!$G$4="Yes"),Personnel!$D$4*(1-Personnel!$H$4),0)+IF(AND(65&gt;=Personnel!$E$5,Personnel!$G$5="Yes"),Personnel!$D$5*(1-Personnel!$H$5),0)+IF(AND(65&gt;=Personnel!$E$6,Personnel!$G$6="Yes"),Personnel!$D$6*(1-Personnel!$H$6),0)+IF(AND(65&gt;=Personnel!$E$7,Personnel!$G$7="Yes"),Personnel!$D$7*(1-Personnel!$H$7),0)+IF(AND(65&gt;=Personnel!$E$8,Personnel!$G$8="Yes"),Personnel!$D$8*(1-Personnel!$H$8),0)+IF(AND(65&gt;=Personnel!$E$9,Personnel!$G$9="Yes"),Personnel!$D$9*(1-Personnel!$H$9),0)+IF(AND(65&gt;=Personnel!$E$10,Personnel!$G$10="Yes"),Personnel!$D$10*(1-Personnel!$H$10),0)+IF(AND(65&gt;=Personnel!$E$11,Personnel!$G$11="Yes"),Personnel!$D$11*(1-Personnel!$H$11),0)+IF(AND(65&gt;=Personnel!$E$12,Personnel!$G$12="Yes"),Personnel!$D$12*(1-Personnel!$H$12),0)+IF(AND(65&gt;=Personnel!$E$13,Personnel!$G$13="Yes"),Personnel!$D$13*(1-Personnel!$H$13),0)+IF(AND(65&gt;=Personnel!$E$14,Personnel!$G$14="Yes"),Personnel!$D$14*(1-Personnel!$H$14),0)+IF(AND(65&gt;=Personnel!$E$15,Personnel!$G$15="Yes"),Personnel!$D$15*(1-Personnel!$H$15),0)+IF(AND(65&gt;=Personnel!$E$16,Personnel!$G$16="Yes"),Personnel!$D$16*(1-Personnel!$H$16),0)+IF(AND(65&gt;=Personnel!$E$17,Personnel!$G$17="Yes"),Personnel!$D$17*(1-Personnel!$H$17),0)+IF(AND(65&gt;=Personnel!$E$18,Personnel!$G$18="Yes"),Personnel!$D$18*(1-Personnel!$H$18),0)+IF(AND(65&gt;=Personnel!$E$19,Personnel!$G$19="Yes"),Personnel!$D$19*(1-Personnel!$H$19),0)+IF(AND(65&gt;=Personnel!$E$20,Personnel!$G$20="Yes"),Personnel!$D$20*(1-Personnel!$H$20),0)+IF(AND(65&gt;=Personnel!$E$21,Personnel!$G$21="Yes"),Personnel!$D$21*(1-Personnel!$H$21),0)+IF(AND(65&gt;=Personnel!$E$22,Personnel!$G$22="Yes"),Personnel!$D$22*(1-Personnel!$H$22),0)+IF(AND(65&gt;=Personnel!$E$23,Personnel!$G$23="Yes"),Personnel!$D$23*(1-Personnel!$H$23),0)+IF(AND(65&gt;=Personnel!$E$24,Personnel!$G$24="Yes"),Personnel!$D$24*(1-Personnel!$H$24),0)+IF(AND(65&gt;=Personnel!$E$25,Personnel!$G$25="Yes"),Personnel!$D$25*(1-Personnel!$H$25),0)+IF(AND(65&gt;=Personnel!$E$26,Personnel!$G$26="Yes"),Personnel!$D$26*(1-Personnel!$H$26),0)+IF(AND(65&gt;=Personnel!$E$27,Personnel!$G$27="Yes"),Personnel!$D$27*(1-Personnel!$H$27),0)+IF(AND(65&gt;=Personnel!$E$28,Personnel!$G$28="Yes"),Personnel!$D$28*(1-Personnel!$H$28),0)+IF(AND(65&gt;=Personnel!$E$29,Personnel!$G$29="Yes"),Personnel!$D$29*(1-Personnel!$H$29),0)+IF(AND(65&gt;=Personnel!$E$30,Personnel!$G$30="Yes"),Personnel!$D$30*(1-Personnel!$H$30),0)+IF(AND(65&gt;=Personnel!$E$31,Personnel!$G$31="Yes"),Personnel!$D$31*(1-Personnel!$H$31),0)+IF(AND(65&gt;=Personnel!$E$32,Personnel!$G$32="Yes"),Personnel!$D$32*(1-Personnel!$H$32),0)+IF(AND(65&gt;=Personnel!$E$33,Personnel!$G$33="Yes"),Personnel!$D$33*(1-Personnel!$H$33),0)+IF(AND(65&gt;=Personnel!$E$36,Personnel!$G$36="Yes"),Personnel!$D$36*(1-Personnel!$H$36),0)+IF(AND(65&gt;=Personnel!$E$37,Personnel!$G$37="Yes"),Personnel!$D$37*(1-Personnel!$H$37),0)+IF(AND(65&gt;=Personnel!$E$38,Personnel!$G$38="Yes"),Personnel!$D$38*(1-Personnel!$H$38),0)+IF(AND(65&gt;=Personnel!$E$39,Personnel!$G$39="Yes"),Personnel!$D$39*(1-Personnel!$H$39),0)+IF(AND(65&gt;=Personnel!$E$40,Personnel!$G$40="Yes"),Personnel!$D$40*(1-Personnel!$H$40),0)+IF(AND(65&gt;=Personnel!$E$41,Personnel!$G$41="Yes"),Personnel!$D$41*(1-Personnel!$H$41),0)+IF(AND(65&gt;=Personnel!$E$42,Personnel!$G$42="Yes"),Personnel!$D$42*(1-Personnel!$H$42),0))*Escalation!$B$66</f>
        <v>379297.75926599989</v>
      </c>
      <c r="BP4" s="231">
        <f>(IF(AND(66&gt;=Personnel!$E$2,Personnel!$G$2="Yes"),Personnel!$D$2*(1-Personnel!$H$2),0)+IF(AND(66&gt;=Personnel!$E$3,Personnel!$G$3="Yes"),Personnel!$D$3*(1-Personnel!$H$3),0)+IF(AND(66&gt;=Personnel!$E$4,Personnel!$G$4="Yes"),Personnel!$D$4*(1-Personnel!$H$4),0)+IF(AND(66&gt;=Personnel!$E$5,Personnel!$G$5="Yes"),Personnel!$D$5*(1-Personnel!$H$5),0)+IF(AND(66&gt;=Personnel!$E$6,Personnel!$G$6="Yes"),Personnel!$D$6*(1-Personnel!$H$6),0)+IF(AND(66&gt;=Personnel!$E$7,Personnel!$G$7="Yes"),Personnel!$D$7*(1-Personnel!$H$7),0)+IF(AND(66&gt;=Personnel!$E$8,Personnel!$G$8="Yes"),Personnel!$D$8*(1-Personnel!$H$8),0)+IF(AND(66&gt;=Personnel!$E$9,Personnel!$G$9="Yes"),Personnel!$D$9*(1-Personnel!$H$9),0)+IF(AND(66&gt;=Personnel!$E$10,Personnel!$G$10="Yes"),Personnel!$D$10*(1-Personnel!$H$10),0)+IF(AND(66&gt;=Personnel!$E$11,Personnel!$G$11="Yes"),Personnel!$D$11*(1-Personnel!$H$11),0)+IF(AND(66&gt;=Personnel!$E$12,Personnel!$G$12="Yes"),Personnel!$D$12*(1-Personnel!$H$12),0)+IF(AND(66&gt;=Personnel!$E$13,Personnel!$G$13="Yes"),Personnel!$D$13*(1-Personnel!$H$13),0)+IF(AND(66&gt;=Personnel!$E$14,Personnel!$G$14="Yes"),Personnel!$D$14*(1-Personnel!$H$14),0)+IF(AND(66&gt;=Personnel!$E$15,Personnel!$G$15="Yes"),Personnel!$D$15*(1-Personnel!$H$15),0)+IF(AND(66&gt;=Personnel!$E$16,Personnel!$G$16="Yes"),Personnel!$D$16*(1-Personnel!$H$16),0)+IF(AND(66&gt;=Personnel!$E$17,Personnel!$G$17="Yes"),Personnel!$D$17*(1-Personnel!$H$17),0)+IF(AND(66&gt;=Personnel!$E$18,Personnel!$G$18="Yes"),Personnel!$D$18*(1-Personnel!$H$18),0)+IF(AND(66&gt;=Personnel!$E$19,Personnel!$G$19="Yes"),Personnel!$D$19*(1-Personnel!$H$19),0)+IF(AND(66&gt;=Personnel!$E$20,Personnel!$G$20="Yes"),Personnel!$D$20*(1-Personnel!$H$20),0)+IF(AND(66&gt;=Personnel!$E$21,Personnel!$G$21="Yes"),Personnel!$D$21*(1-Personnel!$H$21),0)+IF(AND(66&gt;=Personnel!$E$22,Personnel!$G$22="Yes"),Personnel!$D$22*(1-Personnel!$H$22),0)+IF(AND(66&gt;=Personnel!$E$23,Personnel!$G$23="Yes"),Personnel!$D$23*(1-Personnel!$H$23),0)+IF(AND(66&gt;=Personnel!$E$24,Personnel!$G$24="Yes"),Personnel!$D$24*(1-Personnel!$H$24),0)+IF(AND(66&gt;=Personnel!$E$25,Personnel!$G$25="Yes"),Personnel!$D$25*(1-Personnel!$H$25),0)+IF(AND(66&gt;=Personnel!$E$26,Personnel!$G$26="Yes"),Personnel!$D$26*(1-Personnel!$H$26),0)+IF(AND(66&gt;=Personnel!$E$27,Personnel!$G$27="Yes"),Personnel!$D$27*(1-Personnel!$H$27),0)+IF(AND(66&gt;=Personnel!$E$28,Personnel!$G$28="Yes"),Personnel!$D$28*(1-Personnel!$H$28),0)+IF(AND(66&gt;=Personnel!$E$29,Personnel!$G$29="Yes"),Personnel!$D$29*(1-Personnel!$H$29),0)+IF(AND(66&gt;=Personnel!$E$30,Personnel!$G$30="Yes"),Personnel!$D$30*(1-Personnel!$H$30),0)+IF(AND(66&gt;=Personnel!$E$31,Personnel!$G$31="Yes"),Personnel!$D$31*(1-Personnel!$H$31),0)+IF(AND(66&gt;=Personnel!$E$32,Personnel!$G$32="Yes"),Personnel!$D$32*(1-Personnel!$H$32),0)+IF(AND(66&gt;=Personnel!$E$33,Personnel!$G$33="Yes"),Personnel!$D$33*(1-Personnel!$H$33),0)+IF(AND(66&gt;=Personnel!$E$36,Personnel!$G$36="Yes"),Personnel!$D$36*(1-Personnel!$H$36),0)+IF(AND(66&gt;=Personnel!$E$37,Personnel!$G$37="Yes"),Personnel!$D$37*(1-Personnel!$H$37),0)+IF(AND(66&gt;=Personnel!$E$38,Personnel!$G$38="Yes"),Personnel!$D$38*(1-Personnel!$H$38),0)+IF(AND(66&gt;=Personnel!$E$39,Personnel!$G$39="Yes"),Personnel!$D$39*(1-Personnel!$H$39),0)+IF(AND(66&gt;=Personnel!$E$40,Personnel!$G$40="Yes"),Personnel!$D$40*(1-Personnel!$H$40),0)+IF(AND(66&gt;=Personnel!$E$41,Personnel!$G$41="Yes"),Personnel!$D$41*(1-Personnel!$H$41),0)+IF(AND(66&gt;=Personnel!$E$42,Personnel!$G$42="Yes"),Personnel!$D$42*(1-Personnel!$H$42),0))*Escalation!$B$67</f>
        <v>379297.75926599989</v>
      </c>
      <c r="BQ4" s="231">
        <f>(IF(AND(67&gt;=Personnel!$E$2,Personnel!$G$2="Yes"),Personnel!$D$2*(1-Personnel!$H$2),0)+IF(AND(67&gt;=Personnel!$E$3,Personnel!$G$3="Yes"),Personnel!$D$3*(1-Personnel!$H$3),0)+IF(AND(67&gt;=Personnel!$E$4,Personnel!$G$4="Yes"),Personnel!$D$4*(1-Personnel!$H$4),0)+IF(AND(67&gt;=Personnel!$E$5,Personnel!$G$5="Yes"),Personnel!$D$5*(1-Personnel!$H$5),0)+IF(AND(67&gt;=Personnel!$E$6,Personnel!$G$6="Yes"),Personnel!$D$6*(1-Personnel!$H$6),0)+IF(AND(67&gt;=Personnel!$E$7,Personnel!$G$7="Yes"),Personnel!$D$7*(1-Personnel!$H$7),0)+IF(AND(67&gt;=Personnel!$E$8,Personnel!$G$8="Yes"),Personnel!$D$8*(1-Personnel!$H$8),0)+IF(AND(67&gt;=Personnel!$E$9,Personnel!$G$9="Yes"),Personnel!$D$9*(1-Personnel!$H$9),0)+IF(AND(67&gt;=Personnel!$E$10,Personnel!$G$10="Yes"),Personnel!$D$10*(1-Personnel!$H$10),0)+IF(AND(67&gt;=Personnel!$E$11,Personnel!$G$11="Yes"),Personnel!$D$11*(1-Personnel!$H$11),0)+IF(AND(67&gt;=Personnel!$E$12,Personnel!$G$12="Yes"),Personnel!$D$12*(1-Personnel!$H$12),0)+IF(AND(67&gt;=Personnel!$E$13,Personnel!$G$13="Yes"),Personnel!$D$13*(1-Personnel!$H$13),0)+IF(AND(67&gt;=Personnel!$E$14,Personnel!$G$14="Yes"),Personnel!$D$14*(1-Personnel!$H$14),0)+IF(AND(67&gt;=Personnel!$E$15,Personnel!$G$15="Yes"),Personnel!$D$15*(1-Personnel!$H$15),0)+IF(AND(67&gt;=Personnel!$E$16,Personnel!$G$16="Yes"),Personnel!$D$16*(1-Personnel!$H$16),0)+IF(AND(67&gt;=Personnel!$E$17,Personnel!$G$17="Yes"),Personnel!$D$17*(1-Personnel!$H$17),0)+IF(AND(67&gt;=Personnel!$E$18,Personnel!$G$18="Yes"),Personnel!$D$18*(1-Personnel!$H$18),0)+IF(AND(67&gt;=Personnel!$E$19,Personnel!$G$19="Yes"),Personnel!$D$19*(1-Personnel!$H$19),0)+IF(AND(67&gt;=Personnel!$E$20,Personnel!$G$20="Yes"),Personnel!$D$20*(1-Personnel!$H$20),0)+IF(AND(67&gt;=Personnel!$E$21,Personnel!$G$21="Yes"),Personnel!$D$21*(1-Personnel!$H$21),0)+IF(AND(67&gt;=Personnel!$E$22,Personnel!$G$22="Yes"),Personnel!$D$22*(1-Personnel!$H$22),0)+IF(AND(67&gt;=Personnel!$E$23,Personnel!$G$23="Yes"),Personnel!$D$23*(1-Personnel!$H$23),0)+IF(AND(67&gt;=Personnel!$E$24,Personnel!$G$24="Yes"),Personnel!$D$24*(1-Personnel!$H$24),0)+IF(AND(67&gt;=Personnel!$E$25,Personnel!$G$25="Yes"),Personnel!$D$25*(1-Personnel!$H$25),0)+IF(AND(67&gt;=Personnel!$E$26,Personnel!$G$26="Yes"),Personnel!$D$26*(1-Personnel!$H$26),0)+IF(AND(67&gt;=Personnel!$E$27,Personnel!$G$27="Yes"),Personnel!$D$27*(1-Personnel!$H$27),0)+IF(AND(67&gt;=Personnel!$E$28,Personnel!$G$28="Yes"),Personnel!$D$28*(1-Personnel!$H$28),0)+IF(AND(67&gt;=Personnel!$E$29,Personnel!$G$29="Yes"),Personnel!$D$29*(1-Personnel!$H$29),0)+IF(AND(67&gt;=Personnel!$E$30,Personnel!$G$30="Yes"),Personnel!$D$30*(1-Personnel!$H$30),0)+IF(AND(67&gt;=Personnel!$E$31,Personnel!$G$31="Yes"),Personnel!$D$31*(1-Personnel!$H$31),0)+IF(AND(67&gt;=Personnel!$E$32,Personnel!$G$32="Yes"),Personnel!$D$32*(1-Personnel!$H$32),0)+IF(AND(67&gt;=Personnel!$E$33,Personnel!$G$33="Yes"),Personnel!$D$33*(1-Personnel!$H$33),0)+IF(AND(67&gt;=Personnel!$E$36,Personnel!$G$36="Yes"),Personnel!$D$36*(1-Personnel!$H$36),0)+IF(AND(67&gt;=Personnel!$E$37,Personnel!$G$37="Yes"),Personnel!$D$37*(1-Personnel!$H$37),0)+IF(AND(67&gt;=Personnel!$E$38,Personnel!$G$38="Yes"),Personnel!$D$38*(1-Personnel!$H$38),0)+IF(AND(67&gt;=Personnel!$E$39,Personnel!$G$39="Yes"),Personnel!$D$39*(1-Personnel!$H$39),0)+IF(AND(67&gt;=Personnel!$E$40,Personnel!$G$40="Yes"),Personnel!$D$40*(1-Personnel!$H$40),0)+IF(AND(67&gt;=Personnel!$E$41,Personnel!$G$41="Yes"),Personnel!$D$41*(1-Personnel!$H$41),0)+IF(AND(67&gt;=Personnel!$E$42,Personnel!$G$42="Yes"),Personnel!$D$42*(1-Personnel!$H$42),0))*Escalation!$B$68</f>
        <v>379297.75926599989</v>
      </c>
      <c r="BR4" s="231">
        <f>(IF(AND(68&gt;=Personnel!$E$2,Personnel!$G$2="Yes"),Personnel!$D$2*(1-Personnel!$H$2),0)+IF(AND(68&gt;=Personnel!$E$3,Personnel!$G$3="Yes"),Personnel!$D$3*(1-Personnel!$H$3),0)+IF(AND(68&gt;=Personnel!$E$4,Personnel!$G$4="Yes"),Personnel!$D$4*(1-Personnel!$H$4),0)+IF(AND(68&gt;=Personnel!$E$5,Personnel!$G$5="Yes"),Personnel!$D$5*(1-Personnel!$H$5),0)+IF(AND(68&gt;=Personnel!$E$6,Personnel!$G$6="Yes"),Personnel!$D$6*(1-Personnel!$H$6),0)+IF(AND(68&gt;=Personnel!$E$7,Personnel!$G$7="Yes"),Personnel!$D$7*(1-Personnel!$H$7),0)+IF(AND(68&gt;=Personnel!$E$8,Personnel!$G$8="Yes"),Personnel!$D$8*(1-Personnel!$H$8),0)+IF(AND(68&gt;=Personnel!$E$9,Personnel!$G$9="Yes"),Personnel!$D$9*(1-Personnel!$H$9),0)+IF(AND(68&gt;=Personnel!$E$10,Personnel!$G$10="Yes"),Personnel!$D$10*(1-Personnel!$H$10),0)+IF(AND(68&gt;=Personnel!$E$11,Personnel!$G$11="Yes"),Personnel!$D$11*(1-Personnel!$H$11),0)+IF(AND(68&gt;=Personnel!$E$12,Personnel!$G$12="Yes"),Personnel!$D$12*(1-Personnel!$H$12),0)+IF(AND(68&gt;=Personnel!$E$13,Personnel!$G$13="Yes"),Personnel!$D$13*(1-Personnel!$H$13),0)+IF(AND(68&gt;=Personnel!$E$14,Personnel!$G$14="Yes"),Personnel!$D$14*(1-Personnel!$H$14),0)+IF(AND(68&gt;=Personnel!$E$15,Personnel!$G$15="Yes"),Personnel!$D$15*(1-Personnel!$H$15),0)+IF(AND(68&gt;=Personnel!$E$16,Personnel!$G$16="Yes"),Personnel!$D$16*(1-Personnel!$H$16),0)+IF(AND(68&gt;=Personnel!$E$17,Personnel!$G$17="Yes"),Personnel!$D$17*(1-Personnel!$H$17),0)+IF(AND(68&gt;=Personnel!$E$18,Personnel!$G$18="Yes"),Personnel!$D$18*(1-Personnel!$H$18),0)+IF(AND(68&gt;=Personnel!$E$19,Personnel!$G$19="Yes"),Personnel!$D$19*(1-Personnel!$H$19),0)+IF(AND(68&gt;=Personnel!$E$20,Personnel!$G$20="Yes"),Personnel!$D$20*(1-Personnel!$H$20),0)+IF(AND(68&gt;=Personnel!$E$21,Personnel!$G$21="Yes"),Personnel!$D$21*(1-Personnel!$H$21),0)+IF(AND(68&gt;=Personnel!$E$22,Personnel!$G$22="Yes"),Personnel!$D$22*(1-Personnel!$H$22),0)+IF(AND(68&gt;=Personnel!$E$23,Personnel!$G$23="Yes"),Personnel!$D$23*(1-Personnel!$H$23),0)+IF(AND(68&gt;=Personnel!$E$24,Personnel!$G$24="Yes"),Personnel!$D$24*(1-Personnel!$H$24),0)+IF(AND(68&gt;=Personnel!$E$25,Personnel!$G$25="Yes"),Personnel!$D$25*(1-Personnel!$H$25),0)+IF(AND(68&gt;=Personnel!$E$26,Personnel!$G$26="Yes"),Personnel!$D$26*(1-Personnel!$H$26),0)+IF(AND(68&gt;=Personnel!$E$27,Personnel!$G$27="Yes"),Personnel!$D$27*(1-Personnel!$H$27),0)+IF(AND(68&gt;=Personnel!$E$28,Personnel!$G$28="Yes"),Personnel!$D$28*(1-Personnel!$H$28),0)+IF(AND(68&gt;=Personnel!$E$29,Personnel!$G$29="Yes"),Personnel!$D$29*(1-Personnel!$H$29),0)+IF(AND(68&gt;=Personnel!$E$30,Personnel!$G$30="Yes"),Personnel!$D$30*(1-Personnel!$H$30),0)+IF(AND(68&gt;=Personnel!$E$31,Personnel!$G$31="Yes"),Personnel!$D$31*(1-Personnel!$H$31),0)+IF(AND(68&gt;=Personnel!$E$32,Personnel!$G$32="Yes"),Personnel!$D$32*(1-Personnel!$H$32),0)+IF(AND(68&gt;=Personnel!$E$33,Personnel!$G$33="Yes"),Personnel!$D$33*(1-Personnel!$H$33),0)+IF(AND(68&gt;=Personnel!$E$36,Personnel!$G$36="Yes"),Personnel!$D$36*(1-Personnel!$H$36),0)+IF(AND(68&gt;=Personnel!$E$37,Personnel!$G$37="Yes"),Personnel!$D$37*(1-Personnel!$H$37),0)+IF(AND(68&gt;=Personnel!$E$38,Personnel!$G$38="Yes"),Personnel!$D$38*(1-Personnel!$H$38),0)+IF(AND(68&gt;=Personnel!$E$39,Personnel!$G$39="Yes"),Personnel!$D$39*(1-Personnel!$H$39),0)+IF(AND(68&gt;=Personnel!$E$40,Personnel!$G$40="Yes"),Personnel!$D$40*(1-Personnel!$H$40),0)+IF(AND(68&gt;=Personnel!$E$41,Personnel!$G$41="Yes"),Personnel!$D$41*(1-Personnel!$H$41),0)+IF(AND(68&gt;=Personnel!$E$42,Personnel!$G$42="Yes"),Personnel!$D$42*(1-Personnel!$H$42),0))*Escalation!$B$69</f>
        <v>379297.75926599989</v>
      </c>
      <c r="BS4" s="231">
        <f>(IF(AND(69&gt;=Personnel!$E$2,Personnel!$G$2="Yes"),Personnel!$D$2*(1-Personnel!$H$2),0)+IF(AND(69&gt;=Personnel!$E$3,Personnel!$G$3="Yes"),Personnel!$D$3*(1-Personnel!$H$3),0)+IF(AND(69&gt;=Personnel!$E$4,Personnel!$G$4="Yes"),Personnel!$D$4*(1-Personnel!$H$4),0)+IF(AND(69&gt;=Personnel!$E$5,Personnel!$G$5="Yes"),Personnel!$D$5*(1-Personnel!$H$5),0)+IF(AND(69&gt;=Personnel!$E$6,Personnel!$G$6="Yes"),Personnel!$D$6*(1-Personnel!$H$6),0)+IF(AND(69&gt;=Personnel!$E$7,Personnel!$G$7="Yes"),Personnel!$D$7*(1-Personnel!$H$7),0)+IF(AND(69&gt;=Personnel!$E$8,Personnel!$G$8="Yes"),Personnel!$D$8*(1-Personnel!$H$8),0)+IF(AND(69&gt;=Personnel!$E$9,Personnel!$G$9="Yes"),Personnel!$D$9*(1-Personnel!$H$9),0)+IF(AND(69&gt;=Personnel!$E$10,Personnel!$G$10="Yes"),Personnel!$D$10*(1-Personnel!$H$10),0)+IF(AND(69&gt;=Personnel!$E$11,Personnel!$G$11="Yes"),Personnel!$D$11*(1-Personnel!$H$11),0)+IF(AND(69&gt;=Personnel!$E$12,Personnel!$G$12="Yes"),Personnel!$D$12*(1-Personnel!$H$12),0)+IF(AND(69&gt;=Personnel!$E$13,Personnel!$G$13="Yes"),Personnel!$D$13*(1-Personnel!$H$13),0)+IF(AND(69&gt;=Personnel!$E$14,Personnel!$G$14="Yes"),Personnel!$D$14*(1-Personnel!$H$14),0)+IF(AND(69&gt;=Personnel!$E$15,Personnel!$G$15="Yes"),Personnel!$D$15*(1-Personnel!$H$15),0)+IF(AND(69&gt;=Personnel!$E$16,Personnel!$G$16="Yes"),Personnel!$D$16*(1-Personnel!$H$16),0)+IF(AND(69&gt;=Personnel!$E$17,Personnel!$G$17="Yes"),Personnel!$D$17*(1-Personnel!$H$17),0)+IF(AND(69&gt;=Personnel!$E$18,Personnel!$G$18="Yes"),Personnel!$D$18*(1-Personnel!$H$18),0)+IF(AND(69&gt;=Personnel!$E$19,Personnel!$G$19="Yes"),Personnel!$D$19*(1-Personnel!$H$19),0)+IF(AND(69&gt;=Personnel!$E$20,Personnel!$G$20="Yes"),Personnel!$D$20*(1-Personnel!$H$20),0)+IF(AND(69&gt;=Personnel!$E$21,Personnel!$G$21="Yes"),Personnel!$D$21*(1-Personnel!$H$21),0)+IF(AND(69&gt;=Personnel!$E$22,Personnel!$G$22="Yes"),Personnel!$D$22*(1-Personnel!$H$22),0)+IF(AND(69&gt;=Personnel!$E$23,Personnel!$G$23="Yes"),Personnel!$D$23*(1-Personnel!$H$23),0)+IF(AND(69&gt;=Personnel!$E$24,Personnel!$G$24="Yes"),Personnel!$D$24*(1-Personnel!$H$24),0)+IF(AND(69&gt;=Personnel!$E$25,Personnel!$G$25="Yes"),Personnel!$D$25*(1-Personnel!$H$25),0)+IF(AND(69&gt;=Personnel!$E$26,Personnel!$G$26="Yes"),Personnel!$D$26*(1-Personnel!$H$26),0)+IF(AND(69&gt;=Personnel!$E$27,Personnel!$G$27="Yes"),Personnel!$D$27*(1-Personnel!$H$27),0)+IF(AND(69&gt;=Personnel!$E$28,Personnel!$G$28="Yes"),Personnel!$D$28*(1-Personnel!$H$28),0)+IF(AND(69&gt;=Personnel!$E$29,Personnel!$G$29="Yes"),Personnel!$D$29*(1-Personnel!$H$29),0)+IF(AND(69&gt;=Personnel!$E$30,Personnel!$G$30="Yes"),Personnel!$D$30*(1-Personnel!$H$30),0)+IF(AND(69&gt;=Personnel!$E$31,Personnel!$G$31="Yes"),Personnel!$D$31*(1-Personnel!$H$31),0)+IF(AND(69&gt;=Personnel!$E$32,Personnel!$G$32="Yes"),Personnel!$D$32*(1-Personnel!$H$32),0)+IF(AND(69&gt;=Personnel!$E$33,Personnel!$G$33="Yes"),Personnel!$D$33*(1-Personnel!$H$33),0)+IF(AND(69&gt;=Personnel!$E$36,Personnel!$G$36="Yes"),Personnel!$D$36*(1-Personnel!$H$36),0)+IF(AND(69&gt;=Personnel!$E$37,Personnel!$G$37="Yes"),Personnel!$D$37*(1-Personnel!$H$37),0)+IF(AND(69&gt;=Personnel!$E$38,Personnel!$G$38="Yes"),Personnel!$D$38*(1-Personnel!$H$38),0)+IF(AND(69&gt;=Personnel!$E$39,Personnel!$G$39="Yes"),Personnel!$D$39*(1-Personnel!$H$39),0)+IF(AND(69&gt;=Personnel!$E$40,Personnel!$G$40="Yes"),Personnel!$D$40*(1-Personnel!$H$40),0)+IF(AND(69&gt;=Personnel!$E$41,Personnel!$G$41="Yes"),Personnel!$D$41*(1-Personnel!$H$41),0)+IF(AND(69&gt;=Personnel!$E$42,Personnel!$G$42="Yes"),Personnel!$D$42*(1-Personnel!$H$42),0))*Escalation!$B$70</f>
        <v>379297.75926599989</v>
      </c>
      <c r="BT4" s="231">
        <f>(IF(AND(70&gt;=Personnel!$E$2,Personnel!$G$2="Yes"),Personnel!$D$2*(1-Personnel!$H$2),0)+IF(AND(70&gt;=Personnel!$E$3,Personnel!$G$3="Yes"),Personnel!$D$3*(1-Personnel!$H$3),0)+IF(AND(70&gt;=Personnel!$E$4,Personnel!$G$4="Yes"),Personnel!$D$4*(1-Personnel!$H$4),0)+IF(AND(70&gt;=Personnel!$E$5,Personnel!$G$5="Yes"),Personnel!$D$5*(1-Personnel!$H$5),0)+IF(AND(70&gt;=Personnel!$E$6,Personnel!$G$6="Yes"),Personnel!$D$6*(1-Personnel!$H$6),0)+IF(AND(70&gt;=Personnel!$E$7,Personnel!$G$7="Yes"),Personnel!$D$7*(1-Personnel!$H$7),0)+IF(AND(70&gt;=Personnel!$E$8,Personnel!$G$8="Yes"),Personnel!$D$8*(1-Personnel!$H$8),0)+IF(AND(70&gt;=Personnel!$E$9,Personnel!$G$9="Yes"),Personnel!$D$9*(1-Personnel!$H$9),0)+IF(AND(70&gt;=Personnel!$E$10,Personnel!$G$10="Yes"),Personnel!$D$10*(1-Personnel!$H$10),0)+IF(AND(70&gt;=Personnel!$E$11,Personnel!$G$11="Yes"),Personnel!$D$11*(1-Personnel!$H$11),0)+IF(AND(70&gt;=Personnel!$E$12,Personnel!$G$12="Yes"),Personnel!$D$12*(1-Personnel!$H$12),0)+IF(AND(70&gt;=Personnel!$E$13,Personnel!$G$13="Yes"),Personnel!$D$13*(1-Personnel!$H$13),0)+IF(AND(70&gt;=Personnel!$E$14,Personnel!$G$14="Yes"),Personnel!$D$14*(1-Personnel!$H$14),0)+IF(AND(70&gt;=Personnel!$E$15,Personnel!$G$15="Yes"),Personnel!$D$15*(1-Personnel!$H$15),0)+IF(AND(70&gt;=Personnel!$E$16,Personnel!$G$16="Yes"),Personnel!$D$16*(1-Personnel!$H$16),0)+IF(AND(70&gt;=Personnel!$E$17,Personnel!$G$17="Yes"),Personnel!$D$17*(1-Personnel!$H$17),0)+IF(AND(70&gt;=Personnel!$E$18,Personnel!$G$18="Yes"),Personnel!$D$18*(1-Personnel!$H$18),0)+IF(AND(70&gt;=Personnel!$E$19,Personnel!$G$19="Yes"),Personnel!$D$19*(1-Personnel!$H$19),0)+IF(AND(70&gt;=Personnel!$E$20,Personnel!$G$20="Yes"),Personnel!$D$20*(1-Personnel!$H$20),0)+IF(AND(70&gt;=Personnel!$E$21,Personnel!$G$21="Yes"),Personnel!$D$21*(1-Personnel!$H$21),0)+IF(AND(70&gt;=Personnel!$E$22,Personnel!$G$22="Yes"),Personnel!$D$22*(1-Personnel!$H$22),0)+IF(AND(70&gt;=Personnel!$E$23,Personnel!$G$23="Yes"),Personnel!$D$23*(1-Personnel!$H$23),0)+IF(AND(70&gt;=Personnel!$E$24,Personnel!$G$24="Yes"),Personnel!$D$24*(1-Personnel!$H$24),0)+IF(AND(70&gt;=Personnel!$E$25,Personnel!$G$25="Yes"),Personnel!$D$25*(1-Personnel!$H$25),0)+IF(AND(70&gt;=Personnel!$E$26,Personnel!$G$26="Yes"),Personnel!$D$26*(1-Personnel!$H$26),0)+IF(AND(70&gt;=Personnel!$E$27,Personnel!$G$27="Yes"),Personnel!$D$27*(1-Personnel!$H$27),0)+IF(AND(70&gt;=Personnel!$E$28,Personnel!$G$28="Yes"),Personnel!$D$28*(1-Personnel!$H$28),0)+IF(AND(70&gt;=Personnel!$E$29,Personnel!$G$29="Yes"),Personnel!$D$29*(1-Personnel!$H$29),0)+IF(AND(70&gt;=Personnel!$E$30,Personnel!$G$30="Yes"),Personnel!$D$30*(1-Personnel!$H$30),0)+IF(AND(70&gt;=Personnel!$E$31,Personnel!$G$31="Yes"),Personnel!$D$31*(1-Personnel!$H$31),0)+IF(AND(70&gt;=Personnel!$E$32,Personnel!$G$32="Yes"),Personnel!$D$32*(1-Personnel!$H$32),0)+IF(AND(70&gt;=Personnel!$E$33,Personnel!$G$33="Yes"),Personnel!$D$33*(1-Personnel!$H$33),0)+IF(AND(70&gt;=Personnel!$E$36,Personnel!$G$36="Yes"),Personnel!$D$36*(1-Personnel!$H$36),0)+IF(AND(70&gt;=Personnel!$E$37,Personnel!$G$37="Yes"),Personnel!$D$37*(1-Personnel!$H$37),0)+IF(AND(70&gt;=Personnel!$E$38,Personnel!$G$38="Yes"),Personnel!$D$38*(1-Personnel!$H$38),0)+IF(AND(70&gt;=Personnel!$E$39,Personnel!$G$39="Yes"),Personnel!$D$39*(1-Personnel!$H$39),0)+IF(AND(70&gt;=Personnel!$E$40,Personnel!$G$40="Yes"),Personnel!$D$40*(1-Personnel!$H$40),0)+IF(AND(70&gt;=Personnel!$E$41,Personnel!$G$41="Yes"),Personnel!$D$41*(1-Personnel!$H$41),0)+IF(AND(70&gt;=Personnel!$E$42,Personnel!$G$42="Yes"),Personnel!$D$42*(1-Personnel!$H$42),0))*Escalation!$B$71</f>
        <v>379297.75926599989</v>
      </c>
      <c r="BU4" s="231">
        <f>(IF(AND(71&gt;=Personnel!$E$2,Personnel!$G$2="Yes"),Personnel!$D$2*(1-Personnel!$H$2),0)+IF(AND(71&gt;=Personnel!$E$3,Personnel!$G$3="Yes"),Personnel!$D$3*(1-Personnel!$H$3),0)+IF(AND(71&gt;=Personnel!$E$4,Personnel!$G$4="Yes"),Personnel!$D$4*(1-Personnel!$H$4),0)+IF(AND(71&gt;=Personnel!$E$5,Personnel!$G$5="Yes"),Personnel!$D$5*(1-Personnel!$H$5),0)+IF(AND(71&gt;=Personnel!$E$6,Personnel!$G$6="Yes"),Personnel!$D$6*(1-Personnel!$H$6),0)+IF(AND(71&gt;=Personnel!$E$7,Personnel!$G$7="Yes"),Personnel!$D$7*(1-Personnel!$H$7),0)+IF(AND(71&gt;=Personnel!$E$8,Personnel!$G$8="Yes"),Personnel!$D$8*(1-Personnel!$H$8),0)+IF(AND(71&gt;=Personnel!$E$9,Personnel!$G$9="Yes"),Personnel!$D$9*(1-Personnel!$H$9),0)+IF(AND(71&gt;=Personnel!$E$10,Personnel!$G$10="Yes"),Personnel!$D$10*(1-Personnel!$H$10),0)+IF(AND(71&gt;=Personnel!$E$11,Personnel!$G$11="Yes"),Personnel!$D$11*(1-Personnel!$H$11),0)+IF(AND(71&gt;=Personnel!$E$12,Personnel!$G$12="Yes"),Personnel!$D$12*(1-Personnel!$H$12),0)+IF(AND(71&gt;=Personnel!$E$13,Personnel!$G$13="Yes"),Personnel!$D$13*(1-Personnel!$H$13),0)+IF(AND(71&gt;=Personnel!$E$14,Personnel!$G$14="Yes"),Personnel!$D$14*(1-Personnel!$H$14),0)+IF(AND(71&gt;=Personnel!$E$15,Personnel!$G$15="Yes"),Personnel!$D$15*(1-Personnel!$H$15),0)+IF(AND(71&gt;=Personnel!$E$16,Personnel!$G$16="Yes"),Personnel!$D$16*(1-Personnel!$H$16),0)+IF(AND(71&gt;=Personnel!$E$17,Personnel!$G$17="Yes"),Personnel!$D$17*(1-Personnel!$H$17),0)+IF(AND(71&gt;=Personnel!$E$18,Personnel!$G$18="Yes"),Personnel!$D$18*(1-Personnel!$H$18),0)+IF(AND(71&gt;=Personnel!$E$19,Personnel!$G$19="Yes"),Personnel!$D$19*(1-Personnel!$H$19),0)+IF(AND(71&gt;=Personnel!$E$20,Personnel!$G$20="Yes"),Personnel!$D$20*(1-Personnel!$H$20),0)+IF(AND(71&gt;=Personnel!$E$21,Personnel!$G$21="Yes"),Personnel!$D$21*(1-Personnel!$H$21),0)+IF(AND(71&gt;=Personnel!$E$22,Personnel!$G$22="Yes"),Personnel!$D$22*(1-Personnel!$H$22),0)+IF(AND(71&gt;=Personnel!$E$23,Personnel!$G$23="Yes"),Personnel!$D$23*(1-Personnel!$H$23),0)+IF(AND(71&gt;=Personnel!$E$24,Personnel!$G$24="Yes"),Personnel!$D$24*(1-Personnel!$H$24),0)+IF(AND(71&gt;=Personnel!$E$25,Personnel!$G$25="Yes"),Personnel!$D$25*(1-Personnel!$H$25),0)+IF(AND(71&gt;=Personnel!$E$26,Personnel!$G$26="Yes"),Personnel!$D$26*(1-Personnel!$H$26),0)+IF(AND(71&gt;=Personnel!$E$27,Personnel!$G$27="Yes"),Personnel!$D$27*(1-Personnel!$H$27),0)+IF(AND(71&gt;=Personnel!$E$28,Personnel!$G$28="Yes"),Personnel!$D$28*(1-Personnel!$H$28),0)+IF(AND(71&gt;=Personnel!$E$29,Personnel!$G$29="Yes"),Personnel!$D$29*(1-Personnel!$H$29),0)+IF(AND(71&gt;=Personnel!$E$30,Personnel!$G$30="Yes"),Personnel!$D$30*(1-Personnel!$H$30),0)+IF(AND(71&gt;=Personnel!$E$31,Personnel!$G$31="Yes"),Personnel!$D$31*(1-Personnel!$H$31),0)+IF(AND(71&gt;=Personnel!$E$32,Personnel!$G$32="Yes"),Personnel!$D$32*(1-Personnel!$H$32),0)+IF(AND(71&gt;=Personnel!$E$33,Personnel!$G$33="Yes"),Personnel!$D$33*(1-Personnel!$H$33),0)+IF(AND(71&gt;=Personnel!$E$36,Personnel!$G$36="Yes"),Personnel!$D$36*(1-Personnel!$H$36),0)+IF(AND(71&gt;=Personnel!$E$37,Personnel!$G$37="Yes"),Personnel!$D$37*(1-Personnel!$H$37),0)+IF(AND(71&gt;=Personnel!$E$38,Personnel!$G$38="Yes"),Personnel!$D$38*(1-Personnel!$H$38),0)+IF(AND(71&gt;=Personnel!$E$39,Personnel!$G$39="Yes"),Personnel!$D$39*(1-Personnel!$H$39),0)+IF(AND(71&gt;=Personnel!$E$40,Personnel!$G$40="Yes"),Personnel!$D$40*(1-Personnel!$H$40),0)+IF(AND(71&gt;=Personnel!$E$41,Personnel!$G$41="Yes"),Personnel!$D$41*(1-Personnel!$H$41),0)+IF(AND(71&gt;=Personnel!$E$42,Personnel!$G$42="Yes"),Personnel!$D$42*(1-Personnel!$H$42),0))*Escalation!$B$72</f>
        <v>379297.75926599989</v>
      </c>
      <c r="BV4" s="231">
        <f>(IF(AND(72&gt;=Personnel!$E$2,Personnel!$G$2="Yes"),Personnel!$D$2*(1-Personnel!$H$2),0)+IF(AND(72&gt;=Personnel!$E$3,Personnel!$G$3="Yes"),Personnel!$D$3*(1-Personnel!$H$3),0)+IF(AND(72&gt;=Personnel!$E$4,Personnel!$G$4="Yes"),Personnel!$D$4*(1-Personnel!$H$4),0)+IF(AND(72&gt;=Personnel!$E$5,Personnel!$G$5="Yes"),Personnel!$D$5*(1-Personnel!$H$5),0)+IF(AND(72&gt;=Personnel!$E$6,Personnel!$G$6="Yes"),Personnel!$D$6*(1-Personnel!$H$6),0)+IF(AND(72&gt;=Personnel!$E$7,Personnel!$G$7="Yes"),Personnel!$D$7*(1-Personnel!$H$7),0)+IF(AND(72&gt;=Personnel!$E$8,Personnel!$G$8="Yes"),Personnel!$D$8*(1-Personnel!$H$8),0)+IF(AND(72&gt;=Personnel!$E$9,Personnel!$G$9="Yes"),Personnel!$D$9*(1-Personnel!$H$9),0)+IF(AND(72&gt;=Personnel!$E$10,Personnel!$G$10="Yes"),Personnel!$D$10*(1-Personnel!$H$10),0)+IF(AND(72&gt;=Personnel!$E$11,Personnel!$G$11="Yes"),Personnel!$D$11*(1-Personnel!$H$11),0)+IF(AND(72&gt;=Personnel!$E$12,Personnel!$G$12="Yes"),Personnel!$D$12*(1-Personnel!$H$12),0)+IF(AND(72&gt;=Personnel!$E$13,Personnel!$G$13="Yes"),Personnel!$D$13*(1-Personnel!$H$13),0)+IF(AND(72&gt;=Personnel!$E$14,Personnel!$G$14="Yes"),Personnel!$D$14*(1-Personnel!$H$14),0)+IF(AND(72&gt;=Personnel!$E$15,Personnel!$G$15="Yes"),Personnel!$D$15*(1-Personnel!$H$15),0)+IF(AND(72&gt;=Personnel!$E$16,Personnel!$G$16="Yes"),Personnel!$D$16*(1-Personnel!$H$16),0)+IF(AND(72&gt;=Personnel!$E$17,Personnel!$G$17="Yes"),Personnel!$D$17*(1-Personnel!$H$17),0)+IF(AND(72&gt;=Personnel!$E$18,Personnel!$G$18="Yes"),Personnel!$D$18*(1-Personnel!$H$18),0)+IF(AND(72&gt;=Personnel!$E$19,Personnel!$G$19="Yes"),Personnel!$D$19*(1-Personnel!$H$19),0)+IF(AND(72&gt;=Personnel!$E$20,Personnel!$G$20="Yes"),Personnel!$D$20*(1-Personnel!$H$20),0)+IF(AND(72&gt;=Personnel!$E$21,Personnel!$G$21="Yes"),Personnel!$D$21*(1-Personnel!$H$21),0)+IF(AND(72&gt;=Personnel!$E$22,Personnel!$G$22="Yes"),Personnel!$D$22*(1-Personnel!$H$22),0)+IF(AND(72&gt;=Personnel!$E$23,Personnel!$G$23="Yes"),Personnel!$D$23*(1-Personnel!$H$23),0)+IF(AND(72&gt;=Personnel!$E$24,Personnel!$G$24="Yes"),Personnel!$D$24*(1-Personnel!$H$24),0)+IF(AND(72&gt;=Personnel!$E$25,Personnel!$G$25="Yes"),Personnel!$D$25*(1-Personnel!$H$25),0)+IF(AND(72&gt;=Personnel!$E$26,Personnel!$G$26="Yes"),Personnel!$D$26*(1-Personnel!$H$26),0)+IF(AND(72&gt;=Personnel!$E$27,Personnel!$G$27="Yes"),Personnel!$D$27*(1-Personnel!$H$27),0)+IF(AND(72&gt;=Personnel!$E$28,Personnel!$G$28="Yes"),Personnel!$D$28*(1-Personnel!$H$28),0)+IF(AND(72&gt;=Personnel!$E$29,Personnel!$G$29="Yes"),Personnel!$D$29*(1-Personnel!$H$29),0)+IF(AND(72&gt;=Personnel!$E$30,Personnel!$G$30="Yes"),Personnel!$D$30*(1-Personnel!$H$30),0)+IF(AND(72&gt;=Personnel!$E$31,Personnel!$G$31="Yes"),Personnel!$D$31*(1-Personnel!$H$31),0)+IF(AND(72&gt;=Personnel!$E$32,Personnel!$G$32="Yes"),Personnel!$D$32*(1-Personnel!$H$32),0)+IF(AND(72&gt;=Personnel!$E$33,Personnel!$G$33="Yes"),Personnel!$D$33*(1-Personnel!$H$33),0)+IF(AND(72&gt;=Personnel!$E$36,Personnel!$G$36="Yes"),Personnel!$D$36*(1-Personnel!$H$36),0)+IF(AND(72&gt;=Personnel!$E$37,Personnel!$G$37="Yes"),Personnel!$D$37*(1-Personnel!$H$37),0)+IF(AND(72&gt;=Personnel!$E$38,Personnel!$G$38="Yes"),Personnel!$D$38*(1-Personnel!$H$38),0)+IF(AND(72&gt;=Personnel!$E$39,Personnel!$G$39="Yes"),Personnel!$D$39*(1-Personnel!$H$39),0)+IF(AND(72&gt;=Personnel!$E$40,Personnel!$G$40="Yes"),Personnel!$D$40*(1-Personnel!$H$40),0)+IF(AND(72&gt;=Personnel!$E$41,Personnel!$G$41="Yes"),Personnel!$D$41*(1-Personnel!$H$41),0)+IF(AND(72&gt;=Personnel!$E$42,Personnel!$G$42="Yes"),Personnel!$D$42*(1-Personnel!$H$42),0))*Escalation!$B$73</f>
        <v>379297.75926599989</v>
      </c>
      <c r="BW4" s="231">
        <f>(IF(AND(73&gt;=Personnel!$E$2,Personnel!$G$2="Yes"),Personnel!$D$2*(1-Personnel!$H$2),0)+IF(AND(73&gt;=Personnel!$E$3,Personnel!$G$3="Yes"),Personnel!$D$3*(1-Personnel!$H$3),0)+IF(AND(73&gt;=Personnel!$E$4,Personnel!$G$4="Yes"),Personnel!$D$4*(1-Personnel!$H$4),0)+IF(AND(73&gt;=Personnel!$E$5,Personnel!$G$5="Yes"),Personnel!$D$5*(1-Personnel!$H$5),0)+IF(AND(73&gt;=Personnel!$E$6,Personnel!$G$6="Yes"),Personnel!$D$6*(1-Personnel!$H$6),0)+IF(AND(73&gt;=Personnel!$E$7,Personnel!$G$7="Yes"),Personnel!$D$7*(1-Personnel!$H$7),0)+IF(AND(73&gt;=Personnel!$E$8,Personnel!$G$8="Yes"),Personnel!$D$8*(1-Personnel!$H$8),0)+IF(AND(73&gt;=Personnel!$E$9,Personnel!$G$9="Yes"),Personnel!$D$9*(1-Personnel!$H$9),0)+IF(AND(73&gt;=Personnel!$E$10,Personnel!$G$10="Yes"),Personnel!$D$10*(1-Personnel!$H$10),0)+IF(AND(73&gt;=Personnel!$E$11,Personnel!$G$11="Yes"),Personnel!$D$11*(1-Personnel!$H$11),0)+IF(AND(73&gt;=Personnel!$E$12,Personnel!$G$12="Yes"),Personnel!$D$12*(1-Personnel!$H$12),0)+IF(AND(73&gt;=Personnel!$E$13,Personnel!$G$13="Yes"),Personnel!$D$13*(1-Personnel!$H$13),0)+IF(AND(73&gt;=Personnel!$E$14,Personnel!$G$14="Yes"),Personnel!$D$14*(1-Personnel!$H$14),0)+IF(AND(73&gt;=Personnel!$E$15,Personnel!$G$15="Yes"),Personnel!$D$15*(1-Personnel!$H$15),0)+IF(AND(73&gt;=Personnel!$E$16,Personnel!$G$16="Yes"),Personnel!$D$16*(1-Personnel!$H$16),0)+IF(AND(73&gt;=Personnel!$E$17,Personnel!$G$17="Yes"),Personnel!$D$17*(1-Personnel!$H$17),0)+IF(AND(73&gt;=Personnel!$E$18,Personnel!$G$18="Yes"),Personnel!$D$18*(1-Personnel!$H$18),0)+IF(AND(73&gt;=Personnel!$E$19,Personnel!$G$19="Yes"),Personnel!$D$19*(1-Personnel!$H$19),0)+IF(AND(73&gt;=Personnel!$E$20,Personnel!$G$20="Yes"),Personnel!$D$20*(1-Personnel!$H$20),0)+IF(AND(73&gt;=Personnel!$E$21,Personnel!$G$21="Yes"),Personnel!$D$21*(1-Personnel!$H$21),0)+IF(AND(73&gt;=Personnel!$E$22,Personnel!$G$22="Yes"),Personnel!$D$22*(1-Personnel!$H$22),0)+IF(AND(73&gt;=Personnel!$E$23,Personnel!$G$23="Yes"),Personnel!$D$23*(1-Personnel!$H$23),0)+IF(AND(73&gt;=Personnel!$E$24,Personnel!$G$24="Yes"),Personnel!$D$24*(1-Personnel!$H$24),0)+IF(AND(73&gt;=Personnel!$E$25,Personnel!$G$25="Yes"),Personnel!$D$25*(1-Personnel!$H$25),0)+IF(AND(73&gt;=Personnel!$E$26,Personnel!$G$26="Yes"),Personnel!$D$26*(1-Personnel!$H$26),0)+IF(AND(73&gt;=Personnel!$E$27,Personnel!$G$27="Yes"),Personnel!$D$27*(1-Personnel!$H$27),0)+IF(AND(73&gt;=Personnel!$E$28,Personnel!$G$28="Yes"),Personnel!$D$28*(1-Personnel!$H$28),0)+IF(AND(73&gt;=Personnel!$E$29,Personnel!$G$29="Yes"),Personnel!$D$29*(1-Personnel!$H$29),0)+IF(AND(73&gt;=Personnel!$E$30,Personnel!$G$30="Yes"),Personnel!$D$30*(1-Personnel!$H$30),0)+IF(AND(73&gt;=Personnel!$E$31,Personnel!$G$31="Yes"),Personnel!$D$31*(1-Personnel!$H$31),0)+IF(AND(73&gt;=Personnel!$E$32,Personnel!$G$32="Yes"),Personnel!$D$32*(1-Personnel!$H$32),0)+IF(AND(73&gt;=Personnel!$E$33,Personnel!$G$33="Yes"),Personnel!$D$33*(1-Personnel!$H$33),0)+IF(AND(73&gt;=Personnel!$E$36,Personnel!$G$36="Yes"),Personnel!$D$36*(1-Personnel!$H$36),0)+IF(AND(73&gt;=Personnel!$E$37,Personnel!$G$37="Yes"),Personnel!$D$37*(1-Personnel!$H$37),0)+IF(AND(73&gt;=Personnel!$E$38,Personnel!$G$38="Yes"),Personnel!$D$38*(1-Personnel!$H$38),0)+IF(AND(73&gt;=Personnel!$E$39,Personnel!$G$39="Yes"),Personnel!$D$39*(1-Personnel!$H$39),0)+IF(AND(73&gt;=Personnel!$E$40,Personnel!$G$40="Yes"),Personnel!$D$40*(1-Personnel!$H$40),0)+IF(AND(73&gt;=Personnel!$E$41,Personnel!$G$41="Yes"),Personnel!$D$41*(1-Personnel!$H$41),0)+IF(AND(73&gt;=Personnel!$E$42,Personnel!$G$42="Yes"),Personnel!$D$42*(1-Personnel!$H$42),0))*Escalation!$B$74</f>
        <v>386883.71445131989</v>
      </c>
      <c r="BX4" s="231">
        <f>(IF(AND(74&gt;=Personnel!$E$2,Personnel!$G$2="Yes"),Personnel!$D$2*(1-Personnel!$H$2),0)+IF(AND(74&gt;=Personnel!$E$3,Personnel!$G$3="Yes"),Personnel!$D$3*(1-Personnel!$H$3),0)+IF(AND(74&gt;=Personnel!$E$4,Personnel!$G$4="Yes"),Personnel!$D$4*(1-Personnel!$H$4),0)+IF(AND(74&gt;=Personnel!$E$5,Personnel!$G$5="Yes"),Personnel!$D$5*(1-Personnel!$H$5),0)+IF(AND(74&gt;=Personnel!$E$6,Personnel!$G$6="Yes"),Personnel!$D$6*(1-Personnel!$H$6),0)+IF(AND(74&gt;=Personnel!$E$7,Personnel!$G$7="Yes"),Personnel!$D$7*(1-Personnel!$H$7),0)+IF(AND(74&gt;=Personnel!$E$8,Personnel!$G$8="Yes"),Personnel!$D$8*(1-Personnel!$H$8),0)+IF(AND(74&gt;=Personnel!$E$9,Personnel!$G$9="Yes"),Personnel!$D$9*(1-Personnel!$H$9),0)+IF(AND(74&gt;=Personnel!$E$10,Personnel!$G$10="Yes"),Personnel!$D$10*(1-Personnel!$H$10),0)+IF(AND(74&gt;=Personnel!$E$11,Personnel!$G$11="Yes"),Personnel!$D$11*(1-Personnel!$H$11),0)+IF(AND(74&gt;=Personnel!$E$12,Personnel!$G$12="Yes"),Personnel!$D$12*(1-Personnel!$H$12),0)+IF(AND(74&gt;=Personnel!$E$13,Personnel!$G$13="Yes"),Personnel!$D$13*(1-Personnel!$H$13),0)+IF(AND(74&gt;=Personnel!$E$14,Personnel!$G$14="Yes"),Personnel!$D$14*(1-Personnel!$H$14),0)+IF(AND(74&gt;=Personnel!$E$15,Personnel!$G$15="Yes"),Personnel!$D$15*(1-Personnel!$H$15),0)+IF(AND(74&gt;=Personnel!$E$16,Personnel!$G$16="Yes"),Personnel!$D$16*(1-Personnel!$H$16),0)+IF(AND(74&gt;=Personnel!$E$17,Personnel!$G$17="Yes"),Personnel!$D$17*(1-Personnel!$H$17),0)+IF(AND(74&gt;=Personnel!$E$18,Personnel!$G$18="Yes"),Personnel!$D$18*(1-Personnel!$H$18),0)+IF(AND(74&gt;=Personnel!$E$19,Personnel!$G$19="Yes"),Personnel!$D$19*(1-Personnel!$H$19),0)+IF(AND(74&gt;=Personnel!$E$20,Personnel!$G$20="Yes"),Personnel!$D$20*(1-Personnel!$H$20),0)+IF(AND(74&gt;=Personnel!$E$21,Personnel!$G$21="Yes"),Personnel!$D$21*(1-Personnel!$H$21),0)+IF(AND(74&gt;=Personnel!$E$22,Personnel!$G$22="Yes"),Personnel!$D$22*(1-Personnel!$H$22),0)+IF(AND(74&gt;=Personnel!$E$23,Personnel!$G$23="Yes"),Personnel!$D$23*(1-Personnel!$H$23),0)+IF(AND(74&gt;=Personnel!$E$24,Personnel!$G$24="Yes"),Personnel!$D$24*(1-Personnel!$H$24),0)+IF(AND(74&gt;=Personnel!$E$25,Personnel!$G$25="Yes"),Personnel!$D$25*(1-Personnel!$H$25),0)+IF(AND(74&gt;=Personnel!$E$26,Personnel!$G$26="Yes"),Personnel!$D$26*(1-Personnel!$H$26),0)+IF(AND(74&gt;=Personnel!$E$27,Personnel!$G$27="Yes"),Personnel!$D$27*(1-Personnel!$H$27),0)+IF(AND(74&gt;=Personnel!$E$28,Personnel!$G$28="Yes"),Personnel!$D$28*(1-Personnel!$H$28),0)+IF(AND(74&gt;=Personnel!$E$29,Personnel!$G$29="Yes"),Personnel!$D$29*(1-Personnel!$H$29),0)+IF(AND(74&gt;=Personnel!$E$30,Personnel!$G$30="Yes"),Personnel!$D$30*(1-Personnel!$H$30),0)+IF(AND(74&gt;=Personnel!$E$31,Personnel!$G$31="Yes"),Personnel!$D$31*(1-Personnel!$H$31),0)+IF(AND(74&gt;=Personnel!$E$32,Personnel!$G$32="Yes"),Personnel!$D$32*(1-Personnel!$H$32),0)+IF(AND(74&gt;=Personnel!$E$33,Personnel!$G$33="Yes"),Personnel!$D$33*(1-Personnel!$H$33),0)+IF(AND(74&gt;=Personnel!$E$36,Personnel!$G$36="Yes"),Personnel!$D$36*(1-Personnel!$H$36),0)+IF(AND(74&gt;=Personnel!$E$37,Personnel!$G$37="Yes"),Personnel!$D$37*(1-Personnel!$H$37),0)+IF(AND(74&gt;=Personnel!$E$38,Personnel!$G$38="Yes"),Personnel!$D$38*(1-Personnel!$H$38),0)+IF(AND(74&gt;=Personnel!$E$39,Personnel!$G$39="Yes"),Personnel!$D$39*(1-Personnel!$H$39),0)+IF(AND(74&gt;=Personnel!$E$40,Personnel!$G$40="Yes"),Personnel!$D$40*(1-Personnel!$H$40),0)+IF(AND(74&gt;=Personnel!$E$41,Personnel!$G$41="Yes"),Personnel!$D$41*(1-Personnel!$H$41),0)+IF(AND(74&gt;=Personnel!$E$42,Personnel!$G$42="Yes"),Personnel!$D$42*(1-Personnel!$H$42),0))*Escalation!$B$75</f>
        <v>386883.71445131989</v>
      </c>
      <c r="BY4" s="231">
        <f>(IF(AND(75&gt;=Personnel!$E$2,Personnel!$G$2="Yes"),Personnel!$D$2*(1-Personnel!$H$2),0)+IF(AND(75&gt;=Personnel!$E$3,Personnel!$G$3="Yes"),Personnel!$D$3*(1-Personnel!$H$3),0)+IF(AND(75&gt;=Personnel!$E$4,Personnel!$G$4="Yes"),Personnel!$D$4*(1-Personnel!$H$4),0)+IF(AND(75&gt;=Personnel!$E$5,Personnel!$G$5="Yes"),Personnel!$D$5*(1-Personnel!$H$5),0)+IF(AND(75&gt;=Personnel!$E$6,Personnel!$G$6="Yes"),Personnel!$D$6*(1-Personnel!$H$6),0)+IF(AND(75&gt;=Personnel!$E$7,Personnel!$G$7="Yes"),Personnel!$D$7*(1-Personnel!$H$7),0)+IF(AND(75&gt;=Personnel!$E$8,Personnel!$G$8="Yes"),Personnel!$D$8*(1-Personnel!$H$8),0)+IF(AND(75&gt;=Personnel!$E$9,Personnel!$G$9="Yes"),Personnel!$D$9*(1-Personnel!$H$9),0)+IF(AND(75&gt;=Personnel!$E$10,Personnel!$G$10="Yes"),Personnel!$D$10*(1-Personnel!$H$10),0)+IF(AND(75&gt;=Personnel!$E$11,Personnel!$G$11="Yes"),Personnel!$D$11*(1-Personnel!$H$11),0)+IF(AND(75&gt;=Personnel!$E$12,Personnel!$G$12="Yes"),Personnel!$D$12*(1-Personnel!$H$12),0)+IF(AND(75&gt;=Personnel!$E$13,Personnel!$G$13="Yes"),Personnel!$D$13*(1-Personnel!$H$13),0)+IF(AND(75&gt;=Personnel!$E$14,Personnel!$G$14="Yes"),Personnel!$D$14*(1-Personnel!$H$14),0)+IF(AND(75&gt;=Personnel!$E$15,Personnel!$G$15="Yes"),Personnel!$D$15*(1-Personnel!$H$15),0)+IF(AND(75&gt;=Personnel!$E$16,Personnel!$G$16="Yes"),Personnel!$D$16*(1-Personnel!$H$16),0)+IF(AND(75&gt;=Personnel!$E$17,Personnel!$G$17="Yes"),Personnel!$D$17*(1-Personnel!$H$17),0)+IF(AND(75&gt;=Personnel!$E$18,Personnel!$G$18="Yes"),Personnel!$D$18*(1-Personnel!$H$18),0)+IF(AND(75&gt;=Personnel!$E$19,Personnel!$G$19="Yes"),Personnel!$D$19*(1-Personnel!$H$19),0)+IF(AND(75&gt;=Personnel!$E$20,Personnel!$G$20="Yes"),Personnel!$D$20*(1-Personnel!$H$20),0)+IF(AND(75&gt;=Personnel!$E$21,Personnel!$G$21="Yes"),Personnel!$D$21*(1-Personnel!$H$21),0)+IF(AND(75&gt;=Personnel!$E$22,Personnel!$G$22="Yes"),Personnel!$D$22*(1-Personnel!$H$22),0)+IF(AND(75&gt;=Personnel!$E$23,Personnel!$G$23="Yes"),Personnel!$D$23*(1-Personnel!$H$23),0)+IF(AND(75&gt;=Personnel!$E$24,Personnel!$G$24="Yes"),Personnel!$D$24*(1-Personnel!$H$24),0)+IF(AND(75&gt;=Personnel!$E$25,Personnel!$G$25="Yes"),Personnel!$D$25*(1-Personnel!$H$25),0)+IF(AND(75&gt;=Personnel!$E$26,Personnel!$G$26="Yes"),Personnel!$D$26*(1-Personnel!$H$26),0)+IF(AND(75&gt;=Personnel!$E$27,Personnel!$G$27="Yes"),Personnel!$D$27*(1-Personnel!$H$27),0)+IF(AND(75&gt;=Personnel!$E$28,Personnel!$G$28="Yes"),Personnel!$D$28*(1-Personnel!$H$28),0)+IF(AND(75&gt;=Personnel!$E$29,Personnel!$G$29="Yes"),Personnel!$D$29*(1-Personnel!$H$29),0)+IF(AND(75&gt;=Personnel!$E$30,Personnel!$G$30="Yes"),Personnel!$D$30*(1-Personnel!$H$30),0)+IF(AND(75&gt;=Personnel!$E$31,Personnel!$G$31="Yes"),Personnel!$D$31*(1-Personnel!$H$31),0)+IF(AND(75&gt;=Personnel!$E$32,Personnel!$G$32="Yes"),Personnel!$D$32*(1-Personnel!$H$32),0)+IF(AND(75&gt;=Personnel!$E$33,Personnel!$G$33="Yes"),Personnel!$D$33*(1-Personnel!$H$33),0)+IF(AND(75&gt;=Personnel!$E$36,Personnel!$G$36="Yes"),Personnel!$D$36*(1-Personnel!$H$36),0)+IF(AND(75&gt;=Personnel!$E$37,Personnel!$G$37="Yes"),Personnel!$D$37*(1-Personnel!$H$37),0)+IF(AND(75&gt;=Personnel!$E$38,Personnel!$G$38="Yes"),Personnel!$D$38*(1-Personnel!$H$38),0)+IF(AND(75&gt;=Personnel!$E$39,Personnel!$G$39="Yes"),Personnel!$D$39*(1-Personnel!$H$39),0)+IF(AND(75&gt;=Personnel!$E$40,Personnel!$G$40="Yes"),Personnel!$D$40*(1-Personnel!$H$40),0)+IF(AND(75&gt;=Personnel!$E$41,Personnel!$G$41="Yes"),Personnel!$D$41*(1-Personnel!$H$41),0)+IF(AND(75&gt;=Personnel!$E$42,Personnel!$G$42="Yes"),Personnel!$D$42*(1-Personnel!$H$42),0))*Escalation!$B$76</f>
        <v>386883.71445131989</v>
      </c>
      <c r="BZ4" s="231">
        <f>(IF(AND(76&gt;=Personnel!$E$2,Personnel!$G$2="Yes"),Personnel!$D$2*(1-Personnel!$H$2),0)+IF(AND(76&gt;=Personnel!$E$3,Personnel!$G$3="Yes"),Personnel!$D$3*(1-Personnel!$H$3),0)+IF(AND(76&gt;=Personnel!$E$4,Personnel!$G$4="Yes"),Personnel!$D$4*(1-Personnel!$H$4),0)+IF(AND(76&gt;=Personnel!$E$5,Personnel!$G$5="Yes"),Personnel!$D$5*(1-Personnel!$H$5),0)+IF(AND(76&gt;=Personnel!$E$6,Personnel!$G$6="Yes"),Personnel!$D$6*(1-Personnel!$H$6),0)+IF(AND(76&gt;=Personnel!$E$7,Personnel!$G$7="Yes"),Personnel!$D$7*(1-Personnel!$H$7),0)+IF(AND(76&gt;=Personnel!$E$8,Personnel!$G$8="Yes"),Personnel!$D$8*(1-Personnel!$H$8),0)+IF(AND(76&gt;=Personnel!$E$9,Personnel!$G$9="Yes"),Personnel!$D$9*(1-Personnel!$H$9),0)+IF(AND(76&gt;=Personnel!$E$10,Personnel!$G$10="Yes"),Personnel!$D$10*(1-Personnel!$H$10),0)+IF(AND(76&gt;=Personnel!$E$11,Personnel!$G$11="Yes"),Personnel!$D$11*(1-Personnel!$H$11),0)+IF(AND(76&gt;=Personnel!$E$12,Personnel!$G$12="Yes"),Personnel!$D$12*(1-Personnel!$H$12),0)+IF(AND(76&gt;=Personnel!$E$13,Personnel!$G$13="Yes"),Personnel!$D$13*(1-Personnel!$H$13),0)+IF(AND(76&gt;=Personnel!$E$14,Personnel!$G$14="Yes"),Personnel!$D$14*(1-Personnel!$H$14),0)+IF(AND(76&gt;=Personnel!$E$15,Personnel!$G$15="Yes"),Personnel!$D$15*(1-Personnel!$H$15),0)+IF(AND(76&gt;=Personnel!$E$16,Personnel!$G$16="Yes"),Personnel!$D$16*(1-Personnel!$H$16),0)+IF(AND(76&gt;=Personnel!$E$17,Personnel!$G$17="Yes"),Personnel!$D$17*(1-Personnel!$H$17),0)+IF(AND(76&gt;=Personnel!$E$18,Personnel!$G$18="Yes"),Personnel!$D$18*(1-Personnel!$H$18),0)+IF(AND(76&gt;=Personnel!$E$19,Personnel!$G$19="Yes"),Personnel!$D$19*(1-Personnel!$H$19),0)+IF(AND(76&gt;=Personnel!$E$20,Personnel!$G$20="Yes"),Personnel!$D$20*(1-Personnel!$H$20),0)+IF(AND(76&gt;=Personnel!$E$21,Personnel!$G$21="Yes"),Personnel!$D$21*(1-Personnel!$H$21),0)+IF(AND(76&gt;=Personnel!$E$22,Personnel!$G$22="Yes"),Personnel!$D$22*(1-Personnel!$H$22),0)+IF(AND(76&gt;=Personnel!$E$23,Personnel!$G$23="Yes"),Personnel!$D$23*(1-Personnel!$H$23),0)+IF(AND(76&gt;=Personnel!$E$24,Personnel!$G$24="Yes"),Personnel!$D$24*(1-Personnel!$H$24),0)+IF(AND(76&gt;=Personnel!$E$25,Personnel!$G$25="Yes"),Personnel!$D$25*(1-Personnel!$H$25),0)+IF(AND(76&gt;=Personnel!$E$26,Personnel!$G$26="Yes"),Personnel!$D$26*(1-Personnel!$H$26),0)+IF(AND(76&gt;=Personnel!$E$27,Personnel!$G$27="Yes"),Personnel!$D$27*(1-Personnel!$H$27),0)+IF(AND(76&gt;=Personnel!$E$28,Personnel!$G$28="Yes"),Personnel!$D$28*(1-Personnel!$H$28),0)+IF(AND(76&gt;=Personnel!$E$29,Personnel!$G$29="Yes"),Personnel!$D$29*(1-Personnel!$H$29),0)+IF(AND(76&gt;=Personnel!$E$30,Personnel!$G$30="Yes"),Personnel!$D$30*(1-Personnel!$H$30),0)+IF(AND(76&gt;=Personnel!$E$31,Personnel!$G$31="Yes"),Personnel!$D$31*(1-Personnel!$H$31),0)+IF(AND(76&gt;=Personnel!$E$32,Personnel!$G$32="Yes"),Personnel!$D$32*(1-Personnel!$H$32),0)+IF(AND(76&gt;=Personnel!$E$33,Personnel!$G$33="Yes"),Personnel!$D$33*(1-Personnel!$H$33),0)+IF(AND(76&gt;=Personnel!$E$36,Personnel!$G$36="Yes"),Personnel!$D$36*(1-Personnel!$H$36),0)+IF(AND(76&gt;=Personnel!$E$37,Personnel!$G$37="Yes"),Personnel!$D$37*(1-Personnel!$H$37),0)+IF(AND(76&gt;=Personnel!$E$38,Personnel!$G$38="Yes"),Personnel!$D$38*(1-Personnel!$H$38),0)+IF(AND(76&gt;=Personnel!$E$39,Personnel!$G$39="Yes"),Personnel!$D$39*(1-Personnel!$H$39),0)+IF(AND(76&gt;=Personnel!$E$40,Personnel!$G$40="Yes"),Personnel!$D$40*(1-Personnel!$H$40),0)+IF(AND(76&gt;=Personnel!$E$41,Personnel!$G$41="Yes"),Personnel!$D$41*(1-Personnel!$H$41),0)+IF(AND(76&gt;=Personnel!$E$42,Personnel!$G$42="Yes"),Personnel!$D$42*(1-Personnel!$H$42),0))*Escalation!$B$77</f>
        <v>386883.71445131989</v>
      </c>
      <c r="CA4" s="231">
        <f>(IF(AND(77&gt;=Personnel!$E$2,Personnel!$G$2="Yes"),Personnel!$D$2*(1-Personnel!$H$2),0)+IF(AND(77&gt;=Personnel!$E$3,Personnel!$G$3="Yes"),Personnel!$D$3*(1-Personnel!$H$3),0)+IF(AND(77&gt;=Personnel!$E$4,Personnel!$G$4="Yes"),Personnel!$D$4*(1-Personnel!$H$4),0)+IF(AND(77&gt;=Personnel!$E$5,Personnel!$G$5="Yes"),Personnel!$D$5*(1-Personnel!$H$5),0)+IF(AND(77&gt;=Personnel!$E$6,Personnel!$G$6="Yes"),Personnel!$D$6*(1-Personnel!$H$6),0)+IF(AND(77&gt;=Personnel!$E$7,Personnel!$G$7="Yes"),Personnel!$D$7*(1-Personnel!$H$7),0)+IF(AND(77&gt;=Personnel!$E$8,Personnel!$G$8="Yes"),Personnel!$D$8*(1-Personnel!$H$8),0)+IF(AND(77&gt;=Personnel!$E$9,Personnel!$G$9="Yes"),Personnel!$D$9*(1-Personnel!$H$9),0)+IF(AND(77&gt;=Personnel!$E$10,Personnel!$G$10="Yes"),Personnel!$D$10*(1-Personnel!$H$10),0)+IF(AND(77&gt;=Personnel!$E$11,Personnel!$G$11="Yes"),Personnel!$D$11*(1-Personnel!$H$11),0)+IF(AND(77&gt;=Personnel!$E$12,Personnel!$G$12="Yes"),Personnel!$D$12*(1-Personnel!$H$12),0)+IF(AND(77&gt;=Personnel!$E$13,Personnel!$G$13="Yes"),Personnel!$D$13*(1-Personnel!$H$13),0)+IF(AND(77&gt;=Personnel!$E$14,Personnel!$G$14="Yes"),Personnel!$D$14*(1-Personnel!$H$14),0)+IF(AND(77&gt;=Personnel!$E$15,Personnel!$G$15="Yes"),Personnel!$D$15*(1-Personnel!$H$15),0)+IF(AND(77&gt;=Personnel!$E$16,Personnel!$G$16="Yes"),Personnel!$D$16*(1-Personnel!$H$16),0)+IF(AND(77&gt;=Personnel!$E$17,Personnel!$G$17="Yes"),Personnel!$D$17*(1-Personnel!$H$17),0)+IF(AND(77&gt;=Personnel!$E$18,Personnel!$G$18="Yes"),Personnel!$D$18*(1-Personnel!$H$18),0)+IF(AND(77&gt;=Personnel!$E$19,Personnel!$G$19="Yes"),Personnel!$D$19*(1-Personnel!$H$19),0)+IF(AND(77&gt;=Personnel!$E$20,Personnel!$G$20="Yes"),Personnel!$D$20*(1-Personnel!$H$20),0)+IF(AND(77&gt;=Personnel!$E$21,Personnel!$G$21="Yes"),Personnel!$D$21*(1-Personnel!$H$21),0)+IF(AND(77&gt;=Personnel!$E$22,Personnel!$G$22="Yes"),Personnel!$D$22*(1-Personnel!$H$22),0)+IF(AND(77&gt;=Personnel!$E$23,Personnel!$G$23="Yes"),Personnel!$D$23*(1-Personnel!$H$23),0)+IF(AND(77&gt;=Personnel!$E$24,Personnel!$G$24="Yes"),Personnel!$D$24*(1-Personnel!$H$24),0)+IF(AND(77&gt;=Personnel!$E$25,Personnel!$G$25="Yes"),Personnel!$D$25*(1-Personnel!$H$25),0)+IF(AND(77&gt;=Personnel!$E$26,Personnel!$G$26="Yes"),Personnel!$D$26*(1-Personnel!$H$26),0)+IF(AND(77&gt;=Personnel!$E$27,Personnel!$G$27="Yes"),Personnel!$D$27*(1-Personnel!$H$27),0)+IF(AND(77&gt;=Personnel!$E$28,Personnel!$G$28="Yes"),Personnel!$D$28*(1-Personnel!$H$28),0)+IF(AND(77&gt;=Personnel!$E$29,Personnel!$G$29="Yes"),Personnel!$D$29*(1-Personnel!$H$29),0)+IF(AND(77&gt;=Personnel!$E$30,Personnel!$G$30="Yes"),Personnel!$D$30*(1-Personnel!$H$30),0)+IF(AND(77&gt;=Personnel!$E$31,Personnel!$G$31="Yes"),Personnel!$D$31*(1-Personnel!$H$31),0)+IF(AND(77&gt;=Personnel!$E$32,Personnel!$G$32="Yes"),Personnel!$D$32*(1-Personnel!$H$32),0)+IF(AND(77&gt;=Personnel!$E$33,Personnel!$G$33="Yes"),Personnel!$D$33*(1-Personnel!$H$33),0)+IF(AND(77&gt;=Personnel!$E$36,Personnel!$G$36="Yes"),Personnel!$D$36*(1-Personnel!$H$36),0)+IF(AND(77&gt;=Personnel!$E$37,Personnel!$G$37="Yes"),Personnel!$D$37*(1-Personnel!$H$37),0)+IF(AND(77&gt;=Personnel!$E$38,Personnel!$G$38="Yes"),Personnel!$D$38*(1-Personnel!$H$38),0)+IF(AND(77&gt;=Personnel!$E$39,Personnel!$G$39="Yes"),Personnel!$D$39*(1-Personnel!$H$39),0)+IF(AND(77&gt;=Personnel!$E$40,Personnel!$G$40="Yes"),Personnel!$D$40*(1-Personnel!$H$40),0)+IF(AND(77&gt;=Personnel!$E$41,Personnel!$G$41="Yes"),Personnel!$D$41*(1-Personnel!$H$41),0)+IF(AND(77&gt;=Personnel!$E$42,Personnel!$G$42="Yes"),Personnel!$D$42*(1-Personnel!$H$42),0))*Escalation!$B$78</f>
        <v>386883.71445131989</v>
      </c>
      <c r="CB4" s="231">
        <f>(IF(AND(78&gt;=Personnel!$E$2,Personnel!$G$2="Yes"),Personnel!$D$2*(1-Personnel!$H$2),0)+IF(AND(78&gt;=Personnel!$E$3,Personnel!$G$3="Yes"),Personnel!$D$3*(1-Personnel!$H$3),0)+IF(AND(78&gt;=Personnel!$E$4,Personnel!$G$4="Yes"),Personnel!$D$4*(1-Personnel!$H$4),0)+IF(AND(78&gt;=Personnel!$E$5,Personnel!$G$5="Yes"),Personnel!$D$5*(1-Personnel!$H$5),0)+IF(AND(78&gt;=Personnel!$E$6,Personnel!$G$6="Yes"),Personnel!$D$6*(1-Personnel!$H$6),0)+IF(AND(78&gt;=Personnel!$E$7,Personnel!$G$7="Yes"),Personnel!$D$7*(1-Personnel!$H$7),0)+IF(AND(78&gt;=Personnel!$E$8,Personnel!$G$8="Yes"),Personnel!$D$8*(1-Personnel!$H$8),0)+IF(AND(78&gt;=Personnel!$E$9,Personnel!$G$9="Yes"),Personnel!$D$9*(1-Personnel!$H$9),0)+IF(AND(78&gt;=Personnel!$E$10,Personnel!$G$10="Yes"),Personnel!$D$10*(1-Personnel!$H$10),0)+IF(AND(78&gt;=Personnel!$E$11,Personnel!$G$11="Yes"),Personnel!$D$11*(1-Personnel!$H$11),0)+IF(AND(78&gt;=Personnel!$E$12,Personnel!$G$12="Yes"),Personnel!$D$12*(1-Personnel!$H$12),0)+IF(AND(78&gt;=Personnel!$E$13,Personnel!$G$13="Yes"),Personnel!$D$13*(1-Personnel!$H$13),0)+IF(AND(78&gt;=Personnel!$E$14,Personnel!$G$14="Yes"),Personnel!$D$14*(1-Personnel!$H$14),0)+IF(AND(78&gt;=Personnel!$E$15,Personnel!$G$15="Yes"),Personnel!$D$15*(1-Personnel!$H$15),0)+IF(AND(78&gt;=Personnel!$E$16,Personnel!$G$16="Yes"),Personnel!$D$16*(1-Personnel!$H$16),0)+IF(AND(78&gt;=Personnel!$E$17,Personnel!$G$17="Yes"),Personnel!$D$17*(1-Personnel!$H$17),0)+IF(AND(78&gt;=Personnel!$E$18,Personnel!$G$18="Yes"),Personnel!$D$18*(1-Personnel!$H$18),0)+IF(AND(78&gt;=Personnel!$E$19,Personnel!$G$19="Yes"),Personnel!$D$19*(1-Personnel!$H$19),0)+IF(AND(78&gt;=Personnel!$E$20,Personnel!$G$20="Yes"),Personnel!$D$20*(1-Personnel!$H$20),0)+IF(AND(78&gt;=Personnel!$E$21,Personnel!$G$21="Yes"),Personnel!$D$21*(1-Personnel!$H$21),0)+IF(AND(78&gt;=Personnel!$E$22,Personnel!$G$22="Yes"),Personnel!$D$22*(1-Personnel!$H$22),0)+IF(AND(78&gt;=Personnel!$E$23,Personnel!$G$23="Yes"),Personnel!$D$23*(1-Personnel!$H$23),0)+IF(AND(78&gt;=Personnel!$E$24,Personnel!$G$24="Yes"),Personnel!$D$24*(1-Personnel!$H$24),0)+IF(AND(78&gt;=Personnel!$E$25,Personnel!$G$25="Yes"),Personnel!$D$25*(1-Personnel!$H$25),0)+IF(AND(78&gt;=Personnel!$E$26,Personnel!$G$26="Yes"),Personnel!$D$26*(1-Personnel!$H$26),0)+IF(AND(78&gt;=Personnel!$E$27,Personnel!$G$27="Yes"),Personnel!$D$27*(1-Personnel!$H$27),0)+IF(AND(78&gt;=Personnel!$E$28,Personnel!$G$28="Yes"),Personnel!$D$28*(1-Personnel!$H$28),0)+IF(AND(78&gt;=Personnel!$E$29,Personnel!$G$29="Yes"),Personnel!$D$29*(1-Personnel!$H$29),0)+IF(AND(78&gt;=Personnel!$E$30,Personnel!$G$30="Yes"),Personnel!$D$30*(1-Personnel!$H$30),0)+IF(AND(78&gt;=Personnel!$E$31,Personnel!$G$31="Yes"),Personnel!$D$31*(1-Personnel!$H$31),0)+IF(AND(78&gt;=Personnel!$E$32,Personnel!$G$32="Yes"),Personnel!$D$32*(1-Personnel!$H$32),0)+IF(AND(78&gt;=Personnel!$E$33,Personnel!$G$33="Yes"),Personnel!$D$33*(1-Personnel!$H$33),0)+IF(AND(78&gt;=Personnel!$E$36,Personnel!$G$36="Yes"),Personnel!$D$36*(1-Personnel!$H$36),0)+IF(AND(78&gt;=Personnel!$E$37,Personnel!$G$37="Yes"),Personnel!$D$37*(1-Personnel!$H$37),0)+IF(AND(78&gt;=Personnel!$E$38,Personnel!$G$38="Yes"),Personnel!$D$38*(1-Personnel!$H$38),0)+IF(AND(78&gt;=Personnel!$E$39,Personnel!$G$39="Yes"),Personnel!$D$39*(1-Personnel!$H$39),0)+IF(AND(78&gt;=Personnel!$E$40,Personnel!$G$40="Yes"),Personnel!$D$40*(1-Personnel!$H$40),0)+IF(AND(78&gt;=Personnel!$E$41,Personnel!$G$41="Yes"),Personnel!$D$41*(1-Personnel!$H$41),0)+IF(AND(78&gt;=Personnel!$E$42,Personnel!$G$42="Yes"),Personnel!$D$42*(1-Personnel!$H$42),0))*Escalation!$B$79</f>
        <v>386883.71445131989</v>
      </c>
      <c r="CC4" s="231">
        <f>(IF(AND(79&gt;=Personnel!$E$2,Personnel!$G$2="Yes"),Personnel!$D$2*(1-Personnel!$H$2),0)+IF(AND(79&gt;=Personnel!$E$3,Personnel!$G$3="Yes"),Personnel!$D$3*(1-Personnel!$H$3),0)+IF(AND(79&gt;=Personnel!$E$4,Personnel!$G$4="Yes"),Personnel!$D$4*(1-Personnel!$H$4),0)+IF(AND(79&gt;=Personnel!$E$5,Personnel!$G$5="Yes"),Personnel!$D$5*(1-Personnel!$H$5),0)+IF(AND(79&gt;=Personnel!$E$6,Personnel!$G$6="Yes"),Personnel!$D$6*(1-Personnel!$H$6),0)+IF(AND(79&gt;=Personnel!$E$7,Personnel!$G$7="Yes"),Personnel!$D$7*(1-Personnel!$H$7),0)+IF(AND(79&gt;=Personnel!$E$8,Personnel!$G$8="Yes"),Personnel!$D$8*(1-Personnel!$H$8),0)+IF(AND(79&gt;=Personnel!$E$9,Personnel!$G$9="Yes"),Personnel!$D$9*(1-Personnel!$H$9),0)+IF(AND(79&gt;=Personnel!$E$10,Personnel!$G$10="Yes"),Personnel!$D$10*(1-Personnel!$H$10),0)+IF(AND(79&gt;=Personnel!$E$11,Personnel!$G$11="Yes"),Personnel!$D$11*(1-Personnel!$H$11),0)+IF(AND(79&gt;=Personnel!$E$12,Personnel!$G$12="Yes"),Personnel!$D$12*(1-Personnel!$H$12),0)+IF(AND(79&gt;=Personnel!$E$13,Personnel!$G$13="Yes"),Personnel!$D$13*(1-Personnel!$H$13),0)+IF(AND(79&gt;=Personnel!$E$14,Personnel!$G$14="Yes"),Personnel!$D$14*(1-Personnel!$H$14),0)+IF(AND(79&gt;=Personnel!$E$15,Personnel!$G$15="Yes"),Personnel!$D$15*(1-Personnel!$H$15),0)+IF(AND(79&gt;=Personnel!$E$16,Personnel!$G$16="Yes"),Personnel!$D$16*(1-Personnel!$H$16),0)+IF(AND(79&gt;=Personnel!$E$17,Personnel!$G$17="Yes"),Personnel!$D$17*(1-Personnel!$H$17),0)+IF(AND(79&gt;=Personnel!$E$18,Personnel!$G$18="Yes"),Personnel!$D$18*(1-Personnel!$H$18),0)+IF(AND(79&gt;=Personnel!$E$19,Personnel!$G$19="Yes"),Personnel!$D$19*(1-Personnel!$H$19),0)+IF(AND(79&gt;=Personnel!$E$20,Personnel!$G$20="Yes"),Personnel!$D$20*(1-Personnel!$H$20),0)+IF(AND(79&gt;=Personnel!$E$21,Personnel!$G$21="Yes"),Personnel!$D$21*(1-Personnel!$H$21),0)+IF(AND(79&gt;=Personnel!$E$22,Personnel!$G$22="Yes"),Personnel!$D$22*(1-Personnel!$H$22),0)+IF(AND(79&gt;=Personnel!$E$23,Personnel!$G$23="Yes"),Personnel!$D$23*(1-Personnel!$H$23),0)+IF(AND(79&gt;=Personnel!$E$24,Personnel!$G$24="Yes"),Personnel!$D$24*(1-Personnel!$H$24),0)+IF(AND(79&gt;=Personnel!$E$25,Personnel!$G$25="Yes"),Personnel!$D$25*(1-Personnel!$H$25),0)+IF(AND(79&gt;=Personnel!$E$26,Personnel!$G$26="Yes"),Personnel!$D$26*(1-Personnel!$H$26),0)+IF(AND(79&gt;=Personnel!$E$27,Personnel!$G$27="Yes"),Personnel!$D$27*(1-Personnel!$H$27),0)+IF(AND(79&gt;=Personnel!$E$28,Personnel!$G$28="Yes"),Personnel!$D$28*(1-Personnel!$H$28),0)+IF(AND(79&gt;=Personnel!$E$29,Personnel!$G$29="Yes"),Personnel!$D$29*(1-Personnel!$H$29),0)+IF(AND(79&gt;=Personnel!$E$30,Personnel!$G$30="Yes"),Personnel!$D$30*(1-Personnel!$H$30),0)+IF(AND(79&gt;=Personnel!$E$31,Personnel!$G$31="Yes"),Personnel!$D$31*(1-Personnel!$H$31),0)+IF(AND(79&gt;=Personnel!$E$32,Personnel!$G$32="Yes"),Personnel!$D$32*(1-Personnel!$H$32),0)+IF(AND(79&gt;=Personnel!$E$33,Personnel!$G$33="Yes"),Personnel!$D$33*(1-Personnel!$H$33),0)+IF(AND(79&gt;=Personnel!$E$36,Personnel!$G$36="Yes"),Personnel!$D$36*(1-Personnel!$H$36),0)+IF(AND(79&gt;=Personnel!$E$37,Personnel!$G$37="Yes"),Personnel!$D$37*(1-Personnel!$H$37),0)+IF(AND(79&gt;=Personnel!$E$38,Personnel!$G$38="Yes"),Personnel!$D$38*(1-Personnel!$H$38),0)+IF(AND(79&gt;=Personnel!$E$39,Personnel!$G$39="Yes"),Personnel!$D$39*(1-Personnel!$H$39),0)+IF(AND(79&gt;=Personnel!$E$40,Personnel!$G$40="Yes"),Personnel!$D$40*(1-Personnel!$H$40),0)+IF(AND(79&gt;=Personnel!$E$41,Personnel!$G$41="Yes"),Personnel!$D$41*(1-Personnel!$H$41),0)+IF(AND(79&gt;=Personnel!$E$42,Personnel!$G$42="Yes"),Personnel!$D$42*(1-Personnel!$H$42),0))*Escalation!$B$80</f>
        <v>386883.71445131989</v>
      </c>
      <c r="CD4" s="231">
        <f>(IF(AND(80&gt;=Personnel!$E$2,Personnel!$G$2="Yes"),Personnel!$D$2*(1-Personnel!$H$2),0)+IF(AND(80&gt;=Personnel!$E$3,Personnel!$G$3="Yes"),Personnel!$D$3*(1-Personnel!$H$3),0)+IF(AND(80&gt;=Personnel!$E$4,Personnel!$G$4="Yes"),Personnel!$D$4*(1-Personnel!$H$4),0)+IF(AND(80&gt;=Personnel!$E$5,Personnel!$G$5="Yes"),Personnel!$D$5*(1-Personnel!$H$5),0)+IF(AND(80&gt;=Personnel!$E$6,Personnel!$G$6="Yes"),Personnel!$D$6*(1-Personnel!$H$6),0)+IF(AND(80&gt;=Personnel!$E$7,Personnel!$G$7="Yes"),Personnel!$D$7*(1-Personnel!$H$7),0)+IF(AND(80&gt;=Personnel!$E$8,Personnel!$G$8="Yes"),Personnel!$D$8*(1-Personnel!$H$8),0)+IF(AND(80&gt;=Personnel!$E$9,Personnel!$G$9="Yes"),Personnel!$D$9*(1-Personnel!$H$9),0)+IF(AND(80&gt;=Personnel!$E$10,Personnel!$G$10="Yes"),Personnel!$D$10*(1-Personnel!$H$10),0)+IF(AND(80&gt;=Personnel!$E$11,Personnel!$G$11="Yes"),Personnel!$D$11*(1-Personnel!$H$11),0)+IF(AND(80&gt;=Personnel!$E$12,Personnel!$G$12="Yes"),Personnel!$D$12*(1-Personnel!$H$12),0)+IF(AND(80&gt;=Personnel!$E$13,Personnel!$G$13="Yes"),Personnel!$D$13*(1-Personnel!$H$13),0)+IF(AND(80&gt;=Personnel!$E$14,Personnel!$G$14="Yes"),Personnel!$D$14*(1-Personnel!$H$14),0)+IF(AND(80&gt;=Personnel!$E$15,Personnel!$G$15="Yes"),Personnel!$D$15*(1-Personnel!$H$15),0)+IF(AND(80&gt;=Personnel!$E$16,Personnel!$G$16="Yes"),Personnel!$D$16*(1-Personnel!$H$16),0)+IF(AND(80&gt;=Personnel!$E$17,Personnel!$G$17="Yes"),Personnel!$D$17*(1-Personnel!$H$17),0)+IF(AND(80&gt;=Personnel!$E$18,Personnel!$G$18="Yes"),Personnel!$D$18*(1-Personnel!$H$18),0)+IF(AND(80&gt;=Personnel!$E$19,Personnel!$G$19="Yes"),Personnel!$D$19*(1-Personnel!$H$19),0)+IF(AND(80&gt;=Personnel!$E$20,Personnel!$G$20="Yes"),Personnel!$D$20*(1-Personnel!$H$20),0)+IF(AND(80&gt;=Personnel!$E$21,Personnel!$G$21="Yes"),Personnel!$D$21*(1-Personnel!$H$21),0)+IF(AND(80&gt;=Personnel!$E$22,Personnel!$G$22="Yes"),Personnel!$D$22*(1-Personnel!$H$22),0)+IF(AND(80&gt;=Personnel!$E$23,Personnel!$G$23="Yes"),Personnel!$D$23*(1-Personnel!$H$23),0)+IF(AND(80&gt;=Personnel!$E$24,Personnel!$G$24="Yes"),Personnel!$D$24*(1-Personnel!$H$24),0)+IF(AND(80&gt;=Personnel!$E$25,Personnel!$G$25="Yes"),Personnel!$D$25*(1-Personnel!$H$25),0)+IF(AND(80&gt;=Personnel!$E$26,Personnel!$G$26="Yes"),Personnel!$D$26*(1-Personnel!$H$26),0)+IF(AND(80&gt;=Personnel!$E$27,Personnel!$G$27="Yes"),Personnel!$D$27*(1-Personnel!$H$27),0)+IF(AND(80&gt;=Personnel!$E$28,Personnel!$G$28="Yes"),Personnel!$D$28*(1-Personnel!$H$28),0)+IF(AND(80&gt;=Personnel!$E$29,Personnel!$G$29="Yes"),Personnel!$D$29*(1-Personnel!$H$29),0)+IF(AND(80&gt;=Personnel!$E$30,Personnel!$G$30="Yes"),Personnel!$D$30*(1-Personnel!$H$30),0)+IF(AND(80&gt;=Personnel!$E$31,Personnel!$G$31="Yes"),Personnel!$D$31*(1-Personnel!$H$31),0)+IF(AND(80&gt;=Personnel!$E$32,Personnel!$G$32="Yes"),Personnel!$D$32*(1-Personnel!$H$32),0)+IF(AND(80&gt;=Personnel!$E$33,Personnel!$G$33="Yes"),Personnel!$D$33*(1-Personnel!$H$33),0)+IF(AND(80&gt;=Personnel!$E$36,Personnel!$G$36="Yes"),Personnel!$D$36*(1-Personnel!$H$36),0)+IF(AND(80&gt;=Personnel!$E$37,Personnel!$G$37="Yes"),Personnel!$D$37*(1-Personnel!$H$37),0)+IF(AND(80&gt;=Personnel!$E$38,Personnel!$G$38="Yes"),Personnel!$D$38*(1-Personnel!$H$38),0)+IF(AND(80&gt;=Personnel!$E$39,Personnel!$G$39="Yes"),Personnel!$D$39*(1-Personnel!$H$39),0)+IF(AND(80&gt;=Personnel!$E$40,Personnel!$G$40="Yes"),Personnel!$D$40*(1-Personnel!$H$40),0)+IF(AND(80&gt;=Personnel!$E$41,Personnel!$G$41="Yes"),Personnel!$D$41*(1-Personnel!$H$41),0)+IF(AND(80&gt;=Personnel!$E$42,Personnel!$G$42="Yes"),Personnel!$D$42*(1-Personnel!$H$42),0))*Escalation!$B$81</f>
        <v>386883.71445131989</v>
      </c>
      <c r="CE4" s="231">
        <f>(IF(AND(81&gt;=Personnel!$E$2,Personnel!$G$2="Yes"),Personnel!$D$2*(1-Personnel!$H$2),0)+IF(AND(81&gt;=Personnel!$E$3,Personnel!$G$3="Yes"),Personnel!$D$3*(1-Personnel!$H$3),0)+IF(AND(81&gt;=Personnel!$E$4,Personnel!$G$4="Yes"),Personnel!$D$4*(1-Personnel!$H$4),0)+IF(AND(81&gt;=Personnel!$E$5,Personnel!$G$5="Yes"),Personnel!$D$5*(1-Personnel!$H$5),0)+IF(AND(81&gt;=Personnel!$E$6,Personnel!$G$6="Yes"),Personnel!$D$6*(1-Personnel!$H$6),0)+IF(AND(81&gt;=Personnel!$E$7,Personnel!$G$7="Yes"),Personnel!$D$7*(1-Personnel!$H$7),0)+IF(AND(81&gt;=Personnel!$E$8,Personnel!$G$8="Yes"),Personnel!$D$8*(1-Personnel!$H$8),0)+IF(AND(81&gt;=Personnel!$E$9,Personnel!$G$9="Yes"),Personnel!$D$9*(1-Personnel!$H$9),0)+IF(AND(81&gt;=Personnel!$E$10,Personnel!$G$10="Yes"),Personnel!$D$10*(1-Personnel!$H$10),0)+IF(AND(81&gt;=Personnel!$E$11,Personnel!$G$11="Yes"),Personnel!$D$11*(1-Personnel!$H$11),0)+IF(AND(81&gt;=Personnel!$E$12,Personnel!$G$12="Yes"),Personnel!$D$12*(1-Personnel!$H$12),0)+IF(AND(81&gt;=Personnel!$E$13,Personnel!$G$13="Yes"),Personnel!$D$13*(1-Personnel!$H$13),0)+IF(AND(81&gt;=Personnel!$E$14,Personnel!$G$14="Yes"),Personnel!$D$14*(1-Personnel!$H$14),0)+IF(AND(81&gt;=Personnel!$E$15,Personnel!$G$15="Yes"),Personnel!$D$15*(1-Personnel!$H$15),0)+IF(AND(81&gt;=Personnel!$E$16,Personnel!$G$16="Yes"),Personnel!$D$16*(1-Personnel!$H$16),0)+IF(AND(81&gt;=Personnel!$E$17,Personnel!$G$17="Yes"),Personnel!$D$17*(1-Personnel!$H$17),0)+IF(AND(81&gt;=Personnel!$E$18,Personnel!$G$18="Yes"),Personnel!$D$18*(1-Personnel!$H$18),0)+IF(AND(81&gt;=Personnel!$E$19,Personnel!$G$19="Yes"),Personnel!$D$19*(1-Personnel!$H$19),0)+IF(AND(81&gt;=Personnel!$E$20,Personnel!$G$20="Yes"),Personnel!$D$20*(1-Personnel!$H$20),0)+IF(AND(81&gt;=Personnel!$E$21,Personnel!$G$21="Yes"),Personnel!$D$21*(1-Personnel!$H$21),0)+IF(AND(81&gt;=Personnel!$E$22,Personnel!$G$22="Yes"),Personnel!$D$22*(1-Personnel!$H$22),0)+IF(AND(81&gt;=Personnel!$E$23,Personnel!$G$23="Yes"),Personnel!$D$23*(1-Personnel!$H$23),0)+IF(AND(81&gt;=Personnel!$E$24,Personnel!$G$24="Yes"),Personnel!$D$24*(1-Personnel!$H$24),0)+IF(AND(81&gt;=Personnel!$E$25,Personnel!$G$25="Yes"),Personnel!$D$25*(1-Personnel!$H$25),0)+IF(AND(81&gt;=Personnel!$E$26,Personnel!$G$26="Yes"),Personnel!$D$26*(1-Personnel!$H$26),0)+IF(AND(81&gt;=Personnel!$E$27,Personnel!$G$27="Yes"),Personnel!$D$27*(1-Personnel!$H$27),0)+IF(AND(81&gt;=Personnel!$E$28,Personnel!$G$28="Yes"),Personnel!$D$28*(1-Personnel!$H$28),0)+IF(AND(81&gt;=Personnel!$E$29,Personnel!$G$29="Yes"),Personnel!$D$29*(1-Personnel!$H$29),0)+IF(AND(81&gt;=Personnel!$E$30,Personnel!$G$30="Yes"),Personnel!$D$30*(1-Personnel!$H$30),0)+IF(AND(81&gt;=Personnel!$E$31,Personnel!$G$31="Yes"),Personnel!$D$31*(1-Personnel!$H$31),0)+IF(AND(81&gt;=Personnel!$E$32,Personnel!$G$32="Yes"),Personnel!$D$32*(1-Personnel!$H$32),0)+IF(AND(81&gt;=Personnel!$E$33,Personnel!$G$33="Yes"),Personnel!$D$33*(1-Personnel!$H$33),0)+IF(AND(81&gt;=Personnel!$E$36,Personnel!$G$36="Yes"),Personnel!$D$36*(1-Personnel!$H$36),0)+IF(AND(81&gt;=Personnel!$E$37,Personnel!$G$37="Yes"),Personnel!$D$37*(1-Personnel!$H$37),0)+IF(AND(81&gt;=Personnel!$E$38,Personnel!$G$38="Yes"),Personnel!$D$38*(1-Personnel!$H$38),0)+IF(AND(81&gt;=Personnel!$E$39,Personnel!$G$39="Yes"),Personnel!$D$39*(1-Personnel!$H$39),0)+IF(AND(81&gt;=Personnel!$E$40,Personnel!$G$40="Yes"),Personnel!$D$40*(1-Personnel!$H$40),0)+IF(AND(81&gt;=Personnel!$E$41,Personnel!$G$41="Yes"),Personnel!$D$41*(1-Personnel!$H$41),0)+IF(AND(81&gt;=Personnel!$E$42,Personnel!$G$42="Yes"),Personnel!$D$42*(1-Personnel!$H$42),0))*Escalation!$B$82</f>
        <v>386883.71445131989</v>
      </c>
      <c r="CF4" s="231">
        <f>(IF(AND(82&gt;=Personnel!$E$2,Personnel!$G$2="Yes"),Personnel!$D$2*(1-Personnel!$H$2),0)+IF(AND(82&gt;=Personnel!$E$3,Personnel!$G$3="Yes"),Personnel!$D$3*(1-Personnel!$H$3),0)+IF(AND(82&gt;=Personnel!$E$4,Personnel!$G$4="Yes"),Personnel!$D$4*(1-Personnel!$H$4),0)+IF(AND(82&gt;=Personnel!$E$5,Personnel!$G$5="Yes"),Personnel!$D$5*(1-Personnel!$H$5),0)+IF(AND(82&gt;=Personnel!$E$6,Personnel!$G$6="Yes"),Personnel!$D$6*(1-Personnel!$H$6),0)+IF(AND(82&gt;=Personnel!$E$7,Personnel!$G$7="Yes"),Personnel!$D$7*(1-Personnel!$H$7),0)+IF(AND(82&gt;=Personnel!$E$8,Personnel!$G$8="Yes"),Personnel!$D$8*(1-Personnel!$H$8),0)+IF(AND(82&gt;=Personnel!$E$9,Personnel!$G$9="Yes"),Personnel!$D$9*(1-Personnel!$H$9),0)+IF(AND(82&gt;=Personnel!$E$10,Personnel!$G$10="Yes"),Personnel!$D$10*(1-Personnel!$H$10),0)+IF(AND(82&gt;=Personnel!$E$11,Personnel!$G$11="Yes"),Personnel!$D$11*(1-Personnel!$H$11),0)+IF(AND(82&gt;=Personnel!$E$12,Personnel!$G$12="Yes"),Personnel!$D$12*(1-Personnel!$H$12),0)+IF(AND(82&gt;=Personnel!$E$13,Personnel!$G$13="Yes"),Personnel!$D$13*(1-Personnel!$H$13),0)+IF(AND(82&gt;=Personnel!$E$14,Personnel!$G$14="Yes"),Personnel!$D$14*(1-Personnel!$H$14),0)+IF(AND(82&gt;=Personnel!$E$15,Personnel!$G$15="Yes"),Personnel!$D$15*(1-Personnel!$H$15),0)+IF(AND(82&gt;=Personnel!$E$16,Personnel!$G$16="Yes"),Personnel!$D$16*(1-Personnel!$H$16),0)+IF(AND(82&gt;=Personnel!$E$17,Personnel!$G$17="Yes"),Personnel!$D$17*(1-Personnel!$H$17),0)+IF(AND(82&gt;=Personnel!$E$18,Personnel!$G$18="Yes"),Personnel!$D$18*(1-Personnel!$H$18),0)+IF(AND(82&gt;=Personnel!$E$19,Personnel!$G$19="Yes"),Personnel!$D$19*(1-Personnel!$H$19),0)+IF(AND(82&gt;=Personnel!$E$20,Personnel!$G$20="Yes"),Personnel!$D$20*(1-Personnel!$H$20),0)+IF(AND(82&gt;=Personnel!$E$21,Personnel!$G$21="Yes"),Personnel!$D$21*(1-Personnel!$H$21),0)+IF(AND(82&gt;=Personnel!$E$22,Personnel!$G$22="Yes"),Personnel!$D$22*(1-Personnel!$H$22),0)+IF(AND(82&gt;=Personnel!$E$23,Personnel!$G$23="Yes"),Personnel!$D$23*(1-Personnel!$H$23),0)+IF(AND(82&gt;=Personnel!$E$24,Personnel!$G$24="Yes"),Personnel!$D$24*(1-Personnel!$H$24),0)+IF(AND(82&gt;=Personnel!$E$25,Personnel!$G$25="Yes"),Personnel!$D$25*(1-Personnel!$H$25),0)+IF(AND(82&gt;=Personnel!$E$26,Personnel!$G$26="Yes"),Personnel!$D$26*(1-Personnel!$H$26),0)+IF(AND(82&gt;=Personnel!$E$27,Personnel!$G$27="Yes"),Personnel!$D$27*(1-Personnel!$H$27),0)+IF(AND(82&gt;=Personnel!$E$28,Personnel!$G$28="Yes"),Personnel!$D$28*(1-Personnel!$H$28),0)+IF(AND(82&gt;=Personnel!$E$29,Personnel!$G$29="Yes"),Personnel!$D$29*(1-Personnel!$H$29),0)+IF(AND(82&gt;=Personnel!$E$30,Personnel!$G$30="Yes"),Personnel!$D$30*(1-Personnel!$H$30),0)+IF(AND(82&gt;=Personnel!$E$31,Personnel!$G$31="Yes"),Personnel!$D$31*(1-Personnel!$H$31),0)+IF(AND(82&gt;=Personnel!$E$32,Personnel!$G$32="Yes"),Personnel!$D$32*(1-Personnel!$H$32),0)+IF(AND(82&gt;=Personnel!$E$33,Personnel!$G$33="Yes"),Personnel!$D$33*(1-Personnel!$H$33),0)+IF(AND(82&gt;=Personnel!$E$36,Personnel!$G$36="Yes"),Personnel!$D$36*(1-Personnel!$H$36),0)+IF(AND(82&gt;=Personnel!$E$37,Personnel!$G$37="Yes"),Personnel!$D$37*(1-Personnel!$H$37),0)+IF(AND(82&gt;=Personnel!$E$38,Personnel!$G$38="Yes"),Personnel!$D$38*(1-Personnel!$H$38),0)+IF(AND(82&gt;=Personnel!$E$39,Personnel!$G$39="Yes"),Personnel!$D$39*(1-Personnel!$H$39),0)+IF(AND(82&gt;=Personnel!$E$40,Personnel!$G$40="Yes"),Personnel!$D$40*(1-Personnel!$H$40),0)+IF(AND(82&gt;=Personnel!$E$41,Personnel!$G$41="Yes"),Personnel!$D$41*(1-Personnel!$H$41),0)+IF(AND(82&gt;=Personnel!$E$42,Personnel!$G$42="Yes"),Personnel!$D$42*(1-Personnel!$H$42),0))*Escalation!$B$83</f>
        <v>386883.71445131989</v>
      </c>
      <c r="CG4" s="231">
        <f>(IF(AND(83&gt;=Personnel!$E$2,Personnel!$G$2="Yes"),Personnel!$D$2*(1-Personnel!$H$2),0)+IF(AND(83&gt;=Personnel!$E$3,Personnel!$G$3="Yes"),Personnel!$D$3*(1-Personnel!$H$3),0)+IF(AND(83&gt;=Personnel!$E$4,Personnel!$G$4="Yes"),Personnel!$D$4*(1-Personnel!$H$4),0)+IF(AND(83&gt;=Personnel!$E$5,Personnel!$G$5="Yes"),Personnel!$D$5*(1-Personnel!$H$5),0)+IF(AND(83&gt;=Personnel!$E$6,Personnel!$G$6="Yes"),Personnel!$D$6*(1-Personnel!$H$6),0)+IF(AND(83&gt;=Personnel!$E$7,Personnel!$G$7="Yes"),Personnel!$D$7*(1-Personnel!$H$7),0)+IF(AND(83&gt;=Personnel!$E$8,Personnel!$G$8="Yes"),Personnel!$D$8*(1-Personnel!$H$8),0)+IF(AND(83&gt;=Personnel!$E$9,Personnel!$G$9="Yes"),Personnel!$D$9*(1-Personnel!$H$9),0)+IF(AND(83&gt;=Personnel!$E$10,Personnel!$G$10="Yes"),Personnel!$D$10*(1-Personnel!$H$10),0)+IF(AND(83&gt;=Personnel!$E$11,Personnel!$G$11="Yes"),Personnel!$D$11*(1-Personnel!$H$11),0)+IF(AND(83&gt;=Personnel!$E$12,Personnel!$G$12="Yes"),Personnel!$D$12*(1-Personnel!$H$12),0)+IF(AND(83&gt;=Personnel!$E$13,Personnel!$G$13="Yes"),Personnel!$D$13*(1-Personnel!$H$13),0)+IF(AND(83&gt;=Personnel!$E$14,Personnel!$G$14="Yes"),Personnel!$D$14*(1-Personnel!$H$14),0)+IF(AND(83&gt;=Personnel!$E$15,Personnel!$G$15="Yes"),Personnel!$D$15*(1-Personnel!$H$15),0)+IF(AND(83&gt;=Personnel!$E$16,Personnel!$G$16="Yes"),Personnel!$D$16*(1-Personnel!$H$16),0)+IF(AND(83&gt;=Personnel!$E$17,Personnel!$G$17="Yes"),Personnel!$D$17*(1-Personnel!$H$17),0)+IF(AND(83&gt;=Personnel!$E$18,Personnel!$G$18="Yes"),Personnel!$D$18*(1-Personnel!$H$18),0)+IF(AND(83&gt;=Personnel!$E$19,Personnel!$G$19="Yes"),Personnel!$D$19*(1-Personnel!$H$19),0)+IF(AND(83&gt;=Personnel!$E$20,Personnel!$G$20="Yes"),Personnel!$D$20*(1-Personnel!$H$20),0)+IF(AND(83&gt;=Personnel!$E$21,Personnel!$G$21="Yes"),Personnel!$D$21*(1-Personnel!$H$21),0)+IF(AND(83&gt;=Personnel!$E$22,Personnel!$G$22="Yes"),Personnel!$D$22*(1-Personnel!$H$22),0)+IF(AND(83&gt;=Personnel!$E$23,Personnel!$G$23="Yes"),Personnel!$D$23*(1-Personnel!$H$23),0)+IF(AND(83&gt;=Personnel!$E$24,Personnel!$G$24="Yes"),Personnel!$D$24*(1-Personnel!$H$24),0)+IF(AND(83&gt;=Personnel!$E$25,Personnel!$G$25="Yes"),Personnel!$D$25*(1-Personnel!$H$25),0)+IF(AND(83&gt;=Personnel!$E$26,Personnel!$G$26="Yes"),Personnel!$D$26*(1-Personnel!$H$26),0)+IF(AND(83&gt;=Personnel!$E$27,Personnel!$G$27="Yes"),Personnel!$D$27*(1-Personnel!$H$27),0)+IF(AND(83&gt;=Personnel!$E$28,Personnel!$G$28="Yes"),Personnel!$D$28*(1-Personnel!$H$28),0)+IF(AND(83&gt;=Personnel!$E$29,Personnel!$G$29="Yes"),Personnel!$D$29*(1-Personnel!$H$29),0)+IF(AND(83&gt;=Personnel!$E$30,Personnel!$G$30="Yes"),Personnel!$D$30*(1-Personnel!$H$30),0)+IF(AND(83&gt;=Personnel!$E$31,Personnel!$G$31="Yes"),Personnel!$D$31*(1-Personnel!$H$31),0)+IF(AND(83&gt;=Personnel!$E$32,Personnel!$G$32="Yes"),Personnel!$D$32*(1-Personnel!$H$32),0)+IF(AND(83&gt;=Personnel!$E$33,Personnel!$G$33="Yes"),Personnel!$D$33*(1-Personnel!$H$33),0)+IF(AND(83&gt;=Personnel!$E$36,Personnel!$G$36="Yes"),Personnel!$D$36*(1-Personnel!$H$36),0)+IF(AND(83&gt;=Personnel!$E$37,Personnel!$G$37="Yes"),Personnel!$D$37*(1-Personnel!$H$37),0)+IF(AND(83&gt;=Personnel!$E$38,Personnel!$G$38="Yes"),Personnel!$D$38*(1-Personnel!$H$38),0)+IF(AND(83&gt;=Personnel!$E$39,Personnel!$G$39="Yes"),Personnel!$D$39*(1-Personnel!$H$39),0)+IF(AND(83&gt;=Personnel!$E$40,Personnel!$G$40="Yes"),Personnel!$D$40*(1-Personnel!$H$40),0)+IF(AND(83&gt;=Personnel!$E$41,Personnel!$G$41="Yes"),Personnel!$D$41*(1-Personnel!$H$41),0)+IF(AND(83&gt;=Personnel!$E$42,Personnel!$G$42="Yes"),Personnel!$D$42*(1-Personnel!$H$42),0))*Escalation!$B$84</f>
        <v>386883.71445131989</v>
      </c>
      <c r="CH4" s="231">
        <f>(IF(AND(84&gt;=Personnel!$E$2,Personnel!$G$2="Yes"),Personnel!$D$2*(1-Personnel!$H$2),0)+IF(AND(84&gt;=Personnel!$E$3,Personnel!$G$3="Yes"),Personnel!$D$3*(1-Personnel!$H$3),0)+IF(AND(84&gt;=Personnel!$E$4,Personnel!$G$4="Yes"),Personnel!$D$4*(1-Personnel!$H$4),0)+IF(AND(84&gt;=Personnel!$E$5,Personnel!$G$5="Yes"),Personnel!$D$5*(1-Personnel!$H$5),0)+IF(AND(84&gt;=Personnel!$E$6,Personnel!$G$6="Yes"),Personnel!$D$6*(1-Personnel!$H$6),0)+IF(AND(84&gt;=Personnel!$E$7,Personnel!$G$7="Yes"),Personnel!$D$7*(1-Personnel!$H$7),0)+IF(AND(84&gt;=Personnel!$E$8,Personnel!$G$8="Yes"),Personnel!$D$8*(1-Personnel!$H$8),0)+IF(AND(84&gt;=Personnel!$E$9,Personnel!$G$9="Yes"),Personnel!$D$9*(1-Personnel!$H$9),0)+IF(AND(84&gt;=Personnel!$E$10,Personnel!$G$10="Yes"),Personnel!$D$10*(1-Personnel!$H$10),0)+IF(AND(84&gt;=Personnel!$E$11,Personnel!$G$11="Yes"),Personnel!$D$11*(1-Personnel!$H$11),0)+IF(AND(84&gt;=Personnel!$E$12,Personnel!$G$12="Yes"),Personnel!$D$12*(1-Personnel!$H$12),0)+IF(AND(84&gt;=Personnel!$E$13,Personnel!$G$13="Yes"),Personnel!$D$13*(1-Personnel!$H$13),0)+IF(AND(84&gt;=Personnel!$E$14,Personnel!$G$14="Yes"),Personnel!$D$14*(1-Personnel!$H$14),0)+IF(AND(84&gt;=Personnel!$E$15,Personnel!$G$15="Yes"),Personnel!$D$15*(1-Personnel!$H$15),0)+IF(AND(84&gt;=Personnel!$E$16,Personnel!$G$16="Yes"),Personnel!$D$16*(1-Personnel!$H$16),0)+IF(AND(84&gt;=Personnel!$E$17,Personnel!$G$17="Yes"),Personnel!$D$17*(1-Personnel!$H$17),0)+IF(AND(84&gt;=Personnel!$E$18,Personnel!$G$18="Yes"),Personnel!$D$18*(1-Personnel!$H$18),0)+IF(AND(84&gt;=Personnel!$E$19,Personnel!$G$19="Yes"),Personnel!$D$19*(1-Personnel!$H$19),0)+IF(AND(84&gt;=Personnel!$E$20,Personnel!$G$20="Yes"),Personnel!$D$20*(1-Personnel!$H$20),0)+IF(AND(84&gt;=Personnel!$E$21,Personnel!$G$21="Yes"),Personnel!$D$21*(1-Personnel!$H$21),0)+IF(AND(84&gt;=Personnel!$E$22,Personnel!$G$22="Yes"),Personnel!$D$22*(1-Personnel!$H$22),0)+IF(AND(84&gt;=Personnel!$E$23,Personnel!$G$23="Yes"),Personnel!$D$23*(1-Personnel!$H$23),0)+IF(AND(84&gt;=Personnel!$E$24,Personnel!$G$24="Yes"),Personnel!$D$24*(1-Personnel!$H$24),0)+IF(AND(84&gt;=Personnel!$E$25,Personnel!$G$25="Yes"),Personnel!$D$25*(1-Personnel!$H$25),0)+IF(AND(84&gt;=Personnel!$E$26,Personnel!$G$26="Yes"),Personnel!$D$26*(1-Personnel!$H$26),0)+IF(AND(84&gt;=Personnel!$E$27,Personnel!$G$27="Yes"),Personnel!$D$27*(1-Personnel!$H$27),0)+IF(AND(84&gt;=Personnel!$E$28,Personnel!$G$28="Yes"),Personnel!$D$28*(1-Personnel!$H$28),0)+IF(AND(84&gt;=Personnel!$E$29,Personnel!$G$29="Yes"),Personnel!$D$29*(1-Personnel!$H$29),0)+IF(AND(84&gt;=Personnel!$E$30,Personnel!$G$30="Yes"),Personnel!$D$30*(1-Personnel!$H$30),0)+IF(AND(84&gt;=Personnel!$E$31,Personnel!$G$31="Yes"),Personnel!$D$31*(1-Personnel!$H$31),0)+IF(AND(84&gt;=Personnel!$E$32,Personnel!$G$32="Yes"),Personnel!$D$32*(1-Personnel!$H$32),0)+IF(AND(84&gt;=Personnel!$E$33,Personnel!$G$33="Yes"),Personnel!$D$33*(1-Personnel!$H$33),0)+IF(AND(84&gt;=Personnel!$E$36,Personnel!$G$36="Yes"),Personnel!$D$36*(1-Personnel!$H$36),0)+IF(AND(84&gt;=Personnel!$E$37,Personnel!$G$37="Yes"),Personnel!$D$37*(1-Personnel!$H$37),0)+IF(AND(84&gt;=Personnel!$E$38,Personnel!$G$38="Yes"),Personnel!$D$38*(1-Personnel!$H$38),0)+IF(AND(84&gt;=Personnel!$E$39,Personnel!$G$39="Yes"),Personnel!$D$39*(1-Personnel!$H$39),0)+IF(AND(84&gt;=Personnel!$E$40,Personnel!$G$40="Yes"),Personnel!$D$40*(1-Personnel!$H$40),0)+IF(AND(84&gt;=Personnel!$E$41,Personnel!$G$41="Yes"),Personnel!$D$41*(1-Personnel!$H$41),0)+IF(AND(84&gt;=Personnel!$E$42,Personnel!$G$42="Yes"),Personnel!$D$42*(1-Personnel!$H$42),0))*Escalation!$B$85</f>
        <v>386883.71445131989</v>
      </c>
      <c r="CI4" s="231">
        <f>(IF(AND(85&gt;=Personnel!$E$2,Personnel!$G$2="Yes"),Personnel!$D$2*(1-Personnel!$H$2),0)+IF(AND(85&gt;=Personnel!$E$3,Personnel!$G$3="Yes"),Personnel!$D$3*(1-Personnel!$H$3),0)+IF(AND(85&gt;=Personnel!$E$4,Personnel!$G$4="Yes"),Personnel!$D$4*(1-Personnel!$H$4),0)+IF(AND(85&gt;=Personnel!$E$5,Personnel!$G$5="Yes"),Personnel!$D$5*(1-Personnel!$H$5),0)+IF(AND(85&gt;=Personnel!$E$6,Personnel!$G$6="Yes"),Personnel!$D$6*(1-Personnel!$H$6),0)+IF(AND(85&gt;=Personnel!$E$7,Personnel!$G$7="Yes"),Personnel!$D$7*(1-Personnel!$H$7),0)+IF(AND(85&gt;=Personnel!$E$8,Personnel!$G$8="Yes"),Personnel!$D$8*(1-Personnel!$H$8),0)+IF(AND(85&gt;=Personnel!$E$9,Personnel!$G$9="Yes"),Personnel!$D$9*(1-Personnel!$H$9),0)+IF(AND(85&gt;=Personnel!$E$10,Personnel!$G$10="Yes"),Personnel!$D$10*(1-Personnel!$H$10),0)+IF(AND(85&gt;=Personnel!$E$11,Personnel!$G$11="Yes"),Personnel!$D$11*(1-Personnel!$H$11),0)+IF(AND(85&gt;=Personnel!$E$12,Personnel!$G$12="Yes"),Personnel!$D$12*(1-Personnel!$H$12),0)+IF(AND(85&gt;=Personnel!$E$13,Personnel!$G$13="Yes"),Personnel!$D$13*(1-Personnel!$H$13),0)+IF(AND(85&gt;=Personnel!$E$14,Personnel!$G$14="Yes"),Personnel!$D$14*(1-Personnel!$H$14),0)+IF(AND(85&gt;=Personnel!$E$15,Personnel!$G$15="Yes"),Personnel!$D$15*(1-Personnel!$H$15),0)+IF(AND(85&gt;=Personnel!$E$16,Personnel!$G$16="Yes"),Personnel!$D$16*(1-Personnel!$H$16),0)+IF(AND(85&gt;=Personnel!$E$17,Personnel!$G$17="Yes"),Personnel!$D$17*(1-Personnel!$H$17),0)+IF(AND(85&gt;=Personnel!$E$18,Personnel!$G$18="Yes"),Personnel!$D$18*(1-Personnel!$H$18),0)+IF(AND(85&gt;=Personnel!$E$19,Personnel!$G$19="Yes"),Personnel!$D$19*(1-Personnel!$H$19),0)+IF(AND(85&gt;=Personnel!$E$20,Personnel!$G$20="Yes"),Personnel!$D$20*(1-Personnel!$H$20),0)+IF(AND(85&gt;=Personnel!$E$21,Personnel!$G$21="Yes"),Personnel!$D$21*(1-Personnel!$H$21),0)+IF(AND(85&gt;=Personnel!$E$22,Personnel!$G$22="Yes"),Personnel!$D$22*(1-Personnel!$H$22),0)+IF(AND(85&gt;=Personnel!$E$23,Personnel!$G$23="Yes"),Personnel!$D$23*(1-Personnel!$H$23),0)+IF(AND(85&gt;=Personnel!$E$24,Personnel!$G$24="Yes"),Personnel!$D$24*(1-Personnel!$H$24),0)+IF(AND(85&gt;=Personnel!$E$25,Personnel!$G$25="Yes"),Personnel!$D$25*(1-Personnel!$H$25),0)+IF(AND(85&gt;=Personnel!$E$26,Personnel!$G$26="Yes"),Personnel!$D$26*(1-Personnel!$H$26),0)+IF(AND(85&gt;=Personnel!$E$27,Personnel!$G$27="Yes"),Personnel!$D$27*(1-Personnel!$H$27),0)+IF(AND(85&gt;=Personnel!$E$28,Personnel!$G$28="Yes"),Personnel!$D$28*(1-Personnel!$H$28),0)+IF(AND(85&gt;=Personnel!$E$29,Personnel!$G$29="Yes"),Personnel!$D$29*(1-Personnel!$H$29),0)+IF(AND(85&gt;=Personnel!$E$30,Personnel!$G$30="Yes"),Personnel!$D$30*(1-Personnel!$H$30),0)+IF(AND(85&gt;=Personnel!$E$31,Personnel!$G$31="Yes"),Personnel!$D$31*(1-Personnel!$H$31),0)+IF(AND(85&gt;=Personnel!$E$32,Personnel!$G$32="Yes"),Personnel!$D$32*(1-Personnel!$H$32),0)+IF(AND(85&gt;=Personnel!$E$33,Personnel!$G$33="Yes"),Personnel!$D$33*(1-Personnel!$H$33),0)+IF(AND(85&gt;=Personnel!$E$36,Personnel!$G$36="Yes"),Personnel!$D$36*(1-Personnel!$H$36),0)+IF(AND(85&gt;=Personnel!$E$37,Personnel!$G$37="Yes"),Personnel!$D$37*(1-Personnel!$H$37),0)+IF(AND(85&gt;=Personnel!$E$38,Personnel!$G$38="Yes"),Personnel!$D$38*(1-Personnel!$H$38),0)+IF(AND(85&gt;=Personnel!$E$39,Personnel!$G$39="Yes"),Personnel!$D$39*(1-Personnel!$H$39),0)+IF(AND(85&gt;=Personnel!$E$40,Personnel!$G$40="Yes"),Personnel!$D$40*(1-Personnel!$H$40),0)+IF(AND(85&gt;=Personnel!$E$41,Personnel!$G$41="Yes"),Personnel!$D$41*(1-Personnel!$H$41),0)+IF(AND(85&gt;=Personnel!$E$42,Personnel!$G$42="Yes"),Personnel!$D$42*(1-Personnel!$H$42),0))*Escalation!$B$86</f>
        <v>394621.38874034624</v>
      </c>
      <c r="CJ4" s="231">
        <f>(IF(AND(86&gt;=Personnel!$E$2,Personnel!$G$2="Yes"),Personnel!$D$2*(1-Personnel!$H$2),0)+IF(AND(86&gt;=Personnel!$E$3,Personnel!$G$3="Yes"),Personnel!$D$3*(1-Personnel!$H$3),0)+IF(AND(86&gt;=Personnel!$E$4,Personnel!$G$4="Yes"),Personnel!$D$4*(1-Personnel!$H$4),0)+IF(AND(86&gt;=Personnel!$E$5,Personnel!$G$5="Yes"),Personnel!$D$5*(1-Personnel!$H$5),0)+IF(AND(86&gt;=Personnel!$E$6,Personnel!$G$6="Yes"),Personnel!$D$6*(1-Personnel!$H$6),0)+IF(AND(86&gt;=Personnel!$E$7,Personnel!$G$7="Yes"),Personnel!$D$7*(1-Personnel!$H$7),0)+IF(AND(86&gt;=Personnel!$E$8,Personnel!$G$8="Yes"),Personnel!$D$8*(1-Personnel!$H$8),0)+IF(AND(86&gt;=Personnel!$E$9,Personnel!$G$9="Yes"),Personnel!$D$9*(1-Personnel!$H$9),0)+IF(AND(86&gt;=Personnel!$E$10,Personnel!$G$10="Yes"),Personnel!$D$10*(1-Personnel!$H$10),0)+IF(AND(86&gt;=Personnel!$E$11,Personnel!$G$11="Yes"),Personnel!$D$11*(1-Personnel!$H$11),0)+IF(AND(86&gt;=Personnel!$E$12,Personnel!$G$12="Yes"),Personnel!$D$12*(1-Personnel!$H$12),0)+IF(AND(86&gt;=Personnel!$E$13,Personnel!$G$13="Yes"),Personnel!$D$13*(1-Personnel!$H$13),0)+IF(AND(86&gt;=Personnel!$E$14,Personnel!$G$14="Yes"),Personnel!$D$14*(1-Personnel!$H$14),0)+IF(AND(86&gt;=Personnel!$E$15,Personnel!$G$15="Yes"),Personnel!$D$15*(1-Personnel!$H$15),0)+IF(AND(86&gt;=Personnel!$E$16,Personnel!$G$16="Yes"),Personnel!$D$16*(1-Personnel!$H$16),0)+IF(AND(86&gt;=Personnel!$E$17,Personnel!$G$17="Yes"),Personnel!$D$17*(1-Personnel!$H$17),0)+IF(AND(86&gt;=Personnel!$E$18,Personnel!$G$18="Yes"),Personnel!$D$18*(1-Personnel!$H$18),0)+IF(AND(86&gt;=Personnel!$E$19,Personnel!$G$19="Yes"),Personnel!$D$19*(1-Personnel!$H$19),0)+IF(AND(86&gt;=Personnel!$E$20,Personnel!$G$20="Yes"),Personnel!$D$20*(1-Personnel!$H$20),0)+IF(AND(86&gt;=Personnel!$E$21,Personnel!$G$21="Yes"),Personnel!$D$21*(1-Personnel!$H$21),0)+IF(AND(86&gt;=Personnel!$E$22,Personnel!$G$22="Yes"),Personnel!$D$22*(1-Personnel!$H$22),0)+IF(AND(86&gt;=Personnel!$E$23,Personnel!$G$23="Yes"),Personnel!$D$23*(1-Personnel!$H$23),0)+IF(AND(86&gt;=Personnel!$E$24,Personnel!$G$24="Yes"),Personnel!$D$24*(1-Personnel!$H$24),0)+IF(AND(86&gt;=Personnel!$E$25,Personnel!$G$25="Yes"),Personnel!$D$25*(1-Personnel!$H$25),0)+IF(AND(86&gt;=Personnel!$E$26,Personnel!$G$26="Yes"),Personnel!$D$26*(1-Personnel!$H$26),0)+IF(AND(86&gt;=Personnel!$E$27,Personnel!$G$27="Yes"),Personnel!$D$27*(1-Personnel!$H$27),0)+IF(AND(86&gt;=Personnel!$E$28,Personnel!$G$28="Yes"),Personnel!$D$28*(1-Personnel!$H$28),0)+IF(AND(86&gt;=Personnel!$E$29,Personnel!$G$29="Yes"),Personnel!$D$29*(1-Personnel!$H$29),0)+IF(AND(86&gt;=Personnel!$E$30,Personnel!$G$30="Yes"),Personnel!$D$30*(1-Personnel!$H$30),0)+IF(AND(86&gt;=Personnel!$E$31,Personnel!$G$31="Yes"),Personnel!$D$31*(1-Personnel!$H$31),0)+IF(AND(86&gt;=Personnel!$E$32,Personnel!$G$32="Yes"),Personnel!$D$32*(1-Personnel!$H$32),0)+IF(AND(86&gt;=Personnel!$E$33,Personnel!$G$33="Yes"),Personnel!$D$33*(1-Personnel!$H$33),0)+IF(AND(86&gt;=Personnel!$E$36,Personnel!$G$36="Yes"),Personnel!$D$36*(1-Personnel!$H$36),0)+IF(AND(86&gt;=Personnel!$E$37,Personnel!$G$37="Yes"),Personnel!$D$37*(1-Personnel!$H$37),0)+IF(AND(86&gt;=Personnel!$E$38,Personnel!$G$38="Yes"),Personnel!$D$38*(1-Personnel!$H$38),0)+IF(AND(86&gt;=Personnel!$E$39,Personnel!$G$39="Yes"),Personnel!$D$39*(1-Personnel!$H$39),0)+IF(AND(86&gt;=Personnel!$E$40,Personnel!$G$40="Yes"),Personnel!$D$40*(1-Personnel!$H$40),0)+IF(AND(86&gt;=Personnel!$E$41,Personnel!$G$41="Yes"),Personnel!$D$41*(1-Personnel!$H$41),0)+IF(AND(86&gt;=Personnel!$E$42,Personnel!$G$42="Yes"),Personnel!$D$42*(1-Personnel!$H$42),0))*Escalation!$B$87</f>
        <v>394621.38874034624</v>
      </c>
      <c r="CK4" s="231">
        <f>(IF(AND(87&gt;=Personnel!$E$2,Personnel!$G$2="Yes"),Personnel!$D$2*(1-Personnel!$H$2),0)+IF(AND(87&gt;=Personnel!$E$3,Personnel!$G$3="Yes"),Personnel!$D$3*(1-Personnel!$H$3),0)+IF(AND(87&gt;=Personnel!$E$4,Personnel!$G$4="Yes"),Personnel!$D$4*(1-Personnel!$H$4),0)+IF(AND(87&gt;=Personnel!$E$5,Personnel!$G$5="Yes"),Personnel!$D$5*(1-Personnel!$H$5),0)+IF(AND(87&gt;=Personnel!$E$6,Personnel!$G$6="Yes"),Personnel!$D$6*(1-Personnel!$H$6),0)+IF(AND(87&gt;=Personnel!$E$7,Personnel!$G$7="Yes"),Personnel!$D$7*(1-Personnel!$H$7),0)+IF(AND(87&gt;=Personnel!$E$8,Personnel!$G$8="Yes"),Personnel!$D$8*(1-Personnel!$H$8),0)+IF(AND(87&gt;=Personnel!$E$9,Personnel!$G$9="Yes"),Personnel!$D$9*(1-Personnel!$H$9),0)+IF(AND(87&gt;=Personnel!$E$10,Personnel!$G$10="Yes"),Personnel!$D$10*(1-Personnel!$H$10),0)+IF(AND(87&gt;=Personnel!$E$11,Personnel!$G$11="Yes"),Personnel!$D$11*(1-Personnel!$H$11),0)+IF(AND(87&gt;=Personnel!$E$12,Personnel!$G$12="Yes"),Personnel!$D$12*(1-Personnel!$H$12),0)+IF(AND(87&gt;=Personnel!$E$13,Personnel!$G$13="Yes"),Personnel!$D$13*(1-Personnel!$H$13),0)+IF(AND(87&gt;=Personnel!$E$14,Personnel!$G$14="Yes"),Personnel!$D$14*(1-Personnel!$H$14),0)+IF(AND(87&gt;=Personnel!$E$15,Personnel!$G$15="Yes"),Personnel!$D$15*(1-Personnel!$H$15),0)+IF(AND(87&gt;=Personnel!$E$16,Personnel!$G$16="Yes"),Personnel!$D$16*(1-Personnel!$H$16),0)+IF(AND(87&gt;=Personnel!$E$17,Personnel!$G$17="Yes"),Personnel!$D$17*(1-Personnel!$H$17),0)+IF(AND(87&gt;=Personnel!$E$18,Personnel!$G$18="Yes"),Personnel!$D$18*(1-Personnel!$H$18),0)+IF(AND(87&gt;=Personnel!$E$19,Personnel!$G$19="Yes"),Personnel!$D$19*(1-Personnel!$H$19),0)+IF(AND(87&gt;=Personnel!$E$20,Personnel!$G$20="Yes"),Personnel!$D$20*(1-Personnel!$H$20),0)+IF(AND(87&gt;=Personnel!$E$21,Personnel!$G$21="Yes"),Personnel!$D$21*(1-Personnel!$H$21),0)+IF(AND(87&gt;=Personnel!$E$22,Personnel!$G$22="Yes"),Personnel!$D$22*(1-Personnel!$H$22),0)+IF(AND(87&gt;=Personnel!$E$23,Personnel!$G$23="Yes"),Personnel!$D$23*(1-Personnel!$H$23),0)+IF(AND(87&gt;=Personnel!$E$24,Personnel!$G$24="Yes"),Personnel!$D$24*(1-Personnel!$H$24),0)+IF(AND(87&gt;=Personnel!$E$25,Personnel!$G$25="Yes"),Personnel!$D$25*(1-Personnel!$H$25),0)+IF(AND(87&gt;=Personnel!$E$26,Personnel!$G$26="Yes"),Personnel!$D$26*(1-Personnel!$H$26),0)+IF(AND(87&gt;=Personnel!$E$27,Personnel!$G$27="Yes"),Personnel!$D$27*(1-Personnel!$H$27),0)+IF(AND(87&gt;=Personnel!$E$28,Personnel!$G$28="Yes"),Personnel!$D$28*(1-Personnel!$H$28),0)+IF(AND(87&gt;=Personnel!$E$29,Personnel!$G$29="Yes"),Personnel!$D$29*(1-Personnel!$H$29),0)+IF(AND(87&gt;=Personnel!$E$30,Personnel!$G$30="Yes"),Personnel!$D$30*(1-Personnel!$H$30),0)+IF(AND(87&gt;=Personnel!$E$31,Personnel!$G$31="Yes"),Personnel!$D$31*(1-Personnel!$H$31),0)+IF(AND(87&gt;=Personnel!$E$32,Personnel!$G$32="Yes"),Personnel!$D$32*(1-Personnel!$H$32),0)+IF(AND(87&gt;=Personnel!$E$33,Personnel!$G$33="Yes"),Personnel!$D$33*(1-Personnel!$H$33),0)+IF(AND(87&gt;=Personnel!$E$36,Personnel!$G$36="Yes"),Personnel!$D$36*(1-Personnel!$H$36),0)+IF(AND(87&gt;=Personnel!$E$37,Personnel!$G$37="Yes"),Personnel!$D$37*(1-Personnel!$H$37),0)+IF(AND(87&gt;=Personnel!$E$38,Personnel!$G$38="Yes"),Personnel!$D$38*(1-Personnel!$H$38),0)+IF(AND(87&gt;=Personnel!$E$39,Personnel!$G$39="Yes"),Personnel!$D$39*(1-Personnel!$H$39),0)+IF(AND(87&gt;=Personnel!$E$40,Personnel!$G$40="Yes"),Personnel!$D$40*(1-Personnel!$H$40),0)+IF(AND(87&gt;=Personnel!$E$41,Personnel!$G$41="Yes"),Personnel!$D$41*(1-Personnel!$H$41),0)+IF(AND(87&gt;=Personnel!$E$42,Personnel!$G$42="Yes"),Personnel!$D$42*(1-Personnel!$H$42),0))*Escalation!$B$88</f>
        <v>394621.38874034624</v>
      </c>
      <c r="CL4" s="231">
        <f>(IF(AND(88&gt;=Personnel!$E$2,Personnel!$G$2="Yes"),Personnel!$D$2*(1-Personnel!$H$2),0)+IF(AND(88&gt;=Personnel!$E$3,Personnel!$G$3="Yes"),Personnel!$D$3*(1-Personnel!$H$3),0)+IF(AND(88&gt;=Personnel!$E$4,Personnel!$G$4="Yes"),Personnel!$D$4*(1-Personnel!$H$4),0)+IF(AND(88&gt;=Personnel!$E$5,Personnel!$G$5="Yes"),Personnel!$D$5*(1-Personnel!$H$5),0)+IF(AND(88&gt;=Personnel!$E$6,Personnel!$G$6="Yes"),Personnel!$D$6*(1-Personnel!$H$6),0)+IF(AND(88&gt;=Personnel!$E$7,Personnel!$G$7="Yes"),Personnel!$D$7*(1-Personnel!$H$7),0)+IF(AND(88&gt;=Personnel!$E$8,Personnel!$G$8="Yes"),Personnel!$D$8*(1-Personnel!$H$8),0)+IF(AND(88&gt;=Personnel!$E$9,Personnel!$G$9="Yes"),Personnel!$D$9*(1-Personnel!$H$9),0)+IF(AND(88&gt;=Personnel!$E$10,Personnel!$G$10="Yes"),Personnel!$D$10*(1-Personnel!$H$10),0)+IF(AND(88&gt;=Personnel!$E$11,Personnel!$G$11="Yes"),Personnel!$D$11*(1-Personnel!$H$11),0)+IF(AND(88&gt;=Personnel!$E$12,Personnel!$G$12="Yes"),Personnel!$D$12*(1-Personnel!$H$12),0)+IF(AND(88&gt;=Personnel!$E$13,Personnel!$G$13="Yes"),Personnel!$D$13*(1-Personnel!$H$13),0)+IF(AND(88&gt;=Personnel!$E$14,Personnel!$G$14="Yes"),Personnel!$D$14*(1-Personnel!$H$14),0)+IF(AND(88&gt;=Personnel!$E$15,Personnel!$G$15="Yes"),Personnel!$D$15*(1-Personnel!$H$15),0)+IF(AND(88&gt;=Personnel!$E$16,Personnel!$G$16="Yes"),Personnel!$D$16*(1-Personnel!$H$16),0)+IF(AND(88&gt;=Personnel!$E$17,Personnel!$G$17="Yes"),Personnel!$D$17*(1-Personnel!$H$17),0)+IF(AND(88&gt;=Personnel!$E$18,Personnel!$G$18="Yes"),Personnel!$D$18*(1-Personnel!$H$18),0)+IF(AND(88&gt;=Personnel!$E$19,Personnel!$G$19="Yes"),Personnel!$D$19*(1-Personnel!$H$19),0)+IF(AND(88&gt;=Personnel!$E$20,Personnel!$G$20="Yes"),Personnel!$D$20*(1-Personnel!$H$20),0)+IF(AND(88&gt;=Personnel!$E$21,Personnel!$G$21="Yes"),Personnel!$D$21*(1-Personnel!$H$21),0)+IF(AND(88&gt;=Personnel!$E$22,Personnel!$G$22="Yes"),Personnel!$D$22*(1-Personnel!$H$22),0)+IF(AND(88&gt;=Personnel!$E$23,Personnel!$G$23="Yes"),Personnel!$D$23*(1-Personnel!$H$23),0)+IF(AND(88&gt;=Personnel!$E$24,Personnel!$G$24="Yes"),Personnel!$D$24*(1-Personnel!$H$24),0)+IF(AND(88&gt;=Personnel!$E$25,Personnel!$G$25="Yes"),Personnel!$D$25*(1-Personnel!$H$25),0)+IF(AND(88&gt;=Personnel!$E$26,Personnel!$G$26="Yes"),Personnel!$D$26*(1-Personnel!$H$26),0)+IF(AND(88&gt;=Personnel!$E$27,Personnel!$G$27="Yes"),Personnel!$D$27*(1-Personnel!$H$27),0)+IF(AND(88&gt;=Personnel!$E$28,Personnel!$G$28="Yes"),Personnel!$D$28*(1-Personnel!$H$28),0)+IF(AND(88&gt;=Personnel!$E$29,Personnel!$G$29="Yes"),Personnel!$D$29*(1-Personnel!$H$29),0)+IF(AND(88&gt;=Personnel!$E$30,Personnel!$G$30="Yes"),Personnel!$D$30*(1-Personnel!$H$30),0)+IF(AND(88&gt;=Personnel!$E$31,Personnel!$G$31="Yes"),Personnel!$D$31*(1-Personnel!$H$31),0)+IF(AND(88&gt;=Personnel!$E$32,Personnel!$G$32="Yes"),Personnel!$D$32*(1-Personnel!$H$32),0)+IF(AND(88&gt;=Personnel!$E$33,Personnel!$G$33="Yes"),Personnel!$D$33*(1-Personnel!$H$33),0)+IF(AND(88&gt;=Personnel!$E$36,Personnel!$G$36="Yes"),Personnel!$D$36*(1-Personnel!$H$36),0)+IF(AND(88&gt;=Personnel!$E$37,Personnel!$G$37="Yes"),Personnel!$D$37*(1-Personnel!$H$37),0)+IF(AND(88&gt;=Personnel!$E$38,Personnel!$G$38="Yes"),Personnel!$D$38*(1-Personnel!$H$38),0)+IF(AND(88&gt;=Personnel!$E$39,Personnel!$G$39="Yes"),Personnel!$D$39*(1-Personnel!$H$39),0)+IF(AND(88&gt;=Personnel!$E$40,Personnel!$G$40="Yes"),Personnel!$D$40*(1-Personnel!$H$40),0)+IF(AND(88&gt;=Personnel!$E$41,Personnel!$G$41="Yes"),Personnel!$D$41*(1-Personnel!$H$41),0)+IF(AND(88&gt;=Personnel!$E$42,Personnel!$G$42="Yes"),Personnel!$D$42*(1-Personnel!$H$42),0))*Escalation!$B$89</f>
        <v>394621.38874034624</v>
      </c>
      <c r="CM4" s="231">
        <f>(IF(AND(89&gt;=Personnel!$E$2,Personnel!$G$2="Yes"),Personnel!$D$2*(1-Personnel!$H$2),0)+IF(AND(89&gt;=Personnel!$E$3,Personnel!$G$3="Yes"),Personnel!$D$3*(1-Personnel!$H$3),0)+IF(AND(89&gt;=Personnel!$E$4,Personnel!$G$4="Yes"),Personnel!$D$4*(1-Personnel!$H$4),0)+IF(AND(89&gt;=Personnel!$E$5,Personnel!$G$5="Yes"),Personnel!$D$5*(1-Personnel!$H$5),0)+IF(AND(89&gt;=Personnel!$E$6,Personnel!$G$6="Yes"),Personnel!$D$6*(1-Personnel!$H$6),0)+IF(AND(89&gt;=Personnel!$E$7,Personnel!$G$7="Yes"),Personnel!$D$7*(1-Personnel!$H$7),0)+IF(AND(89&gt;=Personnel!$E$8,Personnel!$G$8="Yes"),Personnel!$D$8*(1-Personnel!$H$8),0)+IF(AND(89&gt;=Personnel!$E$9,Personnel!$G$9="Yes"),Personnel!$D$9*(1-Personnel!$H$9),0)+IF(AND(89&gt;=Personnel!$E$10,Personnel!$G$10="Yes"),Personnel!$D$10*(1-Personnel!$H$10),0)+IF(AND(89&gt;=Personnel!$E$11,Personnel!$G$11="Yes"),Personnel!$D$11*(1-Personnel!$H$11),0)+IF(AND(89&gt;=Personnel!$E$12,Personnel!$G$12="Yes"),Personnel!$D$12*(1-Personnel!$H$12),0)+IF(AND(89&gt;=Personnel!$E$13,Personnel!$G$13="Yes"),Personnel!$D$13*(1-Personnel!$H$13),0)+IF(AND(89&gt;=Personnel!$E$14,Personnel!$G$14="Yes"),Personnel!$D$14*(1-Personnel!$H$14),0)+IF(AND(89&gt;=Personnel!$E$15,Personnel!$G$15="Yes"),Personnel!$D$15*(1-Personnel!$H$15),0)+IF(AND(89&gt;=Personnel!$E$16,Personnel!$G$16="Yes"),Personnel!$D$16*(1-Personnel!$H$16),0)+IF(AND(89&gt;=Personnel!$E$17,Personnel!$G$17="Yes"),Personnel!$D$17*(1-Personnel!$H$17),0)+IF(AND(89&gt;=Personnel!$E$18,Personnel!$G$18="Yes"),Personnel!$D$18*(1-Personnel!$H$18),0)+IF(AND(89&gt;=Personnel!$E$19,Personnel!$G$19="Yes"),Personnel!$D$19*(1-Personnel!$H$19),0)+IF(AND(89&gt;=Personnel!$E$20,Personnel!$G$20="Yes"),Personnel!$D$20*(1-Personnel!$H$20),0)+IF(AND(89&gt;=Personnel!$E$21,Personnel!$G$21="Yes"),Personnel!$D$21*(1-Personnel!$H$21),0)+IF(AND(89&gt;=Personnel!$E$22,Personnel!$G$22="Yes"),Personnel!$D$22*(1-Personnel!$H$22),0)+IF(AND(89&gt;=Personnel!$E$23,Personnel!$G$23="Yes"),Personnel!$D$23*(1-Personnel!$H$23),0)+IF(AND(89&gt;=Personnel!$E$24,Personnel!$G$24="Yes"),Personnel!$D$24*(1-Personnel!$H$24),0)+IF(AND(89&gt;=Personnel!$E$25,Personnel!$G$25="Yes"),Personnel!$D$25*(1-Personnel!$H$25),0)+IF(AND(89&gt;=Personnel!$E$26,Personnel!$G$26="Yes"),Personnel!$D$26*(1-Personnel!$H$26),0)+IF(AND(89&gt;=Personnel!$E$27,Personnel!$G$27="Yes"),Personnel!$D$27*(1-Personnel!$H$27),0)+IF(AND(89&gt;=Personnel!$E$28,Personnel!$G$28="Yes"),Personnel!$D$28*(1-Personnel!$H$28),0)+IF(AND(89&gt;=Personnel!$E$29,Personnel!$G$29="Yes"),Personnel!$D$29*(1-Personnel!$H$29),0)+IF(AND(89&gt;=Personnel!$E$30,Personnel!$G$30="Yes"),Personnel!$D$30*(1-Personnel!$H$30),0)+IF(AND(89&gt;=Personnel!$E$31,Personnel!$G$31="Yes"),Personnel!$D$31*(1-Personnel!$H$31),0)+IF(AND(89&gt;=Personnel!$E$32,Personnel!$G$32="Yes"),Personnel!$D$32*(1-Personnel!$H$32),0)+IF(AND(89&gt;=Personnel!$E$33,Personnel!$G$33="Yes"),Personnel!$D$33*(1-Personnel!$H$33),0)+IF(AND(89&gt;=Personnel!$E$36,Personnel!$G$36="Yes"),Personnel!$D$36*(1-Personnel!$H$36),0)+IF(AND(89&gt;=Personnel!$E$37,Personnel!$G$37="Yes"),Personnel!$D$37*(1-Personnel!$H$37),0)+IF(AND(89&gt;=Personnel!$E$38,Personnel!$G$38="Yes"),Personnel!$D$38*(1-Personnel!$H$38),0)+IF(AND(89&gt;=Personnel!$E$39,Personnel!$G$39="Yes"),Personnel!$D$39*(1-Personnel!$H$39),0)+IF(AND(89&gt;=Personnel!$E$40,Personnel!$G$40="Yes"),Personnel!$D$40*(1-Personnel!$H$40),0)+IF(AND(89&gt;=Personnel!$E$41,Personnel!$G$41="Yes"),Personnel!$D$41*(1-Personnel!$H$41),0)+IF(AND(89&gt;=Personnel!$E$42,Personnel!$G$42="Yes"),Personnel!$D$42*(1-Personnel!$H$42),0))*Escalation!$B$90</f>
        <v>394621.38874034624</v>
      </c>
      <c r="CN4" s="231">
        <f>(IF(AND(90&gt;=Personnel!$E$2,Personnel!$G$2="Yes"),Personnel!$D$2*(1-Personnel!$H$2),0)+IF(AND(90&gt;=Personnel!$E$3,Personnel!$G$3="Yes"),Personnel!$D$3*(1-Personnel!$H$3),0)+IF(AND(90&gt;=Personnel!$E$4,Personnel!$G$4="Yes"),Personnel!$D$4*(1-Personnel!$H$4),0)+IF(AND(90&gt;=Personnel!$E$5,Personnel!$G$5="Yes"),Personnel!$D$5*(1-Personnel!$H$5),0)+IF(AND(90&gt;=Personnel!$E$6,Personnel!$G$6="Yes"),Personnel!$D$6*(1-Personnel!$H$6),0)+IF(AND(90&gt;=Personnel!$E$7,Personnel!$G$7="Yes"),Personnel!$D$7*(1-Personnel!$H$7),0)+IF(AND(90&gt;=Personnel!$E$8,Personnel!$G$8="Yes"),Personnel!$D$8*(1-Personnel!$H$8),0)+IF(AND(90&gt;=Personnel!$E$9,Personnel!$G$9="Yes"),Personnel!$D$9*(1-Personnel!$H$9),0)+IF(AND(90&gt;=Personnel!$E$10,Personnel!$G$10="Yes"),Personnel!$D$10*(1-Personnel!$H$10),0)+IF(AND(90&gt;=Personnel!$E$11,Personnel!$G$11="Yes"),Personnel!$D$11*(1-Personnel!$H$11),0)+IF(AND(90&gt;=Personnel!$E$12,Personnel!$G$12="Yes"),Personnel!$D$12*(1-Personnel!$H$12),0)+IF(AND(90&gt;=Personnel!$E$13,Personnel!$G$13="Yes"),Personnel!$D$13*(1-Personnel!$H$13),0)+IF(AND(90&gt;=Personnel!$E$14,Personnel!$G$14="Yes"),Personnel!$D$14*(1-Personnel!$H$14),0)+IF(AND(90&gt;=Personnel!$E$15,Personnel!$G$15="Yes"),Personnel!$D$15*(1-Personnel!$H$15),0)+IF(AND(90&gt;=Personnel!$E$16,Personnel!$G$16="Yes"),Personnel!$D$16*(1-Personnel!$H$16),0)+IF(AND(90&gt;=Personnel!$E$17,Personnel!$G$17="Yes"),Personnel!$D$17*(1-Personnel!$H$17),0)+IF(AND(90&gt;=Personnel!$E$18,Personnel!$G$18="Yes"),Personnel!$D$18*(1-Personnel!$H$18),0)+IF(AND(90&gt;=Personnel!$E$19,Personnel!$G$19="Yes"),Personnel!$D$19*(1-Personnel!$H$19),0)+IF(AND(90&gt;=Personnel!$E$20,Personnel!$G$20="Yes"),Personnel!$D$20*(1-Personnel!$H$20),0)+IF(AND(90&gt;=Personnel!$E$21,Personnel!$G$21="Yes"),Personnel!$D$21*(1-Personnel!$H$21),0)+IF(AND(90&gt;=Personnel!$E$22,Personnel!$G$22="Yes"),Personnel!$D$22*(1-Personnel!$H$22),0)+IF(AND(90&gt;=Personnel!$E$23,Personnel!$G$23="Yes"),Personnel!$D$23*(1-Personnel!$H$23),0)+IF(AND(90&gt;=Personnel!$E$24,Personnel!$G$24="Yes"),Personnel!$D$24*(1-Personnel!$H$24),0)+IF(AND(90&gt;=Personnel!$E$25,Personnel!$G$25="Yes"),Personnel!$D$25*(1-Personnel!$H$25),0)+IF(AND(90&gt;=Personnel!$E$26,Personnel!$G$26="Yes"),Personnel!$D$26*(1-Personnel!$H$26),0)+IF(AND(90&gt;=Personnel!$E$27,Personnel!$G$27="Yes"),Personnel!$D$27*(1-Personnel!$H$27),0)+IF(AND(90&gt;=Personnel!$E$28,Personnel!$G$28="Yes"),Personnel!$D$28*(1-Personnel!$H$28),0)+IF(AND(90&gt;=Personnel!$E$29,Personnel!$G$29="Yes"),Personnel!$D$29*(1-Personnel!$H$29),0)+IF(AND(90&gt;=Personnel!$E$30,Personnel!$G$30="Yes"),Personnel!$D$30*(1-Personnel!$H$30),0)+IF(AND(90&gt;=Personnel!$E$31,Personnel!$G$31="Yes"),Personnel!$D$31*(1-Personnel!$H$31),0)+IF(AND(90&gt;=Personnel!$E$32,Personnel!$G$32="Yes"),Personnel!$D$32*(1-Personnel!$H$32),0)+IF(AND(90&gt;=Personnel!$E$33,Personnel!$G$33="Yes"),Personnel!$D$33*(1-Personnel!$H$33),0)+IF(AND(90&gt;=Personnel!$E$36,Personnel!$G$36="Yes"),Personnel!$D$36*(1-Personnel!$H$36),0)+IF(AND(90&gt;=Personnel!$E$37,Personnel!$G$37="Yes"),Personnel!$D$37*(1-Personnel!$H$37),0)+IF(AND(90&gt;=Personnel!$E$38,Personnel!$G$38="Yes"),Personnel!$D$38*(1-Personnel!$H$38),0)+IF(AND(90&gt;=Personnel!$E$39,Personnel!$G$39="Yes"),Personnel!$D$39*(1-Personnel!$H$39),0)+IF(AND(90&gt;=Personnel!$E$40,Personnel!$G$40="Yes"),Personnel!$D$40*(1-Personnel!$H$40),0)+IF(AND(90&gt;=Personnel!$E$41,Personnel!$G$41="Yes"),Personnel!$D$41*(1-Personnel!$H$41),0)+IF(AND(90&gt;=Personnel!$E$42,Personnel!$G$42="Yes"),Personnel!$D$42*(1-Personnel!$H$42),0))*Escalation!$B$91</f>
        <v>394621.38874034624</v>
      </c>
      <c r="CO4" s="231">
        <f>(IF(AND(91&gt;=Personnel!$E$2,Personnel!$G$2="Yes"),Personnel!$D$2*(1-Personnel!$H$2),0)+IF(AND(91&gt;=Personnel!$E$3,Personnel!$G$3="Yes"),Personnel!$D$3*(1-Personnel!$H$3),0)+IF(AND(91&gt;=Personnel!$E$4,Personnel!$G$4="Yes"),Personnel!$D$4*(1-Personnel!$H$4),0)+IF(AND(91&gt;=Personnel!$E$5,Personnel!$G$5="Yes"),Personnel!$D$5*(1-Personnel!$H$5),0)+IF(AND(91&gt;=Personnel!$E$6,Personnel!$G$6="Yes"),Personnel!$D$6*(1-Personnel!$H$6),0)+IF(AND(91&gt;=Personnel!$E$7,Personnel!$G$7="Yes"),Personnel!$D$7*(1-Personnel!$H$7),0)+IF(AND(91&gt;=Personnel!$E$8,Personnel!$G$8="Yes"),Personnel!$D$8*(1-Personnel!$H$8),0)+IF(AND(91&gt;=Personnel!$E$9,Personnel!$G$9="Yes"),Personnel!$D$9*(1-Personnel!$H$9),0)+IF(AND(91&gt;=Personnel!$E$10,Personnel!$G$10="Yes"),Personnel!$D$10*(1-Personnel!$H$10),0)+IF(AND(91&gt;=Personnel!$E$11,Personnel!$G$11="Yes"),Personnel!$D$11*(1-Personnel!$H$11),0)+IF(AND(91&gt;=Personnel!$E$12,Personnel!$G$12="Yes"),Personnel!$D$12*(1-Personnel!$H$12),0)+IF(AND(91&gt;=Personnel!$E$13,Personnel!$G$13="Yes"),Personnel!$D$13*(1-Personnel!$H$13),0)+IF(AND(91&gt;=Personnel!$E$14,Personnel!$G$14="Yes"),Personnel!$D$14*(1-Personnel!$H$14),0)+IF(AND(91&gt;=Personnel!$E$15,Personnel!$G$15="Yes"),Personnel!$D$15*(1-Personnel!$H$15),0)+IF(AND(91&gt;=Personnel!$E$16,Personnel!$G$16="Yes"),Personnel!$D$16*(1-Personnel!$H$16),0)+IF(AND(91&gt;=Personnel!$E$17,Personnel!$G$17="Yes"),Personnel!$D$17*(1-Personnel!$H$17),0)+IF(AND(91&gt;=Personnel!$E$18,Personnel!$G$18="Yes"),Personnel!$D$18*(1-Personnel!$H$18),0)+IF(AND(91&gt;=Personnel!$E$19,Personnel!$G$19="Yes"),Personnel!$D$19*(1-Personnel!$H$19),0)+IF(AND(91&gt;=Personnel!$E$20,Personnel!$G$20="Yes"),Personnel!$D$20*(1-Personnel!$H$20),0)+IF(AND(91&gt;=Personnel!$E$21,Personnel!$G$21="Yes"),Personnel!$D$21*(1-Personnel!$H$21),0)+IF(AND(91&gt;=Personnel!$E$22,Personnel!$G$22="Yes"),Personnel!$D$22*(1-Personnel!$H$22),0)+IF(AND(91&gt;=Personnel!$E$23,Personnel!$G$23="Yes"),Personnel!$D$23*(1-Personnel!$H$23),0)+IF(AND(91&gt;=Personnel!$E$24,Personnel!$G$24="Yes"),Personnel!$D$24*(1-Personnel!$H$24),0)+IF(AND(91&gt;=Personnel!$E$25,Personnel!$G$25="Yes"),Personnel!$D$25*(1-Personnel!$H$25),0)+IF(AND(91&gt;=Personnel!$E$26,Personnel!$G$26="Yes"),Personnel!$D$26*(1-Personnel!$H$26),0)+IF(AND(91&gt;=Personnel!$E$27,Personnel!$G$27="Yes"),Personnel!$D$27*(1-Personnel!$H$27),0)+IF(AND(91&gt;=Personnel!$E$28,Personnel!$G$28="Yes"),Personnel!$D$28*(1-Personnel!$H$28),0)+IF(AND(91&gt;=Personnel!$E$29,Personnel!$G$29="Yes"),Personnel!$D$29*(1-Personnel!$H$29),0)+IF(AND(91&gt;=Personnel!$E$30,Personnel!$G$30="Yes"),Personnel!$D$30*(1-Personnel!$H$30),0)+IF(AND(91&gt;=Personnel!$E$31,Personnel!$G$31="Yes"),Personnel!$D$31*(1-Personnel!$H$31),0)+IF(AND(91&gt;=Personnel!$E$32,Personnel!$G$32="Yes"),Personnel!$D$32*(1-Personnel!$H$32),0)+IF(AND(91&gt;=Personnel!$E$33,Personnel!$G$33="Yes"),Personnel!$D$33*(1-Personnel!$H$33),0)+IF(AND(91&gt;=Personnel!$E$36,Personnel!$G$36="Yes"),Personnel!$D$36*(1-Personnel!$H$36),0)+IF(AND(91&gt;=Personnel!$E$37,Personnel!$G$37="Yes"),Personnel!$D$37*(1-Personnel!$H$37),0)+IF(AND(91&gt;=Personnel!$E$38,Personnel!$G$38="Yes"),Personnel!$D$38*(1-Personnel!$H$38),0)+IF(AND(91&gt;=Personnel!$E$39,Personnel!$G$39="Yes"),Personnel!$D$39*(1-Personnel!$H$39),0)+IF(AND(91&gt;=Personnel!$E$40,Personnel!$G$40="Yes"),Personnel!$D$40*(1-Personnel!$H$40),0)+IF(AND(91&gt;=Personnel!$E$41,Personnel!$G$41="Yes"),Personnel!$D$41*(1-Personnel!$H$41),0)+IF(AND(91&gt;=Personnel!$E$42,Personnel!$G$42="Yes"),Personnel!$D$42*(1-Personnel!$H$42),0))*Escalation!$B$92</f>
        <v>394621.38874034624</v>
      </c>
      <c r="CP4" s="231">
        <f>(IF(AND(92&gt;=Personnel!$E$2,Personnel!$G$2="Yes"),Personnel!$D$2*(1-Personnel!$H$2),0)+IF(AND(92&gt;=Personnel!$E$3,Personnel!$G$3="Yes"),Personnel!$D$3*(1-Personnel!$H$3),0)+IF(AND(92&gt;=Personnel!$E$4,Personnel!$G$4="Yes"),Personnel!$D$4*(1-Personnel!$H$4),0)+IF(AND(92&gt;=Personnel!$E$5,Personnel!$G$5="Yes"),Personnel!$D$5*(1-Personnel!$H$5),0)+IF(AND(92&gt;=Personnel!$E$6,Personnel!$G$6="Yes"),Personnel!$D$6*(1-Personnel!$H$6),0)+IF(AND(92&gt;=Personnel!$E$7,Personnel!$G$7="Yes"),Personnel!$D$7*(1-Personnel!$H$7),0)+IF(AND(92&gt;=Personnel!$E$8,Personnel!$G$8="Yes"),Personnel!$D$8*(1-Personnel!$H$8),0)+IF(AND(92&gt;=Personnel!$E$9,Personnel!$G$9="Yes"),Personnel!$D$9*(1-Personnel!$H$9),0)+IF(AND(92&gt;=Personnel!$E$10,Personnel!$G$10="Yes"),Personnel!$D$10*(1-Personnel!$H$10),0)+IF(AND(92&gt;=Personnel!$E$11,Personnel!$G$11="Yes"),Personnel!$D$11*(1-Personnel!$H$11),0)+IF(AND(92&gt;=Personnel!$E$12,Personnel!$G$12="Yes"),Personnel!$D$12*(1-Personnel!$H$12),0)+IF(AND(92&gt;=Personnel!$E$13,Personnel!$G$13="Yes"),Personnel!$D$13*(1-Personnel!$H$13),0)+IF(AND(92&gt;=Personnel!$E$14,Personnel!$G$14="Yes"),Personnel!$D$14*(1-Personnel!$H$14),0)+IF(AND(92&gt;=Personnel!$E$15,Personnel!$G$15="Yes"),Personnel!$D$15*(1-Personnel!$H$15),0)+IF(AND(92&gt;=Personnel!$E$16,Personnel!$G$16="Yes"),Personnel!$D$16*(1-Personnel!$H$16),0)+IF(AND(92&gt;=Personnel!$E$17,Personnel!$G$17="Yes"),Personnel!$D$17*(1-Personnel!$H$17),0)+IF(AND(92&gt;=Personnel!$E$18,Personnel!$G$18="Yes"),Personnel!$D$18*(1-Personnel!$H$18),0)+IF(AND(92&gt;=Personnel!$E$19,Personnel!$G$19="Yes"),Personnel!$D$19*(1-Personnel!$H$19),0)+IF(AND(92&gt;=Personnel!$E$20,Personnel!$G$20="Yes"),Personnel!$D$20*(1-Personnel!$H$20),0)+IF(AND(92&gt;=Personnel!$E$21,Personnel!$G$21="Yes"),Personnel!$D$21*(1-Personnel!$H$21),0)+IF(AND(92&gt;=Personnel!$E$22,Personnel!$G$22="Yes"),Personnel!$D$22*(1-Personnel!$H$22),0)+IF(AND(92&gt;=Personnel!$E$23,Personnel!$G$23="Yes"),Personnel!$D$23*(1-Personnel!$H$23),0)+IF(AND(92&gt;=Personnel!$E$24,Personnel!$G$24="Yes"),Personnel!$D$24*(1-Personnel!$H$24),0)+IF(AND(92&gt;=Personnel!$E$25,Personnel!$G$25="Yes"),Personnel!$D$25*(1-Personnel!$H$25),0)+IF(AND(92&gt;=Personnel!$E$26,Personnel!$G$26="Yes"),Personnel!$D$26*(1-Personnel!$H$26),0)+IF(AND(92&gt;=Personnel!$E$27,Personnel!$G$27="Yes"),Personnel!$D$27*(1-Personnel!$H$27),0)+IF(AND(92&gt;=Personnel!$E$28,Personnel!$G$28="Yes"),Personnel!$D$28*(1-Personnel!$H$28),0)+IF(AND(92&gt;=Personnel!$E$29,Personnel!$G$29="Yes"),Personnel!$D$29*(1-Personnel!$H$29),0)+IF(AND(92&gt;=Personnel!$E$30,Personnel!$G$30="Yes"),Personnel!$D$30*(1-Personnel!$H$30),0)+IF(AND(92&gt;=Personnel!$E$31,Personnel!$G$31="Yes"),Personnel!$D$31*(1-Personnel!$H$31),0)+IF(AND(92&gt;=Personnel!$E$32,Personnel!$G$32="Yes"),Personnel!$D$32*(1-Personnel!$H$32),0)+IF(AND(92&gt;=Personnel!$E$33,Personnel!$G$33="Yes"),Personnel!$D$33*(1-Personnel!$H$33),0)+IF(AND(92&gt;=Personnel!$E$36,Personnel!$G$36="Yes"),Personnel!$D$36*(1-Personnel!$H$36),0)+IF(AND(92&gt;=Personnel!$E$37,Personnel!$G$37="Yes"),Personnel!$D$37*(1-Personnel!$H$37),0)+IF(AND(92&gt;=Personnel!$E$38,Personnel!$G$38="Yes"),Personnel!$D$38*(1-Personnel!$H$38),0)+IF(AND(92&gt;=Personnel!$E$39,Personnel!$G$39="Yes"),Personnel!$D$39*(1-Personnel!$H$39),0)+IF(AND(92&gt;=Personnel!$E$40,Personnel!$G$40="Yes"),Personnel!$D$40*(1-Personnel!$H$40),0)+IF(AND(92&gt;=Personnel!$E$41,Personnel!$G$41="Yes"),Personnel!$D$41*(1-Personnel!$H$41),0)+IF(AND(92&gt;=Personnel!$E$42,Personnel!$G$42="Yes"),Personnel!$D$42*(1-Personnel!$H$42),0))*Escalation!$B$93</f>
        <v>394621.38874034624</v>
      </c>
      <c r="CQ4" s="231">
        <f>(IF(AND(93&gt;=Personnel!$E$2,Personnel!$G$2="Yes"),Personnel!$D$2*(1-Personnel!$H$2),0)+IF(AND(93&gt;=Personnel!$E$3,Personnel!$G$3="Yes"),Personnel!$D$3*(1-Personnel!$H$3),0)+IF(AND(93&gt;=Personnel!$E$4,Personnel!$G$4="Yes"),Personnel!$D$4*(1-Personnel!$H$4),0)+IF(AND(93&gt;=Personnel!$E$5,Personnel!$G$5="Yes"),Personnel!$D$5*(1-Personnel!$H$5),0)+IF(AND(93&gt;=Personnel!$E$6,Personnel!$G$6="Yes"),Personnel!$D$6*(1-Personnel!$H$6),0)+IF(AND(93&gt;=Personnel!$E$7,Personnel!$G$7="Yes"),Personnel!$D$7*(1-Personnel!$H$7),0)+IF(AND(93&gt;=Personnel!$E$8,Personnel!$G$8="Yes"),Personnel!$D$8*(1-Personnel!$H$8),0)+IF(AND(93&gt;=Personnel!$E$9,Personnel!$G$9="Yes"),Personnel!$D$9*(1-Personnel!$H$9),0)+IF(AND(93&gt;=Personnel!$E$10,Personnel!$G$10="Yes"),Personnel!$D$10*(1-Personnel!$H$10),0)+IF(AND(93&gt;=Personnel!$E$11,Personnel!$G$11="Yes"),Personnel!$D$11*(1-Personnel!$H$11),0)+IF(AND(93&gt;=Personnel!$E$12,Personnel!$G$12="Yes"),Personnel!$D$12*(1-Personnel!$H$12),0)+IF(AND(93&gt;=Personnel!$E$13,Personnel!$G$13="Yes"),Personnel!$D$13*(1-Personnel!$H$13),0)+IF(AND(93&gt;=Personnel!$E$14,Personnel!$G$14="Yes"),Personnel!$D$14*(1-Personnel!$H$14),0)+IF(AND(93&gt;=Personnel!$E$15,Personnel!$G$15="Yes"),Personnel!$D$15*(1-Personnel!$H$15),0)+IF(AND(93&gt;=Personnel!$E$16,Personnel!$G$16="Yes"),Personnel!$D$16*(1-Personnel!$H$16),0)+IF(AND(93&gt;=Personnel!$E$17,Personnel!$G$17="Yes"),Personnel!$D$17*(1-Personnel!$H$17),0)+IF(AND(93&gt;=Personnel!$E$18,Personnel!$G$18="Yes"),Personnel!$D$18*(1-Personnel!$H$18),0)+IF(AND(93&gt;=Personnel!$E$19,Personnel!$G$19="Yes"),Personnel!$D$19*(1-Personnel!$H$19),0)+IF(AND(93&gt;=Personnel!$E$20,Personnel!$G$20="Yes"),Personnel!$D$20*(1-Personnel!$H$20),0)+IF(AND(93&gt;=Personnel!$E$21,Personnel!$G$21="Yes"),Personnel!$D$21*(1-Personnel!$H$21),0)+IF(AND(93&gt;=Personnel!$E$22,Personnel!$G$22="Yes"),Personnel!$D$22*(1-Personnel!$H$22),0)+IF(AND(93&gt;=Personnel!$E$23,Personnel!$G$23="Yes"),Personnel!$D$23*(1-Personnel!$H$23),0)+IF(AND(93&gt;=Personnel!$E$24,Personnel!$G$24="Yes"),Personnel!$D$24*(1-Personnel!$H$24),0)+IF(AND(93&gt;=Personnel!$E$25,Personnel!$G$25="Yes"),Personnel!$D$25*(1-Personnel!$H$25),0)+IF(AND(93&gt;=Personnel!$E$26,Personnel!$G$26="Yes"),Personnel!$D$26*(1-Personnel!$H$26),0)+IF(AND(93&gt;=Personnel!$E$27,Personnel!$G$27="Yes"),Personnel!$D$27*(1-Personnel!$H$27),0)+IF(AND(93&gt;=Personnel!$E$28,Personnel!$G$28="Yes"),Personnel!$D$28*(1-Personnel!$H$28),0)+IF(AND(93&gt;=Personnel!$E$29,Personnel!$G$29="Yes"),Personnel!$D$29*(1-Personnel!$H$29),0)+IF(AND(93&gt;=Personnel!$E$30,Personnel!$G$30="Yes"),Personnel!$D$30*(1-Personnel!$H$30),0)+IF(AND(93&gt;=Personnel!$E$31,Personnel!$G$31="Yes"),Personnel!$D$31*(1-Personnel!$H$31),0)+IF(AND(93&gt;=Personnel!$E$32,Personnel!$G$32="Yes"),Personnel!$D$32*(1-Personnel!$H$32),0)+IF(AND(93&gt;=Personnel!$E$33,Personnel!$G$33="Yes"),Personnel!$D$33*(1-Personnel!$H$33),0)+IF(AND(93&gt;=Personnel!$E$36,Personnel!$G$36="Yes"),Personnel!$D$36*(1-Personnel!$H$36),0)+IF(AND(93&gt;=Personnel!$E$37,Personnel!$G$37="Yes"),Personnel!$D$37*(1-Personnel!$H$37),0)+IF(AND(93&gt;=Personnel!$E$38,Personnel!$G$38="Yes"),Personnel!$D$38*(1-Personnel!$H$38),0)+IF(AND(93&gt;=Personnel!$E$39,Personnel!$G$39="Yes"),Personnel!$D$39*(1-Personnel!$H$39),0)+IF(AND(93&gt;=Personnel!$E$40,Personnel!$G$40="Yes"),Personnel!$D$40*(1-Personnel!$H$40),0)+IF(AND(93&gt;=Personnel!$E$41,Personnel!$G$41="Yes"),Personnel!$D$41*(1-Personnel!$H$41),0)+IF(AND(93&gt;=Personnel!$E$42,Personnel!$G$42="Yes"),Personnel!$D$42*(1-Personnel!$H$42),0))*Escalation!$B$94</f>
        <v>394621.38874034624</v>
      </c>
    </row>
    <row r="5" spans="1:95" ht="15" customHeight="1" x14ac:dyDescent="0.25">
      <c r="A5" s="144" t="s">
        <v>801</v>
      </c>
      <c r="C5" s="231">
        <f>(IF(AND(1&gt;=Personnel!$E$36,Personnel!$G$36="Yes"),Personnel!$D$36*(1-Personnel!$H$36)*(1-Personnel!$I$36),0)+IF(AND(1&gt;=Personnel!$E$37,Personnel!$G$37="Yes"),Personnel!$D$37*(1-Personnel!$H$37)*(1-Personnel!$I$37),0)+IF(AND(1&gt;=Personnel!$E$38,Personnel!$G$38="Yes"),Personnel!$D$38*(1-Personnel!$H$38)*(1-Personnel!$I$38),0)+IF(AND(1&gt;=Personnel!$E$39,Personnel!$G$39="Yes"),Personnel!$D$39*(1-Personnel!$H$39)*(1-Personnel!$I$39),0)+IF(AND(1&gt;=Personnel!$E$40,Personnel!$G$40="Yes"),Personnel!$D$40*(1-Personnel!$H$40)*(1-Personnel!$I$40),0)+IF(AND(1&gt;=Personnel!$E$41,Personnel!$G$41="Yes"),Personnel!$D$41*(1-Personnel!$H$41)*(1-Personnel!$I$41),0)+IF(AND(1&gt;=Personnel!$E$42,Personnel!$G$42="Yes"),Personnel!$D$42*(1-Personnel!$H$42)*(1-Personnel!$I$42),0))*Escalation!$B$2</f>
        <v>11458.333333333334</v>
      </c>
      <c r="D5" s="231">
        <f>(IF(AND(2&gt;=Personnel!$E$36,Personnel!$G$36="Yes"),Personnel!$D$36*(1-Personnel!$H$36)*(1-Personnel!$I$36),0)+IF(AND(2&gt;=Personnel!$E$37,Personnel!$G$37="Yes"),Personnel!$D$37*(1-Personnel!$H$37)*(1-Personnel!$I$37),0)+IF(AND(2&gt;=Personnel!$E$38,Personnel!$G$38="Yes"),Personnel!$D$38*(1-Personnel!$H$38)*(1-Personnel!$I$38),0)+IF(AND(2&gt;=Personnel!$E$39,Personnel!$G$39="Yes"),Personnel!$D$39*(1-Personnel!$H$39)*(1-Personnel!$I$39),0)+IF(AND(2&gt;=Personnel!$E$40,Personnel!$G$40="Yes"),Personnel!$D$40*(1-Personnel!$H$40)*(1-Personnel!$I$40),0)+IF(AND(2&gt;=Personnel!$E$41,Personnel!$G$41="Yes"),Personnel!$D$41*(1-Personnel!$H$41)*(1-Personnel!$I$41),0)+IF(AND(2&gt;=Personnel!$E$42,Personnel!$G$42="Yes"),Personnel!$D$42*(1-Personnel!$H$42)*(1-Personnel!$I$42),0))*Escalation!$B$3</f>
        <v>11458.333333333334</v>
      </c>
      <c r="E5" s="231">
        <f>(IF(AND(3&gt;=Personnel!$E$36,Personnel!$G$36="Yes"),Personnel!$D$36*(1-Personnel!$H$36)*(1-Personnel!$I$36),0)+IF(AND(3&gt;=Personnel!$E$37,Personnel!$G$37="Yes"),Personnel!$D$37*(1-Personnel!$H$37)*(1-Personnel!$I$37),0)+IF(AND(3&gt;=Personnel!$E$38,Personnel!$G$38="Yes"),Personnel!$D$38*(1-Personnel!$H$38)*(1-Personnel!$I$38),0)+IF(AND(3&gt;=Personnel!$E$39,Personnel!$G$39="Yes"),Personnel!$D$39*(1-Personnel!$H$39)*(1-Personnel!$I$39),0)+IF(AND(3&gt;=Personnel!$E$40,Personnel!$G$40="Yes"),Personnel!$D$40*(1-Personnel!$H$40)*(1-Personnel!$I$40),0)+IF(AND(3&gt;=Personnel!$E$41,Personnel!$G$41="Yes"),Personnel!$D$41*(1-Personnel!$H$41)*(1-Personnel!$I$41),0)+IF(AND(3&gt;=Personnel!$E$42,Personnel!$G$42="Yes"),Personnel!$D$42*(1-Personnel!$H$42)*(1-Personnel!$I$42),0))*Escalation!$B$4</f>
        <v>11458.333333333334</v>
      </c>
      <c r="F5" s="231">
        <f>(IF(AND(4&gt;=Personnel!$E$36,Personnel!$G$36="Yes"),Personnel!$D$36*(1-Personnel!$H$36)*(1-Personnel!$I$36),0)+IF(AND(4&gt;=Personnel!$E$37,Personnel!$G$37="Yes"),Personnel!$D$37*(1-Personnel!$H$37)*(1-Personnel!$I$37),0)+IF(AND(4&gt;=Personnel!$E$38,Personnel!$G$38="Yes"),Personnel!$D$38*(1-Personnel!$H$38)*(1-Personnel!$I$38),0)+IF(AND(4&gt;=Personnel!$E$39,Personnel!$G$39="Yes"),Personnel!$D$39*(1-Personnel!$H$39)*(1-Personnel!$I$39),0)+IF(AND(4&gt;=Personnel!$E$40,Personnel!$G$40="Yes"),Personnel!$D$40*(1-Personnel!$H$40)*(1-Personnel!$I$40),0)+IF(AND(4&gt;=Personnel!$E$41,Personnel!$G$41="Yes"),Personnel!$D$41*(1-Personnel!$H$41)*(1-Personnel!$I$41),0)+IF(AND(4&gt;=Personnel!$E$42,Personnel!$G$42="Yes"),Personnel!$D$42*(1-Personnel!$H$42)*(1-Personnel!$I$42),0))*Escalation!$B$5</f>
        <v>11458.333333333334</v>
      </c>
      <c r="G5" s="231">
        <f>(IF(AND(5&gt;=Personnel!$E$36,Personnel!$G$36="Yes"),Personnel!$D$36*(1-Personnel!$H$36)*(1-Personnel!$I$36),0)+IF(AND(5&gt;=Personnel!$E$37,Personnel!$G$37="Yes"),Personnel!$D$37*(1-Personnel!$H$37)*(1-Personnel!$I$37),0)+IF(AND(5&gt;=Personnel!$E$38,Personnel!$G$38="Yes"),Personnel!$D$38*(1-Personnel!$H$38)*(1-Personnel!$I$38),0)+IF(AND(5&gt;=Personnel!$E$39,Personnel!$G$39="Yes"),Personnel!$D$39*(1-Personnel!$H$39)*(1-Personnel!$I$39),0)+IF(AND(5&gt;=Personnel!$E$40,Personnel!$G$40="Yes"),Personnel!$D$40*(1-Personnel!$H$40)*(1-Personnel!$I$40),0)+IF(AND(5&gt;=Personnel!$E$41,Personnel!$G$41="Yes"),Personnel!$D$41*(1-Personnel!$H$41)*(1-Personnel!$I$41),0)+IF(AND(5&gt;=Personnel!$E$42,Personnel!$G$42="Yes"),Personnel!$D$42*(1-Personnel!$H$42)*(1-Personnel!$I$42),0))*Escalation!$B$6</f>
        <v>11458.333333333334</v>
      </c>
      <c r="H5" s="231">
        <f>(IF(AND(6&gt;=Personnel!$E$36,Personnel!$G$36="Yes"),Personnel!$D$36*(1-Personnel!$H$36)*(1-Personnel!$I$36),0)+IF(AND(6&gt;=Personnel!$E$37,Personnel!$G$37="Yes"),Personnel!$D$37*(1-Personnel!$H$37)*(1-Personnel!$I$37),0)+IF(AND(6&gt;=Personnel!$E$38,Personnel!$G$38="Yes"),Personnel!$D$38*(1-Personnel!$H$38)*(1-Personnel!$I$38),0)+IF(AND(6&gt;=Personnel!$E$39,Personnel!$G$39="Yes"),Personnel!$D$39*(1-Personnel!$H$39)*(1-Personnel!$I$39),0)+IF(AND(6&gt;=Personnel!$E$40,Personnel!$G$40="Yes"),Personnel!$D$40*(1-Personnel!$H$40)*(1-Personnel!$I$40),0)+IF(AND(6&gt;=Personnel!$E$41,Personnel!$G$41="Yes"),Personnel!$D$41*(1-Personnel!$H$41)*(1-Personnel!$I$41),0)+IF(AND(6&gt;=Personnel!$E$42,Personnel!$G$42="Yes"),Personnel!$D$42*(1-Personnel!$H$42)*(1-Personnel!$I$42),0))*Escalation!$B$7</f>
        <v>11458.333333333334</v>
      </c>
      <c r="I5" s="231">
        <f>(IF(AND(7&gt;=Personnel!$E$36,Personnel!$G$36="Yes"),Personnel!$D$36*(1-Personnel!$H$36)*(1-Personnel!$I$36),0)+IF(AND(7&gt;=Personnel!$E$37,Personnel!$G$37="Yes"),Personnel!$D$37*(1-Personnel!$H$37)*(1-Personnel!$I$37),0)+IF(AND(7&gt;=Personnel!$E$38,Personnel!$G$38="Yes"),Personnel!$D$38*(1-Personnel!$H$38)*(1-Personnel!$I$38),0)+IF(AND(7&gt;=Personnel!$E$39,Personnel!$G$39="Yes"),Personnel!$D$39*(1-Personnel!$H$39)*(1-Personnel!$I$39),0)+IF(AND(7&gt;=Personnel!$E$40,Personnel!$G$40="Yes"),Personnel!$D$40*(1-Personnel!$H$40)*(1-Personnel!$I$40),0)+IF(AND(7&gt;=Personnel!$E$41,Personnel!$G$41="Yes"),Personnel!$D$41*(1-Personnel!$H$41)*(1-Personnel!$I$41),0)+IF(AND(7&gt;=Personnel!$E$42,Personnel!$G$42="Yes"),Personnel!$D$42*(1-Personnel!$H$42)*(1-Personnel!$I$42),0))*Escalation!$B$8</f>
        <v>11458.333333333334</v>
      </c>
      <c r="J5" s="231">
        <f>(IF(AND(8&gt;=Personnel!$E$36,Personnel!$G$36="Yes"),Personnel!$D$36*(1-Personnel!$H$36)*(1-Personnel!$I$36),0)+IF(AND(8&gt;=Personnel!$E$37,Personnel!$G$37="Yes"),Personnel!$D$37*(1-Personnel!$H$37)*(1-Personnel!$I$37),0)+IF(AND(8&gt;=Personnel!$E$38,Personnel!$G$38="Yes"),Personnel!$D$38*(1-Personnel!$H$38)*(1-Personnel!$I$38),0)+IF(AND(8&gt;=Personnel!$E$39,Personnel!$G$39="Yes"),Personnel!$D$39*(1-Personnel!$H$39)*(1-Personnel!$I$39),0)+IF(AND(8&gt;=Personnel!$E$40,Personnel!$G$40="Yes"),Personnel!$D$40*(1-Personnel!$H$40)*(1-Personnel!$I$40),0)+IF(AND(8&gt;=Personnel!$E$41,Personnel!$G$41="Yes"),Personnel!$D$41*(1-Personnel!$H$41)*(1-Personnel!$I$41),0)+IF(AND(8&gt;=Personnel!$E$42,Personnel!$G$42="Yes"),Personnel!$D$42*(1-Personnel!$H$42)*(1-Personnel!$I$42),0))*Escalation!$B$9</f>
        <v>11458.333333333334</v>
      </c>
      <c r="K5" s="231">
        <f>(IF(AND(9&gt;=Personnel!$E$36,Personnel!$G$36="Yes"),Personnel!$D$36*(1-Personnel!$H$36)*(1-Personnel!$I$36),0)+IF(AND(9&gt;=Personnel!$E$37,Personnel!$G$37="Yes"),Personnel!$D$37*(1-Personnel!$H$37)*(1-Personnel!$I$37),0)+IF(AND(9&gt;=Personnel!$E$38,Personnel!$G$38="Yes"),Personnel!$D$38*(1-Personnel!$H$38)*(1-Personnel!$I$38),0)+IF(AND(9&gt;=Personnel!$E$39,Personnel!$G$39="Yes"),Personnel!$D$39*(1-Personnel!$H$39)*(1-Personnel!$I$39),0)+IF(AND(9&gt;=Personnel!$E$40,Personnel!$G$40="Yes"),Personnel!$D$40*(1-Personnel!$H$40)*(1-Personnel!$I$40),0)+IF(AND(9&gt;=Personnel!$E$41,Personnel!$G$41="Yes"),Personnel!$D$41*(1-Personnel!$H$41)*(1-Personnel!$I$41),0)+IF(AND(9&gt;=Personnel!$E$42,Personnel!$G$42="Yes"),Personnel!$D$42*(1-Personnel!$H$42)*(1-Personnel!$I$42),0))*Escalation!$B$10</f>
        <v>11458.333333333334</v>
      </c>
      <c r="L5" s="231">
        <f>(IF(AND(10&gt;=Personnel!$E$36,Personnel!$G$36="Yes"),Personnel!$D$36*(1-Personnel!$H$36)*(1-Personnel!$I$36),0)+IF(AND(10&gt;=Personnel!$E$37,Personnel!$G$37="Yes"),Personnel!$D$37*(1-Personnel!$H$37)*(1-Personnel!$I$37),0)+IF(AND(10&gt;=Personnel!$E$38,Personnel!$G$38="Yes"),Personnel!$D$38*(1-Personnel!$H$38)*(1-Personnel!$I$38),0)+IF(AND(10&gt;=Personnel!$E$39,Personnel!$G$39="Yes"),Personnel!$D$39*(1-Personnel!$H$39)*(1-Personnel!$I$39),0)+IF(AND(10&gt;=Personnel!$E$40,Personnel!$G$40="Yes"),Personnel!$D$40*(1-Personnel!$H$40)*(1-Personnel!$I$40),0)+IF(AND(10&gt;=Personnel!$E$41,Personnel!$G$41="Yes"),Personnel!$D$41*(1-Personnel!$H$41)*(1-Personnel!$I$41),0)+IF(AND(10&gt;=Personnel!$E$42,Personnel!$G$42="Yes"),Personnel!$D$42*(1-Personnel!$H$42)*(1-Personnel!$I$42),0))*Escalation!$B$11</f>
        <v>11458.333333333334</v>
      </c>
      <c r="M5" s="231">
        <f>(IF(AND(11&gt;=Personnel!$E$36,Personnel!$G$36="Yes"),Personnel!$D$36*(1-Personnel!$H$36)*(1-Personnel!$I$36),0)+IF(AND(11&gt;=Personnel!$E$37,Personnel!$G$37="Yes"),Personnel!$D$37*(1-Personnel!$H$37)*(1-Personnel!$I$37),0)+IF(AND(11&gt;=Personnel!$E$38,Personnel!$G$38="Yes"),Personnel!$D$38*(1-Personnel!$H$38)*(1-Personnel!$I$38),0)+IF(AND(11&gt;=Personnel!$E$39,Personnel!$G$39="Yes"),Personnel!$D$39*(1-Personnel!$H$39)*(1-Personnel!$I$39),0)+IF(AND(11&gt;=Personnel!$E$40,Personnel!$G$40="Yes"),Personnel!$D$40*(1-Personnel!$H$40)*(1-Personnel!$I$40),0)+IF(AND(11&gt;=Personnel!$E$41,Personnel!$G$41="Yes"),Personnel!$D$41*(1-Personnel!$H$41)*(1-Personnel!$I$41),0)+IF(AND(11&gt;=Personnel!$E$42,Personnel!$G$42="Yes"),Personnel!$D$42*(1-Personnel!$H$42)*(1-Personnel!$I$42),0))*Escalation!$B$12</f>
        <v>11458.333333333334</v>
      </c>
      <c r="N5" s="231">
        <f>(IF(AND(12&gt;=Personnel!$E$36,Personnel!$G$36="Yes"),Personnel!$D$36*(1-Personnel!$H$36)*(1-Personnel!$I$36),0)+IF(AND(12&gt;=Personnel!$E$37,Personnel!$G$37="Yes"),Personnel!$D$37*(1-Personnel!$H$37)*(1-Personnel!$I$37),0)+IF(AND(12&gt;=Personnel!$E$38,Personnel!$G$38="Yes"),Personnel!$D$38*(1-Personnel!$H$38)*(1-Personnel!$I$38),0)+IF(AND(12&gt;=Personnel!$E$39,Personnel!$G$39="Yes"),Personnel!$D$39*(1-Personnel!$H$39)*(1-Personnel!$I$39),0)+IF(AND(12&gt;=Personnel!$E$40,Personnel!$G$40="Yes"),Personnel!$D$40*(1-Personnel!$H$40)*(1-Personnel!$I$40),0)+IF(AND(12&gt;=Personnel!$E$41,Personnel!$G$41="Yes"),Personnel!$D$41*(1-Personnel!$H$41)*(1-Personnel!$I$41),0)+IF(AND(12&gt;=Personnel!$E$42,Personnel!$G$42="Yes"),Personnel!$D$42*(1-Personnel!$H$42)*(1-Personnel!$I$42),0))*Escalation!$B$13</f>
        <v>11458.333333333334</v>
      </c>
      <c r="O5" s="231">
        <f>(IF(AND(13&gt;=Personnel!$E$36,Personnel!$G$36="Yes"),Personnel!$D$36*(1-Personnel!$H$36)*(1-Personnel!$I$36),0)+IF(AND(13&gt;=Personnel!$E$37,Personnel!$G$37="Yes"),Personnel!$D$37*(1-Personnel!$H$37)*(1-Personnel!$I$37),0)+IF(AND(13&gt;=Personnel!$E$38,Personnel!$G$38="Yes"),Personnel!$D$38*(1-Personnel!$H$38)*(1-Personnel!$I$38),0)+IF(AND(13&gt;=Personnel!$E$39,Personnel!$G$39="Yes"),Personnel!$D$39*(1-Personnel!$H$39)*(1-Personnel!$I$39),0)+IF(AND(13&gt;=Personnel!$E$40,Personnel!$G$40="Yes"),Personnel!$D$40*(1-Personnel!$H$40)*(1-Personnel!$I$40),0)+IF(AND(13&gt;=Personnel!$E$41,Personnel!$G$41="Yes"),Personnel!$D$41*(1-Personnel!$H$41)*(1-Personnel!$I$41),0)+IF(AND(13&gt;=Personnel!$E$42,Personnel!$G$42="Yes"),Personnel!$D$42*(1-Personnel!$H$42)*(1-Personnel!$I$42),0))*Escalation!$B$14</f>
        <v>11687.5</v>
      </c>
      <c r="P5" s="231">
        <f>(IF(AND(14&gt;=Personnel!$E$36,Personnel!$G$36="Yes"),Personnel!$D$36*(1-Personnel!$H$36)*(1-Personnel!$I$36),0)+IF(AND(14&gt;=Personnel!$E$37,Personnel!$G$37="Yes"),Personnel!$D$37*(1-Personnel!$H$37)*(1-Personnel!$I$37),0)+IF(AND(14&gt;=Personnel!$E$38,Personnel!$G$38="Yes"),Personnel!$D$38*(1-Personnel!$H$38)*(1-Personnel!$I$38),0)+IF(AND(14&gt;=Personnel!$E$39,Personnel!$G$39="Yes"),Personnel!$D$39*(1-Personnel!$H$39)*(1-Personnel!$I$39),0)+IF(AND(14&gt;=Personnel!$E$40,Personnel!$G$40="Yes"),Personnel!$D$40*(1-Personnel!$H$40)*(1-Personnel!$I$40),0)+IF(AND(14&gt;=Personnel!$E$41,Personnel!$G$41="Yes"),Personnel!$D$41*(1-Personnel!$H$41)*(1-Personnel!$I$41),0)+IF(AND(14&gt;=Personnel!$E$42,Personnel!$G$42="Yes"),Personnel!$D$42*(1-Personnel!$H$42)*(1-Personnel!$I$42),0))*Escalation!$B$15</f>
        <v>11687.5</v>
      </c>
      <c r="Q5" s="231">
        <f>(IF(AND(15&gt;=Personnel!$E$36,Personnel!$G$36="Yes"),Personnel!$D$36*(1-Personnel!$H$36)*(1-Personnel!$I$36),0)+IF(AND(15&gt;=Personnel!$E$37,Personnel!$G$37="Yes"),Personnel!$D$37*(1-Personnel!$H$37)*(1-Personnel!$I$37),0)+IF(AND(15&gt;=Personnel!$E$38,Personnel!$G$38="Yes"),Personnel!$D$38*(1-Personnel!$H$38)*(1-Personnel!$I$38),0)+IF(AND(15&gt;=Personnel!$E$39,Personnel!$G$39="Yes"),Personnel!$D$39*(1-Personnel!$H$39)*(1-Personnel!$I$39),0)+IF(AND(15&gt;=Personnel!$E$40,Personnel!$G$40="Yes"),Personnel!$D$40*(1-Personnel!$H$40)*(1-Personnel!$I$40),0)+IF(AND(15&gt;=Personnel!$E$41,Personnel!$G$41="Yes"),Personnel!$D$41*(1-Personnel!$H$41)*(1-Personnel!$I$41),0)+IF(AND(15&gt;=Personnel!$E$42,Personnel!$G$42="Yes"),Personnel!$D$42*(1-Personnel!$H$42)*(1-Personnel!$I$42),0))*Escalation!$B$16</f>
        <v>11687.5</v>
      </c>
      <c r="R5" s="231">
        <f>(IF(AND(16&gt;=Personnel!$E$36,Personnel!$G$36="Yes"),Personnel!$D$36*(1-Personnel!$H$36)*(1-Personnel!$I$36),0)+IF(AND(16&gt;=Personnel!$E$37,Personnel!$G$37="Yes"),Personnel!$D$37*(1-Personnel!$H$37)*(1-Personnel!$I$37),0)+IF(AND(16&gt;=Personnel!$E$38,Personnel!$G$38="Yes"),Personnel!$D$38*(1-Personnel!$H$38)*(1-Personnel!$I$38),0)+IF(AND(16&gt;=Personnel!$E$39,Personnel!$G$39="Yes"),Personnel!$D$39*(1-Personnel!$H$39)*(1-Personnel!$I$39),0)+IF(AND(16&gt;=Personnel!$E$40,Personnel!$G$40="Yes"),Personnel!$D$40*(1-Personnel!$H$40)*(1-Personnel!$I$40),0)+IF(AND(16&gt;=Personnel!$E$41,Personnel!$G$41="Yes"),Personnel!$D$41*(1-Personnel!$H$41)*(1-Personnel!$I$41),0)+IF(AND(16&gt;=Personnel!$E$42,Personnel!$G$42="Yes"),Personnel!$D$42*(1-Personnel!$H$42)*(1-Personnel!$I$42),0))*Escalation!$B$17</f>
        <v>11687.5</v>
      </c>
      <c r="S5" s="231">
        <f>(IF(AND(17&gt;=Personnel!$E$36,Personnel!$G$36="Yes"),Personnel!$D$36*(1-Personnel!$H$36)*(1-Personnel!$I$36),0)+IF(AND(17&gt;=Personnel!$E$37,Personnel!$G$37="Yes"),Personnel!$D$37*(1-Personnel!$H$37)*(1-Personnel!$I$37),0)+IF(AND(17&gt;=Personnel!$E$38,Personnel!$G$38="Yes"),Personnel!$D$38*(1-Personnel!$H$38)*(1-Personnel!$I$38),0)+IF(AND(17&gt;=Personnel!$E$39,Personnel!$G$39="Yes"),Personnel!$D$39*(1-Personnel!$H$39)*(1-Personnel!$I$39),0)+IF(AND(17&gt;=Personnel!$E$40,Personnel!$G$40="Yes"),Personnel!$D$40*(1-Personnel!$H$40)*(1-Personnel!$I$40),0)+IF(AND(17&gt;=Personnel!$E$41,Personnel!$G$41="Yes"),Personnel!$D$41*(1-Personnel!$H$41)*(1-Personnel!$I$41),0)+IF(AND(17&gt;=Personnel!$E$42,Personnel!$G$42="Yes"),Personnel!$D$42*(1-Personnel!$H$42)*(1-Personnel!$I$42),0))*Escalation!$B$18</f>
        <v>11687.5</v>
      </c>
      <c r="T5" s="231">
        <f>(IF(AND(18&gt;=Personnel!$E$36,Personnel!$G$36="Yes"),Personnel!$D$36*(1-Personnel!$H$36)*(1-Personnel!$I$36),0)+IF(AND(18&gt;=Personnel!$E$37,Personnel!$G$37="Yes"),Personnel!$D$37*(1-Personnel!$H$37)*(1-Personnel!$I$37),0)+IF(AND(18&gt;=Personnel!$E$38,Personnel!$G$38="Yes"),Personnel!$D$38*(1-Personnel!$H$38)*(1-Personnel!$I$38),0)+IF(AND(18&gt;=Personnel!$E$39,Personnel!$G$39="Yes"),Personnel!$D$39*(1-Personnel!$H$39)*(1-Personnel!$I$39),0)+IF(AND(18&gt;=Personnel!$E$40,Personnel!$G$40="Yes"),Personnel!$D$40*(1-Personnel!$H$40)*(1-Personnel!$I$40),0)+IF(AND(18&gt;=Personnel!$E$41,Personnel!$G$41="Yes"),Personnel!$D$41*(1-Personnel!$H$41)*(1-Personnel!$I$41),0)+IF(AND(18&gt;=Personnel!$E$42,Personnel!$G$42="Yes"),Personnel!$D$42*(1-Personnel!$H$42)*(1-Personnel!$I$42),0))*Escalation!$B$19</f>
        <v>11687.5</v>
      </c>
      <c r="U5" s="231">
        <f>(IF(AND(19&gt;=Personnel!$E$36,Personnel!$G$36="Yes"),Personnel!$D$36*(1-Personnel!$H$36)*(1-Personnel!$I$36),0)+IF(AND(19&gt;=Personnel!$E$37,Personnel!$G$37="Yes"),Personnel!$D$37*(1-Personnel!$H$37)*(1-Personnel!$I$37),0)+IF(AND(19&gt;=Personnel!$E$38,Personnel!$G$38="Yes"),Personnel!$D$38*(1-Personnel!$H$38)*(1-Personnel!$I$38),0)+IF(AND(19&gt;=Personnel!$E$39,Personnel!$G$39="Yes"),Personnel!$D$39*(1-Personnel!$H$39)*(1-Personnel!$I$39),0)+IF(AND(19&gt;=Personnel!$E$40,Personnel!$G$40="Yes"),Personnel!$D$40*(1-Personnel!$H$40)*(1-Personnel!$I$40),0)+IF(AND(19&gt;=Personnel!$E$41,Personnel!$G$41="Yes"),Personnel!$D$41*(1-Personnel!$H$41)*(1-Personnel!$I$41),0)+IF(AND(19&gt;=Personnel!$E$42,Personnel!$G$42="Yes"),Personnel!$D$42*(1-Personnel!$H$42)*(1-Personnel!$I$42),0))*Escalation!$B$20</f>
        <v>11687.5</v>
      </c>
      <c r="V5" s="231">
        <f>(IF(AND(20&gt;=Personnel!$E$36,Personnel!$G$36="Yes"),Personnel!$D$36*(1-Personnel!$H$36)*(1-Personnel!$I$36),0)+IF(AND(20&gt;=Personnel!$E$37,Personnel!$G$37="Yes"),Personnel!$D$37*(1-Personnel!$H$37)*(1-Personnel!$I$37),0)+IF(AND(20&gt;=Personnel!$E$38,Personnel!$G$38="Yes"),Personnel!$D$38*(1-Personnel!$H$38)*(1-Personnel!$I$38),0)+IF(AND(20&gt;=Personnel!$E$39,Personnel!$G$39="Yes"),Personnel!$D$39*(1-Personnel!$H$39)*(1-Personnel!$I$39),0)+IF(AND(20&gt;=Personnel!$E$40,Personnel!$G$40="Yes"),Personnel!$D$40*(1-Personnel!$H$40)*(1-Personnel!$I$40),0)+IF(AND(20&gt;=Personnel!$E$41,Personnel!$G$41="Yes"),Personnel!$D$41*(1-Personnel!$H$41)*(1-Personnel!$I$41),0)+IF(AND(20&gt;=Personnel!$E$42,Personnel!$G$42="Yes"),Personnel!$D$42*(1-Personnel!$H$42)*(1-Personnel!$I$42),0))*Escalation!$B$21</f>
        <v>11687.5</v>
      </c>
      <c r="W5" s="231">
        <f>(IF(AND(21&gt;=Personnel!$E$36,Personnel!$G$36="Yes"),Personnel!$D$36*(1-Personnel!$H$36)*(1-Personnel!$I$36),0)+IF(AND(21&gt;=Personnel!$E$37,Personnel!$G$37="Yes"),Personnel!$D$37*(1-Personnel!$H$37)*(1-Personnel!$I$37),0)+IF(AND(21&gt;=Personnel!$E$38,Personnel!$G$38="Yes"),Personnel!$D$38*(1-Personnel!$H$38)*(1-Personnel!$I$38),0)+IF(AND(21&gt;=Personnel!$E$39,Personnel!$G$39="Yes"),Personnel!$D$39*(1-Personnel!$H$39)*(1-Personnel!$I$39),0)+IF(AND(21&gt;=Personnel!$E$40,Personnel!$G$40="Yes"),Personnel!$D$40*(1-Personnel!$H$40)*(1-Personnel!$I$40),0)+IF(AND(21&gt;=Personnel!$E$41,Personnel!$G$41="Yes"),Personnel!$D$41*(1-Personnel!$H$41)*(1-Personnel!$I$41),0)+IF(AND(21&gt;=Personnel!$E$42,Personnel!$G$42="Yes"),Personnel!$D$42*(1-Personnel!$H$42)*(1-Personnel!$I$42),0))*Escalation!$B$22</f>
        <v>11687.5</v>
      </c>
      <c r="X5" s="231">
        <f>(IF(AND(22&gt;=Personnel!$E$36,Personnel!$G$36="Yes"),Personnel!$D$36*(1-Personnel!$H$36)*(1-Personnel!$I$36),0)+IF(AND(22&gt;=Personnel!$E$37,Personnel!$G$37="Yes"),Personnel!$D$37*(1-Personnel!$H$37)*(1-Personnel!$I$37),0)+IF(AND(22&gt;=Personnel!$E$38,Personnel!$G$38="Yes"),Personnel!$D$38*(1-Personnel!$H$38)*(1-Personnel!$I$38),0)+IF(AND(22&gt;=Personnel!$E$39,Personnel!$G$39="Yes"),Personnel!$D$39*(1-Personnel!$H$39)*(1-Personnel!$I$39),0)+IF(AND(22&gt;=Personnel!$E$40,Personnel!$G$40="Yes"),Personnel!$D$40*(1-Personnel!$H$40)*(1-Personnel!$I$40),0)+IF(AND(22&gt;=Personnel!$E$41,Personnel!$G$41="Yes"),Personnel!$D$41*(1-Personnel!$H$41)*(1-Personnel!$I$41),0)+IF(AND(22&gt;=Personnel!$E$42,Personnel!$G$42="Yes"),Personnel!$D$42*(1-Personnel!$H$42)*(1-Personnel!$I$42),0))*Escalation!$B$23</f>
        <v>11687.5</v>
      </c>
      <c r="Y5" s="231">
        <f>(IF(AND(23&gt;=Personnel!$E$36,Personnel!$G$36="Yes"),Personnel!$D$36*(1-Personnel!$H$36)*(1-Personnel!$I$36),0)+IF(AND(23&gt;=Personnel!$E$37,Personnel!$G$37="Yes"),Personnel!$D$37*(1-Personnel!$H$37)*(1-Personnel!$I$37),0)+IF(AND(23&gt;=Personnel!$E$38,Personnel!$G$38="Yes"),Personnel!$D$38*(1-Personnel!$H$38)*(1-Personnel!$I$38),0)+IF(AND(23&gt;=Personnel!$E$39,Personnel!$G$39="Yes"),Personnel!$D$39*(1-Personnel!$H$39)*(1-Personnel!$I$39),0)+IF(AND(23&gt;=Personnel!$E$40,Personnel!$G$40="Yes"),Personnel!$D$40*(1-Personnel!$H$40)*(1-Personnel!$I$40),0)+IF(AND(23&gt;=Personnel!$E$41,Personnel!$G$41="Yes"),Personnel!$D$41*(1-Personnel!$H$41)*(1-Personnel!$I$41),0)+IF(AND(23&gt;=Personnel!$E$42,Personnel!$G$42="Yes"),Personnel!$D$42*(1-Personnel!$H$42)*(1-Personnel!$I$42),0))*Escalation!$B$24</f>
        <v>11687.5</v>
      </c>
      <c r="Z5" s="231">
        <f>(IF(AND(24&gt;=Personnel!$E$36,Personnel!$G$36="Yes"),Personnel!$D$36*(1-Personnel!$H$36)*(1-Personnel!$I$36),0)+IF(AND(24&gt;=Personnel!$E$37,Personnel!$G$37="Yes"),Personnel!$D$37*(1-Personnel!$H$37)*(1-Personnel!$I$37),0)+IF(AND(24&gt;=Personnel!$E$38,Personnel!$G$38="Yes"),Personnel!$D$38*(1-Personnel!$H$38)*(1-Personnel!$I$38),0)+IF(AND(24&gt;=Personnel!$E$39,Personnel!$G$39="Yes"),Personnel!$D$39*(1-Personnel!$H$39)*(1-Personnel!$I$39),0)+IF(AND(24&gt;=Personnel!$E$40,Personnel!$G$40="Yes"),Personnel!$D$40*(1-Personnel!$H$40)*(1-Personnel!$I$40),0)+IF(AND(24&gt;=Personnel!$E$41,Personnel!$G$41="Yes"),Personnel!$D$41*(1-Personnel!$H$41)*(1-Personnel!$I$41),0)+IF(AND(24&gt;=Personnel!$E$42,Personnel!$G$42="Yes"),Personnel!$D$42*(1-Personnel!$H$42)*(1-Personnel!$I$42),0))*Escalation!$B$25</f>
        <v>11687.5</v>
      </c>
      <c r="AA5" s="231">
        <f>(IF(AND(25&gt;=Personnel!$E$36,Personnel!$G$36="Yes"),Personnel!$D$36*(1-Personnel!$H$36)*(1-Personnel!$I$36),0)+IF(AND(25&gt;=Personnel!$E$37,Personnel!$G$37="Yes"),Personnel!$D$37*(1-Personnel!$H$37)*(1-Personnel!$I$37),0)+IF(AND(25&gt;=Personnel!$E$38,Personnel!$G$38="Yes"),Personnel!$D$38*(1-Personnel!$H$38)*(1-Personnel!$I$38),0)+IF(AND(25&gt;=Personnel!$E$39,Personnel!$G$39="Yes"),Personnel!$D$39*(1-Personnel!$H$39)*(1-Personnel!$I$39),0)+IF(AND(25&gt;=Personnel!$E$40,Personnel!$G$40="Yes"),Personnel!$D$40*(1-Personnel!$H$40)*(1-Personnel!$I$40),0)+IF(AND(25&gt;=Personnel!$E$41,Personnel!$G$41="Yes"),Personnel!$D$41*(1-Personnel!$H$41)*(1-Personnel!$I$41),0)+IF(AND(25&gt;=Personnel!$E$42,Personnel!$G$42="Yes"),Personnel!$D$42*(1-Personnel!$H$42)*(1-Personnel!$I$42),0))*Escalation!$B$26</f>
        <v>11921.25</v>
      </c>
      <c r="AB5" s="231">
        <f>(IF(AND(26&gt;=Personnel!$E$36,Personnel!$G$36="Yes"),Personnel!$D$36*(1-Personnel!$H$36)*(1-Personnel!$I$36),0)+IF(AND(26&gt;=Personnel!$E$37,Personnel!$G$37="Yes"),Personnel!$D$37*(1-Personnel!$H$37)*(1-Personnel!$I$37),0)+IF(AND(26&gt;=Personnel!$E$38,Personnel!$G$38="Yes"),Personnel!$D$38*(1-Personnel!$H$38)*(1-Personnel!$I$38),0)+IF(AND(26&gt;=Personnel!$E$39,Personnel!$G$39="Yes"),Personnel!$D$39*(1-Personnel!$H$39)*(1-Personnel!$I$39),0)+IF(AND(26&gt;=Personnel!$E$40,Personnel!$G$40="Yes"),Personnel!$D$40*(1-Personnel!$H$40)*(1-Personnel!$I$40),0)+IF(AND(26&gt;=Personnel!$E$41,Personnel!$G$41="Yes"),Personnel!$D$41*(1-Personnel!$H$41)*(1-Personnel!$I$41),0)+IF(AND(26&gt;=Personnel!$E$42,Personnel!$G$42="Yes"),Personnel!$D$42*(1-Personnel!$H$42)*(1-Personnel!$I$42),0))*Escalation!$B$27</f>
        <v>11921.25</v>
      </c>
      <c r="AC5" s="231">
        <f>(IF(AND(27&gt;=Personnel!$E$36,Personnel!$G$36="Yes"),Personnel!$D$36*(1-Personnel!$H$36)*(1-Personnel!$I$36),0)+IF(AND(27&gt;=Personnel!$E$37,Personnel!$G$37="Yes"),Personnel!$D$37*(1-Personnel!$H$37)*(1-Personnel!$I$37),0)+IF(AND(27&gt;=Personnel!$E$38,Personnel!$G$38="Yes"),Personnel!$D$38*(1-Personnel!$H$38)*(1-Personnel!$I$38),0)+IF(AND(27&gt;=Personnel!$E$39,Personnel!$G$39="Yes"),Personnel!$D$39*(1-Personnel!$H$39)*(1-Personnel!$I$39),0)+IF(AND(27&gt;=Personnel!$E$40,Personnel!$G$40="Yes"),Personnel!$D$40*(1-Personnel!$H$40)*(1-Personnel!$I$40),0)+IF(AND(27&gt;=Personnel!$E$41,Personnel!$G$41="Yes"),Personnel!$D$41*(1-Personnel!$H$41)*(1-Personnel!$I$41),0)+IF(AND(27&gt;=Personnel!$E$42,Personnel!$G$42="Yes"),Personnel!$D$42*(1-Personnel!$H$42)*(1-Personnel!$I$42),0))*Escalation!$B$28</f>
        <v>11921.25</v>
      </c>
      <c r="AD5" s="231">
        <f>(IF(AND(28&gt;=Personnel!$E$36,Personnel!$G$36="Yes"),Personnel!$D$36*(1-Personnel!$H$36)*(1-Personnel!$I$36),0)+IF(AND(28&gt;=Personnel!$E$37,Personnel!$G$37="Yes"),Personnel!$D$37*(1-Personnel!$H$37)*(1-Personnel!$I$37),0)+IF(AND(28&gt;=Personnel!$E$38,Personnel!$G$38="Yes"),Personnel!$D$38*(1-Personnel!$H$38)*(1-Personnel!$I$38),0)+IF(AND(28&gt;=Personnel!$E$39,Personnel!$G$39="Yes"),Personnel!$D$39*(1-Personnel!$H$39)*(1-Personnel!$I$39),0)+IF(AND(28&gt;=Personnel!$E$40,Personnel!$G$40="Yes"),Personnel!$D$40*(1-Personnel!$H$40)*(1-Personnel!$I$40),0)+IF(AND(28&gt;=Personnel!$E$41,Personnel!$G$41="Yes"),Personnel!$D$41*(1-Personnel!$H$41)*(1-Personnel!$I$41),0)+IF(AND(28&gt;=Personnel!$E$42,Personnel!$G$42="Yes"),Personnel!$D$42*(1-Personnel!$H$42)*(1-Personnel!$I$42),0))*Escalation!$B$29</f>
        <v>11921.25</v>
      </c>
      <c r="AE5" s="231">
        <f>(IF(AND(29&gt;=Personnel!$E$36,Personnel!$G$36="Yes"),Personnel!$D$36*(1-Personnel!$H$36)*(1-Personnel!$I$36),0)+IF(AND(29&gt;=Personnel!$E$37,Personnel!$G$37="Yes"),Personnel!$D$37*(1-Personnel!$H$37)*(1-Personnel!$I$37),0)+IF(AND(29&gt;=Personnel!$E$38,Personnel!$G$38="Yes"),Personnel!$D$38*(1-Personnel!$H$38)*(1-Personnel!$I$38),0)+IF(AND(29&gt;=Personnel!$E$39,Personnel!$G$39="Yes"),Personnel!$D$39*(1-Personnel!$H$39)*(1-Personnel!$I$39),0)+IF(AND(29&gt;=Personnel!$E$40,Personnel!$G$40="Yes"),Personnel!$D$40*(1-Personnel!$H$40)*(1-Personnel!$I$40),0)+IF(AND(29&gt;=Personnel!$E$41,Personnel!$G$41="Yes"),Personnel!$D$41*(1-Personnel!$H$41)*(1-Personnel!$I$41),0)+IF(AND(29&gt;=Personnel!$E$42,Personnel!$G$42="Yes"),Personnel!$D$42*(1-Personnel!$H$42)*(1-Personnel!$I$42),0))*Escalation!$B$30</f>
        <v>11921.25</v>
      </c>
      <c r="AF5" s="231">
        <f>(IF(AND(30&gt;=Personnel!$E$36,Personnel!$G$36="Yes"),Personnel!$D$36*(1-Personnel!$H$36)*(1-Personnel!$I$36),0)+IF(AND(30&gt;=Personnel!$E$37,Personnel!$G$37="Yes"),Personnel!$D$37*(1-Personnel!$H$37)*(1-Personnel!$I$37),0)+IF(AND(30&gt;=Personnel!$E$38,Personnel!$G$38="Yes"),Personnel!$D$38*(1-Personnel!$H$38)*(1-Personnel!$I$38),0)+IF(AND(30&gt;=Personnel!$E$39,Personnel!$G$39="Yes"),Personnel!$D$39*(1-Personnel!$H$39)*(1-Personnel!$I$39),0)+IF(AND(30&gt;=Personnel!$E$40,Personnel!$G$40="Yes"),Personnel!$D$40*(1-Personnel!$H$40)*(1-Personnel!$I$40),0)+IF(AND(30&gt;=Personnel!$E$41,Personnel!$G$41="Yes"),Personnel!$D$41*(1-Personnel!$H$41)*(1-Personnel!$I$41),0)+IF(AND(30&gt;=Personnel!$E$42,Personnel!$G$42="Yes"),Personnel!$D$42*(1-Personnel!$H$42)*(1-Personnel!$I$42),0))*Escalation!$B$31</f>
        <v>11921.25</v>
      </c>
      <c r="AG5" s="231">
        <f>(IF(AND(31&gt;=Personnel!$E$36,Personnel!$G$36="Yes"),Personnel!$D$36*(1-Personnel!$H$36)*(1-Personnel!$I$36),0)+IF(AND(31&gt;=Personnel!$E$37,Personnel!$G$37="Yes"),Personnel!$D$37*(1-Personnel!$H$37)*(1-Personnel!$I$37),0)+IF(AND(31&gt;=Personnel!$E$38,Personnel!$G$38="Yes"),Personnel!$D$38*(1-Personnel!$H$38)*(1-Personnel!$I$38),0)+IF(AND(31&gt;=Personnel!$E$39,Personnel!$G$39="Yes"),Personnel!$D$39*(1-Personnel!$H$39)*(1-Personnel!$I$39),0)+IF(AND(31&gt;=Personnel!$E$40,Personnel!$G$40="Yes"),Personnel!$D$40*(1-Personnel!$H$40)*(1-Personnel!$I$40),0)+IF(AND(31&gt;=Personnel!$E$41,Personnel!$G$41="Yes"),Personnel!$D$41*(1-Personnel!$H$41)*(1-Personnel!$I$41),0)+IF(AND(31&gt;=Personnel!$E$42,Personnel!$G$42="Yes"),Personnel!$D$42*(1-Personnel!$H$42)*(1-Personnel!$I$42),0))*Escalation!$B$32</f>
        <v>11921.25</v>
      </c>
      <c r="AH5" s="231">
        <f>(IF(AND(32&gt;=Personnel!$E$36,Personnel!$G$36="Yes"),Personnel!$D$36*(1-Personnel!$H$36)*(1-Personnel!$I$36),0)+IF(AND(32&gt;=Personnel!$E$37,Personnel!$G$37="Yes"),Personnel!$D$37*(1-Personnel!$H$37)*(1-Personnel!$I$37),0)+IF(AND(32&gt;=Personnel!$E$38,Personnel!$G$38="Yes"),Personnel!$D$38*(1-Personnel!$H$38)*(1-Personnel!$I$38),0)+IF(AND(32&gt;=Personnel!$E$39,Personnel!$G$39="Yes"),Personnel!$D$39*(1-Personnel!$H$39)*(1-Personnel!$I$39),0)+IF(AND(32&gt;=Personnel!$E$40,Personnel!$G$40="Yes"),Personnel!$D$40*(1-Personnel!$H$40)*(1-Personnel!$I$40),0)+IF(AND(32&gt;=Personnel!$E$41,Personnel!$G$41="Yes"),Personnel!$D$41*(1-Personnel!$H$41)*(1-Personnel!$I$41),0)+IF(AND(32&gt;=Personnel!$E$42,Personnel!$G$42="Yes"),Personnel!$D$42*(1-Personnel!$H$42)*(1-Personnel!$I$42),0))*Escalation!$B$33</f>
        <v>11921.25</v>
      </c>
      <c r="AI5" s="231">
        <f>(IF(AND(33&gt;=Personnel!$E$36,Personnel!$G$36="Yes"),Personnel!$D$36*(1-Personnel!$H$36)*(1-Personnel!$I$36),0)+IF(AND(33&gt;=Personnel!$E$37,Personnel!$G$37="Yes"),Personnel!$D$37*(1-Personnel!$H$37)*(1-Personnel!$I$37),0)+IF(AND(33&gt;=Personnel!$E$38,Personnel!$G$38="Yes"),Personnel!$D$38*(1-Personnel!$H$38)*(1-Personnel!$I$38),0)+IF(AND(33&gt;=Personnel!$E$39,Personnel!$G$39="Yes"),Personnel!$D$39*(1-Personnel!$H$39)*(1-Personnel!$I$39),0)+IF(AND(33&gt;=Personnel!$E$40,Personnel!$G$40="Yes"),Personnel!$D$40*(1-Personnel!$H$40)*(1-Personnel!$I$40),0)+IF(AND(33&gt;=Personnel!$E$41,Personnel!$G$41="Yes"),Personnel!$D$41*(1-Personnel!$H$41)*(1-Personnel!$I$41),0)+IF(AND(33&gt;=Personnel!$E$42,Personnel!$G$42="Yes"),Personnel!$D$42*(1-Personnel!$H$42)*(1-Personnel!$I$42),0))*Escalation!$B$34</f>
        <v>11921.25</v>
      </c>
      <c r="AJ5" s="231">
        <f>(IF(AND(34&gt;=Personnel!$E$36,Personnel!$G$36="Yes"),Personnel!$D$36*(1-Personnel!$H$36)*(1-Personnel!$I$36),0)+IF(AND(34&gt;=Personnel!$E$37,Personnel!$G$37="Yes"),Personnel!$D$37*(1-Personnel!$H$37)*(1-Personnel!$I$37),0)+IF(AND(34&gt;=Personnel!$E$38,Personnel!$G$38="Yes"),Personnel!$D$38*(1-Personnel!$H$38)*(1-Personnel!$I$38),0)+IF(AND(34&gt;=Personnel!$E$39,Personnel!$G$39="Yes"),Personnel!$D$39*(1-Personnel!$H$39)*(1-Personnel!$I$39),0)+IF(AND(34&gt;=Personnel!$E$40,Personnel!$G$40="Yes"),Personnel!$D$40*(1-Personnel!$H$40)*(1-Personnel!$I$40),0)+IF(AND(34&gt;=Personnel!$E$41,Personnel!$G$41="Yes"),Personnel!$D$41*(1-Personnel!$H$41)*(1-Personnel!$I$41),0)+IF(AND(34&gt;=Personnel!$E$42,Personnel!$G$42="Yes"),Personnel!$D$42*(1-Personnel!$H$42)*(1-Personnel!$I$42),0))*Escalation!$B$35</f>
        <v>11921.25</v>
      </c>
      <c r="AK5" s="231">
        <f>(IF(AND(35&gt;=Personnel!$E$36,Personnel!$G$36="Yes"),Personnel!$D$36*(1-Personnel!$H$36)*(1-Personnel!$I$36),0)+IF(AND(35&gt;=Personnel!$E$37,Personnel!$G$37="Yes"),Personnel!$D$37*(1-Personnel!$H$37)*(1-Personnel!$I$37),0)+IF(AND(35&gt;=Personnel!$E$38,Personnel!$G$38="Yes"),Personnel!$D$38*(1-Personnel!$H$38)*(1-Personnel!$I$38),0)+IF(AND(35&gt;=Personnel!$E$39,Personnel!$G$39="Yes"),Personnel!$D$39*(1-Personnel!$H$39)*(1-Personnel!$I$39),0)+IF(AND(35&gt;=Personnel!$E$40,Personnel!$G$40="Yes"),Personnel!$D$40*(1-Personnel!$H$40)*(1-Personnel!$I$40),0)+IF(AND(35&gt;=Personnel!$E$41,Personnel!$G$41="Yes"),Personnel!$D$41*(1-Personnel!$H$41)*(1-Personnel!$I$41),0)+IF(AND(35&gt;=Personnel!$E$42,Personnel!$G$42="Yes"),Personnel!$D$42*(1-Personnel!$H$42)*(1-Personnel!$I$42),0))*Escalation!$B$36</f>
        <v>11921.25</v>
      </c>
      <c r="AL5" s="231">
        <f>(IF(AND(36&gt;=Personnel!$E$36,Personnel!$G$36="Yes"),Personnel!$D$36*(1-Personnel!$H$36)*(1-Personnel!$I$36),0)+IF(AND(36&gt;=Personnel!$E$37,Personnel!$G$37="Yes"),Personnel!$D$37*(1-Personnel!$H$37)*(1-Personnel!$I$37),0)+IF(AND(36&gt;=Personnel!$E$38,Personnel!$G$38="Yes"),Personnel!$D$38*(1-Personnel!$H$38)*(1-Personnel!$I$38),0)+IF(AND(36&gt;=Personnel!$E$39,Personnel!$G$39="Yes"),Personnel!$D$39*(1-Personnel!$H$39)*(1-Personnel!$I$39),0)+IF(AND(36&gt;=Personnel!$E$40,Personnel!$G$40="Yes"),Personnel!$D$40*(1-Personnel!$H$40)*(1-Personnel!$I$40),0)+IF(AND(36&gt;=Personnel!$E$41,Personnel!$G$41="Yes"),Personnel!$D$41*(1-Personnel!$H$41)*(1-Personnel!$I$41),0)+IF(AND(36&gt;=Personnel!$E$42,Personnel!$G$42="Yes"),Personnel!$D$42*(1-Personnel!$H$42)*(1-Personnel!$I$42),0))*Escalation!$B$37</f>
        <v>11921.25</v>
      </c>
      <c r="AM5" s="231">
        <f>(IF(AND(37&gt;=Personnel!$E$36,Personnel!$G$36="Yes"),Personnel!$D$36*(1-Personnel!$H$36)*(1-Personnel!$I$36),0)+IF(AND(37&gt;=Personnel!$E$37,Personnel!$G$37="Yes"),Personnel!$D$37*(1-Personnel!$H$37)*(1-Personnel!$I$37),0)+IF(AND(37&gt;=Personnel!$E$38,Personnel!$G$38="Yes"),Personnel!$D$38*(1-Personnel!$H$38)*(1-Personnel!$I$38),0)+IF(AND(37&gt;=Personnel!$E$39,Personnel!$G$39="Yes"),Personnel!$D$39*(1-Personnel!$H$39)*(1-Personnel!$I$39),0)+IF(AND(37&gt;=Personnel!$E$40,Personnel!$G$40="Yes"),Personnel!$D$40*(1-Personnel!$H$40)*(1-Personnel!$I$40),0)+IF(AND(37&gt;=Personnel!$E$41,Personnel!$G$41="Yes"),Personnel!$D$41*(1-Personnel!$H$41)*(1-Personnel!$I$41),0)+IF(AND(37&gt;=Personnel!$E$42,Personnel!$G$42="Yes"),Personnel!$D$42*(1-Personnel!$H$42)*(1-Personnel!$I$42),0))*Escalation!$B$38</f>
        <v>12159.674999999999</v>
      </c>
      <c r="AN5" s="231">
        <f>(IF(AND(38&gt;=Personnel!$E$36,Personnel!$G$36="Yes"),Personnel!$D$36*(1-Personnel!$H$36)*(1-Personnel!$I$36),0)+IF(AND(38&gt;=Personnel!$E$37,Personnel!$G$37="Yes"),Personnel!$D$37*(1-Personnel!$H$37)*(1-Personnel!$I$37),0)+IF(AND(38&gt;=Personnel!$E$38,Personnel!$G$38="Yes"),Personnel!$D$38*(1-Personnel!$H$38)*(1-Personnel!$I$38),0)+IF(AND(38&gt;=Personnel!$E$39,Personnel!$G$39="Yes"),Personnel!$D$39*(1-Personnel!$H$39)*(1-Personnel!$I$39),0)+IF(AND(38&gt;=Personnel!$E$40,Personnel!$G$40="Yes"),Personnel!$D$40*(1-Personnel!$H$40)*(1-Personnel!$I$40),0)+IF(AND(38&gt;=Personnel!$E$41,Personnel!$G$41="Yes"),Personnel!$D$41*(1-Personnel!$H$41)*(1-Personnel!$I$41),0)+IF(AND(38&gt;=Personnel!$E$42,Personnel!$G$42="Yes"),Personnel!$D$42*(1-Personnel!$H$42)*(1-Personnel!$I$42),0))*Escalation!$B$39</f>
        <v>12159.674999999999</v>
      </c>
      <c r="AO5" s="231">
        <f>(IF(AND(39&gt;=Personnel!$E$36,Personnel!$G$36="Yes"),Personnel!$D$36*(1-Personnel!$H$36)*(1-Personnel!$I$36),0)+IF(AND(39&gt;=Personnel!$E$37,Personnel!$G$37="Yes"),Personnel!$D$37*(1-Personnel!$H$37)*(1-Personnel!$I$37),0)+IF(AND(39&gt;=Personnel!$E$38,Personnel!$G$38="Yes"),Personnel!$D$38*(1-Personnel!$H$38)*(1-Personnel!$I$38),0)+IF(AND(39&gt;=Personnel!$E$39,Personnel!$G$39="Yes"),Personnel!$D$39*(1-Personnel!$H$39)*(1-Personnel!$I$39),0)+IF(AND(39&gt;=Personnel!$E$40,Personnel!$G$40="Yes"),Personnel!$D$40*(1-Personnel!$H$40)*(1-Personnel!$I$40),0)+IF(AND(39&gt;=Personnel!$E$41,Personnel!$G$41="Yes"),Personnel!$D$41*(1-Personnel!$H$41)*(1-Personnel!$I$41),0)+IF(AND(39&gt;=Personnel!$E$42,Personnel!$G$42="Yes"),Personnel!$D$42*(1-Personnel!$H$42)*(1-Personnel!$I$42),0))*Escalation!$B$40</f>
        <v>12159.674999999999</v>
      </c>
      <c r="AP5" s="231">
        <f>(IF(AND(40&gt;=Personnel!$E$36,Personnel!$G$36="Yes"),Personnel!$D$36*(1-Personnel!$H$36)*(1-Personnel!$I$36),0)+IF(AND(40&gt;=Personnel!$E$37,Personnel!$G$37="Yes"),Personnel!$D$37*(1-Personnel!$H$37)*(1-Personnel!$I$37),0)+IF(AND(40&gt;=Personnel!$E$38,Personnel!$G$38="Yes"),Personnel!$D$38*(1-Personnel!$H$38)*(1-Personnel!$I$38),0)+IF(AND(40&gt;=Personnel!$E$39,Personnel!$G$39="Yes"),Personnel!$D$39*(1-Personnel!$H$39)*(1-Personnel!$I$39),0)+IF(AND(40&gt;=Personnel!$E$40,Personnel!$G$40="Yes"),Personnel!$D$40*(1-Personnel!$H$40)*(1-Personnel!$I$40),0)+IF(AND(40&gt;=Personnel!$E$41,Personnel!$G$41="Yes"),Personnel!$D$41*(1-Personnel!$H$41)*(1-Personnel!$I$41),0)+IF(AND(40&gt;=Personnel!$E$42,Personnel!$G$42="Yes"),Personnel!$D$42*(1-Personnel!$H$42)*(1-Personnel!$I$42),0))*Escalation!$B$41</f>
        <v>12159.674999999999</v>
      </c>
      <c r="AQ5" s="231">
        <f>(IF(AND(41&gt;=Personnel!$E$36,Personnel!$G$36="Yes"),Personnel!$D$36*(1-Personnel!$H$36)*(1-Personnel!$I$36),0)+IF(AND(41&gt;=Personnel!$E$37,Personnel!$G$37="Yes"),Personnel!$D$37*(1-Personnel!$H$37)*(1-Personnel!$I$37),0)+IF(AND(41&gt;=Personnel!$E$38,Personnel!$G$38="Yes"),Personnel!$D$38*(1-Personnel!$H$38)*(1-Personnel!$I$38),0)+IF(AND(41&gt;=Personnel!$E$39,Personnel!$G$39="Yes"),Personnel!$D$39*(1-Personnel!$H$39)*(1-Personnel!$I$39),0)+IF(AND(41&gt;=Personnel!$E$40,Personnel!$G$40="Yes"),Personnel!$D$40*(1-Personnel!$H$40)*(1-Personnel!$I$40),0)+IF(AND(41&gt;=Personnel!$E$41,Personnel!$G$41="Yes"),Personnel!$D$41*(1-Personnel!$H$41)*(1-Personnel!$I$41),0)+IF(AND(41&gt;=Personnel!$E$42,Personnel!$G$42="Yes"),Personnel!$D$42*(1-Personnel!$H$42)*(1-Personnel!$I$42),0))*Escalation!$B$42</f>
        <v>12159.674999999999</v>
      </c>
      <c r="AR5" s="231">
        <f>(IF(AND(42&gt;=Personnel!$E$36,Personnel!$G$36="Yes"),Personnel!$D$36*(1-Personnel!$H$36)*(1-Personnel!$I$36),0)+IF(AND(42&gt;=Personnel!$E$37,Personnel!$G$37="Yes"),Personnel!$D$37*(1-Personnel!$H$37)*(1-Personnel!$I$37),0)+IF(AND(42&gt;=Personnel!$E$38,Personnel!$G$38="Yes"),Personnel!$D$38*(1-Personnel!$H$38)*(1-Personnel!$I$38),0)+IF(AND(42&gt;=Personnel!$E$39,Personnel!$G$39="Yes"),Personnel!$D$39*(1-Personnel!$H$39)*(1-Personnel!$I$39),0)+IF(AND(42&gt;=Personnel!$E$40,Personnel!$G$40="Yes"),Personnel!$D$40*(1-Personnel!$H$40)*(1-Personnel!$I$40),0)+IF(AND(42&gt;=Personnel!$E$41,Personnel!$G$41="Yes"),Personnel!$D$41*(1-Personnel!$H$41)*(1-Personnel!$I$41),0)+IF(AND(42&gt;=Personnel!$E$42,Personnel!$G$42="Yes"),Personnel!$D$42*(1-Personnel!$H$42)*(1-Personnel!$I$42),0))*Escalation!$B$43</f>
        <v>12159.674999999999</v>
      </c>
      <c r="AS5" s="231">
        <f>(IF(AND(43&gt;=Personnel!$E$36,Personnel!$G$36="Yes"),Personnel!$D$36*(1-Personnel!$H$36)*(1-Personnel!$I$36),0)+IF(AND(43&gt;=Personnel!$E$37,Personnel!$G$37="Yes"),Personnel!$D$37*(1-Personnel!$H$37)*(1-Personnel!$I$37),0)+IF(AND(43&gt;=Personnel!$E$38,Personnel!$G$38="Yes"),Personnel!$D$38*(1-Personnel!$H$38)*(1-Personnel!$I$38),0)+IF(AND(43&gt;=Personnel!$E$39,Personnel!$G$39="Yes"),Personnel!$D$39*(1-Personnel!$H$39)*(1-Personnel!$I$39),0)+IF(AND(43&gt;=Personnel!$E$40,Personnel!$G$40="Yes"),Personnel!$D$40*(1-Personnel!$H$40)*(1-Personnel!$I$40),0)+IF(AND(43&gt;=Personnel!$E$41,Personnel!$G$41="Yes"),Personnel!$D$41*(1-Personnel!$H$41)*(1-Personnel!$I$41),0)+IF(AND(43&gt;=Personnel!$E$42,Personnel!$G$42="Yes"),Personnel!$D$42*(1-Personnel!$H$42)*(1-Personnel!$I$42),0))*Escalation!$B$44</f>
        <v>12159.674999999999</v>
      </c>
      <c r="AT5" s="231">
        <f>(IF(AND(44&gt;=Personnel!$E$36,Personnel!$G$36="Yes"),Personnel!$D$36*(1-Personnel!$H$36)*(1-Personnel!$I$36),0)+IF(AND(44&gt;=Personnel!$E$37,Personnel!$G$37="Yes"),Personnel!$D$37*(1-Personnel!$H$37)*(1-Personnel!$I$37),0)+IF(AND(44&gt;=Personnel!$E$38,Personnel!$G$38="Yes"),Personnel!$D$38*(1-Personnel!$H$38)*(1-Personnel!$I$38),0)+IF(AND(44&gt;=Personnel!$E$39,Personnel!$G$39="Yes"),Personnel!$D$39*(1-Personnel!$H$39)*(1-Personnel!$I$39),0)+IF(AND(44&gt;=Personnel!$E$40,Personnel!$G$40="Yes"),Personnel!$D$40*(1-Personnel!$H$40)*(1-Personnel!$I$40),0)+IF(AND(44&gt;=Personnel!$E$41,Personnel!$G$41="Yes"),Personnel!$D$41*(1-Personnel!$H$41)*(1-Personnel!$I$41),0)+IF(AND(44&gt;=Personnel!$E$42,Personnel!$G$42="Yes"),Personnel!$D$42*(1-Personnel!$H$42)*(1-Personnel!$I$42),0))*Escalation!$B$45</f>
        <v>12159.674999999999</v>
      </c>
      <c r="AU5" s="231">
        <f>(IF(AND(45&gt;=Personnel!$E$36,Personnel!$G$36="Yes"),Personnel!$D$36*(1-Personnel!$H$36)*(1-Personnel!$I$36),0)+IF(AND(45&gt;=Personnel!$E$37,Personnel!$G$37="Yes"),Personnel!$D$37*(1-Personnel!$H$37)*(1-Personnel!$I$37),0)+IF(AND(45&gt;=Personnel!$E$38,Personnel!$G$38="Yes"),Personnel!$D$38*(1-Personnel!$H$38)*(1-Personnel!$I$38),0)+IF(AND(45&gt;=Personnel!$E$39,Personnel!$G$39="Yes"),Personnel!$D$39*(1-Personnel!$H$39)*(1-Personnel!$I$39),0)+IF(AND(45&gt;=Personnel!$E$40,Personnel!$G$40="Yes"),Personnel!$D$40*(1-Personnel!$H$40)*(1-Personnel!$I$40),0)+IF(AND(45&gt;=Personnel!$E$41,Personnel!$G$41="Yes"),Personnel!$D$41*(1-Personnel!$H$41)*(1-Personnel!$I$41),0)+IF(AND(45&gt;=Personnel!$E$42,Personnel!$G$42="Yes"),Personnel!$D$42*(1-Personnel!$H$42)*(1-Personnel!$I$42),0))*Escalation!$B$46</f>
        <v>12159.674999999999</v>
      </c>
      <c r="AV5" s="231">
        <f>(IF(AND(46&gt;=Personnel!$E$36,Personnel!$G$36="Yes"),Personnel!$D$36*(1-Personnel!$H$36)*(1-Personnel!$I$36),0)+IF(AND(46&gt;=Personnel!$E$37,Personnel!$G$37="Yes"),Personnel!$D$37*(1-Personnel!$H$37)*(1-Personnel!$I$37),0)+IF(AND(46&gt;=Personnel!$E$38,Personnel!$G$38="Yes"),Personnel!$D$38*(1-Personnel!$H$38)*(1-Personnel!$I$38),0)+IF(AND(46&gt;=Personnel!$E$39,Personnel!$G$39="Yes"),Personnel!$D$39*(1-Personnel!$H$39)*(1-Personnel!$I$39),0)+IF(AND(46&gt;=Personnel!$E$40,Personnel!$G$40="Yes"),Personnel!$D$40*(1-Personnel!$H$40)*(1-Personnel!$I$40),0)+IF(AND(46&gt;=Personnel!$E$41,Personnel!$G$41="Yes"),Personnel!$D$41*(1-Personnel!$H$41)*(1-Personnel!$I$41),0)+IF(AND(46&gt;=Personnel!$E$42,Personnel!$G$42="Yes"),Personnel!$D$42*(1-Personnel!$H$42)*(1-Personnel!$I$42),0))*Escalation!$B$47</f>
        <v>12159.674999999999</v>
      </c>
      <c r="AW5" s="231">
        <f>(IF(AND(47&gt;=Personnel!$E$36,Personnel!$G$36="Yes"),Personnel!$D$36*(1-Personnel!$H$36)*(1-Personnel!$I$36),0)+IF(AND(47&gt;=Personnel!$E$37,Personnel!$G$37="Yes"),Personnel!$D$37*(1-Personnel!$H$37)*(1-Personnel!$I$37),0)+IF(AND(47&gt;=Personnel!$E$38,Personnel!$G$38="Yes"),Personnel!$D$38*(1-Personnel!$H$38)*(1-Personnel!$I$38),0)+IF(AND(47&gt;=Personnel!$E$39,Personnel!$G$39="Yes"),Personnel!$D$39*(1-Personnel!$H$39)*(1-Personnel!$I$39),0)+IF(AND(47&gt;=Personnel!$E$40,Personnel!$G$40="Yes"),Personnel!$D$40*(1-Personnel!$H$40)*(1-Personnel!$I$40),0)+IF(AND(47&gt;=Personnel!$E$41,Personnel!$G$41="Yes"),Personnel!$D$41*(1-Personnel!$H$41)*(1-Personnel!$I$41),0)+IF(AND(47&gt;=Personnel!$E$42,Personnel!$G$42="Yes"),Personnel!$D$42*(1-Personnel!$H$42)*(1-Personnel!$I$42),0))*Escalation!$B$48</f>
        <v>12159.674999999999</v>
      </c>
      <c r="AX5" s="231">
        <f>(IF(AND(48&gt;=Personnel!$E$36,Personnel!$G$36="Yes"),Personnel!$D$36*(1-Personnel!$H$36)*(1-Personnel!$I$36),0)+IF(AND(48&gt;=Personnel!$E$37,Personnel!$G$37="Yes"),Personnel!$D$37*(1-Personnel!$H$37)*(1-Personnel!$I$37),0)+IF(AND(48&gt;=Personnel!$E$38,Personnel!$G$38="Yes"),Personnel!$D$38*(1-Personnel!$H$38)*(1-Personnel!$I$38),0)+IF(AND(48&gt;=Personnel!$E$39,Personnel!$G$39="Yes"),Personnel!$D$39*(1-Personnel!$H$39)*(1-Personnel!$I$39),0)+IF(AND(48&gt;=Personnel!$E$40,Personnel!$G$40="Yes"),Personnel!$D$40*(1-Personnel!$H$40)*(1-Personnel!$I$40),0)+IF(AND(48&gt;=Personnel!$E$41,Personnel!$G$41="Yes"),Personnel!$D$41*(1-Personnel!$H$41)*(1-Personnel!$I$41),0)+IF(AND(48&gt;=Personnel!$E$42,Personnel!$G$42="Yes"),Personnel!$D$42*(1-Personnel!$H$42)*(1-Personnel!$I$42),0))*Escalation!$B$49</f>
        <v>12159.674999999999</v>
      </c>
      <c r="AY5" s="231">
        <f>(IF(AND(49&gt;=Personnel!$E$36,Personnel!$G$36="Yes"),Personnel!$D$36*(1-Personnel!$H$36)*(1-Personnel!$I$36),0)+IF(AND(49&gt;=Personnel!$E$37,Personnel!$G$37="Yes"),Personnel!$D$37*(1-Personnel!$H$37)*(1-Personnel!$I$37),0)+IF(AND(49&gt;=Personnel!$E$38,Personnel!$G$38="Yes"),Personnel!$D$38*(1-Personnel!$H$38)*(1-Personnel!$I$38),0)+IF(AND(49&gt;=Personnel!$E$39,Personnel!$G$39="Yes"),Personnel!$D$39*(1-Personnel!$H$39)*(1-Personnel!$I$39),0)+IF(AND(49&gt;=Personnel!$E$40,Personnel!$G$40="Yes"),Personnel!$D$40*(1-Personnel!$H$40)*(1-Personnel!$I$40),0)+IF(AND(49&gt;=Personnel!$E$41,Personnel!$G$41="Yes"),Personnel!$D$41*(1-Personnel!$H$41)*(1-Personnel!$I$41),0)+IF(AND(49&gt;=Personnel!$E$42,Personnel!$G$42="Yes"),Personnel!$D$42*(1-Personnel!$H$42)*(1-Personnel!$I$42),0))*Escalation!$B$50</f>
        <v>12402.8685</v>
      </c>
      <c r="AZ5" s="231">
        <f>(IF(AND(50&gt;=Personnel!$E$36,Personnel!$G$36="Yes"),Personnel!$D$36*(1-Personnel!$H$36)*(1-Personnel!$I$36),0)+IF(AND(50&gt;=Personnel!$E$37,Personnel!$G$37="Yes"),Personnel!$D$37*(1-Personnel!$H$37)*(1-Personnel!$I$37),0)+IF(AND(50&gt;=Personnel!$E$38,Personnel!$G$38="Yes"),Personnel!$D$38*(1-Personnel!$H$38)*(1-Personnel!$I$38),0)+IF(AND(50&gt;=Personnel!$E$39,Personnel!$G$39="Yes"),Personnel!$D$39*(1-Personnel!$H$39)*(1-Personnel!$I$39),0)+IF(AND(50&gt;=Personnel!$E$40,Personnel!$G$40="Yes"),Personnel!$D$40*(1-Personnel!$H$40)*(1-Personnel!$I$40),0)+IF(AND(50&gt;=Personnel!$E$41,Personnel!$G$41="Yes"),Personnel!$D$41*(1-Personnel!$H$41)*(1-Personnel!$I$41),0)+IF(AND(50&gt;=Personnel!$E$42,Personnel!$G$42="Yes"),Personnel!$D$42*(1-Personnel!$H$42)*(1-Personnel!$I$42),0))*Escalation!$B$51</f>
        <v>12402.8685</v>
      </c>
      <c r="BA5" s="231">
        <f>(IF(AND(51&gt;=Personnel!$E$36,Personnel!$G$36="Yes"),Personnel!$D$36*(1-Personnel!$H$36)*(1-Personnel!$I$36),0)+IF(AND(51&gt;=Personnel!$E$37,Personnel!$G$37="Yes"),Personnel!$D$37*(1-Personnel!$H$37)*(1-Personnel!$I$37),0)+IF(AND(51&gt;=Personnel!$E$38,Personnel!$G$38="Yes"),Personnel!$D$38*(1-Personnel!$H$38)*(1-Personnel!$I$38),0)+IF(AND(51&gt;=Personnel!$E$39,Personnel!$G$39="Yes"),Personnel!$D$39*(1-Personnel!$H$39)*(1-Personnel!$I$39),0)+IF(AND(51&gt;=Personnel!$E$40,Personnel!$G$40="Yes"),Personnel!$D$40*(1-Personnel!$H$40)*(1-Personnel!$I$40),0)+IF(AND(51&gt;=Personnel!$E$41,Personnel!$G$41="Yes"),Personnel!$D$41*(1-Personnel!$H$41)*(1-Personnel!$I$41),0)+IF(AND(51&gt;=Personnel!$E$42,Personnel!$G$42="Yes"),Personnel!$D$42*(1-Personnel!$H$42)*(1-Personnel!$I$42),0))*Escalation!$B$52</f>
        <v>12402.8685</v>
      </c>
      <c r="BB5" s="231">
        <f>(IF(AND(52&gt;=Personnel!$E$36,Personnel!$G$36="Yes"),Personnel!$D$36*(1-Personnel!$H$36)*(1-Personnel!$I$36),0)+IF(AND(52&gt;=Personnel!$E$37,Personnel!$G$37="Yes"),Personnel!$D$37*(1-Personnel!$H$37)*(1-Personnel!$I$37),0)+IF(AND(52&gt;=Personnel!$E$38,Personnel!$G$38="Yes"),Personnel!$D$38*(1-Personnel!$H$38)*(1-Personnel!$I$38),0)+IF(AND(52&gt;=Personnel!$E$39,Personnel!$G$39="Yes"),Personnel!$D$39*(1-Personnel!$H$39)*(1-Personnel!$I$39),0)+IF(AND(52&gt;=Personnel!$E$40,Personnel!$G$40="Yes"),Personnel!$D$40*(1-Personnel!$H$40)*(1-Personnel!$I$40),0)+IF(AND(52&gt;=Personnel!$E$41,Personnel!$G$41="Yes"),Personnel!$D$41*(1-Personnel!$H$41)*(1-Personnel!$I$41),0)+IF(AND(52&gt;=Personnel!$E$42,Personnel!$G$42="Yes"),Personnel!$D$42*(1-Personnel!$H$42)*(1-Personnel!$I$42),0))*Escalation!$B$53</f>
        <v>12402.8685</v>
      </c>
      <c r="BC5" s="231">
        <f>(IF(AND(53&gt;=Personnel!$E$36,Personnel!$G$36="Yes"),Personnel!$D$36*(1-Personnel!$H$36)*(1-Personnel!$I$36),0)+IF(AND(53&gt;=Personnel!$E$37,Personnel!$G$37="Yes"),Personnel!$D$37*(1-Personnel!$H$37)*(1-Personnel!$I$37),0)+IF(AND(53&gt;=Personnel!$E$38,Personnel!$G$38="Yes"),Personnel!$D$38*(1-Personnel!$H$38)*(1-Personnel!$I$38),0)+IF(AND(53&gt;=Personnel!$E$39,Personnel!$G$39="Yes"),Personnel!$D$39*(1-Personnel!$H$39)*(1-Personnel!$I$39),0)+IF(AND(53&gt;=Personnel!$E$40,Personnel!$G$40="Yes"),Personnel!$D$40*(1-Personnel!$H$40)*(1-Personnel!$I$40),0)+IF(AND(53&gt;=Personnel!$E$41,Personnel!$G$41="Yes"),Personnel!$D$41*(1-Personnel!$H$41)*(1-Personnel!$I$41),0)+IF(AND(53&gt;=Personnel!$E$42,Personnel!$G$42="Yes"),Personnel!$D$42*(1-Personnel!$H$42)*(1-Personnel!$I$42),0))*Escalation!$B$54</f>
        <v>12402.8685</v>
      </c>
      <c r="BD5" s="231">
        <f>(IF(AND(54&gt;=Personnel!$E$36,Personnel!$G$36="Yes"),Personnel!$D$36*(1-Personnel!$H$36)*(1-Personnel!$I$36),0)+IF(AND(54&gt;=Personnel!$E$37,Personnel!$G$37="Yes"),Personnel!$D$37*(1-Personnel!$H$37)*(1-Personnel!$I$37),0)+IF(AND(54&gt;=Personnel!$E$38,Personnel!$G$38="Yes"),Personnel!$D$38*(1-Personnel!$H$38)*(1-Personnel!$I$38),0)+IF(AND(54&gt;=Personnel!$E$39,Personnel!$G$39="Yes"),Personnel!$D$39*(1-Personnel!$H$39)*(1-Personnel!$I$39),0)+IF(AND(54&gt;=Personnel!$E$40,Personnel!$G$40="Yes"),Personnel!$D$40*(1-Personnel!$H$40)*(1-Personnel!$I$40),0)+IF(AND(54&gt;=Personnel!$E$41,Personnel!$G$41="Yes"),Personnel!$D$41*(1-Personnel!$H$41)*(1-Personnel!$I$41),0)+IF(AND(54&gt;=Personnel!$E$42,Personnel!$G$42="Yes"),Personnel!$D$42*(1-Personnel!$H$42)*(1-Personnel!$I$42),0))*Escalation!$B$55</f>
        <v>12402.8685</v>
      </c>
      <c r="BE5" s="231">
        <f>(IF(AND(55&gt;=Personnel!$E$36,Personnel!$G$36="Yes"),Personnel!$D$36*(1-Personnel!$H$36)*(1-Personnel!$I$36),0)+IF(AND(55&gt;=Personnel!$E$37,Personnel!$G$37="Yes"),Personnel!$D$37*(1-Personnel!$H$37)*(1-Personnel!$I$37),0)+IF(AND(55&gt;=Personnel!$E$38,Personnel!$G$38="Yes"),Personnel!$D$38*(1-Personnel!$H$38)*(1-Personnel!$I$38),0)+IF(AND(55&gt;=Personnel!$E$39,Personnel!$G$39="Yes"),Personnel!$D$39*(1-Personnel!$H$39)*(1-Personnel!$I$39),0)+IF(AND(55&gt;=Personnel!$E$40,Personnel!$G$40="Yes"),Personnel!$D$40*(1-Personnel!$H$40)*(1-Personnel!$I$40),0)+IF(AND(55&gt;=Personnel!$E$41,Personnel!$G$41="Yes"),Personnel!$D$41*(1-Personnel!$H$41)*(1-Personnel!$I$41),0)+IF(AND(55&gt;=Personnel!$E$42,Personnel!$G$42="Yes"),Personnel!$D$42*(1-Personnel!$H$42)*(1-Personnel!$I$42),0))*Escalation!$B$56</f>
        <v>12402.8685</v>
      </c>
      <c r="BF5" s="231">
        <f>(IF(AND(56&gt;=Personnel!$E$36,Personnel!$G$36="Yes"),Personnel!$D$36*(1-Personnel!$H$36)*(1-Personnel!$I$36),0)+IF(AND(56&gt;=Personnel!$E$37,Personnel!$G$37="Yes"),Personnel!$D$37*(1-Personnel!$H$37)*(1-Personnel!$I$37),0)+IF(AND(56&gt;=Personnel!$E$38,Personnel!$G$38="Yes"),Personnel!$D$38*(1-Personnel!$H$38)*(1-Personnel!$I$38),0)+IF(AND(56&gt;=Personnel!$E$39,Personnel!$G$39="Yes"),Personnel!$D$39*(1-Personnel!$H$39)*(1-Personnel!$I$39),0)+IF(AND(56&gt;=Personnel!$E$40,Personnel!$G$40="Yes"),Personnel!$D$40*(1-Personnel!$H$40)*(1-Personnel!$I$40),0)+IF(AND(56&gt;=Personnel!$E$41,Personnel!$G$41="Yes"),Personnel!$D$41*(1-Personnel!$H$41)*(1-Personnel!$I$41),0)+IF(AND(56&gt;=Personnel!$E$42,Personnel!$G$42="Yes"),Personnel!$D$42*(1-Personnel!$H$42)*(1-Personnel!$I$42),0))*Escalation!$B$57</f>
        <v>12402.8685</v>
      </c>
      <c r="BG5" s="231">
        <f>(IF(AND(57&gt;=Personnel!$E$36,Personnel!$G$36="Yes"),Personnel!$D$36*(1-Personnel!$H$36)*(1-Personnel!$I$36),0)+IF(AND(57&gt;=Personnel!$E$37,Personnel!$G$37="Yes"),Personnel!$D$37*(1-Personnel!$H$37)*(1-Personnel!$I$37),0)+IF(AND(57&gt;=Personnel!$E$38,Personnel!$G$38="Yes"),Personnel!$D$38*(1-Personnel!$H$38)*(1-Personnel!$I$38),0)+IF(AND(57&gt;=Personnel!$E$39,Personnel!$G$39="Yes"),Personnel!$D$39*(1-Personnel!$H$39)*(1-Personnel!$I$39),0)+IF(AND(57&gt;=Personnel!$E$40,Personnel!$G$40="Yes"),Personnel!$D$40*(1-Personnel!$H$40)*(1-Personnel!$I$40),0)+IF(AND(57&gt;=Personnel!$E$41,Personnel!$G$41="Yes"),Personnel!$D$41*(1-Personnel!$H$41)*(1-Personnel!$I$41),0)+IF(AND(57&gt;=Personnel!$E$42,Personnel!$G$42="Yes"),Personnel!$D$42*(1-Personnel!$H$42)*(1-Personnel!$I$42),0))*Escalation!$B$58</f>
        <v>12402.8685</v>
      </c>
      <c r="BH5" s="231">
        <f>(IF(AND(58&gt;=Personnel!$E$36,Personnel!$G$36="Yes"),Personnel!$D$36*(1-Personnel!$H$36)*(1-Personnel!$I$36),0)+IF(AND(58&gt;=Personnel!$E$37,Personnel!$G$37="Yes"),Personnel!$D$37*(1-Personnel!$H$37)*(1-Personnel!$I$37),0)+IF(AND(58&gt;=Personnel!$E$38,Personnel!$G$38="Yes"),Personnel!$D$38*(1-Personnel!$H$38)*(1-Personnel!$I$38),0)+IF(AND(58&gt;=Personnel!$E$39,Personnel!$G$39="Yes"),Personnel!$D$39*(1-Personnel!$H$39)*(1-Personnel!$I$39),0)+IF(AND(58&gt;=Personnel!$E$40,Personnel!$G$40="Yes"),Personnel!$D$40*(1-Personnel!$H$40)*(1-Personnel!$I$40),0)+IF(AND(58&gt;=Personnel!$E$41,Personnel!$G$41="Yes"),Personnel!$D$41*(1-Personnel!$H$41)*(1-Personnel!$I$41),0)+IF(AND(58&gt;=Personnel!$E$42,Personnel!$G$42="Yes"),Personnel!$D$42*(1-Personnel!$H$42)*(1-Personnel!$I$42),0))*Escalation!$B$59</f>
        <v>12402.8685</v>
      </c>
      <c r="BI5" s="231">
        <f>(IF(AND(59&gt;=Personnel!$E$36,Personnel!$G$36="Yes"),Personnel!$D$36*(1-Personnel!$H$36)*(1-Personnel!$I$36),0)+IF(AND(59&gt;=Personnel!$E$37,Personnel!$G$37="Yes"),Personnel!$D$37*(1-Personnel!$H$37)*(1-Personnel!$I$37),0)+IF(AND(59&gt;=Personnel!$E$38,Personnel!$G$38="Yes"),Personnel!$D$38*(1-Personnel!$H$38)*(1-Personnel!$I$38),0)+IF(AND(59&gt;=Personnel!$E$39,Personnel!$G$39="Yes"),Personnel!$D$39*(1-Personnel!$H$39)*(1-Personnel!$I$39),0)+IF(AND(59&gt;=Personnel!$E$40,Personnel!$G$40="Yes"),Personnel!$D$40*(1-Personnel!$H$40)*(1-Personnel!$I$40),0)+IF(AND(59&gt;=Personnel!$E$41,Personnel!$G$41="Yes"),Personnel!$D$41*(1-Personnel!$H$41)*(1-Personnel!$I$41),0)+IF(AND(59&gt;=Personnel!$E$42,Personnel!$G$42="Yes"),Personnel!$D$42*(1-Personnel!$H$42)*(1-Personnel!$I$42),0))*Escalation!$B$60</f>
        <v>12402.8685</v>
      </c>
      <c r="BJ5" s="231">
        <f>(IF(AND(60&gt;=Personnel!$E$36,Personnel!$G$36="Yes"),Personnel!$D$36*(1-Personnel!$H$36)*(1-Personnel!$I$36),0)+IF(AND(60&gt;=Personnel!$E$37,Personnel!$G$37="Yes"),Personnel!$D$37*(1-Personnel!$H$37)*(1-Personnel!$I$37),0)+IF(AND(60&gt;=Personnel!$E$38,Personnel!$G$38="Yes"),Personnel!$D$38*(1-Personnel!$H$38)*(1-Personnel!$I$38),0)+IF(AND(60&gt;=Personnel!$E$39,Personnel!$G$39="Yes"),Personnel!$D$39*(1-Personnel!$H$39)*(1-Personnel!$I$39),0)+IF(AND(60&gt;=Personnel!$E$40,Personnel!$G$40="Yes"),Personnel!$D$40*(1-Personnel!$H$40)*(1-Personnel!$I$40),0)+IF(AND(60&gt;=Personnel!$E$41,Personnel!$G$41="Yes"),Personnel!$D$41*(1-Personnel!$H$41)*(1-Personnel!$I$41),0)+IF(AND(60&gt;=Personnel!$E$42,Personnel!$G$42="Yes"),Personnel!$D$42*(1-Personnel!$H$42)*(1-Personnel!$I$42),0))*Escalation!$B$61</f>
        <v>12402.8685</v>
      </c>
      <c r="BK5" s="231">
        <f>(IF(AND(61&gt;=Personnel!$E$36,Personnel!$G$36="Yes"),Personnel!$D$36*(1-Personnel!$H$36)*(1-Personnel!$I$36),0)+IF(AND(61&gt;=Personnel!$E$37,Personnel!$G$37="Yes"),Personnel!$D$37*(1-Personnel!$H$37)*(1-Personnel!$I$37),0)+IF(AND(61&gt;=Personnel!$E$38,Personnel!$G$38="Yes"),Personnel!$D$38*(1-Personnel!$H$38)*(1-Personnel!$I$38),0)+IF(AND(61&gt;=Personnel!$E$39,Personnel!$G$39="Yes"),Personnel!$D$39*(1-Personnel!$H$39)*(1-Personnel!$I$39),0)+IF(AND(61&gt;=Personnel!$E$40,Personnel!$G$40="Yes"),Personnel!$D$40*(1-Personnel!$H$40)*(1-Personnel!$I$40),0)+IF(AND(61&gt;=Personnel!$E$41,Personnel!$G$41="Yes"),Personnel!$D$41*(1-Personnel!$H$41)*(1-Personnel!$I$41),0)+IF(AND(61&gt;=Personnel!$E$42,Personnel!$G$42="Yes"),Personnel!$D$42*(1-Personnel!$H$42)*(1-Personnel!$I$42),0))*Escalation!$B$62</f>
        <v>12650.925870000001</v>
      </c>
      <c r="BL5" s="231">
        <f>(IF(AND(62&gt;=Personnel!$E$36,Personnel!$G$36="Yes"),Personnel!$D$36*(1-Personnel!$H$36)*(1-Personnel!$I$36),0)+IF(AND(62&gt;=Personnel!$E$37,Personnel!$G$37="Yes"),Personnel!$D$37*(1-Personnel!$H$37)*(1-Personnel!$I$37),0)+IF(AND(62&gt;=Personnel!$E$38,Personnel!$G$38="Yes"),Personnel!$D$38*(1-Personnel!$H$38)*(1-Personnel!$I$38),0)+IF(AND(62&gt;=Personnel!$E$39,Personnel!$G$39="Yes"),Personnel!$D$39*(1-Personnel!$H$39)*(1-Personnel!$I$39),0)+IF(AND(62&gt;=Personnel!$E$40,Personnel!$G$40="Yes"),Personnel!$D$40*(1-Personnel!$H$40)*(1-Personnel!$I$40),0)+IF(AND(62&gt;=Personnel!$E$41,Personnel!$G$41="Yes"),Personnel!$D$41*(1-Personnel!$H$41)*(1-Personnel!$I$41),0)+IF(AND(62&gt;=Personnel!$E$42,Personnel!$G$42="Yes"),Personnel!$D$42*(1-Personnel!$H$42)*(1-Personnel!$I$42),0))*Escalation!$B$63</f>
        <v>12650.925870000001</v>
      </c>
      <c r="BM5" s="231">
        <f>(IF(AND(63&gt;=Personnel!$E$36,Personnel!$G$36="Yes"),Personnel!$D$36*(1-Personnel!$H$36)*(1-Personnel!$I$36),0)+IF(AND(63&gt;=Personnel!$E$37,Personnel!$G$37="Yes"),Personnel!$D$37*(1-Personnel!$H$37)*(1-Personnel!$I$37),0)+IF(AND(63&gt;=Personnel!$E$38,Personnel!$G$38="Yes"),Personnel!$D$38*(1-Personnel!$H$38)*(1-Personnel!$I$38),0)+IF(AND(63&gt;=Personnel!$E$39,Personnel!$G$39="Yes"),Personnel!$D$39*(1-Personnel!$H$39)*(1-Personnel!$I$39),0)+IF(AND(63&gt;=Personnel!$E$40,Personnel!$G$40="Yes"),Personnel!$D$40*(1-Personnel!$H$40)*(1-Personnel!$I$40),0)+IF(AND(63&gt;=Personnel!$E$41,Personnel!$G$41="Yes"),Personnel!$D$41*(1-Personnel!$H$41)*(1-Personnel!$I$41),0)+IF(AND(63&gt;=Personnel!$E$42,Personnel!$G$42="Yes"),Personnel!$D$42*(1-Personnel!$H$42)*(1-Personnel!$I$42),0))*Escalation!$B$64</f>
        <v>12650.925870000001</v>
      </c>
      <c r="BN5" s="231">
        <f>(IF(AND(64&gt;=Personnel!$E$36,Personnel!$G$36="Yes"),Personnel!$D$36*(1-Personnel!$H$36)*(1-Personnel!$I$36),0)+IF(AND(64&gt;=Personnel!$E$37,Personnel!$G$37="Yes"),Personnel!$D$37*(1-Personnel!$H$37)*(1-Personnel!$I$37),0)+IF(AND(64&gt;=Personnel!$E$38,Personnel!$G$38="Yes"),Personnel!$D$38*(1-Personnel!$H$38)*(1-Personnel!$I$38),0)+IF(AND(64&gt;=Personnel!$E$39,Personnel!$G$39="Yes"),Personnel!$D$39*(1-Personnel!$H$39)*(1-Personnel!$I$39),0)+IF(AND(64&gt;=Personnel!$E$40,Personnel!$G$40="Yes"),Personnel!$D$40*(1-Personnel!$H$40)*(1-Personnel!$I$40),0)+IF(AND(64&gt;=Personnel!$E$41,Personnel!$G$41="Yes"),Personnel!$D$41*(1-Personnel!$H$41)*(1-Personnel!$I$41),0)+IF(AND(64&gt;=Personnel!$E$42,Personnel!$G$42="Yes"),Personnel!$D$42*(1-Personnel!$H$42)*(1-Personnel!$I$42),0))*Escalation!$B$65</f>
        <v>12650.925870000001</v>
      </c>
      <c r="BO5" s="231">
        <f>(IF(AND(65&gt;=Personnel!$E$36,Personnel!$G$36="Yes"),Personnel!$D$36*(1-Personnel!$H$36)*(1-Personnel!$I$36),0)+IF(AND(65&gt;=Personnel!$E$37,Personnel!$G$37="Yes"),Personnel!$D$37*(1-Personnel!$H$37)*(1-Personnel!$I$37),0)+IF(AND(65&gt;=Personnel!$E$38,Personnel!$G$38="Yes"),Personnel!$D$38*(1-Personnel!$H$38)*(1-Personnel!$I$38),0)+IF(AND(65&gt;=Personnel!$E$39,Personnel!$G$39="Yes"),Personnel!$D$39*(1-Personnel!$H$39)*(1-Personnel!$I$39),0)+IF(AND(65&gt;=Personnel!$E$40,Personnel!$G$40="Yes"),Personnel!$D$40*(1-Personnel!$H$40)*(1-Personnel!$I$40),0)+IF(AND(65&gt;=Personnel!$E$41,Personnel!$G$41="Yes"),Personnel!$D$41*(1-Personnel!$H$41)*(1-Personnel!$I$41),0)+IF(AND(65&gt;=Personnel!$E$42,Personnel!$G$42="Yes"),Personnel!$D$42*(1-Personnel!$H$42)*(1-Personnel!$I$42),0))*Escalation!$B$66</f>
        <v>12650.925870000001</v>
      </c>
      <c r="BP5" s="231">
        <f>(IF(AND(66&gt;=Personnel!$E$36,Personnel!$G$36="Yes"),Personnel!$D$36*(1-Personnel!$H$36)*(1-Personnel!$I$36),0)+IF(AND(66&gt;=Personnel!$E$37,Personnel!$G$37="Yes"),Personnel!$D$37*(1-Personnel!$H$37)*(1-Personnel!$I$37),0)+IF(AND(66&gt;=Personnel!$E$38,Personnel!$G$38="Yes"),Personnel!$D$38*(1-Personnel!$H$38)*(1-Personnel!$I$38),0)+IF(AND(66&gt;=Personnel!$E$39,Personnel!$G$39="Yes"),Personnel!$D$39*(1-Personnel!$H$39)*(1-Personnel!$I$39),0)+IF(AND(66&gt;=Personnel!$E$40,Personnel!$G$40="Yes"),Personnel!$D$40*(1-Personnel!$H$40)*(1-Personnel!$I$40),0)+IF(AND(66&gt;=Personnel!$E$41,Personnel!$G$41="Yes"),Personnel!$D$41*(1-Personnel!$H$41)*(1-Personnel!$I$41),0)+IF(AND(66&gt;=Personnel!$E$42,Personnel!$G$42="Yes"),Personnel!$D$42*(1-Personnel!$H$42)*(1-Personnel!$I$42),0))*Escalation!$B$67</f>
        <v>12650.925870000001</v>
      </c>
      <c r="BQ5" s="231">
        <f>(IF(AND(67&gt;=Personnel!$E$36,Personnel!$G$36="Yes"),Personnel!$D$36*(1-Personnel!$H$36)*(1-Personnel!$I$36),0)+IF(AND(67&gt;=Personnel!$E$37,Personnel!$G$37="Yes"),Personnel!$D$37*(1-Personnel!$H$37)*(1-Personnel!$I$37),0)+IF(AND(67&gt;=Personnel!$E$38,Personnel!$G$38="Yes"),Personnel!$D$38*(1-Personnel!$H$38)*(1-Personnel!$I$38),0)+IF(AND(67&gt;=Personnel!$E$39,Personnel!$G$39="Yes"),Personnel!$D$39*(1-Personnel!$H$39)*(1-Personnel!$I$39),0)+IF(AND(67&gt;=Personnel!$E$40,Personnel!$G$40="Yes"),Personnel!$D$40*(1-Personnel!$H$40)*(1-Personnel!$I$40),0)+IF(AND(67&gt;=Personnel!$E$41,Personnel!$G$41="Yes"),Personnel!$D$41*(1-Personnel!$H$41)*(1-Personnel!$I$41),0)+IF(AND(67&gt;=Personnel!$E$42,Personnel!$G$42="Yes"),Personnel!$D$42*(1-Personnel!$H$42)*(1-Personnel!$I$42),0))*Escalation!$B$68</f>
        <v>12650.925870000001</v>
      </c>
      <c r="BR5" s="231">
        <f>(IF(AND(68&gt;=Personnel!$E$36,Personnel!$G$36="Yes"),Personnel!$D$36*(1-Personnel!$H$36)*(1-Personnel!$I$36),0)+IF(AND(68&gt;=Personnel!$E$37,Personnel!$G$37="Yes"),Personnel!$D$37*(1-Personnel!$H$37)*(1-Personnel!$I$37),0)+IF(AND(68&gt;=Personnel!$E$38,Personnel!$G$38="Yes"),Personnel!$D$38*(1-Personnel!$H$38)*(1-Personnel!$I$38),0)+IF(AND(68&gt;=Personnel!$E$39,Personnel!$G$39="Yes"),Personnel!$D$39*(1-Personnel!$H$39)*(1-Personnel!$I$39),0)+IF(AND(68&gt;=Personnel!$E$40,Personnel!$G$40="Yes"),Personnel!$D$40*(1-Personnel!$H$40)*(1-Personnel!$I$40),0)+IF(AND(68&gt;=Personnel!$E$41,Personnel!$G$41="Yes"),Personnel!$D$41*(1-Personnel!$H$41)*(1-Personnel!$I$41),0)+IF(AND(68&gt;=Personnel!$E$42,Personnel!$G$42="Yes"),Personnel!$D$42*(1-Personnel!$H$42)*(1-Personnel!$I$42),0))*Escalation!$B$69</f>
        <v>12650.925870000001</v>
      </c>
      <c r="BS5" s="231">
        <f>(IF(AND(69&gt;=Personnel!$E$36,Personnel!$G$36="Yes"),Personnel!$D$36*(1-Personnel!$H$36)*(1-Personnel!$I$36),0)+IF(AND(69&gt;=Personnel!$E$37,Personnel!$G$37="Yes"),Personnel!$D$37*(1-Personnel!$H$37)*(1-Personnel!$I$37),0)+IF(AND(69&gt;=Personnel!$E$38,Personnel!$G$38="Yes"),Personnel!$D$38*(1-Personnel!$H$38)*(1-Personnel!$I$38),0)+IF(AND(69&gt;=Personnel!$E$39,Personnel!$G$39="Yes"),Personnel!$D$39*(1-Personnel!$H$39)*(1-Personnel!$I$39),0)+IF(AND(69&gt;=Personnel!$E$40,Personnel!$G$40="Yes"),Personnel!$D$40*(1-Personnel!$H$40)*(1-Personnel!$I$40),0)+IF(AND(69&gt;=Personnel!$E$41,Personnel!$G$41="Yes"),Personnel!$D$41*(1-Personnel!$H$41)*(1-Personnel!$I$41),0)+IF(AND(69&gt;=Personnel!$E$42,Personnel!$G$42="Yes"),Personnel!$D$42*(1-Personnel!$H$42)*(1-Personnel!$I$42),0))*Escalation!$B$70</f>
        <v>12650.925870000001</v>
      </c>
      <c r="BT5" s="231">
        <f>(IF(AND(70&gt;=Personnel!$E$36,Personnel!$G$36="Yes"),Personnel!$D$36*(1-Personnel!$H$36)*(1-Personnel!$I$36),0)+IF(AND(70&gt;=Personnel!$E$37,Personnel!$G$37="Yes"),Personnel!$D$37*(1-Personnel!$H$37)*(1-Personnel!$I$37),0)+IF(AND(70&gt;=Personnel!$E$38,Personnel!$G$38="Yes"),Personnel!$D$38*(1-Personnel!$H$38)*(1-Personnel!$I$38),0)+IF(AND(70&gt;=Personnel!$E$39,Personnel!$G$39="Yes"),Personnel!$D$39*(1-Personnel!$H$39)*(1-Personnel!$I$39),0)+IF(AND(70&gt;=Personnel!$E$40,Personnel!$G$40="Yes"),Personnel!$D$40*(1-Personnel!$H$40)*(1-Personnel!$I$40),0)+IF(AND(70&gt;=Personnel!$E$41,Personnel!$G$41="Yes"),Personnel!$D$41*(1-Personnel!$H$41)*(1-Personnel!$I$41),0)+IF(AND(70&gt;=Personnel!$E$42,Personnel!$G$42="Yes"),Personnel!$D$42*(1-Personnel!$H$42)*(1-Personnel!$I$42),0))*Escalation!$B$71</f>
        <v>12650.925870000001</v>
      </c>
      <c r="BU5" s="231">
        <f>(IF(AND(71&gt;=Personnel!$E$36,Personnel!$G$36="Yes"),Personnel!$D$36*(1-Personnel!$H$36)*(1-Personnel!$I$36),0)+IF(AND(71&gt;=Personnel!$E$37,Personnel!$G$37="Yes"),Personnel!$D$37*(1-Personnel!$H$37)*(1-Personnel!$I$37),0)+IF(AND(71&gt;=Personnel!$E$38,Personnel!$G$38="Yes"),Personnel!$D$38*(1-Personnel!$H$38)*(1-Personnel!$I$38),0)+IF(AND(71&gt;=Personnel!$E$39,Personnel!$G$39="Yes"),Personnel!$D$39*(1-Personnel!$H$39)*(1-Personnel!$I$39),0)+IF(AND(71&gt;=Personnel!$E$40,Personnel!$G$40="Yes"),Personnel!$D$40*(1-Personnel!$H$40)*(1-Personnel!$I$40),0)+IF(AND(71&gt;=Personnel!$E$41,Personnel!$G$41="Yes"),Personnel!$D$41*(1-Personnel!$H$41)*(1-Personnel!$I$41),0)+IF(AND(71&gt;=Personnel!$E$42,Personnel!$G$42="Yes"),Personnel!$D$42*(1-Personnel!$H$42)*(1-Personnel!$I$42),0))*Escalation!$B$72</f>
        <v>12650.925870000001</v>
      </c>
      <c r="BV5" s="231">
        <f>(IF(AND(72&gt;=Personnel!$E$36,Personnel!$G$36="Yes"),Personnel!$D$36*(1-Personnel!$H$36)*(1-Personnel!$I$36),0)+IF(AND(72&gt;=Personnel!$E$37,Personnel!$G$37="Yes"),Personnel!$D$37*(1-Personnel!$H$37)*(1-Personnel!$I$37),0)+IF(AND(72&gt;=Personnel!$E$38,Personnel!$G$38="Yes"),Personnel!$D$38*(1-Personnel!$H$38)*(1-Personnel!$I$38),0)+IF(AND(72&gt;=Personnel!$E$39,Personnel!$G$39="Yes"),Personnel!$D$39*(1-Personnel!$H$39)*(1-Personnel!$I$39),0)+IF(AND(72&gt;=Personnel!$E$40,Personnel!$G$40="Yes"),Personnel!$D$40*(1-Personnel!$H$40)*(1-Personnel!$I$40),0)+IF(AND(72&gt;=Personnel!$E$41,Personnel!$G$41="Yes"),Personnel!$D$41*(1-Personnel!$H$41)*(1-Personnel!$I$41),0)+IF(AND(72&gt;=Personnel!$E$42,Personnel!$G$42="Yes"),Personnel!$D$42*(1-Personnel!$H$42)*(1-Personnel!$I$42),0))*Escalation!$B$73</f>
        <v>12650.925870000001</v>
      </c>
      <c r="BW5" s="231">
        <f>(IF(AND(73&gt;=Personnel!$E$36,Personnel!$G$36="Yes"),Personnel!$D$36*(1-Personnel!$H$36)*(1-Personnel!$I$36),0)+IF(AND(73&gt;=Personnel!$E$37,Personnel!$G$37="Yes"),Personnel!$D$37*(1-Personnel!$H$37)*(1-Personnel!$I$37),0)+IF(AND(73&gt;=Personnel!$E$38,Personnel!$G$38="Yes"),Personnel!$D$38*(1-Personnel!$H$38)*(1-Personnel!$I$38),0)+IF(AND(73&gt;=Personnel!$E$39,Personnel!$G$39="Yes"),Personnel!$D$39*(1-Personnel!$H$39)*(1-Personnel!$I$39),0)+IF(AND(73&gt;=Personnel!$E$40,Personnel!$G$40="Yes"),Personnel!$D$40*(1-Personnel!$H$40)*(1-Personnel!$I$40),0)+IF(AND(73&gt;=Personnel!$E$41,Personnel!$G$41="Yes"),Personnel!$D$41*(1-Personnel!$H$41)*(1-Personnel!$I$41),0)+IF(AND(73&gt;=Personnel!$E$42,Personnel!$G$42="Yes"),Personnel!$D$42*(1-Personnel!$H$42)*(1-Personnel!$I$42),0))*Escalation!$B$74</f>
        <v>12903.944387400001</v>
      </c>
      <c r="BX5" s="231">
        <f>(IF(AND(74&gt;=Personnel!$E$36,Personnel!$G$36="Yes"),Personnel!$D$36*(1-Personnel!$H$36)*(1-Personnel!$I$36),0)+IF(AND(74&gt;=Personnel!$E$37,Personnel!$G$37="Yes"),Personnel!$D$37*(1-Personnel!$H$37)*(1-Personnel!$I$37),0)+IF(AND(74&gt;=Personnel!$E$38,Personnel!$G$38="Yes"),Personnel!$D$38*(1-Personnel!$H$38)*(1-Personnel!$I$38),0)+IF(AND(74&gt;=Personnel!$E$39,Personnel!$G$39="Yes"),Personnel!$D$39*(1-Personnel!$H$39)*(1-Personnel!$I$39),0)+IF(AND(74&gt;=Personnel!$E$40,Personnel!$G$40="Yes"),Personnel!$D$40*(1-Personnel!$H$40)*(1-Personnel!$I$40),0)+IF(AND(74&gt;=Personnel!$E$41,Personnel!$G$41="Yes"),Personnel!$D$41*(1-Personnel!$H$41)*(1-Personnel!$I$41),0)+IF(AND(74&gt;=Personnel!$E$42,Personnel!$G$42="Yes"),Personnel!$D$42*(1-Personnel!$H$42)*(1-Personnel!$I$42),0))*Escalation!$B$75</f>
        <v>12903.944387400001</v>
      </c>
      <c r="BY5" s="231">
        <f>(IF(AND(75&gt;=Personnel!$E$36,Personnel!$G$36="Yes"),Personnel!$D$36*(1-Personnel!$H$36)*(1-Personnel!$I$36),0)+IF(AND(75&gt;=Personnel!$E$37,Personnel!$G$37="Yes"),Personnel!$D$37*(1-Personnel!$H$37)*(1-Personnel!$I$37),0)+IF(AND(75&gt;=Personnel!$E$38,Personnel!$G$38="Yes"),Personnel!$D$38*(1-Personnel!$H$38)*(1-Personnel!$I$38),0)+IF(AND(75&gt;=Personnel!$E$39,Personnel!$G$39="Yes"),Personnel!$D$39*(1-Personnel!$H$39)*(1-Personnel!$I$39),0)+IF(AND(75&gt;=Personnel!$E$40,Personnel!$G$40="Yes"),Personnel!$D$40*(1-Personnel!$H$40)*(1-Personnel!$I$40),0)+IF(AND(75&gt;=Personnel!$E$41,Personnel!$G$41="Yes"),Personnel!$D$41*(1-Personnel!$H$41)*(1-Personnel!$I$41),0)+IF(AND(75&gt;=Personnel!$E$42,Personnel!$G$42="Yes"),Personnel!$D$42*(1-Personnel!$H$42)*(1-Personnel!$I$42),0))*Escalation!$B$76</f>
        <v>12903.944387400001</v>
      </c>
      <c r="BZ5" s="231">
        <f>(IF(AND(76&gt;=Personnel!$E$36,Personnel!$G$36="Yes"),Personnel!$D$36*(1-Personnel!$H$36)*(1-Personnel!$I$36),0)+IF(AND(76&gt;=Personnel!$E$37,Personnel!$G$37="Yes"),Personnel!$D$37*(1-Personnel!$H$37)*(1-Personnel!$I$37),0)+IF(AND(76&gt;=Personnel!$E$38,Personnel!$G$38="Yes"),Personnel!$D$38*(1-Personnel!$H$38)*(1-Personnel!$I$38),0)+IF(AND(76&gt;=Personnel!$E$39,Personnel!$G$39="Yes"),Personnel!$D$39*(1-Personnel!$H$39)*(1-Personnel!$I$39),0)+IF(AND(76&gt;=Personnel!$E$40,Personnel!$G$40="Yes"),Personnel!$D$40*(1-Personnel!$H$40)*(1-Personnel!$I$40),0)+IF(AND(76&gt;=Personnel!$E$41,Personnel!$G$41="Yes"),Personnel!$D$41*(1-Personnel!$H$41)*(1-Personnel!$I$41),0)+IF(AND(76&gt;=Personnel!$E$42,Personnel!$G$42="Yes"),Personnel!$D$42*(1-Personnel!$H$42)*(1-Personnel!$I$42),0))*Escalation!$B$77</f>
        <v>12903.944387400001</v>
      </c>
      <c r="CA5" s="231">
        <f>(IF(AND(77&gt;=Personnel!$E$36,Personnel!$G$36="Yes"),Personnel!$D$36*(1-Personnel!$H$36)*(1-Personnel!$I$36),0)+IF(AND(77&gt;=Personnel!$E$37,Personnel!$G$37="Yes"),Personnel!$D$37*(1-Personnel!$H$37)*(1-Personnel!$I$37),0)+IF(AND(77&gt;=Personnel!$E$38,Personnel!$G$38="Yes"),Personnel!$D$38*(1-Personnel!$H$38)*(1-Personnel!$I$38),0)+IF(AND(77&gt;=Personnel!$E$39,Personnel!$G$39="Yes"),Personnel!$D$39*(1-Personnel!$H$39)*(1-Personnel!$I$39),0)+IF(AND(77&gt;=Personnel!$E$40,Personnel!$G$40="Yes"),Personnel!$D$40*(1-Personnel!$H$40)*(1-Personnel!$I$40),0)+IF(AND(77&gt;=Personnel!$E$41,Personnel!$G$41="Yes"),Personnel!$D$41*(1-Personnel!$H$41)*(1-Personnel!$I$41),0)+IF(AND(77&gt;=Personnel!$E$42,Personnel!$G$42="Yes"),Personnel!$D$42*(1-Personnel!$H$42)*(1-Personnel!$I$42),0))*Escalation!$B$78</f>
        <v>12903.944387400001</v>
      </c>
      <c r="CB5" s="231">
        <f>(IF(AND(78&gt;=Personnel!$E$36,Personnel!$G$36="Yes"),Personnel!$D$36*(1-Personnel!$H$36)*(1-Personnel!$I$36),0)+IF(AND(78&gt;=Personnel!$E$37,Personnel!$G$37="Yes"),Personnel!$D$37*(1-Personnel!$H$37)*(1-Personnel!$I$37),0)+IF(AND(78&gt;=Personnel!$E$38,Personnel!$G$38="Yes"),Personnel!$D$38*(1-Personnel!$H$38)*(1-Personnel!$I$38),0)+IF(AND(78&gt;=Personnel!$E$39,Personnel!$G$39="Yes"),Personnel!$D$39*(1-Personnel!$H$39)*(1-Personnel!$I$39),0)+IF(AND(78&gt;=Personnel!$E$40,Personnel!$G$40="Yes"),Personnel!$D$40*(1-Personnel!$H$40)*(1-Personnel!$I$40),0)+IF(AND(78&gt;=Personnel!$E$41,Personnel!$G$41="Yes"),Personnel!$D$41*(1-Personnel!$H$41)*(1-Personnel!$I$41),0)+IF(AND(78&gt;=Personnel!$E$42,Personnel!$G$42="Yes"),Personnel!$D$42*(1-Personnel!$H$42)*(1-Personnel!$I$42),0))*Escalation!$B$79</f>
        <v>12903.944387400001</v>
      </c>
      <c r="CC5" s="231">
        <f>(IF(AND(79&gt;=Personnel!$E$36,Personnel!$G$36="Yes"),Personnel!$D$36*(1-Personnel!$H$36)*(1-Personnel!$I$36),0)+IF(AND(79&gt;=Personnel!$E$37,Personnel!$G$37="Yes"),Personnel!$D$37*(1-Personnel!$H$37)*(1-Personnel!$I$37),0)+IF(AND(79&gt;=Personnel!$E$38,Personnel!$G$38="Yes"),Personnel!$D$38*(1-Personnel!$H$38)*(1-Personnel!$I$38),0)+IF(AND(79&gt;=Personnel!$E$39,Personnel!$G$39="Yes"),Personnel!$D$39*(1-Personnel!$H$39)*(1-Personnel!$I$39),0)+IF(AND(79&gt;=Personnel!$E$40,Personnel!$G$40="Yes"),Personnel!$D$40*(1-Personnel!$H$40)*(1-Personnel!$I$40),0)+IF(AND(79&gt;=Personnel!$E$41,Personnel!$G$41="Yes"),Personnel!$D$41*(1-Personnel!$H$41)*(1-Personnel!$I$41),0)+IF(AND(79&gt;=Personnel!$E$42,Personnel!$G$42="Yes"),Personnel!$D$42*(1-Personnel!$H$42)*(1-Personnel!$I$42),0))*Escalation!$B$80</f>
        <v>12903.944387400001</v>
      </c>
      <c r="CD5" s="231">
        <f>(IF(AND(80&gt;=Personnel!$E$36,Personnel!$G$36="Yes"),Personnel!$D$36*(1-Personnel!$H$36)*(1-Personnel!$I$36),0)+IF(AND(80&gt;=Personnel!$E$37,Personnel!$G$37="Yes"),Personnel!$D$37*(1-Personnel!$H$37)*(1-Personnel!$I$37),0)+IF(AND(80&gt;=Personnel!$E$38,Personnel!$G$38="Yes"),Personnel!$D$38*(1-Personnel!$H$38)*(1-Personnel!$I$38),0)+IF(AND(80&gt;=Personnel!$E$39,Personnel!$G$39="Yes"),Personnel!$D$39*(1-Personnel!$H$39)*(1-Personnel!$I$39),0)+IF(AND(80&gt;=Personnel!$E$40,Personnel!$G$40="Yes"),Personnel!$D$40*(1-Personnel!$H$40)*(1-Personnel!$I$40),0)+IF(AND(80&gt;=Personnel!$E$41,Personnel!$G$41="Yes"),Personnel!$D$41*(1-Personnel!$H$41)*(1-Personnel!$I$41),0)+IF(AND(80&gt;=Personnel!$E$42,Personnel!$G$42="Yes"),Personnel!$D$42*(1-Personnel!$H$42)*(1-Personnel!$I$42),0))*Escalation!$B$81</f>
        <v>12903.944387400001</v>
      </c>
      <c r="CE5" s="231">
        <f>(IF(AND(81&gt;=Personnel!$E$36,Personnel!$G$36="Yes"),Personnel!$D$36*(1-Personnel!$H$36)*(1-Personnel!$I$36),0)+IF(AND(81&gt;=Personnel!$E$37,Personnel!$G$37="Yes"),Personnel!$D$37*(1-Personnel!$H$37)*(1-Personnel!$I$37),0)+IF(AND(81&gt;=Personnel!$E$38,Personnel!$G$38="Yes"),Personnel!$D$38*(1-Personnel!$H$38)*(1-Personnel!$I$38),0)+IF(AND(81&gt;=Personnel!$E$39,Personnel!$G$39="Yes"),Personnel!$D$39*(1-Personnel!$H$39)*(1-Personnel!$I$39),0)+IF(AND(81&gt;=Personnel!$E$40,Personnel!$G$40="Yes"),Personnel!$D$40*(1-Personnel!$H$40)*(1-Personnel!$I$40),0)+IF(AND(81&gt;=Personnel!$E$41,Personnel!$G$41="Yes"),Personnel!$D$41*(1-Personnel!$H$41)*(1-Personnel!$I$41),0)+IF(AND(81&gt;=Personnel!$E$42,Personnel!$G$42="Yes"),Personnel!$D$42*(1-Personnel!$H$42)*(1-Personnel!$I$42),0))*Escalation!$B$82</f>
        <v>12903.944387400001</v>
      </c>
      <c r="CF5" s="231">
        <f>(IF(AND(82&gt;=Personnel!$E$36,Personnel!$G$36="Yes"),Personnel!$D$36*(1-Personnel!$H$36)*(1-Personnel!$I$36),0)+IF(AND(82&gt;=Personnel!$E$37,Personnel!$G$37="Yes"),Personnel!$D$37*(1-Personnel!$H$37)*(1-Personnel!$I$37),0)+IF(AND(82&gt;=Personnel!$E$38,Personnel!$G$38="Yes"),Personnel!$D$38*(1-Personnel!$H$38)*(1-Personnel!$I$38),0)+IF(AND(82&gt;=Personnel!$E$39,Personnel!$G$39="Yes"),Personnel!$D$39*(1-Personnel!$H$39)*(1-Personnel!$I$39),0)+IF(AND(82&gt;=Personnel!$E$40,Personnel!$G$40="Yes"),Personnel!$D$40*(1-Personnel!$H$40)*(1-Personnel!$I$40),0)+IF(AND(82&gt;=Personnel!$E$41,Personnel!$G$41="Yes"),Personnel!$D$41*(1-Personnel!$H$41)*(1-Personnel!$I$41),0)+IF(AND(82&gt;=Personnel!$E$42,Personnel!$G$42="Yes"),Personnel!$D$42*(1-Personnel!$H$42)*(1-Personnel!$I$42),0))*Escalation!$B$83</f>
        <v>12903.944387400001</v>
      </c>
      <c r="CG5" s="231">
        <f>(IF(AND(83&gt;=Personnel!$E$36,Personnel!$G$36="Yes"),Personnel!$D$36*(1-Personnel!$H$36)*(1-Personnel!$I$36),0)+IF(AND(83&gt;=Personnel!$E$37,Personnel!$G$37="Yes"),Personnel!$D$37*(1-Personnel!$H$37)*(1-Personnel!$I$37),0)+IF(AND(83&gt;=Personnel!$E$38,Personnel!$G$38="Yes"),Personnel!$D$38*(1-Personnel!$H$38)*(1-Personnel!$I$38),0)+IF(AND(83&gt;=Personnel!$E$39,Personnel!$G$39="Yes"),Personnel!$D$39*(1-Personnel!$H$39)*(1-Personnel!$I$39),0)+IF(AND(83&gt;=Personnel!$E$40,Personnel!$G$40="Yes"),Personnel!$D$40*(1-Personnel!$H$40)*(1-Personnel!$I$40),0)+IF(AND(83&gt;=Personnel!$E$41,Personnel!$G$41="Yes"),Personnel!$D$41*(1-Personnel!$H$41)*(1-Personnel!$I$41),0)+IF(AND(83&gt;=Personnel!$E$42,Personnel!$G$42="Yes"),Personnel!$D$42*(1-Personnel!$H$42)*(1-Personnel!$I$42),0))*Escalation!$B$84</f>
        <v>12903.944387400001</v>
      </c>
      <c r="CH5" s="231">
        <f>(IF(AND(84&gt;=Personnel!$E$36,Personnel!$G$36="Yes"),Personnel!$D$36*(1-Personnel!$H$36)*(1-Personnel!$I$36),0)+IF(AND(84&gt;=Personnel!$E$37,Personnel!$G$37="Yes"),Personnel!$D$37*(1-Personnel!$H$37)*(1-Personnel!$I$37),0)+IF(AND(84&gt;=Personnel!$E$38,Personnel!$G$38="Yes"),Personnel!$D$38*(1-Personnel!$H$38)*(1-Personnel!$I$38),0)+IF(AND(84&gt;=Personnel!$E$39,Personnel!$G$39="Yes"),Personnel!$D$39*(1-Personnel!$H$39)*(1-Personnel!$I$39),0)+IF(AND(84&gt;=Personnel!$E$40,Personnel!$G$40="Yes"),Personnel!$D$40*(1-Personnel!$H$40)*(1-Personnel!$I$40),0)+IF(AND(84&gt;=Personnel!$E$41,Personnel!$G$41="Yes"),Personnel!$D$41*(1-Personnel!$H$41)*(1-Personnel!$I$41),0)+IF(AND(84&gt;=Personnel!$E$42,Personnel!$G$42="Yes"),Personnel!$D$42*(1-Personnel!$H$42)*(1-Personnel!$I$42),0))*Escalation!$B$85</f>
        <v>12903.944387400001</v>
      </c>
      <c r="CI5" s="231">
        <f>(IF(AND(85&gt;=Personnel!$E$36,Personnel!$G$36="Yes"),Personnel!$D$36*(1-Personnel!$H$36)*(1-Personnel!$I$36),0)+IF(AND(85&gt;=Personnel!$E$37,Personnel!$G$37="Yes"),Personnel!$D$37*(1-Personnel!$H$37)*(1-Personnel!$I$37),0)+IF(AND(85&gt;=Personnel!$E$38,Personnel!$G$38="Yes"),Personnel!$D$38*(1-Personnel!$H$38)*(1-Personnel!$I$38),0)+IF(AND(85&gt;=Personnel!$E$39,Personnel!$G$39="Yes"),Personnel!$D$39*(1-Personnel!$H$39)*(1-Personnel!$I$39),0)+IF(AND(85&gt;=Personnel!$E$40,Personnel!$G$40="Yes"),Personnel!$D$40*(1-Personnel!$H$40)*(1-Personnel!$I$40),0)+IF(AND(85&gt;=Personnel!$E$41,Personnel!$G$41="Yes"),Personnel!$D$41*(1-Personnel!$H$41)*(1-Personnel!$I$41),0)+IF(AND(85&gt;=Personnel!$E$42,Personnel!$G$42="Yes"),Personnel!$D$42*(1-Personnel!$H$42)*(1-Personnel!$I$42),0))*Escalation!$B$86</f>
        <v>13162.023275147998</v>
      </c>
      <c r="CJ5" s="231">
        <f>(IF(AND(86&gt;=Personnel!$E$36,Personnel!$G$36="Yes"),Personnel!$D$36*(1-Personnel!$H$36)*(1-Personnel!$I$36),0)+IF(AND(86&gt;=Personnel!$E$37,Personnel!$G$37="Yes"),Personnel!$D$37*(1-Personnel!$H$37)*(1-Personnel!$I$37),0)+IF(AND(86&gt;=Personnel!$E$38,Personnel!$G$38="Yes"),Personnel!$D$38*(1-Personnel!$H$38)*(1-Personnel!$I$38),0)+IF(AND(86&gt;=Personnel!$E$39,Personnel!$G$39="Yes"),Personnel!$D$39*(1-Personnel!$H$39)*(1-Personnel!$I$39),0)+IF(AND(86&gt;=Personnel!$E$40,Personnel!$G$40="Yes"),Personnel!$D$40*(1-Personnel!$H$40)*(1-Personnel!$I$40),0)+IF(AND(86&gt;=Personnel!$E$41,Personnel!$G$41="Yes"),Personnel!$D$41*(1-Personnel!$H$41)*(1-Personnel!$I$41),0)+IF(AND(86&gt;=Personnel!$E$42,Personnel!$G$42="Yes"),Personnel!$D$42*(1-Personnel!$H$42)*(1-Personnel!$I$42),0))*Escalation!$B$87</f>
        <v>13162.023275147998</v>
      </c>
      <c r="CK5" s="231">
        <f>(IF(AND(87&gt;=Personnel!$E$36,Personnel!$G$36="Yes"),Personnel!$D$36*(1-Personnel!$H$36)*(1-Personnel!$I$36),0)+IF(AND(87&gt;=Personnel!$E$37,Personnel!$G$37="Yes"),Personnel!$D$37*(1-Personnel!$H$37)*(1-Personnel!$I$37),0)+IF(AND(87&gt;=Personnel!$E$38,Personnel!$G$38="Yes"),Personnel!$D$38*(1-Personnel!$H$38)*(1-Personnel!$I$38),0)+IF(AND(87&gt;=Personnel!$E$39,Personnel!$G$39="Yes"),Personnel!$D$39*(1-Personnel!$H$39)*(1-Personnel!$I$39),0)+IF(AND(87&gt;=Personnel!$E$40,Personnel!$G$40="Yes"),Personnel!$D$40*(1-Personnel!$H$40)*(1-Personnel!$I$40),0)+IF(AND(87&gt;=Personnel!$E$41,Personnel!$G$41="Yes"),Personnel!$D$41*(1-Personnel!$H$41)*(1-Personnel!$I$41),0)+IF(AND(87&gt;=Personnel!$E$42,Personnel!$G$42="Yes"),Personnel!$D$42*(1-Personnel!$H$42)*(1-Personnel!$I$42),0))*Escalation!$B$88</f>
        <v>13162.023275147998</v>
      </c>
      <c r="CL5" s="231">
        <f>(IF(AND(88&gt;=Personnel!$E$36,Personnel!$G$36="Yes"),Personnel!$D$36*(1-Personnel!$H$36)*(1-Personnel!$I$36),0)+IF(AND(88&gt;=Personnel!$E$37,Personnel!$G$37="Yes"),Personnel!$D$37*(1-Personnel!$H$37)*(1-Personnel!$I$37),0)+IF(AND(88&gt;=Personnel!$E$38,Personnel!$G$38="Yes"),Personnel!$D$38*(1-Personnel!$H$38)*(1-Personnel!$I$38),0)+IF(AND(88&gt;=Personnel!$E$39,Personnel!$G$39="Yes"),Personnel!$D$39*(1-Personnel!$H$39)*(1-Personnel!$I$39),0)+IF(AND(88&gt;=Personnel!$E$40,Personnel!$G$40="Yes"),Personnel!$D$40*(1-Personnel!$H$40)*(1-Personnel!$I$40),0)+IF(AND(88&gt;=Personnel!$E$41,Personnel!$G$41="Yes"),Personnel!$D$41*(1-Personnel!$H$41)*(1-Personnel!$I$41),0)+IF(AND(88&gt;=Personnel!$E$42,Personnel!$G$42="Yes"),Personnel!$D$42*(1-Personnel!$H$42)*(1-Personnel!$I$42),0))*Escalation!$B$89</f>
        <v>13162.023275147998</v>
      </c>
      <c r="CM5" s="231">
        <f>(IF(AND(89&gt;=Personnel!$E$36,Personnel!$G$36="Yes"),Personnel!$D$36*(1-Personnel!$H$36)*(1-Personnel!$I$36),0)+IF(AND(89&gt;=Personnel!$E$37,Personnel!$G$37="Yes"),Personnel!$D$37*(1-Personnel!$H$37)*(1-Personnel!$I$37),0)+IF(AND(89&gt;=Personnel!$E$38,Personnel!$G$38="Yes"),Personnel!$D$38*(1-Personnel!$H$38)*(1-Personnel!$I$38),0)+IF(AND(89&gt;=Personnel!$E$39,Personnel!$G$39="Yes"),Personnel!$D$39*(1-Personnel!$H$39)*(1-Personnel!$I$39),0)+IF(AND(89&gt;=Personnel!$E$40,Personnel!$G$40="Yes"),Personnel!$D$40*(1-Personnel!$H$40)*(1-Personnel!$I$40),0)+IF(AND(89&gt;=Personnel!$E$41,Personnel!$G$41="Yes"),Personnel!$D$41*(1-Personnel!$H$41)*(1-Personnel!$I$41),0)+IF(AND(89&gt;=Personnel!$E$42,Personnel!$G$42="Yes"),Personnel!$D$42*(1-Personnel!$H$42)*(1-Personnel!$I$42),0))*Escalation!$B$90</f>
        <v>13162.023275147998</v>
      </c>
      <c r="CN5" s="231">
        <f>(IF(AND(90&gt;=Personnel!$E$36,Personnel!$G$36="Yes"),Personnel!$D$36*(1-Personnel!$H$36)*(1-Personnel!$I$36),0)+IF(AND(90&gt;=Personnel!$E$37,Personnel!$G$37="Yes"),Personnel!$D$37*(1-Personnel!$H$37)*(1-Personnel!$I$37),0)+IF(AND(90&gt;=Personnel!$E$38,Personnel!$G$38="Yes"),Personnel!$D$38*(1-Personnel!$H$38)*(1-Personnel!$I$38),0)+IF(AND(90&gt;=Personnel!$E$39,Personnel!$G$39="Yes"),Personnel!$D$39*(1-Personnel!$H$39)*(1-Personnel!$I$39),0)+IF(AND(90&gt;=Personnel!$E$40,Personnel!$G$40="Yes"),Personnel!$D$40*(1-Personnel!$H$40)*(1-Personnel!$I$40),0)+IF(AND(90&gt;=Personnel!$E$41,Personnel!$G$41="Yes"),Personnel!$D$41*(1-Personnel!$H$41)*(1-Personnel!$I$41),0)+IF(AND(90&gt;=Personnel!$E$42,Personnel!$G$42="Yes"),Personnel!$D$42*(1-Personnel!$H$42)*(1-Personnel!$I$42),0))*Escalation!$B$91</f>
        <v>13162.023275147998</v>
      </c>
      <c r="CO5" s="231">
        <f>(IF(AND(91&gt;=Personnel!$E$36,Personnel!$G$36="Yes"),Personnel!$D$36*(1-Personnel!$H$36)*(1-Personnel!$I$36),0)+IF(AND(91&gt;=Personnel!$E$37,Personnel!$G$37="Yes"),Personnel!$D$37*(1-Personnel!$H$37)*(1-Personnel!$I$37),0)+IF(AND(91&gt;=Personnel!$E$38,Personnel!$G$38="Yes"),Personnel!$D$38*(1-Personnel!$H$38)*(1-Personnel!$I$38),0)+IF(AND(91&gt;=Personnel!$E$39,Personnel!$G$39="Yes"),Personnel!$D$39*(1-Personnel!$H$39)*(1-Personnel!$I$39),0)+IF(AND(91&gt;=Personnel!$E$40,Personnel!$G$40="Yes"),Personnel!$D$40*(1-Personnel!$H$40)*(1-Personnel!$I$40),0)+IF(AND(91&gt;=Personnel!$E$41,Personnel!$G$41="Yes"),Personnel!$D$41*(1-Personnel!$H$41)*(1-Personnel!$I$41),0)+IF(AND(91&gt;=Personnel!$E$42,Personnel!$G$42="Yes"),Personnel!$D$42*(1-Personnel!$H$42)*(1-Personnel!$I$42),0))*Escalation!$B$92</f>
        <v>13162.023275147998</v>
      </c>
      <c r="CP5" s="231">
        <f>(IF(AND(92&gt;=Personnel!$E$36,Personnel!$G$36="Yes"),Personnel!$D$36*(1-Personnel!$H$36)*(1-Personnel!$I$36),0)+IF(AND(92&gt;=Personnel!$E$37,Personnel!$G$37="Yes"),Personnel!$D$37*(1-Personnel!$H$37)*(1-Personnel!$I$37),0)+IF(AND(92&gt;=Personnel!$E$38,Personnel!$G$38="Yes"),Personnel!$D$38*(1-Personnel!$H$38)*(1-Personnel!$I$38),0)+IF(AND(92&gt;=Personnel!$E$39,Personnel!$G$39="Yes"),Personnel!$D$39*(1-Personnel!$H$39)*(1-Personnel!$I$39),0)+IF(AND(92&gt;=Personnel!$E$40,Personnel!$G$40="Yes"),Personnel!$D$40*(1-Personnel!$H$40)*(1-Personnel!$I$40),0)+IF(AND(92&gt;=Personnel!$E$41,Personnel!$G$41="Yes"),Personnel!$D$41*(1-Personnel!$H$41)*(1-Personnel!$I$41),0)+IF(AND(92&gt;=Personnel!$E$42,Personnel!$G$42="Yes"),Personnel!$D$42*(1-Personnel!$H$42)*(1-Personnel!$I$42),0))*Escalation!$B$93</f>
        <v>13162.023275147998</v>
      </c>
      <c r="CQ5" s="231">
        <f>(IF(AND(93&gt;=Personnel!$E$36,Personnel!$G$36="Yes"),Personnel!$D$36*(1-Personnel!$H$36)*(1-Personnel!$I$36),0)+IF(AND(93&gt;=Personnel!$E$37,Personnel!$G$37="Yes"),Personnel!$D$37*(1-Personnel!$H$37)*(1-Personnel!$I$37),0)+IF(AND(93&gt;=Personnel!$E$38,Personnel!$G$38="Yes"),Personnel!$D$38*(1-Personnel!$H$38)*(1-Personnel!$I$38),0)+IF(AND(93&gt;=Personnel!$E$39,Personnel!$G$39="Yes"),Personnel!$D$39*(1-Personnel!$H$39)*(1-Personnel!$I$39),0)+IF(AND(93&gt;=Personnel!$E$40,Personnel!$G$40="Yes"),Personnel!$D$40*(1-Personnel!$H$40)*(1-Personnel!$I$40),0)+IF(AND(93&gt;=Personnel!$E$41,Personnel!$G$41="Yes"),Personnel!$D$41*(1-Personnel!$H$41)*(1-Personnel!$I$41),0)+IF(AND(93&gt;=Personnel!$E$42,Personnel!$G$42="Yes"),Personnel!$D$42*(1-Personnel!$H$42)*(1-Personnel!$I$42),0))*Escalation!$B$94</f>
        <v>13162.023275147998</v>
      </c>
    </row>
    <row r="7" spans="1:95" ht="15" customHeight="1" x14ac:dyDescent="0.25">
      <c r="A7" s="351" t="s">
        <v>802</v>
      </c>
    </row>
    <row r="8" spans="1:95" ht="15" customHeight="1" x14ac:dyDescent="0.25">
      <c r="A8" s="144" t="s">
        <v>166</v>
      </c>
      <c r="C8" s="231">
        <f>IF(AND(Projects!$G$4="Yes",Projects!$F$4="Yes",1&gt;=Projects!$C$4,1&lt;Projects!$C$4+Projects!$D$4),Projects!$B$4*(1-SUMPRODUCT((Curves!$B$8:$AO$8)*(COLUMN(Curves!$B$8:$AO$8)-COLUMN(Curves!$B$8)+1&lt;=1-Projects!$C$4+1))),0)</f>
        <v>11187175.790685378</v>
      </c>
      <c r="D8" s="231">
        <f>IF(AND(Projects!$G$4="Yes",Projects!$F$4="Yes",2&gt;=Projects!$C$4,2&lt;Projects!$C$4+Projects!$D$4),Projects!$B$4*(1-SUMPRODUCT((Curves!$B$8:$AO$8)*(COLUMN(Curves!$B$8:$AO$8)-COLUMN(Curves!$B$8)+1&lt;=2-Projects!$C$4+1))),0)</f>
        <v>10356493.691643232</v>
      </c>
      <c r="E8" s="231">
        <f>IF(AND(Projects!$G$4="Yes",Projects!$F$4="Yes",3&gt;=Projects!$C$4,3&lt;Projects!$C$4+Projects!$D$4),Projects!$B$4*(1-SUMPRODUCT((Curves!$B$8:$AO$8)*(COLUMN(Curves!$B$8:$AO$8)-COLUMN(Curves!$B$8)+1&lt;=3-Projects!$C$4+1))),0)</f>
        <v>9450240.4833253007</v>
      </c>
      <c r="F8" s="231">
        <f>IF(AND(Projects!$G$4="Yes",Projects!$F$4="Yes",4&gt;=Projects!$C$4,4&lt;Projects!$C$4+Projects!$D$4),Projects!$B$4*(1-SUMPRODUCT((Curves!$B$8:$AO$8)*(COLUMN(Curves!$B$8:$AO$8)-COLUMN(Curves!$B$8)+1&lt;=4-Projects!$C$4+1))),0)</f>
        <v>8485833.1083679982</v>
      </c>
      <c r="G8" s="231">
        <f>IF(AND(Projects!$G$4="Yes",Projects!$F$4="Yes",5&gt;=Projects!$C$4,5&lt;Projects!$C$4+Projects!$D$4),Projects!$B$4*(1-SUMPRODUCT((Curves!$B$8:$AO$8)*(COLUMN(Curves!$B$8:$AO$8)-COLUMN(Curves!$B$8)+1&lt;=5-Projects!$C$4+1))),0)</f>
        <v>7484749.6715128645</v>
      </c>
      <c r="H8" s="231">
        <f>IF(AND(Projects!$G$4="Yes",Projects!$F$4="Yes",6&gt;=Projects!$C$4,6&lt;Projects!$C$4+Projects!$D$4),Projects!$B$4*(1-SUMPRODUCT((Curves!$B$8:$AO$8)*(COLUMN(Curves!$B$8:$AO$8)-COLUMN(Curves!$B$8)+1&lt;=6-Projects!$C$4+1))),0)</f>
        <v>6471133.8512542872</v>
      </c>
      <c r="I8" s="231">
        <f>IF(AND(Projects!$G$4="Yes",Projects!$F$4="Yes",7&gt;=Projects!$C$4,7&lt;Projects!$C$4+Projects!$D$4),Projects!$B$4*(1-SUMPRODUCT((Curves!$B$8:$AO$8)*(COLUMN(Curves!$B$8:$AO$8)-COLUMN(Curves!$B$8)+1&lt;=7-Projects!$C$4+1))),0)</f>
        <v>5470050.4143991536</v>
      </c>
      <c r="J8" s="231">
        <f>IF(AND(Projects!$G$4="Yes",Projects!$F$4="Yes",8&gt;=Projects!$C$4,8&lt;Projects!$C$4+Projects!$D$4),Projects!$B$4*(1-SUMPRODUCT((Curves!$B$8:$AO$8)*(COLUMN(Curves!$B$8:$AO$8)-COLUMN(Curves!$B$8)+1&lt;=8-Projects!$C$4+1))),0)</f>
        <v>4505643.0394418519</v>
      </c>
      <c r="K8" s="231">
        <f>IF(AND(Projects!$G$4="Yes",Projects!$F$4="Yes",9&gt;=Projects!$C$4,9&lt;Projects!$C$4+Projects!$D$4),Projects!$B$4*(1-SUMPRODUCT((Curves!$B$8:$AO$8)*(COLUMN(Curves!$B$8:$AO$8)-COLUMN(Curves!$B$8)+1&lt;=9-Projects!$C$4+1))),0)</f>
        <v>3599389.8311239216</v>
      </c>
      <c r="L8" s="231">
        <f>IF(AND(Projects!$G$4="Yes",Projects!$F$4="Yes",10&gt;=Projects!$C$4,10&lt;Projects!$C$4+Projects!$D$4),Projects!$B$4*(1-SUMPRODUCT((Curves!$B$8:$AO$8)*(COLUMN(Curves!$B$8:$AO$8)-COLUMN(Curves!$B$8)+1&lt;=10-Projects!$C$4+1))),0)</f>
        <v>2768707.7320817742</v>
      </c>
      <c r="M8" s="231">
        <f>IF(AND(Projects!$G$4="Yes",Projects!$F$4="Yes",11&gt;=Projects!$C$4,11&lt;Projects!$C$4+Projects!$D$4),Projects!$B$4*(1-SUMPRODUCT((Curves!$B$8:$AO$8)*(COLUMN(Curves!$B$8:$AO$8)-COLUMN(Curves!$B$8)+1&lt;=11-Projects!$C$4+1))),0)</f>
        <v>2026003.5227671519</v>
      </c>
      <c r="N8" s="231">
        <f>IF(AND(Projects!$G$4="Yes",Projects!$F$4="Yes",12&gt;=Projects!$C$4,12&lt;Projects!$C$4+Projects!$D$4),Projects!$B$4*(1-SUMPRODUCT((Curves!$B$8:$AO$8)*(COLUMN(Curves!$B$8:$AO$8)-COLUMN(Curves!$B$8)+1&lt;=12-Projects!$C$4+1))),0)</f>
        <v>1378283.0567084828</v>
      </c>
      <c r="O8" s="231">
        <f>IF(AND(Projects!$G$4="Yes",Projects!$F$4="Yes",13&gt;=Projects!$C$4,13&lt;Projects!$C$4+Projects!$D$4),Projects!$B$4*(1-SUMPRODUCT((Curves!$B$8:$AO$8)*(COLUMN(Curves!$B$8:$AO$8)-COLUMN(Curves!$B$8)+1&lt;=13-Projects!$C$4+1))),0)</f>
        <v>827276.86346258991</v>
      </c>
      <c r="P8" s="231">
        <f>IF(AND(Projects!$G$4="Yes",Projects!$F$4="Yes",14&gt;=Projects!$C$4,14&lt;Projects!$C$4+Projects!$D$4),Projects!$B$4*(1-SUMPRODUCT((Curves!$B$8:$AO$8)*(COLUMN(Curves!$B$8:$AO$8)-COLUMN(Curves!$B$8)+1&lt;=14-Projects!$C$4+1))),0)</f>
        <v>370068.16337321472</v>
      </c>
      <c r="Q8" s="231">
        <f>IF(AND(Projects!$G$4="Yes",Projects!$F$4="Yes",15&gt;=Projects!$C$4,15&lt;Projects!$C$4+Projects!$D$4),Projects!$B$4*(1-SUMPRODUCT((Curves!$B$8:$AO$8)*(COLUMN(Curves!$B$8:$AO$8)-COLUMN(Curves!$B$8)+1&lt;=15-Projects!$C$4+1))),0)</f>
        <v>-2.6489654914030325E-9</v>
      </c>
      <c r="R8" s="231">
        <f>IF(AND(Projects!$G$4="Yes",Projects!$F$4="Yes",16&gt;=Projects!$C$4,16&lt;Projects!$C$4+Projects!$D$4),Projects!$B$4*(1-SUMPRODUCT((Curves!$B$8:$AO$8)*(COLUMN(Curves!$B$8:$AO$8)-COLUMN(Curves!$B$8)+1&lt;=16-Projects!$C$4+1))),0)</f>
        <v>0</v>
      </c>
      <c r="S8" s="231">
        <f>IF(AND(Projects!$G$4="Yes",Projects!$F$4="Yes",17&gt;=Projects!$C$4,17&lt;Projects!$C$4+Projects!$D$4),Projects!$B$4*(1-SUMPRODUCT((Curves!$B$8:$AO$8)*(COLUMN(Curves!$B$8:$AO$8)-COLUMN(Curves!$B$8)+1&lt;=17-Projects!$C$4+1))),0)</f>
        <v>0</v>
      </c>
      <c r="T8" s="231">
        <f>IF(AND(Projects!$G$4="Yes",Projects!$F$4="Yes",18&gt;=Projects!$C$4,18&lt;Projects!$C$4+Projects!$D$4),Projects!$B$4*(1-SUMPRODUCT((Curves!$B$8:$AO$8)*(COLUMN(Curves!$B$8:$AO$8)-COLUMN(Curves!$B$8)+1&lt;=18-Projects!$C$4+1))),0)</f>
        <v>0</v>
      </c>
      <c r="U8" s="231">
        <f>IF(AND(Projects!$G$4="Yes",Projects!$F$4="Yes",19&gt;=Projects!$C$4,19&lt;Projects!$C$4+Projects!$D$4),Projects!$B$4*(1-SUMPRODUCT((Curves!$B$8:$AO$8)*(COLUMN(Curves!$B$8:$AO$8)-COLUMN(Curves!$B$8)+1&lt;=19-Projects!$C$4+1))),0)</f>
        <v>0</v>
      </c>
      <c r="V8" s="231">
        <f>IF(AND(Projects!$G$4="Yes",Projects!$F$4="Yes",20&gt;=Projects!$C$4,20&lt;Projects!$C$4+Projects!$D$4),Projects!$B$4*(1-SUMPRODUCT((Curves!$B$8:$AO$8)*(COLUMN(Curves!$B$8:$AO$8)-COLUMN(Curves!$B$8)+1&lt;=20-Projects!$C$4+1))),0)</f>
        <v>0</v>
      </c>
      <c r="W8" s="231">
        <f>IF(AND(Projects!$G$4="Yes",Projects!$F$4="Yes",21&gt;=Projects!$C$4,21&lt;Projects!$C$4+Projects!$D$4),Projects!$B$4*(1-SUMPRODUCT((Curves!$B$8:$AO$8)*(COLUMN(Curves!$B$8:$AO$8)-COLUMN(Curves!$B$8)+1&lt;=21-Projects!$C$4+1))),0)</f>
        <v>0</v>
      </c>
      <c r="X8" s="231">
        <f>IF(AND(Projects!$G$4="Yes",Projects!$F$4="Yes",22&gt;=Projects!$C$4,22&lt;Projects!$C$4+Projects!$D$4),Projects!$B$4*(1-SUMPRODUCT((Curves!$B$8:$AO$8)*(COLUMN(Curves!$B$8:$AO$8)-COLUMN(Curves!$B$8)+1&lt;=22-Projects!$C$4+1))),0)</f>
        <v>0</v>
      </c>
      <c r="Y8" s="231">
        <f>IF(AND(Projects!$G$4="Yes",Projects!$F$4="Yes",23&gt;=Projects!$C$4,23&lt;Projects!$C$4+Projects!$D$4),Projects!$B$4*(1-SUMPRODUCT((Curves!$B$8:$AO$8)*(COLUMN(Curves!$B$8:$AO$8)-COLUMN(Curves!$B$8)+1&lt;=23-Projects!$C$4+1))),0)</f>
        <v>0</v>
      </c>
      <c r="Z8" s="231">
        <f>IF(AND(Projects!$G$4="Yes",Projects!$F$4="Yes",24&gt;=Projects!$C$4,24&lt;Projects!$C$4+Projects!$D$4),Projects!$B$4*(1-SUMPRODUCT((Curves!$B$8:$AO$8)*(COLUMN(Curves!$B$8:$AO$8)-COLUMN(Curves!$B$8)+1&lt;=24-Projects!$C$4+1))),0)</f>
        <v>0</v>
      </c>
      <c r="AA8" s="231">
        <f>IF(AND(Projects!$G$4="Yes",Projects!$F$4="Yes",25&gt;=Projects!$C$4,25&lt;Projects!$C$4+Projects!$D$4),Projects!$B$4*(1-SUMPRODUCT((Curves!$B$8:$AO$8)*(COLUMN(Curves!$B$8:$AO$8)-COLUMN(Curves!$B$8)+1&lt;=25-Projects!$C$4+1))),0)</f>
        <v>0</v>
      </c>
      <c r="AB8" s="231">
        <f>IF(AND(Projects!$G$4="Yes",Projects!$F$4="Yes",26&gt;=Projects!$C$4,26&lt;Projects!$C$4+Projects!$D$4),Projects!$B$4*(1-SUMPRODUCT((Curves!$B$8:$AO$8)*(COLUMN(Curves!$B$8:$AO$8)-COLUMN(Curves!$B$8)+1&lt;=26-Projects!$C$4+1))),0)</f>
        <v>0</v>
      </c>
      <c r="AC8" s="231">
        <f>IF(AND(Projects!$G$4="Yes",Projects!$F$4="Yes",27&gt;=Projects!$C$4,27&lt;Projects!$C$4+Projects!$D$4),Projects!$B$4*(1-SUMPRODUCT((Curves!$B$8:$AO$8)*(COLUMN(Curves!$B$8:$AO$8)-COLUMN(Curves!$B$8)+1&lt;=27-Projects!$C$4+1))),0)</f>
        <v>0</v>
      </c>
      <c r="AD8" s="231">
        <f>IF(AND(Projects!$G$4="Yes",Projects!$F$4="Yes",28&gt;=Projects!$C$4,28&lt;Projects!$C$4+Projects!$D$4),Projects!$B$4*(1-SUMPRODUCT((Curves!$B$8:$AO$8)*(COLUMN(Curves!$B$8:$AO$8)-COLUMN(Curves!$B$8)+1&lt;=28-Projects!$C$4+1))),0)</f>
        <v>0</v>
      </c>
      <c r="AE8" s="231">
        <f>IF(AND(Projects!$G$4="Yes",Projects!$F$4="Yes",29&gt;=Projects!$C$4,29&lt;Projects!$C$4+Projects!$D$4),Projects!$B$4*(1-SUMPRODUCT((Curves!$B$8:$AO$8)*(COLUMN(Curves!$B$8:$AO$8)-COLUMN(Curves!$B$8)+1&lt;=29-Projects!$C$4+1))),0)</f>
        <v>0</v>
      </c>
      <c r="AF8" s="231">
        <f>IF(AND(Projects!$G$4="Yes",Projects!$F$4="Yes",30&gt;=Projects!$C$4,30&lt;Projects!$C$4+Projects!$D$4),Projects!$B$4*(1-SUMPRODUCT((Curves!$B$8:$AO$8)*(COLUMN(Curves!$B$8:$AO$8)-COLUMN(Curves!$B$8)+1&lt;=30-Projects!$C$4+1))),0)</f>
        <v>0</v>
      </c>
      <c r="AG8" s="231">
        <f>IF(AND(Projects!$G$4="Yes",Projects!$F$4="Yes",31&gt;=Projects!$C$4,31&lt;Projects!$C$4+Projects!$D$4),Projects!$B$4*(1-SUMPRODUCT((Curves!$B$8:$AO$8)*(COLUMN(Curves!$B$8:$AO$8)-COLUMN(Curves!$B$8)+1&lt;=31-Projects!$C$4+1))),0)</f>
        <v>0</v>
      </c>
      <c r="AH8" s="231">
        <f>IF(AND(Projects!$G$4="Yes",Projects!$F$4="Yes",32&gt;=Projects!$C$4,32&lt;Projects!$C$4+Projects!$D$4),Projects!$B$4*(1-SUMPRODUCT((Curves!$B$8:$AO$8)*(COLUMN(Curves!$B$8:$AO$8)-COLUMN(Curves!$B$8)+1&lt;=32-Projects!$C$4+1))),0)</f>
        <v>0</v>
      </c>
      <c r="AI8" s="231">
        <f>IF(AND(Projects!$G$4="Yes",Projects!$F$4="Yes",33&gt;=Projects!$C$4,33&lt;Projects!$C$4+Projects!$D$4),Projects!$B$4*(1-SUMPRODUCT((Curves!$B$8:$AO$8)*(COLUMN(Curves!$B$8:$AO$8)-COLUMN(Curves!$B$8)+1&lt;=33-Projects!$C$4+1))),0)</f>
        <v>0</v>
      </c>
      <c r="AJ8" s="231">
        <f>IF(AND(Projects!$G$4="Yes",Projects!$F$4="Yes",34&gt;=Projects!$C$4,34&lt;Projects!$C$4+Projects!$D$4),Projects!$B$4*(1-SUMPRODUCT((Curves!$B$8:$AO$8)*(COLUMN(Curves!$B$8:$AO$8)-COLUMN(Curves!$B$8)+1&lt;=34-Projects!$C$4+1))),0)</f>
        <v>0</v>
      </c>
      <c r="AK8" s="231">
        <f>IF(AND(Projects!$G$4="Yes",Projects!$F$4="Yes",35&gt;=Projects!$C$4,35&lt;Projects!$C$4+Projects!$D$4),Projects!$B$4*(1-SUMPRODUCT((Curves!$B$8:$AO$8)*(COLUMN(Curves!$B$8:$AO$8)-COLUMN(Curves!$B$8)+1&lt;=35-Projects!$C$4+1))),0)</f>
        <v>0</v>
      </c>
      <c r="AL8" s="231">
        <f>IF(AND(Projects!$G$4="Yes",Projects!$F$4="Yes",36&gt;=Projects!$C$4,36&lt;Projects!$C$4+Projects!$D$4),Projects!$B$4*(1-SUMPRODUCT((Curves!$B$8:$AO$8)*(COLUMN(Curves!$B$8:$AO$8)-COLUMN(Curves!$B$8)+1&lt;=36-Projects!$C$4+1))),0)</f>
        <v>0</v>
      </c>
      <c r="AM8" s="231">
        <f>IF(AND(Projects!$G$4="Yes",Projects!$F$4="Yes",37&gt;=Projects!$C$4,37&lt;Projects!$C$4+Projects!$D$4),Projects!$B$4*(1-SUMPRODUCT((Curves!$B$8:$AO$8)*(COLUMN(Curves!$B$8:$AO$8)-COLUMN(Curves!$B$8)+1&lt;=37-Projects!$C$4+1))),0)</f>
        <v>0</v>
      </c>
      <c r="AN8" s="231">
        <f>IF(AND(Projects!$G$4="Yes",Projects!$F$4="Yes",38&gt;=Projects!$C$4,38&lt;Projects!$C$4+Projects!$D$4),Projects!$B$4*(1-SUMPRODUCT((Curves!$B$8:$AO$8)*(COLUMN(Curves!$B$8:$AO$8)-COLUMN(Curves!$B$8)+1&lt;=38-Projects!$C$4+1))),0)</f>
        <v>0</v>
      </c>
      <c r="AO8" s="231">
        <f>IF(AND(Projects!$G$4="Yes",Projects!$F$4="Yes",39&gt;=Projects!$C$4,39&lt;Projects!$C$4+Projects!$D$4),Projects!$B$4*(1-SUMPRODUCT((Curves!$B$8:$AO$8)*(COLUMN(Curves!$B$8:$AO$8)-COLUMN(Curves!$B$8)+1&lt;=39-Projects!$C$4+1))),0)</f>
        <v>0</v>
      </c>
      <c r="AP8" s="231">
        <f>IF(AND(Projects!$G$4="Yes",Projects!$F$4="Yes",40&gt;=Projects!$C$4,40&lt;Projects!$C$4+Projects!$D$4),Projects!$B$4*(1-SUMPRODUCT((Curves!$B$8:$AO$8)*(COLUMN(Curves!$B$8:$AO$8)-COLUMN(Curves!$B$8)+1&lt;=40-Projects!$C$4+1))),0)</f>
        <v>0</v>
      </c>
      <c r="AQ8" s="231">
        <f>IF(AND(Projects!$G$4="Yes",Projects!$F$4="Yes",41&gt;=Projects!$C$4,41&lt;Projects!$C$4+Projects!$D$4),Projects!$B$4*(1-SUMPRODUCT((Curves!$B$8:$AO$8)*(COLUMN(Curves!$B$8:$AO$8)-COLUMN(Curves!$B$8)+1&lt;=41-Projects!$C$4+1))),0)</f>
        <v>0</v>
      </c>
      <c r="AR8" s="231">
        <f>IF(AND(Projects!$G$4="Yes",Projects!$F$4="Yes",42&gt;=Projects!$C$4,42&lt;Projects!$C$4+Projects!$D$4),Projects!$B$4*(1-SUMPRODUCT((Curves!$B$8:$AO$8)*(COLUMN(Curves!$B$8:$AO$8)-COLUMN(Curves!$B$8)+1&lt;=42-Projects!$C$4+1))),0)</f>
        <v>0</v>
      </c>
      <c r="AS8" s="231">
        <f>IF(AND(Projects!$G$4="Yes",Projects!$F$4="Yes",43&gt;=Projects!$C$4,43&lt;Projects!$C$4+Projects!$D$4),Projects!$B$4*(1-SUMPRODUCT((Curves!$B$8:$AO$8)*(COLUMN(Curves!$B$8:$AO$8)-COLUMN(Curves!$B$8)+1&lt;=43-Projects!$C$4+1))),0)</f>
        <v>0</v>
      </c>
      <c r="AT8" s="231">
        <f>IF(AND(Projects!$G$4="Yes",Projects!$F$4="Yes",44&gt;=Projects!$C$4,44&lt;Projects!$C$4+Projects!$D$4),Projects!$B$4*(1-SUMPRODUCT((Curves!$B$8:$AO$8)*(COLUMN(Curves!$B$8:$AO$8)-COLUMN(Curves!$B$8)+1&lt;=44-Projects!$C$4+1))),0)</f>
        <v>0</v>
      </c>
      <c r="AU8" s="231">
        <f>IF(AND(Projects!$G$4="Yes",Projects!$F$4="Yes",45&gt;=Projects!$C$4,45&lt;Projects!$C$4+Projects!$D$4),Projects!$B$4*(1-SUMPRODUCT((Curves!$B$8:$AO$8)*(COLUMN(Curves!$B$8:$AO$8)-COLUMN(Curves!$B$8)+1&lt;=45-Projects!$C$4+1))),0)</f>
        <v>0</v>
      </c>
      <c r="AV8" s="231">
        <f>IF(AND(Projects!$G$4="Yes",Projects!$F$4="Yes",46&gt;=Projects!$C$4,46&lt;Projects!$C$4+Projects!$D$4),Projects!$B$4*(1-SUMPRODUCT((Curves!$B$8:$AO$8)*(COLUMN(Curves!$B$8:$AO$8)-COLUMN(Curves!$B$8)+1&lt;=46-Projects!$C$4+1))),0)</f>
        <v>0</v>
      </c>
      <c r="AW8" s="231">
        <f>IF(AND(Projects!$G$4="Yes",Projects!$F$4="Yes",47&gt;=Projects!$C$4,47&lt;Projects!$C$4+Projects!$D$4),Projects!$B$4*(1-SUMPRODUCT((Curves!$B$8:$AO$8)*(COLUMN(Curves!$B$8:$AO$8)-COLUMN(Curves!$B$8)+1&lt;=47-Projects!$C$4+1))),0)</f>
        <v>0</v>
      </c>
      <c r="AX8" s="231">
        <f>IF(AND(Projects!$G$4="Yes",Projects!$F$4="Yes",48&gt;=Projects!$C$4,48&lt;Projects!$C$4+Projects!$D$4),Projects!$B$4*(1-SUMPRODUCT((Curves!$B$8:$AO$8)*(COLUMN(Curves!$B$8:$AO$8)-COLUMN(Curves!$B$8)+1&lt;=48-Projects!$C$4+1))),0)</f>
        <v>0</v>
      </c>
      <c r="AY8" s="231">
        <f>IF(AND(Projects!$G$4="Yes",Projects!$F$4="Yes",49&gt;=Projects!$C$4,49&lt;Projects!$C$4+Projects!$D$4),Projects!$B$4*(1-SUMPRODUCT((Curves!$B$8:$AO$8)*(COLUMN(Curves!$B$8:$AO$8)-COLUMN(Curves!$B$8)+1&lt;=49-Projects!$C$4+1))),0)</f>
        <v>0</v>
      </c>
      <c r="AZ8" s="231">
        <f>IF(AND(Projects!$G$4="Yes",Projects!$F$4="Yes",50&gt;=Projects!$C$4,50&lt;Projects!$C$4+Projects!$D$4),Projects!$B$4*(1-SUMPRODUCT((Curves!$B$8:$AO$8)*(COLUMN(Curves!$B$8:$AO$8)-COLUMN(Curves!$B$8)+1&lt;=50-Projects!$C$4+1))),0)</f>
        <v>0</v>
      </c>
      <c r="BA8" s="231">
        <f>IF(AND(Projects!$G$4="Yes",Projects!$F$4="Yes",51&gt;=Projects!$C$4,51&lt;Projects!$C$4+Projects!$D$4),Projects!$B$4*(1-SUMPRODUCT((Curves!$B$8:$AO$8)*(COLUMN(Curves!$B$8:$AO$8)-COLUMN(Curves!$B$8)+1&lt;=51-Projects!$C$4+1))),0)</f>
        <v>0</v>
      </c>
      <c r="BB8" s="231">
        <f>IF(AND(Projects!$G$4="Yes",Projects!$F$4="Yes",52&gt;=Projects!$C$4,52&lt;Projects!$C$4+Projects!$D$4),Projects!$B$4*(1-SUMPRODUCT((Curves!$B$8:$AO$8)*(COLUMN(Curves!$B$8:$AO$8)-COLUMN(Curves!$B$8)+1&lt;=52-Projects!$C$4+1))),0)</f>
        <v>0</v>
      </c>
      <c r="BC8" s="231">
        <f>IF(AND(Projects!$G$4="Yes",Projects!$F$4="Yes",53&gt;=Projects!$C$4,53&lt;Projects!$C$4+Projects!$D$4),Projects!$B$4*(1-SUMPRODUCT((Curves!$B$8:$AO$8)*(COLUMN(Curves!$B$8:$AO$8)-COLUMN(Curves!$B$8)+1&lt;=53-Projects!$C$4+1))),0)</f>
        <v>0</v>
      </c>
      <c r="BD8" s="231">
        <f>IF(AND(Projects!$G$4="Yes",Projects!$F$4="Yes",54&gt;=Projects!$C$4,54&lt;Projects!$C$4+Projects!$D$4),Projects!$B$4*(1-SUMPRODUCT((Curves!$B$8:$AO$8)*(COLUMN(Curves!$B$8:$AO$8)-COLUMN(Curves!$B$8)+1&lt;=54-Projects!$C$4+1))),0)</f>
        <v>0</v>
      </c>
      <c r="BE8" s="231">
        <f>IF(AND(Projects!$G$4="Yes",Projects!$F$4="Yes",55&gt;=Projects!$C$4,55&lt;Projects!$C$4+Projects!$D$4),Projects!$B$4*(1-SUMPRODUCT((Curves!$B$8:$AO$8)*(COLUMN(Curves!$B$8:$AO$8)-COLUMN(Curves!$B$8)+1&lt;=55-Projects!$C$4+1))),0)</f>
        <v>0</v>
      </c>
      <c r="BF8" s="231">
        <f>IF(AND(Projects!$G$4="Yes",Projects!$F$4="Yes",56&gt;=Projects!$C$4,56&lt;Projects!$C$4+Projects!$D$4),Projects!$B$4*(1-SUMPRODUCT((Curves!$B$8:$AO$8)*(COLUMN(Curves!$B$8:$AO$8)-COLUMN(Curves!$B$8)+1&lt;=56-Projects!$C$4+1))),0)</f>
        <v>0</v>
      </c>
      <c r="BG8" s="231">
        <f>IF(AND(Projects!$G$4="Yes",Projects!$F$4="Yes",57&gt;=Projects!$C$4,57&lt;Projects!$C$4+Projects!$D$4),Projects!$B$4*(1-SUMPRODUCT((Curves!$B$8:$AO$8)*(COLUMN(Curves!$B$8:$AO$8)-COLUMN(Curves!$B$8)+1&lt;=57-Projects!$C$4+1))),0)</f>
        <v>0</v>
      </c>
      <c r="BH8" s="231">
        <f>IF(AND(Projects!$G$4="Yes",Projects!$F$4="Yes",58&gt;=Projects!$C$4,58&lt;Projects!$C$4+Projects!$D$4),Projects!$B$4*(1-SUMPRODUCT((Curves!$B$8:$AO$8)*(COLUMN(Curves!$B$8:$AO$8)-COLUMN(Curves!$B$8)+1&lt;=58-Projects!$C$4+1))),0)</f>
        <v>0</v>
      </c>
      <c r="BI8" s="231">
        <f>IF(AND(Projects!$G$4="Yes",Projects!$F$4="Yes",59&gt;=Projects!$C$4,59&lt;Projects!$C$4+Projects!$D$4),Projects!$B$4*(1-SUMPRODUCT((Curves!$B$8:$AO$8)*(COLUMN(Curves!$B$8:$AO$8)-COLUMN(Curves!$B$8)+1&lt;=59-Projects!$C$4+1))),0)</f>
        <v>0</v>
      </c>
      <c r="BJ8" s="231">
        <f>IF(AND(Projects!$G$4="Yes",Projects!$F$4="Yes",60&gt;=Projects!$C$4,60&lt;Projects!$C$4+Projects!$D$4),Projects!$B$4*(1-SUMPRODUCT((Curves!$B$8:$AO$8)*(COLUMN(Curves!$B$8:$AO$8)-COLUMN(Curves!$B$8)+1&lt;=60-Projects!$C$4+1))),0)</f>
        <v>0</v>
      </c>
      <c r="BK8" s="231">
        <f>IF(AND(Projects!$G$4="Yes",Projects!$F$4="Yes",61&gt;=Projects!$C$4,61&lt;Projects!$C$4+Projects!$D$4),Projects!$B$4*(1-SUMPRODUCT((Curves!$B$8:$AO$8)*(COLUMN(Curves!$B$8:$AO$8)-COLUMN(Curves!$B$8)+1&lt;=61-Projects!$C$4+1))),0)</f>
        <v>0</v>
      </c>
      <c r="BL8" s="231">
        <f>IF(AND(Projects!$G$4="Yes",Projects!$F$4="Yes",62&gt;=Projects!$C$4,62&lt;Projects!$C$4+Projects!$D$4),Projects!$B$4*(1-SUMPRODUCT((Curves!$B$8:$AO$8)*(COLUMN(Curves!$B$8:$AO$8)-COLUMN(Curves!$B$8)+1&lt;=62-Projects!$C$4+1))),0)</f>
        <v>0</v>
      </c>
      <c r="BM8" s="231">
        <f>IF(AND(Projects!$G$4="Yes",Projects!$F$4="Yes",63&gt;=Projects!$C$4,63&lt;Projects!$C$4+Projects!$D$4),Projects!$B$4*(1-SUMPRODUCT((Curves!$B$8:$AO$8)*(COLUMN(Curves!$B$8:$AO$8)-COLUMN(Curves!$B$8)+1&lt;=63-Projects!$C$4+1))),0)</f>
        <v>0</v>
      </c>
      <c r="BN8" s="231">
        <f>IF(AND(Projects!$G$4="Yes",Projects!$F$4="Yes",64&gt;=Projects!$C$4,64&lt;Projects!$C$4+Projects!$D$4),Projects!$B$4*(1-SUMPRODUCT((Curves!$B$8:$AO$8)*(COLUMN(Curves!$B$8:$AO$8)-COLUMN(Curves!$B$8)+1&lt;=64-Projects!$C$4+1))),0)</f>
        <v>0</v>
      </c>
      <c r="BO8" s="231">
        <f>IF(AND(Projects!$G$4="Yes",Projects!$F$4="Yes",65&gt;=Projects!$C$4,65&lt;Projects!$C$4+Projects!$D$4),Projects!$B$4*(1-SUMPRODUCT((Curves!$B$8:$AO$8)*(COLUMN(Curves!$B$8:$AO$8)-COLUMN(Curves!$B$8)+1&lt;=65-Projects!$C$4+1))),0)</f>
        <v>0</v>
      </c>
      <c r="BP8" s="231">
        <f>IF(AND(Projects!$G$4="Yes",Projects!$F$4="Yes",66&gt;=Projects!$C$4,66&lt;Projects!$C$4+Projects!$D$4),Projects!$B$4*(1-SUMPRODUCT((Curves!$B$8:$AO$8)*(COLUMN(Curves!$B$8:$AO$8)-COLUMN(Curves!$B$8)+1&lt;=66-Projects!$C$4+1))),0)</f>
        <v>0</v>
      </c>
      <c r="BQ8" s="231">
        <f>IF(AND(Projects!$G$4="Yes",Projects!$F$4="Yes",67&gt;=Projects!$C$4,67&lt;Projects!$C$4+Projects!$D$4),Projects!$B$4*(1-SUMPRODUCT((Curves!$B$8:$AO$8)*(COLUMN(Curves!$B$8:$AO$8)-COLUMN(Curves!$B$8)+1&lt;=67-Projects!$C$4+1))),0)</f>
        <v>0</v>
      </c>
      <c r="BR8" s="231">
        <f>IF(AND(Projects!$G$4="Yes",Projects!$F$4="Yes",68&gt;=Projects!$C$4,68&lt;Projects!$C$4+Projects!$D$4),Projects!$B$4*(1-SUMPRODUCT((Curves!$B$8:$AO$8)*(COLUMN(Curves!$B$8:$AO$8)-COLUMN(Curves!$B$8)+1&lt;=68-Projects!$C$4+1))),0)</f>
        <v>0</v>
      </c>
      <c r="BS8" s="231">
        <f>IF(AND(Projects!$G$4="Yes",Projects!$F$4="Yes",69&gt;=Projects!$C$4,69&lt;Projects!$C$4+Projects!$D$4),Projects!$B$4*(1-SUMPRODUCT((Curves!$B$8:$AO$8)*(COLUMN(Curves!$B$8:$AO$8)-COLUMN(Curves!$B$8)+1&lt;=69-Projects!$C$4+1))),0)</f>
        <v>0</v>
      </c>
      <c r="BT8" s="231">
        <f>IF(AND(Projects!$G$4="Yes",Projects!$F$4="Yes",70&gt;=Projects!$C$4,70&lt;Projects!$C$4+Projects!$D$4),Projects!$B$4*(1-SUMPRODUCT((Curves!$B$8:$AO$8)*(COLUMN(Curves!$B$8:$AO$8)-COLUMN(Curves!$B$8)+1&lt;=70-Projects!$C$4+1))),0)</f>
        <v>0</v>
      </c>
      <c r="BU8" s="231">
        <f>IF(AND(Projects!$G$4="Yes",Projects!$F$4="Yes",71&gt;=Projects!$C$4,71&lt;Projects!$C$4+Projects!$D$4),Projects!$B$4*(1-SUMPRODUCT((Curves!$B$8:$AO$8)*(COLUMN(Curves!$B$8:$AO$8)-COLUMN(Curves!$B$8)+1&lt;=71-Projects!$C$4+1))),0)</f>
        <v>0</v>
      </c>
      <c r="BV8" s="231">
        <f>IF(AND(Projects!$G$4="Yes",Projects!$F$4="Yes",72&gt;=Projects!$C$4,72&lt;Projects!$C$4+Projects!$D$4),Projects!$B$4*(1-SUMPRODUCT((Curves!$B$8:$AO$8)*(COLUMN(Curves!$B$8:$AO$8)-COLUMN(Curves!$B$8)+1&lt;=72-Projects!$C$4+1))),0)</f>
        <v>0</v>
      </c>
      <c r="BW8" s="231">
        <f>IF(AND(Projects!$G$4="Yes",Projects!$F$4="Yes",73&gt;=Projects!$C$4,73&lt;Projects!$C$4+Projects!$D$4),Projects!$B$4*(1-SUMPRODUCT((Curves!$B$8:$AO$8)*(COLUMN(Curves!$B$8:$AO$8)-COLUMN(Curves!$B$8)+1&lt;=73-Projects!$C$4+1))),0)</f>
        <v>0</v>
      </c>
      <c r="BX8" s="231">
        <f>IF(AND(Projects!$G$4="Yes",Projects!$F$4="Yes",74&gt;=Projects!$C$4,74&lt;Projects!$C$4+Projects!$D$4),Projects!$B$4*(1-SUMPRODUCT((Curves!$B$8:$AO$8)*(COLUMN(Curves!$B$8:$AO$8)-COLUMN(Curves!$B$8)+1&lt;=74-Projects!$C$4+1))),0)</f>
        <v>0</v>
      </c>
      <c r="BY8" s="231">
        <f>IF(AND(Projects!$G$4="Yes",Projects!$F$4="Yes",75&gt;=Projects!$C$4,75&lt;Projects!$C$4+Projects!$D$4),Projects!$B$4*(1-SUMPRODUCT((Curves!$B$8:$AO$8)*(COLUMN(Curves!$B$8:$AO$8)-COLUMN(Curves!$B$8)+1&lt;=75-Projects!$C$4+1))),0)</f>
        <v>0</v>
      </c>
      <c r="BZ8" s="231">
        <f>IF(AND(Projects!$G$4="Yes",Projects!$F$4="Yes",76&gt;=Projects!$C$4,76&lt;Projects!$C$4+Projects!$D$4),Projects!$B$4*(1-SUMPRODUCT((Curves!$B$8:$AO$8)*(COLUMN(Curves!$B$8:$AO$8)-COLUMN(Curves!$B$8)+1&lt;=76-Projects!$C$4+1))),0)</f>
        <v>0</v>
      </c>
      <c r="CA8" s="231">
        <f>IF(AND(Projects!$G$4="Yes",Projects!$F$4="Yes",77&gt;=Projects!$C$4,77&lt;Projects!$C$4+Projects!$D$4),Projects!$B$4*(1-SUMPRODUCT((Curves!$B$8:$AO$8)*(COLUMN(Curves!$B$8:$AO$8)-COLUMN(Curves!$B$8)+1&lt;=77-Projects!$C$4+1))),0)</f>
        <v>0</v>
      </c>
      <c r="CB8" s="231">
        <f>IF(AND(Projects!$G$4="Yes",Projects!$F$4="Yes",78&gt;=Projects!$C$4,78&lt;Projects!$C$4+Projects!$D$4),Projects!$B$4*(1-SUMPRODUCT((Curves!$B$8:$AO$8)*(COLUMN(Curves!$B$8:$AO$8)-COLUMN(Curves!$B$8)+1&lt;=78-Projects!$C$4+1))),0)</f>
        <v>0</v>
      </c>
      <c r="CC8" s="231">
        <f>IF(AND(Projects!$G$4="Yes",Projects!$F$4="Yes",79&gt;=Projects!$C$4,79&lt;Projects!$C$4+Projects!$D$4),Projects!$B$4*(1-SUMPRODUCT((Curves!$B$8:$AO$8)*(COLUMN(Curves!$B$8:$AO$8)-COLUMN(Curves!$B$8)+1&lt;=79-Projects!$C$4+1))),0)</f>
        <v>0</v>
      </c>
      <c r="CD8" s="231">
        <f>IF(AND(Projects!$G$4="Yes",Projects!$F$4="Yes",80&gt;=Projects!$C$4,80&lt;Projects!$C$4+Projects!$D$4),Projects!$B$4*(1-SUMPRODUCT((Curves!$B$8:$AO$8)*(COLUMN(Curves!$B$8:$AO$8)-COLUMN(Curves!$B$8)+1&lt;=80-Projects!$C$4+1))),0)</f>
        <v>0</v>
      </c>
      <c r="CE8" s="231">
        <f>IF(AND(Projects!$G$4="Yes",Projects!$F$4="Yes",81&gt;=Projects!$C$4,81&lt;Projects!$C$4+Projects!$D$4),Projects!$B$4*(1-SUMPRODUCT((Curves!$B$8:$AO$8)*(COLUMN(Curves!$B$8:$AO$8)-COLUMN(Curves!$B$8)+1&lt;=81-Projects!$C$4+1))),0)</f>
        <v>0</v>
      </c>
      <c r="CF8" s="231">
        <f>IF(AND(Projects!$G$4="Yes",Projects!$F$4="Yes",82&gt;=Projects!$C$4,82&lt;Projects!$C$4+Projects!$D$4),Projects!$B$4*(1-SUMPRODUCT((Curves!$B$8:$AO$8)*(COLUMN(Curves!$B$8:$AO$8)-COLUMN(Curves!$B$8)+1&lt;=82-Projects!$C$4+1))),0)</f>
        <v>0</v>
      </c>
      <c r="CG8" s="231">
        <f>IF(AND(Projects!$G$4="Yes",Projects!$F$4="Yes",83&gt;=Projects!$C$4,83&lt;Projects!$C$4+Projects!$D$4),Projects!$B$4*(1-SUMPRODUCT((Curves!$B$8:$AO$8)*(COLUMN(Curves!$B$8:$AO$8)-COLUMN(Curves!$B$8)+1&lt;=83-Projects!$C$4+1))),0)</f>
        <v>0</v>
      </c>
      <c r="CH8" s="231">
        <f>IF(AND(Projects!$G$4="Yes",Projects!$F$4="Yes",84&gt;=Projects!$C$4,84&lt;Projects!$C$4+Projects!$D$4),Projects!$B$4*(1-SUMPRODUCT((Curves!$B$8:$AO$8)*(COLUMN(Curves!$B$8:$AO$8)-COLUMN(Curves!$B$8)+1&lt;=84-Projects!$C$4+1))),0)</f>
        <v>0</v>
      </c>
      <c r="CI8" s="231">
        <f>IF(AND(Projects!$G$4="Yes",Projects!$F$4="Yes",85&gt;=Projects!$C$4,85&lt;Projects!$C$4+Projects!$D$4),Projects!$B$4*(1-SUMPRODUCT((Curves!$B$8:$AO$8)*(COLUMN(Curves!$B$8:$AO$8)-COLUMN(Curves!$B$8)+1&lt;=85-Projects!$C$4+1))),0)</f>
        <v>0</v>
      </c>
      <c r="CJ8" s="231">
        <f>IF(AND(Projects!$G$4="Yes",Projects!$F$4="Yes",86&gt;=Projects!$C$4,86&lt;Projects!$C$4+Projects!$D$4),Projects!$B$4*(1-SUMPRODUCT((Curves!$B$8:$AO$8)*(COLUMN(Curves!$B$8:$AO$8)-COLUMN(Curves!$B$8)+1&lt;=86-Projects!$C$4+1))),0)</f>
        <v>0</v>
      </c>
      <c r="CK8" s="231">
        <f>IF(AND(Projects!$G$4="Yes",Projects!$F$4="Yes",87&gt;=Projects!$C$4,87&lt;Projects!$C$4+Projects!$D$4),Projects!$B$4*(1-SUMPRODUCT((Curves!$B$8:$AO$8)*(COLUMN(Curves!$B$8:$AO$8)-COLUMN(Curves!$B$8)+1&lt;=87-Projects!$C$4+1))),0)</f>
        <v>0</v>
      </c>
      <c r="CL8" s="231">
        <f>IF(AND(Projects!$G$4="Yes",Projects!$F$4="Yes",88&gt;=Projects!$C$4,88&lt;Projects!$C$4+Projects!$D$4),Projects!$B$4*(1-SUMPRODUCT((Curves!$B$8:$AO$8)*(COLUMN(Curves!$B$8:$AO$8)-COLUMN(Curves!$B$8)+1&lt;=88-Projects!$C$4+1))),0)</f>
        <v>0</v>
      </c>
      <c r="CM8" s="231">
        <f>IF(AND(Projects!$G$4="Yes",Projects!$F$4="Yes",89&gt;=Projects!$C$4,89&lt;Projects!$C$4+Projects!$D$4),Projects!$B$4*(1-SUMPRODUCT((Curves!$B$8:$AO$8)*(COLUMN(Curves!$B$8:$AO$8)-COLUMN(Curves!$B$8)+1&lt;=89-Projects!$C$4+1))),0)</f>
        <v>0</v>
      </c>
      <c r="CN8" s="231">
        <f>IF(AND(Projects!$G$4="Yes",Projects!$F$4="Yes",90&gt;=Projects!$C$4,90&lt;Projects!$C$4+Projects!$D$4),Projects!$B$4*(1-SUMPRODUCT((Curves!$B$8:$AO$8)*(COLUMN(Curves!$B$8:$AO$8)-COLUMN(Curves!$B$8)+1&lt;=90-Projects!$C$4+1))),0)</f>
        <v>0</v>
      </c>
      <c r="CO8" s="231">
        <f>IF(AND(Projects!$G$4="Yes",Projects!$F$4="Yes",91&gt;=Projects!$C$4,91&lt;Projects!$C$4+Projects!$D$4),Projects!$B$4*(1-SUMPRODUCT((Curves!$B$8:$AO$8)*(COLUMN(Curves!$B$8:$AO$8)-COLUMN(Curves!$B$8)+1&lt;=91-Projects!$C$4+1))),0)</f>
        <v>0</v>
      </c>
      <c r="CP8" s="231">
        <f>IF(AND(Projects!$G$4="Yes",Projects!$F$4="Yes",92&gt;=Projects!$C$4,92&lt;Projects!$C$4+Projects!$D$4),Projects!$B$4*(1-SUMPRODUCT((Curves!$B$8:$AO$8)*(COLUMN(Curves!$B$8:$AO$8)-COLUMN(Curves!$B$8)+1&lt;=92-Projects!$C$4+1))),0)</f>
        <v>0</v>
      </c>
      <c r="CQ8" s="231">
        <f>IF(AND(Projects!$G$4="Yes",Projects!$F$4="Yes",93&gt;=Projects!$C$4,93&lt;Projects!$C$4+Projects!$D$4),Projects!$B$4*(1-SUMPRODUCT((Curves!$B$8:$AO$8)*(COLUMN(Curves!$B$8:$AO$8)-COLUMN(Curves!$B$8)+1&lt;=93-Projects!$C$4+1))),0)</f>
        <v>0</v>
      </c>
    </row>
    <row r="9" spans="1:95" ht="15" customHeight="1" x14ac:dyDescent="0.25">
      <c r="A9" s="144" t="s">
        <v>167</v>
      </c>
      <c r="C9" s="231">
        <f>IF(AND(Projects!$G$5="Yes",Projects!$F$5="Yes",1&gt;=Projects!$C$5,1&lt;Projects!$C$5+Projects!$D$5),Projects!$B$5*(1-SUMPRODUCT((Curves!$B$9:$AO$9)*(COLUMN(Curves!$B$9:$AO$9)-COLUMN(Curves!$B$9)+1&lt;=1-Projects!$C$5+1))),0)</f>
        <v>13529664.556191422</v>
      </c>
      <c r="D9" s="231">
        <f>IF(AND(Projects!$G$5="Yes",Projects!$F$5="Yes",2&gt;=Projects!$C$5,2&lt;Projects!$C$5+Projects!$D$5),Projects!$B$5*(1-SUMPRODUCT((Curves!$B$9:$AO$9)*(COLUMN(Curves!$B$9:$AO$9)-COLUMN(Curves!$B$9)+1&lt;=2-Projects!$C$5+1))),0)</f>
        <v>12525045.484930303</v>
      </c>
      <c r="E9" s="231">
        <f>IF(AND(Projects!$G$5="Yes",Projects!$F$5="Yes",3&gt;=Projects!$C$5,3&lt;Projects!$C$5+Projects!$D$5),Projects!$B$5*(1-SUMPRODUCT((Curves!$B$9:$AO$9)*(COLUMN(Curves!$B$9:$AO$9)-COLUMN(Curves!$B$9)+1&lt;=3-Projects!$C$5+1))),0)</f>
        <v>11429031.429110885</v>
      </c>
      <c r="F9" s="231">
        <f>IF(AND(Projects!$G$5="Yes",Projects!$F$5="Yes",4&gt;=Projects!$C$5,4&lt;Projects!$C$5+Projects!$D$5),Projects!$B$5*(1-SUMPRODUCT((Curves!$B$9:$AO$9)*(COLUMN(Curves!$B$9:$AO$9)-COLUMN(Curves!$B$9)+1&lt;=4-Projects!$C$5+1))),0)</f>
        <v>10262686.274370983</v>
      </c>
      <c r="G9" s="231">
        <f>IF(AND(Projects!$G$5="Yes",Projects!$F$5="Yes",5&gt;=Projects!$C$5,5&lt;Projects!$C$5+Projects!$D$5),Projects!$B$5*(1-SUMPRODUCT((Curves!$B$9:$AO$9)*(COLUMN(Curves!$B$9:$AO$9)-COLUMN(Curves!$B$9)+1&lt;=5-Projects!$C$5+1))),0)</f>
        <v>9051985.4373745341</v>
      </c>
      <c r="H9" s="231">
        <f>IF(AND(Projects!$G$5="Yes",Projects!$F$5="Yes",6&gt;=Projects!$C$5,6&lt;Projects!$C$5+Projects!$D$5),Projects!$B$5*(1-SUMPRODUCT((Curves!$B$9:$AO$9)*(COLUMN(Curves!$B$9:$AO$9)-COLUMN(Curves!$B$9)+1&lt;=6-Projects!$C$5+1))),0)</f>
        <v>7826128.054462418</v>
      </c>
      <c r="I9" s="231">
        <f>IF(AND(Projects!$G$5="Yes",Projects!$F$5="Yes",7&gt;=Projects!$C$5,7&lt;Projects!$C$5+Projects!$D$5),Projects!$B$5*(1-SUMPRODUCT((Curves!$B$9:$AO$9)*(COLUMN(Curves!$B$9:$AO$9)-COLUMN(Curves!$B$9)+1&lt;=7-Projects!$C$5+1))),0)</f>
        <v>6615427.2174659697</v>
      </c>
      <c r="J9" s="231">
        <f>IF(AND(Projects!$G$5="Yes",Projects!$F$5="Yes",8&gt;=Projects!$C$5,8&lt;Projects!$C$5+Projects!$D$5),Projects!$B$5*(1-SUMPRODUCT((Curves!$B$9:$AO$9)*(COLUMN(Curves!$B$9:$AO$9)-COLUMN(Curves!$B$9)+1&lt;=8-Projects!$C$5+1))),0)</f>
        <v>5449082.0627260674</v>
      </c>
      <c r="K9" s="231">
        <f>IF(AND(Projects!$G$5="Yes",Projects!$F$5="Yes",9&gt;=Projects!$C$5,9&lt;Projects!$C$5+Projects!$D$5),Projects!$B$5*(1-SUMPRODUCT((Curves!$B$9:$AO$9)*(COLUMN(Curves!$B$9:$AO$9)-COLUMN(Curves!$B$9)+1&lt;=9-Projects!$C$5+1))),0)</f>
        <v>4353068.0069066519</v>
      </c>
      <c r="L9" s="231">
        <f>IF(AND(Projects!$G$5="Yes",Projects!$F$5="Yes",10&gt;=Projects!$C$5,10&lt;Projects!$C$5+Projects!$D$5),Projects!$B$5*(1-SUMPRODUCT((Curves!$B$9:$AO$9)*(COLUMN(Curves!$B$9:$AO$9)-COLUMN(Curves!$B$9)+1&lt;=10-Projects!$C$5+1))),0)</f>
        <v>3348448.9356455314</v>
      </c>
      <c r="M9" s="231">
        <f>IF(AND(Projects!$G$5="Yes",Projects!$F$5="Yes",11&gt;=Projects!$C$5,11&lt;Projects!$C$5+Projects!$D$5),Projects!$B$5*(1-SUMPRODUCT((Curves!$B$9:$AO$9)*(COLUMN(Curves!$B$9:$AO$9)-COLUMN(Curves!$B$9)+1&lt;=11-Projects!$C$5+1))),0)</f>
        <v>2450229.4918369525</v>
      </c>
      <c r="N9" s="231">
        <f>IF(AND(Projects!$G$5="Yes",Projects!$F$5="Yes",12&gt;=Projects!$C$5,12&lt;Projects!$C$5+Projects!$D$5),Projects!$B$5*(1-SUMPRODUCT((Curves!$B$9:$AO$9)*(COLUMN(Curves!$B$9:$AO$9)-COLUMN(Curves!$B$9)+1&lt;=12-Projects!$C$5+1))),0)</f>
        <v>1666882.4884538162</v>
      </c>
      <c r="O9" s="231">
        <f>IF(AND(Projects!$G$5="Yes",Projects!$F$5="Yes",13&gt;=Projects!$C$5,13&lt;Projects!$C$5+Projects!$D$5),Projects!$B$5*(1-SUMPRODUCT((Curves!$B$9:$AO$9)*(COLUMN(Curves!$B$9:$AO$9)-COLUMN(Curves!$B$9)+1&lt;=13-Projects!$C$5+1))),0)</f>
        <v>1000500.8115691092</v>
      </c>
      <c r="P9" s="231">
        <f>IF(AND(Projects!$G$5="Yes",Projects!$F$5="Yes",14&gt;=Projects!$C$5,14&lt;Projects!$C$5+Projects!$D$5),Projects!$B$5*(1-SUMPRODUCT((Curves!$B$9:$AO$9)*(COLUMN(Curves!$B$9:$AO$9)-COLUMN(Curves!$B$9)+1&lt;=14-Projects!$C$5+1))),0)</f>
        <v>447556.93546303821</v>
      </c>
      <c r="Q9" s="231">
        <f>IF(AND(Projects!$G$5="Yes",Projects!$F$5="Yes",15&gt;=Projects!$C$5,15&lt;Projects!$C$5+Projects!$D$5),Projects!$B$5*(1-SUMPRODUCT((Curves!$B$9:$AO$9)*(COLUMN(Curves!$B$9:$AO$9)-COLUMN(Curves!$B$9)+1&lt;=15-Projects!$C$5+1))),0)</f>
        <v>-3.2036338026841804E-9</v>
      </c>
      <c r="R9" s="231">
        <f>IF(AND(Projects!$G$5="Yes",Projects!$F$5="Yes",16&gt;=Projects!$C$5,16&lt;Projects!$C$5+Projects!$D$5),Projects!$B$5*(1-SUMPRODUCT((Curves!$B$9:$AO$9)*(COLUMN(Curves!$B$9:$AO$9)-COLUMN(Curves!$B$9)+1&lt;=16-Projects!$C$5+1))),0)</f>
        <v>0</v>
      </c>
      <c r="S9" s="231">
        <f>IF(AND(Projects!$G$5="Yes",Projects!$F$5="Yes",17&gt;=Projects!$C$5,17&lt;Projects!$C$5+Projects!$D$5),Projects!$B$5*(1-SUMPRODUCT((Curves!$B$9:$AO$9)*(COLUMN(Curves!$B$9:$AO$9)-COLUMN(Curves!$B$9)+1&lt;=17-Projects!$C$5+1))),0)</f>
        <v>0</v>
      </c>
      <c r="T9" s="231">
        <f>IF(AND(Projects!$G$5="Yes",Projects!$F$5="Yes",18&gt;=Projects!$C$5,18&lt;Projects!$C$5+Projects!$D$5),Projects!$B$5*(1-SUMPRODUCT((Curves!$B$9:$AO$9)*(COLUMN(Curves!$B$9:$AO$9)-COLUMN(Curves!$B$9)+1&lt;=18-Projects!$C$5+1))),0)</f>
        <v>0</v>
      </c>
      <c r="U9" s="231">
        <f>IF(AND(Projects!$G$5="Yes",Projects!$F$5="Yes",19&gt;=Projects!$C$5,19&lt;Projects!$C$5+Projects!$D$5),Projects!$B$5*(1-SUMPRODUCT((Curves!$B$9:$AO$9)*(COLUMN(Curves!$B$9:$AO$9)-COLUMN(Curves!$B$9)+1&lt;=19-Projects!$C$5+1))),0)</f>
        <v>0</v>
      </c>
      <c r="V9" s="231">
        <f>IF(AND(Projects!$G$5="Yes",Projects!$F$5="Yes",20&gt;=Projects!$C$5,20&lt;Projects!$C$5+Projects!$D$5),Projects!$B$5*(1-SUMPRODUCT((Curves!$B$9:$AO$9)*(COLUMN(Curves!$B$9:$AO$9)-COLUMN(Curves!$B$9)+1&lt;=20-Projects!$C$5+1))),0)</f>
        <v>0</v>
      </c>
      <c r="W9" s="231">
        <f>IF(AND(Projects!$G$5="Yes",Projects!$F$5="Yes",21&gt;=Projects!$C$5,21&lt;Projects!$C$5+Projects!$D$5),Projects!$B$5*(1-SUMPRODUCT((Curves!$B$9:$AO$9)*(COLUMN(Curves!$B$9:$AO$9)-COLUMN(Curves!$B$9)+1&lt;=21-Projects!$C$5+1))),0)</f>
        <v>0</v>
      </c>
      <c r="X9" s="231">
        <f>IF(AND(Projects!$G$5="Yes",Projects!$F$5="Yes",22&gt;=Projects!$C$5,22&lt;Projects!$C$5+Projects!$D$5),Projects!$B$5*(1-SUMPRODUCT((Curves!$B$9:$AO$9)*(COLUMN(Curves!$B$9:$AO$9)-COLUMN(Curves!$B$9)+1&lt;=22-Projects!$C$5+1))),0)</f>
        <v>0</v>
      </c>
      <c r="Y9" s="231">
        <f>IF(AND(Projects!$G$5="Yes",Projects!$F$5="Yes",23&gt;=Projects!$C$5,23&lt;Projects!$C$5+Projects!$D$5),Projects!$B$5*(1-SUMPRODUCT((Curves!$B$9:$AO$9)*(COLUMN(Curves!$B$9:$AO$9)-COLUMN(Curves!$B$9)+1&lt;=23-Projects!$C$5+1))),0)</f>
        <v>0</v>
      </c>
      <c r="Z9" s="231">
        <f>IF(AND(Projects!$G$5="Yes",Projects!$F$5="Yes",24&gt;=Projects!$C$5,24&lt;Projects!$C$5+Projects!$D$5),Projects!$B$5*(1-SUMPRODUCT((Curves!$B$9:$AO$9)*(COLUMN(Curves!$B$9:$AO$9)-COLUMN(Curves!$B$9)+1&lt;=24-Projects!$C$5+1))),0)</f>
        <v>0</v>
      </c>
      <c r="AA9" s="231">
        <f>IF(AND(Projects!$G$5="Yes",Projects!$F$5="Yes",25&gt;=Projects!$C$5,25&lt;Projects!$C$5+Projects!$D$5),Projects!$B$5*(1-SUMPRODUCT((Curves!$B$9:$AO$9)*(COLUMN(Curves!$B$9:$AO$9)-COLUMN(Curves!$B$9)+1&lt;=25-Projects!$C$5+1))),0)</f>
        <v>0</v>
      </c>
      <c r="AB9" s="231">
        <f>IF(AND(Projects!$G$5="Yes",Projects!$F$5="Yes",26&gt;=Projects!$C$5,26&lt;Projects!$C$5+Projects!$D$5),Projects!$B$5*(1-SUMPRODUCT((Curves!$B$9:$AO$9)*(COLUMN(Curves!$B$9:$AO$9)-COLUMN(Curves!$B$9)+1&lt;=26-Projects!$C$5+1))),0)</f>
        <v>0</v>
      </c>
      <c r="AC9" s="231">
        <f>IF(AND(Projects!$G$5="Yes",Projects!$F$5="Yes",27&gt;=Projects!$C$5,27&lt;Projects!$C$5+Projects!$D$5),Projects!$B$5*(1-SUMPRODUCT((Curves!$B$9:$AO$9)*(COLUMN(Curves!$B$9:$AO$9)-COLUMN(Curves!$B$9)+1&lt;=27-Projects!$C$5+1))),0)</f>
        <v>0</v>
      </c>
      <c r="AD9" s="231">
        <f>IF(AND(Projects!$G$5="Yes",Projects!$F$5="Yes",28&gt;=Projects!$C$5,28&lt;Projects!$C$5+Projects!$D$5),Projects!$B$5*(1-SUMPRODUCT((Curves!$B$9:$AO$9)*(COLUMN(Curves!$B$9:$AO$9)-COLUMN(Curves!$B$9)+1&lt;=28-Projects!$C$5+1))),0)</f>
        <v>0</v>
      </c>
      <c r="AE9" s="231">
        <f>IF(AND(Projects!$G$5="Yes",Projects!$F$5="Yes",29&gt;=Projects!$C$5,29&lt;Projects!$C$5+Projects!$D$5),Projects!$B$5*(1-SUMPRODUCT((Curves!$B$9:$AO$9)*(COLUMN(Curves!$B$9:$AO$9)-COLUMN(Curves!$B$9)+1&lt;=29-Projects!$C$5+1))),0)</f>
        <v>0</v>
      </c>
      <c r="AF9" s="231">
        <f>IF(AND(Projects!$G$5="Yes",Projects!$F$5="Yes",30&gt;=Projects!$C$5,30&lt;Projects!$C$5+Projects!$D$5),Projects!$B$5*(1-SUMPRODUCT((Curves!$B$9:$AO$9)*(COLUMN(Curves!$B$9:$AO$9)-COLUMN(Curves!$B$9)+1&lt;=30-Projects!$C$5+1))),0)</f>
        <v>0</v>
      </c>
      <c r="AG9" s="231">
        <f>IF(AND(Projects!$G$5="Yes",Projects!$F$5="Yes",31&gt;=Projects!$C$5,31&lt;Projects!$C$5+Projects!$D$5),Projects!$B$5*(1-SUMPRODUCT((Curves!$B$9:$AO$9)*(COLUMN(Curves!$B$9:$AO$9)-COLUMN(Curves!$B$9)+1&lt;=31-Projects!$C$5+1))),0)</f>
        <v>0</v>
      </c>
      <c r="AH9" s="231">
        <f>IF(AND(Projects!$G$5="Yes",Projects!$F$5="Yes",32&gt;=Projects!$C$5,32&lt;Projects!$C$5+Projects!$D$5),Projects!$B$5*(1-SUMPRODUCT((Curves!$B$9:$AO$9)*(COLUMN(Curves!$B$9:$AO$9)-COLUMN(Curves!$B$9)+1&lt;=32-Projects!$C$5+1))),0)</f>
        <v>0</v>
      </c>
      <c r="AI9" s="231">
        <f>IF(AND(Projects!$G$5="Yes",Projects!$F$5="Yes",33&gt;=Projects!$C$5,33&lt;Projects!$C$5+Projects!$D$5),Projects!$B$5*(1-SUMPRODUCT((Curves!$B$9:$AO$9)*(COLUMN(Curves!$B$9:$AO$9)-COLUMN(Curves!$B$9)+1&lt;=33-Projects!$C$5+1))),0)</f>
        <v>0</v>
      </c>
      <c r="AJ9" s="231">
        <f>IF(AND(Projects!$G$5="Yes",Projects!$F$5="Yes",34&gt;=Projects!$C$5,34&lt;Projects!$C$5+Projects!$D$5),Projects!$B$5*(1-SUMPRODUCT((Curves!$B$9:$AO$9)*(COLUMN(Curves!$B$9:$AO$9)-COLUMN(Curves!$B$9)+1&lt;=34-Projects!$C$5+1))),0)</f>
        <v>0</v>
      </c>
      <c r="AK9" s="231">
        <f>IF(AND(Projects!$G$5="Yes",Projects!$F$5="Yes",35&gt;=Projects!$C$5,35&lt;Projects!$C$5+Projects!$D$5),Projects!$B$5*(1-SUMPRODUCT((Curves!$B$9:$AO$9)*(COLUMN(Curves!$B$9:$AO$9)-COLUMN(Curves!$B$9)+1&lt;=35-Projects!$C$5+1))),0)</f>
        <v>0</v>
      </c>
      <c r="AL9" s="231">
        <f>IF(AND(Projects!$G$5="Yes",Projects!$F$5="Yes",36&gt;=Projects!$C$5,36&lt;Projects!$C$5+Projects!$D$5),Projects!$B$5*(1-SUMPRODUCT((Curves!$B$9:$AO$9)*(COLUMN(Curves!$B$9:$AO$9)-COLUMN(Curves!$B$9)+1&lt;=36-Projects!$C$5+1))),0)</f>
        <v>0</v>
      </c>
      <c r="AM9" s="231">
        <f>IF(AND(Projects!$G$5="Yes",Projects!$F$5="Yes",37&gt;=Projects!$C$5,37&lt;Projects!$C$5+Projects!$D$5),Projects!$B$5*(1-SUMPRODUCT((Curves!$B$9:$AO$9)*(COLUMN(Curves!$B$9:$AO$9)-COLUMN(Curves!$B$9)+1&lt;=37-Projects!$C$5+1))),0)</f>
        <v>0</v>
      </c>
      <c r="AN9" s="231">
        <f>IF(AND(Projects!$G$5="Yes",Projects!$F$5="Yes",38&gt;=Projects!$C$5,38&lt;Projects!$C$5+Projects!$D$5),Projects!$B$5*(1-SUMPRODUCT((Curves!$B$9:$AO$9)*(COLUMN(Curves!$B$9:$AO$9)-COLUMN(Curves!$B$9)+1&lt;=38-Projects!$C$5+1))),0)</f>
        <v>0</v>
      </c>
      <c r="AO9" s="231">
        <f>IF(AND(Projects!$G$5="Yes",Projects!$F$5="Yes",39&gt;=Projects!$C$5,39&lt;Projects!$C$5+Projects!$D$5),Projects!$B$5*(1-SUMPRODUCT((Curves!$B$9:$AO$9)*(COLUMN(Curves!$B$9:$AO$9)-COLUMN(Curves!$B$9)+1&lt;=39-Projects!$C$5+1))),0)</f>
        <v>0</v>
      </c>
      <c r="AP9" s="231">
        <f>IF(AND(Projects!$G$5="Yes",Projects!$F$5="Yes",40&gt;=Projects!$C$5,40&lt;Projects!$C$5+Projects!$D$5),Projects!$B$5*(1-SUMPRODUCT((Curves!$B$9:$AO$9)*(COLUMN(Curves!$B$9:$AO$9)-COLUMN(Curves!$B$9)+1&lt;=40-Projects!$C$5+1))),0)</f>
        <v>0</v>
      </c>
      <c r="AQ9" s="231">
        <f>IF(AND(Projects!$G$5="Yes",Projects!$F$5="Yes",41&gt;=Projects!$C$5,41&lt;Projects!$C$5+Projects!$D$5),Projects!$B$5*(1-SUMPRODUCT((Curves!$B$9:$AO$9)*(COLUMN(Curves!$B$9:$AO$9)-COLUMN(Curves!$B$9)+1&lt;=41-Projects!$C$5+1))),0)</f>
        <v>0</v>
      </c>
      <c r="AR9" s="231">
        <f>IF(AND(Projects!$G$5="Yes",Projects!$F$5="Yes",42&gt;=Projects!$C$5,42&lt;Projects!$C$5+Projects!$D$5),Projects!$B$5*(1-SUMPRODUCT((Curves!$B$9:$AO$9)*(COLUMN(Curves!$B$9:$AO$9)-COLUMN(Curves!$B$9)+1&lt;=42-Projects!$C$5+1))),0)</f>
        <v>0</v>
      </c>
      <c r="AS9" s="231">
        <f>IF(AND(Projects!$G$5="Yes",Projects!$F$5="Yes",43&gt;=Projects!$C$5,43&lt;Projects!$C$5+Projects!$D$5),Projects!$B$5*(1-SUMPRODUCT((Curves!$B$9:$AO$9)*(COLUMN(Curves!$B$9:$AO$9)-COLUMN(Curves!$B$9)+1&lt;=43-Projects!$C$5+1))),0)</f>
        <v>0</v>
      </c>
      <c r="AT9" s="231">
        <f>IF(AND(Projects!$G$5="Yes",Projects!$F$5="Yes",44&gt;=Projects!$C$5,44&lt;Projects!$C$5+Projects!$D$5),Projects!$B$5*(1-SUMPRODUCT((Curves!$B$9:$AO$9)*(COLUMN(Curves!$B$9:$AO$9)-COLUMN(Curves!$B$9)+1&lt;=44-Projects!$C$5+1))),0)</f>
        <v>0</v>
      </c>
      <c r="AU9" s="231">
        <f>IF(AND(Projects!$G$5="Yes",Projects!$F$5="Yes",45&gt;=Projects!$C$5,45&lt;Projects!$C$5+Projects!$D$5),Projects!$B$5*(1-SUMPRODUCT((Curves!$B$9:$AO$9)*(COLUMN(Curves!$B$9:$AO$9)-COLUMN(Curves!$B$9)+1&lt;=45-Projects!$C$5+1))),0)</f>
        <v>0</v>
      </c>
      <c r="AV9" s="231">
        <f>IF(AND(Projects!$G$5="Yes",Projects!$F$5="Yes",46&gt;=Projects!$C$5,46&lt;Projects!$C$5+Projects!$D$5),Projects!$B$5*(1-SUMPRODUCT((Curves!$B$9:$AO$9)*(COLUMN(Curves!$B$9:$AO$9)-COLUMN(Curves!$B$9)+1&lt;=46-Projects!$C$5+1))),0)</f>
        <v>0</v>
      </c>
      <c r="AW9" s="231">
        <f>IF(AND(Projects!$G$5="Yes",Projects!$F$5="Yes",47&gt;=Projects!$C$5,47&lt;Projects!$C$5+Projects!$D$5),Projects!$B$5*(1-SUMPRODUCT((Curves!$B$9:$AO$9)*(COLUMN(Curves!$B$9:$AO$9)-COLUMN(Curves!$B$9)+1&lt;=47-Projects!$C$5+1))),0)</f>
        <v>0</v>
      </c>
      <c r="AX9" s="231">
        <f>IF(AND(Projects!$G$5="Yes",Projects!$F$5="Yes",48&gt;=Projects!$C$5,48&lt;Projects!$C$5+Projects!$D$5),Projects!$B$5*(1-SUMPRODUCT((Curves!$B$9:$AO$9)*(COLUMN(Curves!$B$9:$AO$9)-COLUMN(Curves!$B$9)+1&lt;=48-Projects!$C$5+1))),0)</f>
        <v>0</v>
      </c>
      <c r="AY9" s="231">
        <f>IF(AND(Projects!$G$5="Yes",Projects!$F$5="Yes",49&gt;=Projects!$C$5,49&lt;Projects!$C$5+Projects!$D$5),Projects!$B$5*(1-SUMPRODUCT((Curves!$B$9:$AO$9)*(COLUMN(Curves!$B$9:$AO$9)-COLUMN(Curves!$B$9)+1&lt;=49-Projects!$C$5+1))),0)</f>
        <v>0</v>
      </c>
      <c r="AZ9" s="231">
        <f>IF(AND(Projects!$G$5="Yes",Projects!$F$5="Yes",50&gt;=Projects!$C$5,50&lt;Projects!$C$5+Projects!$D$5),Projects!$B$5*(1-SUMPRODUCT((Curves!$B$9:$AO$9)*(COLUMN(Curves!$B$9:$AO$9)-COLUMN(Curves!$B$9)+1&lt;=50-Projects!$C$5+1))),0)</f>
        <v>0</v>
      </c>
      <c r="BA9" s="231">
        <f>IF(AND(Projects!$G$5="Yes",Projects!$F$5="Yes",51&gt;=Projects!$C$5,51&lt;Projects!$C$5+Projects!$D$5),Projects!$B$5*(1-SUMPRODUCT((Curves!$B$9:$AO$9)*(COLUMN(Curves!$B$9:$AO$9)-COLUMN(Curves!$B$9)+1&lt;=51-Projects!$C$5+1))),0)</f>
        <v>0</v>
      </c>
      <c r="BB9" s="231">
        <f>IF(AND(Projects!$G$5="Yes",Projects!$F$5="Yes",52&gt;=Projects!$C$5,52&lt;Projects!$C$5+Projects!$D$5),Projects!$B$5*(1-SUMPRODUCT((Curves!$B$9:$AO$9)*(COLUMN(Curves!$B$9:$AO$9)-COLUMN(Curves!$B$9)+1&lt;=52-Projects!$C$5+1))),0)</f>
        <v>0</v>
      </c>
      <c r="BC9" s="231">
        <f>IF(AND(Projects!$G$5="Yes",Projects!$F$5="Yes",53&gt;=Projects!$C$5,53&lt;Projects!$C$5+Projects!$D$5),Projects!$B$5*(1-SUMPRODUCT((Curves!$B$9:$AO$9)*(COLUMN(Curves!$B$9:$AO$9)-COLUMN(Curves!$B$9)+1&lt;=53-Projects!$C$5+1))),0)</f>
        <v>0</v>
      </c>
      <c r="BD9" s="231">
        <f>IF(AND(Projects!$G$5="Yes",Projects!$F$5="Yes",54&gt;=Projects!$C$5,54&lt;Projects!$C$5+Projects!$D$5),Projects!$B$5*(1-SUMPRODUCT((Curves!$B$9:$AO$9)*(COLUMN(Curves!$B$9:$AO$9)-COLUMN(Curves!$B$9)+1&lt;=54-Projects!$C$5+1))),0)</f>
        <v>0</v>
      </c>
      <c r="BE9" s="231">
        <f>IF(AND(Projects!$G$5="Yes",Projects!$F$5="Yes",55&gt;=Projects!$C$5,55&lt;Projects!$C$5+Projects!$D$5),Projects!$B$5*(1-SUMPRODUCT((Curves!$B$9:$AO$9)*(COLUMN(Curves!$B$9:$AO$9)-COLUMN(Curves!$B$9)+1&lt;=55-Projects!$C$5+1))),0)</f>
        <v>0</v>
      </c>
      <c r="BF9" s="231">
        <f>IF(AND(Projects!$G$5="Yes",Projects!$F$5="Yes",56&gt;=Projects!$C$5,56&lt;Projects!$C$5+Projects!$D$5),Projects!$B$5*(1-SUMPRODUCT((Curves!$B$9:$AO$9)*(COLUMN(Curves!$B$9:$AO$9)-COLUMN(Curves!$B$9)+1&lt;=56-Projects!$C$5+1))),0)</f>
        <v>0</v>
      </c>
      <c r="BG9" s="231">
        <f>IF(AND(Projects!$G$5="Yes",Projects!$F$5="Yes",57&gt;=Projects!$C$5,57&lt;Projects!$C$5+Projects!$D$5),Projects!$B$5*(1-SUMPRODUCT((Curves!$B$9:$AO$9)*(COLUMN(Curves!$B$9:$AO$9)-COLUMN(Curves!$B$9)+1&lt;=57-Projects!$C$5+1))),0)</f>
        <v>0</v>
      </c>
      <c r="BH9" s="231">
        <f>IF(AND(Projects!$G$5="Yes",Projects!$F$5="Yes",58&gt;=Projects!$C$5,58&lt;Projects!$C$5+Projects!$D$5),Projects!$B$5*(1-SUMPRODUCT((Curves!$B$9:$AO$9)*(COLUMN(Curves!$B$9:$AO$9)-COLUMN(Curves!$B$9)+1&lt;=58-Projects!$C$5+1))),0)</f>
        <v>0</v>
      </c>
      <c r="BI9" s="231">
        <f>IF(AND(Projects!$G$5="Yes",Projects!$F$5="Yes",59&gt;=Projects!$C$5,59&lt;Projects!$C$5+Projects!$D$5),Projects!$B$5*(1-SUMPRODUCT((Curves!$B$9:$AO$9)*(COLUMN(Curves!$B$9:$AO$9)-COLUMN(Curves!$B$9)+1&lt;=59-Projects!$C$5+1))),0)</f>
        <v>0</v>
      </c>
      <c r="BJ9" s="231">
        <f>IF(AND(Projects!$G$5="Yes",Projects!$F$5="Yes",60&gt;=Projects!$C$5,60&lt;Projects!$C$5+Projects!$D$5),Projects!$B$5*(1-SUMPRODUCT((Curves!$B$9:$AO$9)*(COLUMN(Curves!$B$9:$AO$9)-COLUMN(Curves!$B$9)+1&lt;=60-Projects!$C$5+1))),0)</f>
        <v>0</v>
      </c>
      <c r="BK9" s="231">
        <f>IF(AND(Projects!$G$5="Yes",Projects!$F$5="Yes",61&gt;=Projects!$C$5,61&lt;Projects!$C$5+Projects!$D$5),Projects!$B$5*(1-SUMPRODUCT((Curves!$B$9:$AO$9)*(COLUMN(Curves!$B$9:$AO$9)-COLUMN(Curves!$B$9)+1&lt;=61-Projects!$C$5+1))),0)</f>
        <v>0</v>
      </c>
      <c r="BL9" s="231">
        <f>IF(AND(Projects!$G$5="Yes",Projects!$F$5="Yes",62&gt;=Projects!$C$5,62&lt;Projects!$C$5+Projects!$D$5),Projects!$B$5*(1-SUMPRODUCT((Curves!$B$9:$AO$9)*(COLUMN(Curves!$B$9:$AO$9)-COLUMN(Curves!$B$9)+1&lt;=62-Projects!$C$5+1))),0)</f>
        <v>0</v>
      </c>
      <c r="BM9" s="231">
        <f>IF(AND(Projects!$G$5="Yes",Projects!$F$5="Yes",63&gt;=Projects!$C$5,63&lt;Projects!$C$5+Projects!$D$5),Projects!$B$5*(1-SUMPRODUCT((Curves!$B$9:$AO$9)*(COLUMN(Curves!$B$9:$AO$9)-COLUMN(Curves!$B$9)+1&lt;=63-Projects!$C$5+1))),0)</f>
        <v>0</v>
      </c>
      <c r="BN9" s="231">
        <f>IF(AND(Projects!$G$5="Yes",Projects!$F$5="Yes",64&gt;=Projects!$C$5,64&lt;Projects!$C$5+Projects!$D$5),Projects!$B$5*(1-SUMPRODUCT((Curves!$B$9:$AO$9)*(COLUMN(Curves!$B$9:$AO$9)-COLUMN(Curves!$B$9)+1&lt;=64-Projects!$C$5+1))),0)</f>
        <v>0</v>
      </c>
      <c r="BO9" s="231">
        <f>IF(AND(Projects!$G$5="Yes",Projects!$F$5="Yes",65&gt;=Projects!$C$5,65&lt;Projects!$C$5+Projects!$D$5),Projects!$B$5*(1-SUMPRODUCT((Curves!$B$9:$AO$9)*(COLUMN(Curves!$B$9:$AO$9)-COLUMN(Curves!$B$9)+1&lt;=65-Projects!$C$5+1))),0)</f>
        <v>0</v>
      </c>
      <c r="BP9" s="231">
        <f>IF(AND(Projects!$G$5="Yes",Projects!$F$5="Yes",66&gt;=Projects!$C$5,66&lt;Projects!$C$5+Projects!$D$5),Projects!$B$5*(1-SUMPRODUCT((Curves!$B$9:$AO$9)*(COLUMN(Curves!$B$9:$AO$9)-COLUMN(Curves!$B$9)+1&lt;=66-Projects!$C$5+1))),0)</f>
        <v>0</v>
      </c>
      <c r="BQ9" s="231">
        <f>IF(AND(Projects!$G$5="Yes",Projects!$F$5="Yes",67&gt;=Projects!$C$5,67&lt;Projects!$C$5+Projects!$D$5),Projects!$B$5*(1-SUMPRODUCT((Curves!$B$9:$AO$9)*(COLUMN(Curves!$B$9:$AO$9)-COLUMN(Curves!$B$9)+1&lt;=67-Projects!$C$5+1))),0)</f>
        <v>0</v>
      </c>
      <c r="BR9" s="231">
        <f>IF(AND(Projects!$G$5="Yes",Projects!$F$5="Yes",68&gt;=Projects!$C$5,68&lt;Projects!$C$5+Projects!$D$5),Projects!$B$5*(1-SUMPRODUCT((Curves!$B$9:$AO$9)*(COLUMN(Curves!$B$9:$AO$9)-COLUMN(Curves!$B$9)+1&lt;=68-Projects!$C$5+1))),0)</f>
        <v>0</v>
      </c>
      <c r="BS9" s="231">
        <f>IF(AND(Projects!$G$5="Yes",Projects!$F$5="Yes",69&gt;=Projects!$C$5,69&lt;Projects!$C$5+Projects!$D$5),Projects!$B$5*(1-SUMPRODUCT((Curves!$B$9:$AO$9)*(COLUMN(Curves!$B$9:$AO$9)-COLUMN(Curves!$B$9)+1&lt;=69-Projects!$C$5+1))),0)</f>
        <v>0</v>
      </c>
      <c r="BT9" s="231">
        <f>IF(AND(Projects!$G$5="Yes",Projects!$F$5="Yes",70&gt;=Projects!$C$5,70&lt;Projects!$C$5+Projects!$D$5),Projects!$B$5*(1-SUMPRODUCT((Curves!$B$9:$AO$9)*(COLUMN(Curves!$B$9:$AO$9)-COLUMN(Curves!$B$9)+1&lt;=70-Projects!$C$5+1))),0)</f>
        <v>0</v>
      </c>
      <c r="BU9" s="231">
        <f>IF(AND(Projects!$G$5="Yes",Projects!$F$5="Yes",71&gt;=Projects!$C$5,71&lt;Projects!$C$5+Projects!$D$5),Projects!$B$5*(1-SUMPRODUCT((Curves!$B$9:$AO$9)*(COLUMN(Curves!$B$9:$AO$9)-COLUMN(Curves!$B$9)+1&lt;=71-Projects!$C$5+1))),0)</f>
        <v>0</v>
      </c>
      <c r="BV9" s="231">
        <f>IF(AND(Projects!$G$5="Yes",Projects!$F$5="Yes",72&gt;=Projects!$C$5,72&lt;Projects!$C$5+Projects!$D$5),Projects!$B$5*(1-SUMPRODUCT((Curves!$B$9:$AO$9)*(COLUMN(Curves!$B$9:$AO$9)-COLUMN(Curves!$B$9)+1&lt;=72-Projects!$C$5+1))),0)</f>
        <v>0</v>
      </c>
      <c r="BW9" s="231">
        <f>IF(AND(Projects!$G$5="Yes",Projects!$F$5="Yes",73&gt;=Projects!$C$5,73&lt;Projects!$C$5+Projects!$D$5),Projects!$B$5*(1-SUMPRODUCT((Curves!$B$9:$AO$9)*(COLUMN(Curves!$B$9:$AO$9)-COLUMN(Curves!$B$9)+1&lt;=73-Projects!$C$5+1))),0)</f>
        <v>0</v>
      </c>
      <c r="BX9" s="231">
        <f>IF(AND(Projects!$G$5="Yes",Projects!$F$5="Yes",74&gt;=Projects!$C$5,74&lt;Projects!$C$5+Projects!$D$5),Projects!$B$5*(1-SUMPRODUCT((Curves!$B$9:$AO$9)*(COLUMN(Curves!$B$9:$AO$9)-COLUMN(Curves!$B$9)+1&lt;=74-Projects!$C$5+1))),0)</f>
        <v>0</v>
      </c>
      <c r="BY9" s="231">
        <f>IF(AND(Projects!$G$5="Yes",Projects!$F$5="Yes",75&gt;=Projects!$C$5,75&lt;Projects!$C$5+Projects!$D$5),Projects!$B$5*(1-SUMPRODUCT((Curves!$B$9:$AO$9)*(COLUMN(Curves!$B$9:$AO$9)-COLUMN(Curves!$B$9)+1&lt;=75-Projects!$C$5+1))),0)</f>
        <v>0</v>
      </c>
      <c r="BZ9" s="231">
        <f>IF(AND(Projects!$G$5="Yes",Projects!$F$5="Yes",76&gt;=Projects!$C$5,76&lt;Projects!$C$5+Projects!$D$5),Projects!$B$5*(1-SUMPRODUCT((Curves!$B$9:$AO$9)*(COLUMN(Curves!$B$9:$AO$9)-COLUMN(Curves!$B$9)+1&lt;=76-Projects!$C$5+1))),0)</f>
        <v>0</v>
      </c>
      <c r="CA9" s="231">
        <f>IF(AND(Projects!$G$5="Yes",Projects!$F$5="Yes",77&gt;=Projects!$C$5,77&lt;Projects!$C$5+Projects!$D$5),Projects!$B$5*(1-SUMPRODUCT((Curves!$B$9:$AO$9)*(COLUMN(Curves!$B$9:$AO$9)-COLUMN(Curves!$B$9)+1&lt;=77-Projects!$C$5+1))),0)</f>
        <v>0</v>
      </c>
      <c r="CB9" s="231">
        <f>IF(AND(Projects!$G$5="Yes",Projects!$F$5="Yes",78&gt;=Projects!$C$5,78&lt;Projects!$C$5+Projects!$D$5),Projects!$B$5*(1-SUMPRODUCT((Curves!$B$9:$AO$9)*(COLUMN(Curves!$B$9:$AO$9)-COLUMN(Curves!$B$9)+1&lt;=78-Projects!$C$5+1))),0)</f>
        <v>0</v>
      </c>
      <c r="CC9" s="231">
        <f>IF(AND(Projects!$G$5="Yes",Projects!$F$5="Yes",79&gt;=Projects!$C$5,79&lt;Projects!$C$5+Projects!$D$5),Projects!$B$5*(1-SUMPRODUCT((Curves!$B$9:$AO$9)*(COLUMN(Curves!$B$9:$AO$9)-COLUMN(Curves!$B$9)+1&lt;=79-Projects!$C$5+1))),0)</f>
        <v>0</v>
      </c>
      <c r="CD9" s="231">
        <f>IF(AND(Projects!$G$5="Yes",Projects!$F$5="Yes",80&gt;=Projects!$C$5,80&lt;Projects!$C$5+Projects!$D$5),Projects!$B$5*(1-SUMPRODUCT((Curves!$B$9:$AO$9)*(COLUMN(Curves!$B$9:$AO$9)-COLUMN(Curves!$B$9)+1&lt;=80-Projects!$C$5+1))),0)</f>
        <v>0</v>
      </c>
      <c r="CE9" s="231">
        <f>IF(AND(Projects!$G$5="Yes",Projects!$F$5="Yes",81&gt;=Projects!$C$5,81&lt;Projects!$C$5+Projects!$D$5),Projects!$B$5*(1-SUMPRODUCT((Curves!$B$9:$AO$9)*(COLUMN(Curves!$B$9:$AO$9)-COLUMN(Curves!$B$9)+1&lt;=81-Projects!$C$5+1))),0)</f>
        <v>0</v>
      </c>
      <c r="CF9" s="231">
        <f>IF(AND(Projects!$G$5="Yes",Projects!$F$5="Yes",82&gt;=Projects!$C$5,82&lt;Projects!$C$5+Projects!$D$5),Projects!$B$5*(1-SUMPRODUCT((Curves!$B$9:$AO$9)*(COLUMN(Curves!$B$9:$AO$9)-COLUMN(Curves!$B$9)+1&lt;=82-Projects!$C$5+1))),0)</f>
        <v>0</v>
      </c>
      <c r="CG9" s="231">
        <f>IF(AND(Projects!$G$5="Yes",Projects!$F$5="Yes",83&gt;=Projects!$C$5,83&lt;Projects!$C$5+Projects!$D$5),Projects!$B$5*(1-SUMPRODUCT((Curves!$B$9:$AO$9)*(COLUMN(Curves!$B$9:$AO$9)-COLUMN(Curves!$B$9)+1&lt;=83-Projects!$C$5+1))),0)</f>
        <v>0</v>
      </c>
      <c r="CH9" s="231">
        <f>IF(AND(Projects!$G$5="Yes",Projects!$F$5="Yes",84&gt;=Projects!$C$5,84&lt;Projects!$C$5+Projects!$D$5),Projects!$B$5*(1-SUMPRODUCT((Curves!$B$9:$AO$9)*(COLUMN(Curves!$B$9:$AO$9)-COLUMN(Curves!$B$9)+1&lt;=84-Projects!$C$5+1))),0)</f>
        <v>0</v>
      </c>
      <c r="CI9" s="231">
        <f>IF(AND(Projects!$G$5="Yes",Projects!$F$5="Yes",85&gt;=Projects!$C$5,85&lt;Projects!$C$5+Projects!$D$5),Projects!$B$5*(1-SUMPRODUCT((Curves!$B$9:$AO$9)*(COLUMN(Curves!$B$9:$AO$9)-COLUMN(Curves!$B$9)+1&lt;=85-Projects!$C$5+1))),0)</f>
        <v>0</v>
      </c>
      <c r="CJ9" s="231">
        <f>IF(AND(Projects!$G$5="Yes",Projects!$F$5="Yes",86&gt;=Projects!$C$5,86&lt;Projects!$C$5+Projects!$D$5),Projects!$B$5*(1-SUMPRODUCT((Curves!$B$9:$AO$9)*(COLUMN(Curves!$B$9:$AO$9)-COLUMN(Curves!$B$9)+1&lt;=86-Projects!$C$5+1))),0)</f>
        <v>0</v>
      </c>
      <c r="CK9" s="231">
        <f>IF(AND(Projects!$G$5="Yes",Projects!$F$5="Yes",87&gt;=Projects!$C$5,87&lt;Projects!$C$5+Projects!$D$5),Projects!$B$5*(1-SUMPRODUCT((Curves!$B$9:$AO$9)*(COLUMN(Curves!$B$9:$AO$9)-COLUMN(Curves!$B$9)+1&lt;=87-Projects!$C$5+1))),0)</f>
        <v>0</v>
      </c>
      <c r="CL9" s="231">
        <f>IF(AND(Projects!$G$5="Yes",Projects!$F$5="Yes",88&gt;=Projects!$C$5,88&lt;Projects!$C$5+Projects!$D$5),Projects!$B$5*(1-SUMPRODUCT((Curves!$B$9:$AO$9)*(COLUMN(Curves!$B$9:$AO$9)-COLUMN(Curves!$B$9)+1&lt;=88-Projects!$C$5+1))),0)</f>
        <v>0</v>
      </c>
      <c r="CM9" s="231">
        <f>IF(AND(Projects!$G$5="Yes",Projects!$F$5="Yes",89&gt;=Projects!$C$5,89&lt;Projects!$C$5+Projects!$D$5),Projects!$B$5*(1-SUMPRODUCT((Curves!$B$9:$AO$9)*(COLUMN(Curves!$B$9:$AO$9)-COLUMN(Curves!$B$9)+1&lt;=89-Projects!$C$5+1))),0)</f>
        <v>0</v>
      </c>
      <c r="CN9" s="231">
        <f>IF(AND(Projects!$G$5="Yes",Projects!$F$5="Yes",90&gt;=Projects!$C$5,90&lt;Projects!$C$5+Projects!$D$5),Projects!$B$5*(1-SUMPRODUCT((Curves!$B$9:$AO$9)*(COLUMN(Curves!$B$9:$AO$9)-COLUMN(Curves!$B$9)+1&lt;=90-Projects!$C$5+1))),0)</f>
        <v>0</v>
      </c>
      <c r="CO9" s="231">
        <f>IF(AND(Projects!$G$5="Yes",Projects!$F$5="Yes",91&gt;=Projects!$C$5,91&lt;Projects!$C$5+Projects!$D$5),Projects!$B$5*(1-SUMPRODUCT((Curves!$B$9:$AO$9)*(COLUMN(Curves!$B$9:$AO$9)-COLUMN(Curves!$B$9)+1&lt;=91-Projects!$C$5+1))),0)</f>
        <v>0</v>
      </c>
      <c r="CP9" s="231">
        <f>IF(AND(Projects!$G$5="Yes",Projects!$F$5="Yes",92&gt;=Projects!$C$5,92&lt;Projects!$C$5+Projects!$D$5),Projects!$B$5*(1-SUMPRODUCT((Curves!$B$9:$AO$9)*(COLUMN(Curves!$B$9:$AO$9)-COLUMN(Curves!$B$9)+1&lt;=92-Projects!$C$5+1))),0)</f>
        <v>0</v>
      </c>
      <c r="CQ9" s="231">
        <f>IF(AND(Projects!$G$5="Yes",Projects!$F$5="Yes",93&gt;=Projects!$C$5,93&lt;Projects!$C$5+Projects!$D$5),Projects!$B$5*(1-SUMPRODUCT((Curves!$B$9:$AO$9)*(COLUMN(Curves!$B$9:$AO$9)-COLUMN(Curves!$B$9)+1&lt;=93-Projects!$C$5+1))),0)</f>
        <v>0</v>
      </c>
    </row>
    <row r="10" spans="1:95" ht="15" customHeight="1" x14ac:dyDescent="0.25">
      <c r="A10" s="144" t="s">
        <v>168</v>
      </c>
      <c r="C10" s="231">
        <f>IF(AND(Projects!$G$7="Yes",Projects!$F$7="Yes",1&gt;=Projects!$C$7,1&lt;Projects!$C$7+Projects!$D$7),Projects!$B$7*(1-SUMPRODUCT((Curves!$B$3:$AO$3)*(COLUMN(Curves!$B$3:$AO$3)-COLUMN(Curves!$B$3)+1&lt;=1-Projects!$C$7+1))),0)</f>
        <v>0</v>
      </c>
      <c r="D10" s="231">
        <f>IF(AND(Projects!$G$7="Yes",Projects!$F$7="Yes",2&gt;=Projects!$C$7,2&lt;Projects!$C$7+Projects!$D$7),Projects!$B$7*(1-SUMPRODUCT((Curves!$B$3:$AO$3)*(COLUMN(Curves!$B$3:$AO$3)-COLUMN(Curves!$B$3)+1&lt;=2-Projects!$C$7+1))),0)</f>
        <v>0</v>
      </c>
      <c r="E10" s="231">
        <f>IF(AND(Projects!$G$7="Yes",Projects!$F$7="Yes",3&gt;=Projects!$C$7,3&lt;Projects!$C$7+Projects!$D$7),Projects!$B$7*(1-SUMPRODUCT((Curves!$B$3:$AO$3)*(COLUMN(Curves!$B$3:$AO$3)-COLUMN(Curves!$B$3)+1&lt;=3-Projects!$C$7+1))),0)</f>
        <v>0</v>
      </c>
      <c r="F10" s="231">
        <f>IF(AND(Projects!$G$7="Yes",Projects!$F$7="Yes",4&gt;=Projects!$C$7,4&lt;Projects!$C$7+Projects!$D$7),Projects!$B$7*(1-SUMPRODUCT((Curves!$B$3:$AO$3)*(COLUMN(Curves!$B$3:$AO$3)-COLUMN(Curves!$B$3)+1&lt;=4-Projects!$C$7+1))),0)</f>
        <v>42087723.721344002</v>
      </c>
      <c r="G10" s="231">
        <f>IF(AND(Projects!$G$7="Yes",Projects!$F$7="Yes",5&gt;=Projects!$C$7,5&lt;Projects!$C$7+Projects!$D$7),Projects!$B$7*(1-SUMPRODUCT((Curves!$B$3:$AO$3)*(COLUMN(Curves!$B$3:$AO$3)-COLUMN(Curves!$B$3)+1&lt;=5-Projects!$C$7+1))),0)</f>
        <v>41042043.570816003</v>
      </c>
      <c r="H10" s="231">
        <f>IF(AND(Projects!$G$7="Yes",Projects!$F$7="Yes",6&gt;=Projects!$C$7,6&lt;Projects!$C$7+Projects!$D$7),Projects!$B$7*(1-SUMPRODUCT((Curves!$B$3:$AO$3)*(COLUMN(Curves!$B$3:$AO$3)-COLUMN(Curves!$B$3)+1&lt;=6-Projects!$C$7+1))),0)</f>
        <v>39819806.067456</v>
      </c>
      <c r="I10" s="231">
        <f>IF(AND(Projects!$G$7="Yes",Projects!$F$7="Yes",7&gt;=Projects!$C$7,7&lt;Projects!$C$7+Projects!$D$7),Projects!$B$7*(1-SUMPRODUCT((Curves!$B$3:$AO$3)*(COLUMN(Curves!$B$3:$AO$3)-COLUMN(Curves!$B$3)+1&lt;=7-Projects!$C$7+1))),0)</f>
        <v>38413233.922175996</v>
      </c>
      <c r="J10" s="231">
        <f>IF(AND(Projects!$G$7="Yes",Projects!$F$7="Yes",8&gt;=Projects!$C$7,8&lt;Projects!$C$7+Projects!$D$7),Projects!$B$7*(1-SUMPRODUCT((Curves!$B$3:$AO$3)*(COLUMN(Curves!$B$3:$AO$3)-COLUMN(Curves!$B$3)+1&lt;=8-Projects!$C$7+1))),0)</f>
        <v>36819663.091200002</v>
      </c>
      <c r="K10" s="231">
        <f>IF(AND(Projects!$G$7="Yes",Projects!$F$7="Yes",9&gt;=Projects!$C$7,9&lt;Projects!$C$7+Projects!$D$7),Projects!$B$7*(1-SUMPRODUCT((Curves!$B$3:$AO$3)*(COLUMN(Curves!$B$3:$AO$3)-COLUMN(Curves!$B$3)+1&lt;=9-Projects!$C$7+1))),0)</f>
        <v>35042144.334335998</v>
      </c>
      <c r="L10" s="231">
        <f>IF(AND(Projects!$G$7="Yes",Projects!$F$7="Yes",10&gt;=Projects!$C$7,10&lt;Projects!$C$7+Projects!$D$7),Projects!$B$7*(1-SUMPRODUCT((Curves!$B$3:$AO$3)*(COLUMN(Curves!$B$3:$AO$3)-COLUMN(Curves!$B$3)+1&lt;=10-Projects!$C$7+1))),0)</f>
        <v>33090173.678592</v>
      </c>
      <c r="M10" s="231">
        <f>IF(AND(Projects!$G$7="Yes",Projects!$F$7="Yes",11&gt;=Projects!$C$7,11&lt;Projects!$C$7+Projects!$D$7),Projects!$B$7*(1-SUMPRODUCT((Curves!$B$3:$AO$3)*(COLUMN(Curves!$B$3:$AO$3)-COLUMN(Curves!$B$3)+1&lt;=11-Projects!$C$7+1))),0)</f>
        <v>30979821.323520001</v>
      </c>
      <c r="N10" s="231">
        <f>IF(AND(Projects!$G$7="Yes",Projects!$F$7="Yes",12&gt;=Projects!$C$7,12&lt;Projects!$C$7+Projects!$D$7),Projects!$B$7*(1-SUMPRODUCT((Curves!$B$3:$AO$3)*(COLUMN(Curves!$B$3:$AO$3)-COLUMN(Curves!$B$3)+1&lt;=12-Projects!$C$7+1))),0)</f>
        <v>28733516.798976</v>
      </c>
      <c r="O10" s="231">
        <f>IF(AND(Projects!$G$7="Yes",Projects!$F$7="Yes",13&gt;=Projects!$C$7,13&lt;Projects!$C$7+Projects!$D$7),Projects!$B$7*(1-SUMPRODUCT((Curves!$B$3:$AO$3)*(COLUMN(Curves!$B$3:$AO$3)-COLUMN(Curves!$B$3)+1&lt;=13-Projects!$C$7+1))),0)</f>
        <v>26379576.312191997</v>
      </c>
      <c r="P10" s="231">
        <f>IF(AND(Projects!$G$7="Yes",Projects!$F$7="Yes",14&gt;=Projects!$C$7,14&lt;Projects!$C$7+Projects!$D$7),Projects!$B$7*(1-SUMPRODUCT((Curves!$B$3:$AO$3)*(COLUMN(Curves!$B$3:$AO$3)-COLUMN(Curves!$B$3)+1&lt;=14-Projects!$C$7+1))),0)</f>
        <v>23950999.631231997</v>
      </c>
      <c r="Q10" s="231">
        <f>IF(AND(Projects!$G$7="Yes",Projects!$F$7="Yes",15&gt;=Projects!$C$7,15&lt;Projects!$C$7+Projects!$D$7),Projects!$B$7*(1-SUMPRODUCT((Curves!$B$3:$AO$3)*(COLUMN(Curves!$B$3:$AO$3)-COLUMN(Curves!$B$3)+1&lt;=15-Projects!$C$7+1))),0)</f>
        <v>21484223.999999996</v>
      </c>
      <c r="R10" s="231">
        <f>IF(AND(Projects!$G$7="Yes",Projects!$F$7="Yes",16&gt;=Projects!$C$7,16&lt;Projects!$C$7+Projects!$D$7),Projects!$B$7*(1-SUMPRODUCT((Curves!$B$3:$AO$3)*(COLUMN(Curves!$B$3:$AO$3)-COLUMN(Curves!$B$3)+1&lt;=16-Projects!$C$7+1))),0)</f>
        <v>19017448.368767992</v>
      </c>
      <c r="S10" s="231">
        <f>IF(AND(Projects!$G$7="Yes",Projects!$F$7="Yes",17&gt;=Projects!$C$7,17&lt;Projects!$C$7+Projects!$D$7),Projects!$B$7*(1-SUMPRODUCT((Curves!$B$3:$AO$3)*(COLUMN(Curves!$B$3:$AO$3)-COLUMN(Curves!$B$3)+1&lt;=17-Projects!$C$7+1))),0)</f>
        <v>16588871.687807992</v>
      </c>
      <c r="T10" s="231">
        <f>IF(AND(Projects!$G$7="Yes",Projects!$F$7="Yes",18&gt;=Projects!$C$7,18&lt;Projects!$C$7+Projects!$D$7),Projects!$B$7*(1-SUMPRODUCT((Curves!$B$3:$AO$3)*(COLUMN(Curves!$B$3:$AO$3)-COLUMN(Curves!$B$3)+1&lt;=18-Projects!$C$7+1))),0)</f>
        <v>14234931.201023992</v>
      </c>
      <c r="U10" s="231">
        <f>IF(AND(Projects!$G$7="Yes",Projects!$F$7="Yes",19&gt;=Projects!$C$7,19&lt;Projects!$C$7+Projects!$D$7),Projects!$B$7*(1-SUMPRODUCT((Curves!$B$3:$AO$3)*(COLUMN(Curves!$B$3:$AO$3)-COLUMN(Curves!$B$3)+1&lt;=19-Projects!$C$7+1))),0)</f>
        <v>11988626.67647999</v>
      </c>
      <c r="V10" s="231">
        <f>IF(AND(Projects!$G$7="Yes",Projects!$F$7="Yes",20&gt;=Projects!$C$7,20&lt;Projects!$C$7+Projects!$D$7),Projects!$B$7*(1-SUMPRODUCT((Curves!$B$3:$AO$3)*(COLUMN(Curves!$B$3:$AO$3)-COLUMN(Curves!$B$3)+1&lt;=20-Projects!$C$7+1))),0)</f>
        <v>9878274.3214079905</v>
      </c>
      <c r="W10" s="231">
        <f>IF(AND(Projects!$G$7="Yes",Projects!$F$7="Yes",21&gt;=Projects!$C$7,21&lt;Projects!$C$7+Projects!$D$7),Projects!$B$7*(1-SUMPRODUCT((Curves!$B$3:$AO$3)*(COLUMN(Curves!$B$3:$AO$3)-COLUMN(Curves!$B$3)+1&lt;=21-Projects!$C$7+1))),0)</f>
        <v>7926303.6656639893</v>
      </c>
      <c r="X10" s="231">
        <f>IF(AND(Projects!$G$7="Yes",Projects!$F$7="Yes",22&gt;=Projects!$C$7,22&lt;Projects!$C$7+Projects!$D$7),Projects!$B$7*(1-SUMPRODUCT((Curves!$B$3:$AO$3)*(COLUMN(Curves!$B$3:$AO$3)-COLUMN(Curves!$B$3)+1&lt;=22-Projects!$C$7+1))),0)</f>
        <v>6148784.908799991</v>
      </c>
      <c r="Y10" s="231">
        <f>IF(AND(Projects!$G$7="Yes",Projects!$F$7="Yes",23&gt;=Projects!$C$7,23&lt;Projects!$C$7+Projects!$D$7),Projects!$B$7*(1-SUMPRODUCT((Curves!$B$3:$AO$3)*(COLUMN(Curves!$B$3:$AO$3)-COLUMN(Curves!$B$3)+1&lt;=23-Projects!$C$7+1))),0)</f>
        <v>4555214.0778239919</v>
      </c>
      <c r="Z10" s="231">
        <f>IF(AND(Projects!$G$7="Yes",Projects!$F$7="Yes",24&gt;=Projects!$C$7,24&lt;Projects!$C$7+Projects!$D$7),Projects!$B$7*(1-SUMPRODUCT((Curves!$B$3:$AO$3)*(COLUMN(Curves!$B$3:$AO$3)-COLUMN(Curves!$B$3)+1&lt;=24-Projects!$C$7+1))),0)</f>
        <v>3148641.9325439935</v>
      </c>
      <c r="AA10" s="231">
        <f>IF(AND(Projects!$G$7="Yes",Projects!$F$7="Yes",25&gt;=Projects!$C$7,25&lt;Projects!$C$7+Projects!$D$7),Projects!$B$7*(1-SUMPRODUCT((Curves!$B$3:$AO$3)*(COLUMN(Curves!$B$3:$AO$3)-COLUMN(Curves!$B$3)+1&lt;=25-Projects!$C$7+1))),0)</f>
        <v>1926404.4291839909</v>
      </c>
      <c r="AB10" s="231">
        <f>IF(AND(Projects!$G$7="Yes",Projects!$F$7="Yes",26&gt;=Projects!$C$7,26&lt;Projects!$C$7+Projects!$D$7),Projects!$B$7*(1-SUMPRODUCT((Curves!$B$3:$AO$3)*(COLUMN(Curves!$B$3:$AO$3)-COLUMN(Curves!$B$3)+1&lt;=26-Projects!$C$7+1))),0)</f>
        <v>880724.27865598991</v>
      </c>
      <c r="AC10" s="231">
        <f>IF(AND(Projects!$G$7="Yes",Projects!$F$7="Yes",27&gt;=Projects!$C$7,27&lt;Projects!$C$7+Projects!$D$7),Projects!$B$7*(1-SUMPRODUCT((Curves!$B$3:$AO$3)*(COLUMN(Curves!$B$3:$AO$3)-COLUMN(Curves!$B$3)+1&lt;=27-Projects!$C$7+1))),0)</f>
        <v>-9.5409120604017517E-9</v>
      </c>
      <c r="AD10" s="231">
        <f>IF(AND(Projects!$G$7="Yes",Projects!$F$7="Yes",28&gt;=Projects!$C$7,28&lt;Projects!$C$7+Projects!$D$7),Projects!$B$7*(1-SUMPRODUCT((Curves!$B$3:$AO$3)*(COLUMN(Curves!$B$3:$AO$3)-COLUMN(Curves!$B$3)+1&lt;=28-Projects!$C$7+1))),0)</f>
        <v>-9.5409120604017517E-9</v>
      </c>
      <c r="AE10" s="231">
        <f>IF(AND(Projects!$G$7="Yes",Projects!$F$7="Yes",29&gt;=Projects!$C$7,29&lt;Projects!$C$7+Projects!$D$7),Projects!$B$7*(1-SUMPRODUCT((Curves!$B$3:$AO$3)*(COLUMN(Curves!$B$3:$AO$3)-COLUMN(Curves!$B$3)+1&lt;=29-Projects!$C$7+1))),0)</f>
        <v>-9.5409120604017517E-9</v>
      </c>
      <c r="AF10" s="231">
        <f>IF(AND(Projects!$G$7="Yes",Projects!$F$7="Yes",30&gt;=Projects!$C$7,30&lt;Projects!$C$7+Projects!$D$7),Projects!$B$7*(1-SUMPRODUCT((Curves!$B$3:$AO$3)*(COLUMN(Curves!$B$3:$AO$3)-COLUMN(Curves!$B$3)+1&lt;=30-Projects!$C$7+1))),0)</f>
        <v>-9.5409120604017517E-9</v>
      </c>
      <c r="AG10" s="231">
        <f>IF(AND(Projects!$G$7="Yes",Projects!$F$7="Yes",31&gt;=Projects!$C$7,31&lt;Projects!$C$7+Projects!$D$7),Projects!$B$7*(1-SUMPRODUCT((Curves!$B$3:$AO$3)*(COLUMN(Curves!$B$3:$AO$3)-COLUMN(Curves!$B$3)+1&lt;=31-Projects!$C$7+1))),0)</f>
        <v>-9.5409120604017517E-9</v>
      </c>
      <c r="AH10" s="231">
        <f>IF(AND(Projects!$G$7="Yes",Projects!$F$7="Yes",32&gt;=Projects!$C$7,32&lt;Projects!$C$7+Projects!$D$7),Projects!$B$7*(1-SUMPRODUCT((Curves!$B$3:$AO$3)*(COLUMN(Curves!$B$3:$AO$3)-COLUMN(Curves!$B$3)+1&lt;=32-Projects!$C$7+1))),0)</f>
        <v>-9.5409120604017517E-9</v>
      </c>
      <c r="AI10" s="231">
        <f>IF(AND(Projects!$G$7="Yes",Projects!$F$7="Yes",33&gt;=Projects!$C$7,33&lt;Projects!$C$7+Projects!$D$7),Projects!$B$7*(1-SUMPRODUCT((Curves!$B$3:$AO$3)*(COLUMN(Curves!$B$3:$AO$3)-COLUMN(Curves!$B$3)+1&lt;=33-Projects!$C$7+1))),0)</f>
        <v>-9.5409120604017517E-9</v>
      </c>
      <c r="AJ10" s="231">
        <f>IF(AND(Projects!$G$7="Yes",Projects!$F$7="Yes",34&gt;=Projects!$C$7,34&lt;Projects!$C$7+Projects!$D$7),Projects!$B$7*(1-SUMPRODUCT((Curves!$B$3:$AO$3)*(COLUMN(Curves!$B$3:$AO$3)-COLUMN(Curves!$B$3)+1&lt;=34-Projects!$C$7+1))),0)</f>
        <v>0</v>
      </c>
      <c r="AK10" s="231">
        <f>IF(AND(Projects!$G$7="Yes",Projects!$F$7="Yes",35&gt;=Projects!$C$7,35&lt;Projects!$C$7+Projects!$D$7),Projects!$B$7*(1-SUMPRODUCT((Curves!$B$3:$AO$3)*(COLUMN(Curves!$B$3:$AO$3)-COLUMN(Curves!$B$3)+1&lt;=35-Projects!$C$7+1))),0)</f>
        <v>0</v>
      </c>
      <c r="AL10" s="231">
        <f>IF(AND(Projects!$G$7="Yes",Projects!$F$7="Yes",36&gt;=Projects!$C$7,36&lt;Projects!$C$7+Projects!$D$7),Projects!$B$7*(1-SUMPRODUCT((Curves!$B$3:$AO$3)*(COLUMN(Curves!$B$3:$AO$3)-COLUMN(Curves!$B$3)+1&lt;=36-Projects!$C$7+1))),0)</f>
        <v>0</v>
      </c>
      <c r="AM10" s="231">
        <f>IF(AND(Projects!$G$7="Yes",Projects!$F$7="Yes",37&gt;=Projects!$C$7,37&lt;Projects!$C$7+Projects!$D$7),Projects!$B$7*(1-SUMPRODUCT((Curves!$B$3:$AO$3)*(COLUMN(Curves!$B$3:$AO$3)-COLUMN(Curves!$B$3)+1&lt;=37-Projects!$C$7+1))),0)</f>
        <v>0</v>
      </c>
      <c r="AN10" s="231">
        <f>IF(AND(Projects!$G$7="Yes",Projects!$F$7="Yes",38&gt;=Projects!$C$7,38&lt;Projects!$C$7+Projects!$D$7),Projects!$B$7*(1-SUMPRODUCT((Curves!$B$3:$AO$3)*(COLUMN(Curves!$B$3:$AO$3)-COLUMN(Curves!$B$3)+1&lt;=38-Projects!$C$7+1))),0)</f>
        <v>0</v>
      </c>
      <c r="AO10" s="231">
        <f>IF(AND(Projects!$G$7="Yes",Projects!$F$7="Yes",39&gt;=Projects!$C$7,39&lt;Projects!$C$7+Projects!$D$7),Projects!$B$7*(1-SUMPRODUCT((Curves!$B$3:$AO$3)*(COLUMN(Curves!$B$3:$AO$3)-COLUMN(Curves!$B$3)+1&lt;=39-Projects!$C$7+1))),0)</f>
        <v>0</v>
      </c>
      <c r="AP10" s="231">
        <f>IF(AND(Projects!$G$7="Yes",Projects!$F$7="Yes",40&gt;=Projects!$C$7,40&lt;Projects!$C$7+Projects!$D$7),Projects!$B$7*(1-SUMPRODUCT((Curves!$B$3:$AO$3)*(COLUMN(Curves!$B$3:$AO$3)-COLUMN(Curves!$B$3)+1&lt;=40-Projects!$C$7+1))),0)</f>
        <v>0</v>
      </c>
      <c r="AQ10" s="231">
        <f>IF(AND(Projects!$G$7="Yes",Projects!$F$7="Yes",41&gt;=Projects!$C$7,41&lt;Projects!$C$7+Projects!$D$7),Projects!$B$7*(1-SUMPRODUCT((Curves!$B$3:$AO$3)*(COLUMN(Curves!$B$3:$AO$3)-COLUMN(Curves!$B$3)+1&lt;=41-Projects!$C$7+1))),0)</f>
        <v>0</v>
      </c>
      <c r="AR10" s="231">
        <f>IF(AND(Projects!$G$7="Yes",Projects!$F$7="Yes",42&gt;=Projects!$C$7,42&lt;Projects!$C$7+Projects!$D$7),Projects!$B$7*(1-SUMPRODUCT((Curves!$B$3:$AO$3)*(COLUMN(Curves!$B$3:$AO$3)-COLUMN(Curves!$B$3)+1&lt;=42-Projects!$C$7+1))),0)</f>
        <v>0</v>
      </c>
      <c r="AS10" s="231">
        <f>IF(AND(Projects!$G$7="Yes",Projects!$F$7="Yes",43&gt;=Projects!$C$7,43&lt;Projects!$C$7+Projects!$D$7),Projects!$B$7*(1-SUMPRODUCT((Curves!$B$3:$AO$3)*(COLUMN(Curves!$B$3:$AO$3)-COLUMN(Curves!$B$3)+1&lt;=43-Projects!$C$7+1))),0)</f>
        <v>0</v>
      </c>
      <c r="AT10" s="231">
        <f>IF(AND(Projects!$G$7="Yes",Projects!$F$7="Yes",44&gt;=Projects!$C$7,44&lt;Projects!$C$7+Projects!$D$7),Projects!$B$7*(1-SUMPRODUCT((Curves!$B$3:$AO$3)*(COLUMN(Curves!$B$3:$AO$3)-COLUMN(Curves!$B$3)+1&lt;=44-Projects!$C$7+1))),0)</f>
        <v>0</v>
      </c>
      <c r="AU10" s="231">
        <f>IF(AND(Projects!$G$7="Yes",Projects!$F$7="Yes",45&gt;=Projects!$C$7,45&lt;Projects!$C$7+Projects!$D$7),Projects!$B$7*(1-SUMPRODUCT((Curves!$B$3:$AO$3)*(COLUMN(Curves!$B$3:$AO$3)-COLUMN(Curves!$B$3)+1&lt;=45-Projects!$C$7+1))),0)</f>
        <v>0</v>
      </c>
      <c r="AV10" s="231">
        <f>IF(AND(Projects!$G$7="Yes",Projects!$F$7="Yes",46&gt;=Projects!$C$7,46&lt;Projects!$C$7+Projects!$D$7),Projects!$B$7*(1-SUMPRODUCT((Curves!$B$3:$AO$3)*(COLUMN(Curves!$B$3:$AO$3)-COLUMN(Curves!$B$3)+1&lt;=46-Projects!$C$7+1))),0)</f>
        <v>0</v>
      </c>
      <c r="AW10" s="231">
        <f>IF(AND(Projects!$G$7="Yes",Projects!$F$7="Yes",47&gt;=Projects!$C$7,47&lt;Projects!$C$7+Projects!$D$7),Projects!$B$7*(1-SUMPRODUCT((Curves!$B$3:$AO$3)*(COLUMN(Curves!$B$3:$AO$3)-COLUMN(Curves!$B$3)+1&lt;=47-Projects!$C$7+1))),0)</f>
        <v>0</v>
      </c>
      <c r="AX10" s="231">
        <f>IF(AND(Projects!$G$7="Yes",Projects!$F$7="Yes",48&gt;=Projects!$C$7,48&lt;Projects!$C$7+Projects!$D$7),Projects!$B$7*(1-SUMPRODUCT((Curves!$B$3:$AO$3)*(COLUMN(Curves!$B$3:$AO$3)-COLUMN(Curves!$B$3)+1&lt;=48-Projects!$C$7+1))),0)</f>
        <v>0</v>
      </c>
      <c r="AY10" s="231">
        <f>IF(AND(Projects!$G$7="Yes",Projects!$F$7="Yes",49&gt;=Projects!$C$7,49&lt;Projects!$C$7+Projects!$D$7),Projects!$B$7*(1-SUMPRODUCT((Curves!$B$3:$AO$3)*(COLUMN(Curves!$B$3:$AO$3)-COLUMN(Curves!$B$3)+1&lt;=49-Projects!$C$7+1))),0)</f>
        <v>0</v>
      </c>
      <c r="AZ10" s="231">
        <f>IF(AND(Projects!$G$7="Yes",Projects!$F$7="Yes",50&gt;=Projects!$C$7,50&lt;Projects!$C$7+Projects!$D$7),Projects!$B$7*(1-SUMPRODUCT((Curves!$B$3:$AO$3)*(COLUMN(Curves!$B$3:$AO$3)-COLUMN(Curves!$B$3)+1&lt;=50-Projects!$C$7+1))),0)</f>
        <v>0</v>
      </c>
      <c r="BA10" s="231">
        <f>IF(AND(Projects!$G$7="Yes",Projects!$F$7="Yes",51&gt;=Projects!$C$7,51&lt;Projects!$C$7+Projects!$D$7),Projects!$B$7*(1-SUMPRODUCT((Curves!$B$3:$AO$3)*(COLUMN(Curves!$B$3:$AO$3)-COLUMN(Curves!$B$3)+1&lt;=51-Projects!$C$7+1))),0)</f>
        <v>0</v>
      </c>
      <c r="BB10" s="231">
        <f>IF(AND(Projects!$G$7="Yes",Projects!$F$7="Yes",52&gt;=Projects!$C$7,52&lt;Projects!$C$7+Projects!$D$7),Projects!$B$7*(1-SUMPRODUCT((Curves!$B$3:$AO$3)*(COLUMN(Curves!$B$3:$AO$3)-COLUMN(Curves!$B$3)+1&lt;=52-Projects!$C$7+1))),0)</f>
        <v>0</v>
      </c>
      <c r="BC10" s="231">
        <f>IF(AND(Projects!$G$7="Yes",Projects!$F$7="Yes",53&gt;=Projects!$C$7,53&lt;Projects!$C$7+Projects!$D$7),Projects!$B$7*(1-SUMPRODUCT((Curves!$B$3:$AO$3)*(COLUMN(Curves!$B$3:$AO$3)-COLUMN(Curves!$B$3)+1&lt;=53-Projects!$C$7+1))),0)</f>
        <v>0</v>
      </c>
      <c r="BD10" s="231">
        <f>IF(AND(Projects!$G$7="Yes",Projects!$F$7="Yes",54&gt;=Projects!$C$7,54&lt;Projects!$C$7+Projects!$D$7),Projects!$B$7*(1-SUMPRODUCT((Curves!$B$3:$AO$3)*(COLUMN(Curves!$B$3:$AO$3)-COLUMN(Curves!$B$3)+1&lt;=54-Projects!$C$7+1))),0)</f>
        <v>0</v>
      </c>
      <c r="BE10" s="231">
        <f>IF(AND(Projects!$G$7="Yes",Projects!$F$7="Yes",55&gt;=Projects!$C$7,55&lt;Projects!$C$7+Projects!$D$7),Projects!$B$7*(1-SUMPRODUCT((Curves!$B$3:$AO$3)*(COLUMN(Curves!$B$3:$AO$3)-COLUMN(Curves!$B$3)+1&lt;=55-Projects!$C$7+1))),0)</f>
        <v>0</v>
      </c>
      <c r="BF10" s="231">
        <f>IF(AND(Projects!$G$7="Yes",Projects!$F$7="Yes",56&gt;=Projects!$C$7,56&lt;Projects!$C$7+Projects!$D$7),Projects!$B$7*(1-SUMPRODUCT((Curves!$B$3:$AO$3)*(COLUMN(Curves!$B$3:$AO$3)-COLUMN(Curves!$B$3)+1&lt;=56-Projects!$C$7+1))),0)</f>
        <v>0</v>
      </c>
      <c r="BG10" s="231">
        <f>IF(AND(Projects!$G$7="Yes",Projects!$F$7="Yes",57&gt;=Projects!$C$7,57&lt;Projects!$C$7+Projects!$D$7),Projects!$B$7*(1-SUMPRODUCT((Curves!$B$3:$AO$3)*(COLUMN(Curves!$B$3:$AO$3)-COLUMN(Curves!$B$3)+1&lt;=57-Projects!$C$7+1))),0)</f>
        <v>0</v>
      </c>
      <c r="BH10" s="231">
        <f>IF(AND(Projects!$G$7="Yes",Projects!$F$7="Yes",58&gt;=Projects!$C$7,58&lt;Projects!$C$7+Projects!$D$7),Projects!$B$7*(1-SUMPRODUCT((Curves!$B$3:$AO$3)*(COLUMN(Curves!$B$3:$AO$3)-COLUMN(Curves!$B$3)+1&lt;=58-Projects!$C$7+1))),0)</f>
        <v>0</v>
      </c>
      <c r="BI10" s="231">
        <f>IF(AND(Projects!$G$7="Yes",Projects!$F$7="Yes",59&gt;=Projects!$C$7,59&lt;Projects!$C$7+Projects!$D$7),Projects!$B$7*(1-SUMPRODUCT((Curves!$B$3:$AO$3)*(COLUMN(Curves!$B$3:$AO$3)-COLUMN(Curves!$B$3)+1&lt;=59-Projects!$C$7+1))),0)</f>
        <v>0</v>
      </c>
      <c r="BJ10" s="231">
        <f>IF(AND(Projects!$G$7="Yes",Projects!$F$7="Yes",60&gt;=Projects!$C$7,60&lt;Projects!$C$7+Projects!$D$7),Projects!$B$7*(1-SUMPRODUCT((Curves!$B$3:$AO$3)*(COLUMN(Curves!$B$3:$AO$3)-COLUMN(Curves!$B$3)+1&lt;=60-Projects!$C$7+1))),0)</f>
        <v>0</v>
      </c>
      <c r="BK10" s="231">
        <f>IF(AND(Projects!$G$7="Yes",Projects!$F$7="Yes",61&gt;=Projects!$C$7,61&lt;Projects!$C$7+Projects!$D$7),Projects!$B$7*(1-SUMPRODUCT((Curves!$B$3:$AO$3)*(COLUMN(Curves!$B$3:$AO$3)-COLUMN(Curves!$B$3)+1&lt;=61-Projects!$C$7+1))),0)</f>
        <v>0</v>
      </c>
      <c r="BL10" s="231">
        <f>IF(AND(Projects!$G$7="Yes",Projects!$F$7="Yes",62&gt;=Projects!$C$7,62&lt;Projects!$C$7+Projects!$D$7),Projects!$B$7*(1-SUMPRODUCT((Curves!$B$3:$AO$3)*(COLUMN(Curves!$B$3:$AO$3)-COLUMN(Curves!$B$3)+1&lt;=62-Projects!$C$7+1))),0)</f>
        <v>0</v>
      </c>
      <c r="BM10" s="231">
        <f>IF(AND(Projects!$G$7="Yes",Projects!$F$7="Yes",63&gt;=Projects!$C$7,63&lt;Projects!$C$7+Projects!$D$7),Projects!$B$7*(1-SUMPRODUCT((Curves!$B$3:$AO$3)*(COLUMN(Curves!$B$3:$AO$3)-COLUMN(Curves!$B$3)+1&lt;=63-Projects!$C$7+1))),0)</f>
        <v>0</v>
      </c>
      <c r="BN10" s="231">
        <f>IF(AND(Projects!$G$7="Yes",Projects!$F$7="Yes",64&gt;=Projects!$C$7,64&lt;Projects!$C$7+Projects!$D$7),Projects!$B$7*(1-SUMPRODUCT((Curves!$B$3:$AO$3)*(COLUMN(Curves!$B$3:$AO$3)-COLUMN(Curves!$B$3)+1&lt;=64-Projects!$C$7+1))),0)</f>
        <v>0</v>
      </c>
      <c r="BO10" s="231">
        <f>IF(AND(Projects!$G$7="Yes",Projects!$F$7="Yes",65&gt;=Projects!$C$7,65&lt;Projects!$C$7+Projects!$D$7),Projects!$B$7*(1-SUMPRODUCT((Curves!$B$3:$AO$3)*(COLUMN(Curves!$B$3:$AO$3)-COLUMN(Curves!$B$3)+1&lt;=65-Projects!$C$7+1))),0)</f>
        <v>0</v>
      </c>
      <c r="BP10" s="231">
        <f>IF(AND(Projects!$G$7="Yes",Projects!$F$7="Yes",66&gt;=Projects!$C$7,66&lt;Projects!$C$7+Projects!$D$7),Projects!$B$7*(1-SUMPRODUCT((Curves!$B$3:$AO$3)*(COLUMN(Curves!$B$3:$AO$3)-COLUMN(Curves!$B$3)+1&lt;=66-Projects!$C$7+1))),0)</f>
        <v>0</v>
      </c>
      <c r="BQ10" s="231">
        <f>IF(AND(Projects!$G$7="Yes",Projects!$F$7="Yes",67&gt;=Projects!$C$7,67&lt;Projects!$C$7+Projects!$D$7),Projects!$B$7*(1-SUMPRODUCT((Curves!$B$3:$AO$3)*(COLUMN(Curves!$B$3:$AO$3)-COLUMN(Curves!$B$3)+1&lt;=67-Projects!$C$7+1))),0)</f>
        <v>0</v>
      </c>
      <c r="BR10" s="231">
        <f>IF(AND(Projects!$G$7="Yes",Projects!$F$7="Yes",68&gt;=Projects!$C$7,68&lt;Projects!$C$7+Projects!$D$7),Projects!$B$7*(1-SUMPRODUCT((Curves!$B$3:$AO$3)*(COLUMN(Curves!$B$3:$AO$3)-COLUMN(Curves!$B$3)+1&lt;=68-Projects!$C$7+1))),0)</f>
        <v>0</v>
      </c>
      <c r="BS10" s="231">
        <f>IF(AND(Projects!$G$7="Yes",Projects!$F$7="Yes",69&gt;=Projects!$C$7,69&lt;Projects!$C$7+Projects!$D$7),Projects!$B$7*(1-SUMPRODUCT((Curves!$B$3:$AO$3)*(COLUMN(Curves!$B$3:$AO$3)-COLUMN(Curves!$B$3)+1&lt;=69-Projects!$C$7+1))),0)</f>
        <v>0</v>
      </c>
      <c r="BT10" s="231">
        <f>IF(AND(Projects!$G$7="Yes",Projects!$F$7="Yes",70&gt;=Projects!$C$7,70&lt;Projects!$C$7+Projects!$D$7),Projects!$B$7*(1-SUMPRODUCT((Curves!$B$3:$AO$3)*(COLUMN(Curves!$B$3:$AO$3)-COLUMN(Curves!$B$3)+1&lt;=70-Projects!$C$7+1))),0)</f>
        <v>0</v>
      </c>
      <c r="BU10" s="231">
        <f>IF(AND(Projects!$G$7="Yes",Projects!$F$7="Yes",71&gt;=Projects!$C$7,71&lt;Projects!$C$7+Projects!$D$7),Projects!$B$7*(1-SUMPRODUCT((Curves!$B$3:$AO$3)*(COLUMN(Curves!$B$3:$AO$3)-COLUMN(Curves!$B$3)+1&lt;=71-Projects!$C$7+1))),0)</f>
        <v>0</v>
      </c>
      <c r="BV10" s="231">
        <f>IF(AND(Projects!$G$7="Yes",Projects!$F$7="Yes",72&gt;=Projects!$C$7,72&lt;Projects!$C$7+Projects!$D$7),Projects!$B$7*(1-SUMPRODUCT((Curves!$B$3:$AO$3)*(COLUMN(Curves!$B$3:$AO$3)-COLUMN(Curves!$B$3)+1&lt;=72-Projects!$C$7+1))),0)</f>
        <v>0</v>
      </c>
      <c r="BW10" s="231">
        <f>IF(AND(Projects!$G$7="Yes",Projects!$F$7="Yes",73&gt;=Projects!$C$7,73&lt;Projects!$C$7+Projects!$D$7),Projects!$B$7*(1-SUMPRODUCT((Curves!$B$3:$AO$3)*(COLUMN(Curves!$B$3:$AO$3)-COLUMN(Curves!$B$3)+1&lt;=73-Projects!$C$7+1))),0)</f>
        <v>0</v>
      </c>
      <c r="BX10" s="231">
        <f>IF(AND(Projects!$G$7="Yes",Projects!$F$7="Yes",74&gt;=Projects!$C$7,74&lt;Projects!$C$7+Projects!$D$7),Projects!$B$7*(1-SUMPRODUCT((Curves!$B$3:$AO$3)*(COLUMN(Curves!$B$3:$AO$3)-COLUMN(Curves!$B$3)+1&lt;=74-Projects!$C$7+1))),0)</f>
        <v>0</v>
      </c>
      <c r="BY10" s="231">
        <f>IF(AND(Projects!$G$7="Yes",Projects!$F$7="Yes",75&gt;=Projects!$C$7,75&lt;Projects!$C$7+Projects!$D$7),Projects!$B$7*(1-SUMPRODUCT((Curves!$B$3:$AO$3)*(COLUMN(Curves!$B$3:$AO$3)-COLUMN(Curves!$B$3)+1&lt;=75-Projects!$C$7+1))),0)</f>
        <v>0</v>
      </c>
      <c r="BZ10" s="231">
        <f>IF(AND(Projects!$G$7="Yes",Projects!$F$7="Yes",76&gt;=Projects!$C$7,76&lt;Projects!$C$7+Projects!$D$7),Projects!$B$7*(1-SUMPRODUCT((Curves!$B$3:$AO$3)*(COLUMN(Curves!$B$3:$AO$3)-COLUMN(Curves!$B$3)+1&lt;=76-Projects!$C$7+1))),0)</f>
        <v>0</v>
      </c>
      <c r="CA10" s="231">
        <f>IF(AND(Projects!$G$7="Yes",Projects!$F$7="Yes",77&gt;=Projects!$C$7,77&lt;Projects!$C$7+Projects!$D$7),Projects!$B$7*(1-SUMPRODUCT((Curves!$B$3:$AO$3)*(COLUMN(Curves!$B$3:$AO$3)-COLUMN(Curves!$B$3)+1&lt;=77-Projects!$C$7+1))),0)</f>
        <v>0</v>
      </c>
      <c r="CB10" s="231">
        <f>IF(AND(Projects!$G$7="Yes",Projects!$F$7="Yes",78&gt;=Projects!$C$7,78&lt;Projects!$C$7+Projects!$D$7),Projects!$B$7*(1-SUMPRODUCT((Curves!$B$3:$AO$3)*(COLUMN(Curves!$B$3:$AO$3)-COLUMN(Curves!$B$3)+1&lt;=78-Projects!$C$7+1))),0)</f>
        <v>0</v>
      </c>
      <c r="CC10" s="231">
        <f>IF(AND(Projects!$G$7="Yes",Projects!$F$7="Yes",79&gt;=Projects!$C$7,79&lt;Projects!$C$7+Projects!$D$7),Projects!$B$7*(1-SUMPRODUCT((Curves!$B$3:$AO$3)*(COLUMN(Curves!$B$3:$AO$3)-COLUMN(Curves!$B$3)+1&lt;=79-Projects!$C$7+1))),0)</f>
        <v>0</v>
      </c>
      <c r="CD10" s="231">
        <f>IF(AND(Projects!$G$7="Yes",Projects!$F$7="Yes",80&gt;=Projects!$C$7,80&lt;Projects!$C$7+Projects!$D$7),Projects!$B$7*(1-SUMPRODUCT((Curves!$B$3:$AO$3)*(COLUMN(Curves!$B$3:$AO$3)-COLUMN(Curves!$B$3)+1&lt;=80-Projects!$C$7+1))),0)</f>
        <v>0</v>
      </c>
      <c r="CE10" s="231">
        <f>IF(AND(Projects!$G$7="Yes",Projects!$F$7="Yes",81&gt;=Projects!$C$7,81&lt;Projects!$C$7+Projects!$D$7),Projects!$B$7*(1-SUMPRODUCT((Curves!$B$3:$AO$3)*(COLUMN(Curves!$B$3:$AO$3)-COLUMN(Curves!$B$3)+1&lt;=81-Projects!$C$7+1))),0)</f>
        <v>0</v>
      </c>
      <c r="CF10" s="231">
        <f>IF(AND(Projects!$G$7="Yes",Projects!$F$7="Yes",82&gt;=Projects!$C$7,82&lt;Projects!$C$7+Projects!$D$7),Projects!$B$7*(1-SUMPRODUCT((Curves!$B$3:$AO$3)*(COLUMN(Curves!$B$3:$AO$3)-COLUMN(Curves!$B$3)+1&lt;=82-Projects!$C$7+1))),0)</f>
        <v>0</v>
      </c>
      <c r="CG10" s="231">
        <f>IF(AND(Projects!$G$7="Yes",Projects!$F$7="Yes",83&gt;=Projects!$C$7,83&lt;Projects!$C$7+Projects!$D$7),Projects!$B$7*(1-SUMPRODUCT((Curves!$B$3:$AO$3)*(COLUMN(Curves!$B$3:$AO$3)-COLUMN(Curves!$B$3)+1&lt;=83-Projects!$C$7+1))),0)</f>
        <v>0</v>
      </c>
      <c r="CH10" s="231">
        <f>IF(AND(Projects!$G$7="Yes",Projects!$F$7="Yes",84&gt;=Projects!$C$7,84&lt;Projects!$C$7+Projects!$D$7),Projects!$B$7*(1-SUMPRODUCT((Curves!$B$3:$AO$3)*(COLUMN(Curves!$B$3:$AO$3)-COLUMN(Curves!$B$3)+1&lt;=84-Projects!$C$7+1))),0)</f>
        <v>0</v>
      </c>
      <c r="CI10" s="231">
        <f>IF(AND(Projects!$G$7="Yes",Projects!$F$7="Yes",85&gt;=Projects!$C$7,85&lt;Projects!$C$7+Projects!$D$7),Projects!$B$7*(1-SUMPRODUCT((Curves!$B$3:$AO$3)*(COLUMN(Curves!$B$3:$AO$3)-COLUMN(Curves!$B$3)+1&lt;=85-Projects!$C$7+1))),0)</f>
        <v>0</v>
      </c>
      <c r="CJ10" s="231">
        <f>IF(AND(Projects!$G$7="Yes",Projects!$F$7="Yes",86&gt;=Projects!$C$7,86&lt;Projects!$C$7+Projects!$D$7),Projects!$B$7*(1-SUMPRODUCT((Curves!$B$3:$AO$3)*(COLUMN(Curves!$B$3:$AO$3)-COLUMN(Curves!$B$3)+1&lt;=86-Projects!$C$7+1))),0)</f>
        <v>0</v>
      </c>
      <c r="CK10" s="231">
        <f>IF(AND(Projects!$G$7="Yes",Projects!$F$7="Yes",87&gt;=Projects!$C$7,87&lt;Projects!$C$7+Projects!$D$7),Projects!$B$7*(1-SUMPRODUCT((Curves!$B$3:$AO$3)*(COLUMN(Curves!$B$3:$AO$3)-COLUMN(Curves!$B$3)+1&lt;=87-Projects!$C$7+1))),0)</f>
        <v>0</v>
      </c>
      <c r="CL10" s="231">
        <f>IF(AND(Projects!$G$7="Yes",Projects!$F$7="Yes",88&gt;=Projects!$C$7,88&lt;Projects!$C$7+Projects!$D$7),Projects!$B$7*(1-SUMPRODUCT((Curves!$B$3:$AO$3)*(COLUMN(Curves!$B$3:$AO$3)-COLUMN(Curves!$B$3)+1&lt;=88-Projects!$C$7+1))),0)</f>
        <v>0</v>
      </c>
      <c r="CM10" s="231">
        <f>IF(AND(Projects!$G$7="Yes",Projects!$F$7="Yes",89&gt;=Projects!$C$7,89&lt;Projects!$C$7+Projects!$D$7),Projects!$B$7*(1-SUMPRODUCT((Curves!$B$3:$AO$3)*(COLUMN(Curves!$B$3:$AO$3)-COLUMN(Curves!$B$3)+1&lt;=89-Projects!$C$7+1))),0)</f>
        <v>0</v>
      </c>
      <c r="CN10" s="231">
        <f>IF(AND(Projects!$G$7="Yes",Projects!$F$7="Yes",90&gt;=Projects!$C$7,90&lt;Projects!$C$7+Projects!$D$7),Projects!$B$7*(1-SUMPRODUCT((Curves!$B$3:$AO$3)*(COLUMN(Curves!$B$3:$AO$3)-COLUMN(Curves!$B$3)+1&lt;=90-Projects!$C$7+1))),0)</f>
        <v>0</v>
      </c>
      <c r="CO10" s="231">
        <f>IF(AND(Projects!$G$7="Yes",Projects!$F$7="Yes",91&gt;=Projects!$C$7,91&lt;Projects!$C$7+Projects!$D$7),Projects!$B$7*(1-SUMPRODUCT((Curves!$B$3:$AO$3)*(COLUMN(Curves!$B$3:$AO$3)-COLUMN(Curves!$B$3)+1&lt;=91-Projects!$C$7+1))),0)</f>
        <v>0</v>
      </c>
      <c r="CP10" s="231">
        <f>IF(AND(Projects!$G$7="Yes",Projects!$F$7="Yes",92&gt;=Projects!$C$7,92&lt;Projects!$C$7+Projects!$D$7),Projects!$B$7*(1-SUMPRODUCT((Curves!$B$3:$AO$3)*(COLUMN(Curves!$B$3:$AO$3)-COLUMN(Curves!$B$3)+1&lt;=92-Projects!$C$7+1))),0)</f>
        <v>0</v>
      </c>
      <c r="CQ10" s="231">
        <f>IF(AND(Projects!$G$7="Yes",Projects!$F$7="Yes",93&gt;=Projects!$C$7,93&lt;Projects!$C$7+Projects!$D$7),Projects!$B$7*(1-SUMPRODUCT((Curves!$B$3:$AO$3)*(COLUMN(Curves!$B$3:$AO$3)-COLUMN(Curves!$B$3)+1&lt;=93-Projects!$C$7+1))),0)</f>
        <v>0</v>
      </c>
    </row>
    <row r="11" spans="1:95" ht="15" customHeight="1" x14ac:dyDescent="0.25">
      <c r="A11" s="144" t="s">
        <v>169</v>
      </c>
      <c r="C11" s="231">
        <f>IF(AND(Projects!$G$8="Yes",Projects!$F$8="Yes",1&gt;=Projects!$C$8,1&lt;Projects!$C$8+Projects!$D$8),Projects!$B$8*(1-SUMPRODUCT((Curves!$B$4:$AO$4)*(COLUMN(Curves!$B$4:$AO$4)-COLUMN(Curves!$B$4)+1&lt;=1-Projects!$C$8+1))),0)</f>
        <v>0</v>
      </c>
      <c r="D11" s="231">
        <f>IF(AND(Projects!$G$8="Yes",Projects!$F$8="Yes",2&gt;=Projects!$C$8,2&lt;Projects!$C$8+Projects!$D$8),Projects!$B$8*(1-SUMPRODUCT((Curves!$B$4:$AO$4)*(COLUMN(Curves!$B$4:$AO$4)-COLUMN(Curves!$B$4)+1&lt;=2-Projects!$C$8+1))),0)</f>
        <v>0</v>
      </c>
      <c r="E11" s="231">
        <f>IF(AND(Projects!$G$8="Yes",Projects!$F$8="Yes",3&gt;=Projects!$C$8,3&lt;Projects!$C$8+Projects!$D$8),Projects!$B$8*(1-SUMPRODUCT((Curves!$B$4:$AO$4)*(COLUMN(Curves!$B$4:$AO$4)-COLUMN(Curves!$B$4)+1&lt;=3-Projects!$C$8+1))),0)</f>
        <v>0</v>
      </c>
      <c r="F11" s="231">
        <f>IF(AND(Projects!$G$8="Yes",Projects!$F$8="Yes",4&gt;=Projects!$C$8,4&lt;Projects!$C$8+Projects!$D$8),Projects!$B$8*(1-SUMPRODUCT((Curves!$B$4:$AO$4)*(COLUMN(Curves!$B$4:$AO$4)-COLUMN(Curves!$B$4)+1&lt;=4-Projects!$C$8+1))),0)</f>
        <v>0</v>
      </c>
      <c r="G11" s="231">
        <f>IF(AND(Projects!$G$8="Yes",Projects!$F$8="Yes",5&gt;=Projects!$C$8,5&lt;Projects!$C$8+Projects!$D$8),Projects!$B$8*(1-SUMPRODUCT((Curves!$B$4:$AO$4)*(COLUMN(Curves!$B$4:$AO$4)-COLUMN(Curves!$B$4)+1&lt;=5-Projects!$C$8+1))),0)</f>
        <v>0</v>
      </c>
      <c r="H11" s="231">
        <f>IF(AND(Projects!$G$8="Yes",Projects!$F$8="Yes",6&gt;=Projects!$C$8,6&lt;Projects!$C$8+Projects!$D$8),Projects!$B$8*(1-SUMPRODUCT((Curves!$B$4:$AO$4)*(COLUMN(Curves!$B$4:$AO$4)-COLUMN(Curves!$B$4)+1&lt;=6-Projects!$C$8+1))),0)</f>
        <v>0</v>
      </c>
      <c r="I11" s="231">
        <f>IF(AND(Projects!$G$8="Yes",Projects!$F$8="Yes",7&gt;=Projects!$C$8,7&lt;Projects!$C$8+Projects!$D$8),Projects!$B$8*(1-SUMPRODUCT((Curves!$B$4:$AO$4)*(COLUMN(Curves!$B$4:$AO$4)-COLUMN(Curves!$B$4)+1&lt;=7-Projects!$C$8+1))),0)</f>
        <v>13264457.403875999</v>
      </c>
      <c r="J11" s="231">
        <f>IF(AND(Projects!$G$8="Yes",Projects!$F$8="Yes",8&gt;=Projects!$C$8,8&lt;Projects!$C$8+Projects!$D$8),Projects!$B$8*(1-SUMPRODUCT((Curves!$B$4:$AO$4)*(COLUMN(Curves!$B$4:$AO$4)-COLUMN(Curves!$B$4)+1&lt;=8-Projects!$C$8+1))),0)</f>
        <v>12818063.487384001</v>
      </c>
      <c r="K11" s="231">
        <f>IF(AND(Projects!$G$8="Yes",Projects!$F$8="Yes",9&gt;=Projects!$C$8,9&lt;Projects!$C$8+Projects!$D$8),Projects!$B$8*(1-SUMPRODUCT((Curves!$B$4:$AO$4)*(COLUMN(Curves!$B$4:$AO$4)-COLUMN(Curves!$B$4)+1&lt;=9-Projects!$C$8+1))),0)</f>
        <v>12280090.757280001</v>
      </c>
      <c r="L11" s="231">
        <f>IF(AND(Projects!$G$8="Yes",Projects!$F$8="Yes",10&gt;=Projects!$C$8,10&lt;Projects!$C$8+Projects!$D$8),Projects!$B$8*(1-SUMPRODUCT((Curves!$B$4:$AO$4)*(COLUMN(Curves!$B$4:$AO$4)-COLUMN(Curves!$B$4)+1&lt;=10-Projects!$C$8+1))),0)</f>
        <v>11647691.427216001</v>
      </c>
      <c r="M11" s="231">
        <f>IF(AND(Projects!$G$8="Yes",Projects!$F$8="Yes",11&gt;=Projects!$C$8,11&lt;Projects!$C$8+Projects!$D$8),Projects!$B$8*(1-SUMPRODUCT((Curves!$B$4:$AO$4)*(COLUMN(Curves!$B$4:$AO$4)-COLUMN(Curves!$B$4)+1&lt;=11-Projects!$C$8+1))),0)</f>
        <v>10922555.09292</v>
      </c>
      <c r="N11" s="231">
        <f>IF(AND(Projects!$G$8="Yes",Projects!$F$8="Yes",12&gt;=Projects!$C$8,12&lt;Projects!$C$8+Projects!$D$8),Projects!$B$8*(1-SUMPRODUCT((Curves!$B$4:$AO$4)*(COLUMN(Curves!$B$4:$AO$4)-COLUMN(Curves!$B$4)+1&lt;=12-Projects!$C$8+1))),0)</f>
        <v>10111521.891936</v>
      </c>
      <c r="O11" s="231">
        <f>IF(AND(Projects!$G$8="Yes",Projects!$F$8="Yes",13&gt;=Projects!$C$8,13&lt;Projects!$C$8+Projects!$D$8),Projects!$B$8*(1-SUMPRODUCT((Curves!$B$4:$AO$4)*(COLUMN(Curves!$B$4:$AO$4)-COLUMN(Curves!$B$4)+1&lt;=13-Projects!$C$8+1))),0)</f>
        <v>9226705.1355719995</v>
      </c>
      <c r="P11" s="231">
        <f>IF(AND(Projects!$G$8="Yes",Projects!$F$8="Yes",14&gt;=Projects!$C$8,14&lt;Projects!$C$8+Projects!$D$8),Projects!$B$8*(1-SUMPRODUCT((Curves!$B$4:$AO$4)*(COLUMN(Curves!$B$4:$AO$4)-COLUMN(Curves!$B$4)+1&lt;=14-Projects!$C$8+1))),0)</f>
        <v>8285109.7872839998</v>
      </c>
      <c r="Q11" s="231">
        <f>IF(AND(Projects!$G$8="Yes",Projects!$F$8="Yes",15&gt;=Projects!$C$8,15&lt;Projects!$C$8+Projects!$D$8),Projects!$B$8*(1-SUMPRODUCT((Curves!$B$4:$AO$4)*(COLUMN(Curves!$B$4:$AO$4)-COLUMN(Curves!$B$4)+1&lt;=15-Projects!$C$8+1))),0)</f>
        <v>7307705.9101799987</v>
      </c>
      <c r="R11" s="231">
        <f>IF(AND(Projects!$G$8="Yes",Projects!$F$8="Yes",16&gt;=Projects!$C$8,16&lt;Projects!$C$8+Projects!$D$8),Projects!$B$8*(1-SUMPRODUCT((Curves!$B$4:$AO$4)*(COLUMN(Curves!$B$4:$AO$4)-COLUMN(Curves!$B$4)+1&lt;=16-Projects!$C$8+1))),0)</f>
        <v>6318066.0898199985</v>
      </c>
      <c r="S11" s="231">
        <f>IF(AND(Projects!$G$8="Yes",Projects!$F$8="Yes",17&gt;=Projects!$C$8,17&lt;Projects!$C$8+Projects!$D$8),Projects!$B$8*(1-SUMPRODUCT((Curves!$B$4:$AO$4)*(COLUMN(Curves!$B$4:$AO$4)-COLUMN(Curves!$B$4)+1&lt;=17-Projects!$C$8+1))),0)</f>
        <v>5340662.2127159983</v>
      </c>
      <c r="T11" s="231">
        <f>IF(AND(Projects!$G$8="Yes",Projects!$F$8="Yes",18&gt;=Projects!$C$8,18&lt;Projects!$C$8+Projects!$D$8),Projects!$B$8*(1-SUMPRODUCT((Curves!$B$4:$AO$4)*(COLUMN(Curves!$B$4:$AO$4)-COLUMN(Curves!$B$4)+1&lt;=18-Projects!$C$8+1))),0)</f>
        <v>4399066.8644279996</v>
      </c>
      <c r="U11" s="231">
        <f>IF(AND(Projects!$G$8="Yes",Projects!$F$8="Yes",19&gt;=Projects!$C$8,19&lt;Projects!$C$8+Projects!$D$8),Projects!$B$8*(1-SUMPRODUCT((Curves!$B$4:$AO$4)*(COLUMN(Curves!$B$4:$AO$4)-COLUMN(Curves!$B$4)+1&lt;=19-Projects!$C$8+1))),0)</f>
        <v>3514250.1080639991</v>
      </c>
      <c r="V11" s="231">
        <f>IF(AND(Projects!$G$8="Yes",Projects!$F$8="Yes",20&gt;=Projects!$C$8,20&lt;Projects!$C$8+Projects!$D$8),Projects!$B$8*(1-SUMPRODUCT((Curves!$B$4:$AO$4)*(COLUMN(Curves!$B$4:$AO$4)-COLUMN(Curves!$B$4)+1&lt;=20-Projects!$C$8+1))),0)</f>
        <v>2703216.9070799993</v>
      </c>
      <c r="W11" s="231">
        <f>IF(AND(Projects!$G$8="Yes",Projects!$F$8="Yes",21&gt;=Projects!$C$8,21&lt;Projects!$C$8+Projects!$D$8),Projects!$B$8*(1-SUMPRODUCT((Curves!$B$4:$AO$4)*(COLUMN(Curves!$B$4:$AO$4)-COLUMN(Curves!$B$4)+1&lt;=21-Projects!$C$8+1))),0)</f>
        <v>1978080.5727839996</v>
      </c>
      <c r="X11" s="231">
        <f>IF(AND(Projects!$G$8="Yes",Projects!$F$8="Yes",22&gt;=Projects!$C$8,22&lt;Projects!$C$8+Projects!$D$8),Projects!$B$8*(1-SUMPRODUCT((Curves!$B$4:$AO$4)*(COLUMN(Curves!$B$4:$AO$4)-COLUMN(Curves!$B$4)+1&lt;=22-Projects!$C$8+1))),0)</f>
        <v>1345681.2427199995</v>
      </c>
      <c r="Y11" s="231">
        <f>IF(AND(Projects!$G$8="Yes",Projects!$F$8="Yes",23&gt;=Projects!$C$8,23&lt;Projects!$C$8+Projects!$D$8),Projects!$B$8*(1-SUMPRODUCT((Curves!$B$4:$AO$4)*(COLUMN(Curves!$B$4:$AO$4)-COLUMN(Curves!$B$4)+1&lt;=23-Projects!$C$8+1))),0)</f>
        <v>807708.51261599921</v>
      </c>
      <c r="Z11" s="231">
        <f>IF(AND(Projects!$G$8="Yes",Projects!$F$8="Yes",24&gt;=Projects!$C$8,24&lt;Projects!$C$8+Projects!$D$8),Projects!$B$8*(1-SUMPRODUCT((Curves!$B$4:$AO$4)*(COLUMN(Curves!$B$4:$AO$4)-COLUMN(Curves!$B$4)+1&lt;=24-Projects!$C$8+1))),0)</f>
        <v>361314.59612399864</v>
      </c>
      <c r="AA11" s="231">
        <f>IF(AND(Projects!$G$8="Yes",Projects!$F$8="Yes",25&gt;=Projects!$C$8,25&lt;Projects!$C$8+Projects!$D$8),Projects!$B$8*(1-SUMPRODUCT((Curves!$B$4:$AO$4)*(COLUMN(Curves!$B$4:$AO$4)-COLUMN(Curves!$B$4)+1&lt;=25-Projects!$C$8+1))),0)</f>
        <v>0</v>
      </c>
      <c r="AB11" s="231">
        <f>IF(AND(Projects!$G$8="Yes",Projects!$F$8="Yes",26&gt;=Projects!$C$8,26&lt;Projects!$C$8+Projects!$D$8),Projects!$B$8*(1-SUMPRODUCT((Curves!$B$4:$AO$4)*(COLUMN(Curves!$B$4:$AO$4)-COLUMN(Curves!$B$4)+1&lt;=26-Projects!$C$8+1))),0)</f>
        <v>0</v>
      </c>
      <c r="AC11" s="231">
        <f>IF(AND(Projects!$G$8="Yes",Projects!$F$8="Yes",27&gt;=Projects!$C$8,27&lt;Projects!$C$8+Projects!$D$8),Projects!$B$8*(1-SUMPRODUCT((Curves!$B$4:$AO$4)*(COLUMN(Curves!$B$4:$AO$4)-COLUMN(Curves!$B$4)+1&lt;=27-Projects!$C$8+1))),0)</f>
        <v>0</v>
      </c>
      <c r="AD11" s="231">
        <f>IF(AND(Projects!$G$8="Yes",Projects!$F$8="Yes",28&gt;=Projects!$C$8,28&lt;Projects!$C$8+Projects!$D$8),Projects!$B$8*(1-SUMPRODUCT((Curves!$B$4:$AO$4)*(COLUMN(Curves!$B$4:$AO$4)-COLUMN(Curves!$B$4)+1&lt;=28-Projects!$C$8+1))),0)</f>
        <v>0</v>
      </c>
      <c r="AE11" s="231">
        <f>IF(AND(Projects!$G$8="Yes",Projects!$F$8="Yes",29&gt;=Projects!$C$8,29&lt;Projects!$C$8+Projects!$D$8),Projects!$B$8*(1-SUMPRODUCT((Curves!$B$4:$AO$4)*(COLUMN(Curves!$B$4:$AO$4)-COLUMN(Curves!$B$4)+1&lt;=29-Projects!$C$8+1))),0)</f>
        <v>0</v>
      </c>
      <c r="AF11" s="231">
        <f>IF(AND(Projects!$G$8="Yes",Projects!$F$8="Yes",30&gt;=Projects!$C$8,30&lt;Projects!$C$8+Projects!$D$8),Projects!$B$8*(1-SUMPRODUCT((Curves!$B$4:$AO$4)*(COLUMN(Curves!$B$4:$AO$4)-COLUMN(Curves!$B$4)+1&lt;=30-Projects!$C$8+1))),0)</f>
        <v>0</v>
      </c>
      <c r="AG11" s="231">
        <f>IF(AND(Projects!$G$8="Yes",Projects!$F$8="Yes",31&gt;=Projects!$C$8,31&lt;Projects!$C$8+Projects!$D$8),Projects!$B$8*(1-SUMPRODUCT((Curves!$B$4:$AO$4)*(COLUMN(Curves!$B$4:$AO$4)-COLUMN(Curves!$B$4)+1&lt;=31-Projects!$C$8+1))),0)</f>
        <v>0</v>
      </c>
      <c r="AH11" s="231">
        <f>IF(AND(Projects!$G$8="Yes",Projects!$F$8="Yes",32&gt;=Projects!$C$8,32&lt;Projects!$C$8+Projects!$D$8),Projects!$B$8*(1-SUMPRODUCT((Curves!$B$4:$AO$4)*(COLUMN(Curves!$B$4:$AO$4)-COLUMN(Curves!$B$4)+1&lt;=32-Projects!$C$8+1))),0)</f>
        <v>0</v>
      </c>
      <c r="AI11" s="231">
        <f>IF(AND(Projects!$G$8="Yes",Projects!$F$8="Yes",33&gt;=Projects!$C$8,33&lt;Projects!$C$8+Projects!$D$8),Projects!$B$8*(1-SUMPRODUCT((Curves!$B$4:$AO$4)*(COLUMN(Curves!$B$4:$AO$4)-COLUMN(Curves!$B$4)+1&lt;=33-Projects!$C$8+1))),0)</f>
        <v>0</v>
      </c>
      <c r="AJ11" s="231">
        <f>IF(AND(Projects!$G$8="Yes",Projects!$F$8="Yes",34&gt;=Projects!$C$8,34&lt;Projects!$C$8+Projects!$D$8),Projects!$B$8*(1-SUMPRODUCT((Curves!$B$4:$AO$4)*(COLUMN(Curves!$B$4:$AO$4)-COLUMN(Curves!$B$4)+1&lt;=34-Projects!$C$8+1))),0)</f>
        <v>0</v>
      </c>
      <c r="AK11" s="231">
        <f>IF(AND(Projects!$G$8="Yes",Projects!$F$8="Yes",35&gt;=Projects!$C$8,35&lt;Projects!$C$8+Projects!$D$8),Projects!$B$8*(1-SUMPRODUCT((Curves!$B$4:$AO$4)*(COLUMN(Curves!$B$4:$AO$4)-COLUMN(Curves!$B$4)+1&lt;=35-Projects!$C$8+1))),0)</f>
        <v>0</v>
      </c>
      <c r="AL11" s="231">
        <f>IF(AND(Projects!$G$8="Yes",Projects!$F$8="Yes",36&gt;=Projects!$C$8,36&lt;Projects!$C$8+Projects!$D$8),Projects!$B$8*(1-SUMPRODUCT((Curves!$B$4:$AO$4)*(COLUMN(Curves!$B$4:$AO$4)-COLUMN(Curves!$B$4)+1&lt;=36-Projects!$C$8+1))),0)</f>
        <v>0</v>
      </c>
      <c r="AM11" s="231">
        <f>IF(AND(Projects!$G$8="Yes",Projects!$F$8="Yes",37&gt;=Projects!$C$8,37&lt;Projects!$C$8+Projects!$D$8),Projects!$B$8*(1-SUMPRODUCT((Curves!$B$4:$AO$4)*(COLUMN(Curves!$B$4:$AO$4)-COLUMN(Curves!$B$4)+1&lt;=37-Projects!$C$8+1))),0)</f>
        <v>0</v>
      </c>
      <c r="AN11" s="231">
        <f>IF(AND(Projects!$G$8="Yes",Projects!$F$8="Yes",38&gt;=Projects!$C$8,38&lt;Projects!$C$8+Projects!$D$8),Projects!$B$8*(1-SUMPRODUCT((Curves!$B$4:$AO$4)*(COLUMN(Curves!$B$4:$AO$4)-COLUMN(Curves!$B$4)+1&lt;=38-Projects!$C$8+1))),0)</f>
        <v>0</v>
      </c>
      <c r="AO11" s="231">
        <f>IF(AND(Projects!$G$8="Yes",Projects!$F$8="Yes",39&gt;=Projects!$C$8,39&lt;Projects!$C$8+Projects!$D$8),Projects!$B$8*(1-SUMPRODUCT((Curves!$B$4:$AO$4)*(COLUMN(Curves!$B$4:$AO$4)-COLUMN(Curves!$B$4)+1&lt;=39-Projects!$C$8+1))),0)</f>
        <v>0</v>
      </c>
      <c r="AP11" s="231">
        <f>IF(AND(Projects!$G$8="Yes",Projects!$F$8="Yes",40&gt;=Projects!$C$8,40&lt;Projects!$C$8+Projects!$D$8),Projects!$B$8*(1-SUMPRODUCT((Curves!$B$4:$AO$4)*(COLUMN(Curves!$B$4:$AO$4)-COLUMN(Curves!$B$4)+1&lt;=40-Projects!$C$8+1))),0)</f>
        <v>0</v>
      </c>
      <c r="AQ11" s="231">
        <f>IF(AND(Projects!$G$8="Yes",Projects!$F$8="Yes",41&gt;=Projects!$C$8,41&lt;Projects!$C$8+Projects!$D$8),Projects!$B$8*(1-SUMPRODUCT((Curves!$B$4:$AO$4)*(COLUMN(Curves!$B$4:$AO$4)-COLUMN(Curves!$B$4)+1&lt;=41-Projects!$C$8+1))),0)</f>
        <v>0</v>
      </c>
      <c r="AR11" s="231">
        <f>IF(AND(Projects!$G$8="Yes",Projects!$F$8="Yes",42&gt;=Projects!$C$8,42&lt;Projects!$C$8+Projects!$D$8),Projects!$B$8*(1-SUMPRODUCT((Curves!$B$4:$AO$4)*(COLUMN(Curves!$B$4:$AO$4)-COLUMN(Curves!$B$4)+1&lt;=42-Projects!$C$8+1))),0)</f>
        <v>0</v>
      </c>
      <c r="AS11" s="231">
        <f>IF(AND(Projects!$G$8="Yes",Projects!$F$8="Yes",43&gt;=Projects!$C$8,43&lt;Projects!$C$8+Projects!$D$8),Projects!$B$8*(1-SUMPRODUCT((Curves!$B$4:$AO$4)*(COLUMN(Curves!$B$4:$AO$4)-COLUMN(Curves!$B$4)+1&lt;=43-Projects!$C$8+1))),0)</f>
        <v>0</v>
      </c>
      <c r="AT11" s="231">
        <f>IF(AND(Projects!$G$8="Yes",Projects!$F$8="Yes",44&gt;=Projects!$C$8,44&lt;Projects!$C$8+Projects!$D$8),Projects!$B$8*(1-SUMPRODUCT((Curves!$B$4:$AO$4)*(COLUMN(Curves!$B$4:$AO$4)-COLUMN(Curves!$B$4)+1&lt;=44-Projects!$C$8+1))),0)</f>
        <v>0</v>
      </c>
      <c r="AU11" s="231">
        <f>IF(AND(Projects!$G$8="Yes",Projects!$F$8="Yes",45&gt;=Projects!$C$8,45&lt;Projects!$C$8+Projects!$D$8),Projects!$B$8*(1-SUMPRODUCT((Curves!$B$4:$AO$4)*(COLUMN(Curves!$B$4:$AO$4)-COLUMN(Curves!$B$4)+1&lt;=45-Projects!$C$8+1))),0)</f>
        <v>0</v>
      </c>
      <c r="AV11" s="231">
        <f>IF(AND(Projects!$G$8="Yes",Projects!$F$8="Yes",46&gt;=Projects!$C$8,46&lt;Projects!$C$8+Projects!$D$8),Projects!$B$8*(1-SUMPRODUCT((Curves!$B$4:$AO$4)*(COLUMN(Curves!$B$4:$AO$4)-COLUMN(Curves!$B$4)+1&lt;=46-Projects!$C$8+1))),0)</f>
        <v>0</v>
      </c>
      <c r="AW11" s="231">
        <f>IF(AND(Projects!$G$8="Yes",Projects!$F$8="Yes",47&gt;=Projects!$C$8,47&lt;Projects!$C$8+Projects!$D$8),Projects!$B$8*(1-SUMPRODUCT((Curves!$B$4:$AO$4)*(COLUMN(Curves!$B$4:$AO$4)-COLUMN(Curves!$B$4)+1&lt;=47-Projects!$C$8+1))),0)</f>
        <v>0</v>
      </c>
      <c r="AX11" s="231">
        <f>IF(AND(Projects!$G$8="Yes",Projects!$F$8="Yes",48&gt;=Projects!$C$8,48&lt;Projects!$C$8+Projects!$D$8),Projects!$B$8*(1-SUMPRODUCT((Curves!$B$4:$AO$4)*(COLUMN(Curves!$B$4:$AO$4)-COLUMN(Curves!$B$4)+1&lt;=48-Projects!$C$8+1))),0)</f>
        <v>0</v>
      </c>
      <c r="AY11" s="231">
        <f>IF(AND(Projects!$G$8="Yes",Projects!$F$8="Yes",49&gt;=Projects!$C$8,49&lt;Projects!$C$8+Projects!$D$8),Projects!$B$8*(1-SUMPRODUCT((Curves!$B$4:$AO$4)*(COLUMN(Curves!$B$4:$AO$4)-COLUMN(Curves!$B$4)+1&lt;=49-Projects!$C$8+1))),0)</f>
        <v>0</v>
      </c>
      <c r="AZ11" s="231">
        <f>IF(AND(Projects!$G$8="Yes",Projects!$F$8="Yes",50&gt;=Projects!$C$8,50&lt;Projects!$C$8+Projects!$D$8),Projects!$B$8*(1-SUMPRODUCT((Curves!$B$4:$AO$4)*(COLUMN(Curves!$B$4:$AO$4)-COLUMN(Curves!$B$4)+1&lt;=50-Projects!$C$8+1))),0)</f>
        <v>0</v>
      </c>
      <c r="BA11" s="231">
        <f>IF(AND(Projects!$G$8="Yes",Projects!$F$8="Yes",51&gt;=Projects!$C$8,51&lt;Projects!$C$8+Projects!$D$8),Projects!$B$8*(1-SUMPRODUCT((Curves!$B$4:$AO$4)*(COLUMN(Curves!$B$4:$AO$4)-COLUMN(Curves!$B$4)+1&lt;=51-Projects!$C$8+1))),0)</f>
        <v>0</v>
      </c>
      <c r="BB11" s="231">
        <f>IF(AND(Projects!$G$8="Yes",Projects!$F$8="Yes",52&gt;=Projects!$C$8,52&lt;Projects!$C$8+Projects!$D$8),Projects!$B$8*(1-SUMPRODUCT((Curves!$B$4:$AO$4)*(COLUMN(Curves!$B$4:$AO$4)-COLUMN(Curves!$B$4)+1&lt;=52-Projects!$C$8+1))),0)</f>
        <v>0</v>
      </c>
      <c r="BC11" s="231">
        <f>IF(AND(Projects!$G$8="Yes",Projects!$F$8="Yes",53&gt;=Projects!$C$8,53&lt;Projects!$C$8+Projects!$D$8),Projects!$B$8*(1-SUMPRODUCT((Curves!$B$4:$AO$4)*(COLUMN(Curves!$B$4:$AO$4)-COLUMN(Curves!$B$4)+1&lt;=53-Projects!$C$8+1))),0)</f>
        <v>0</v>
      </c>
      <c r="BD11" s="231">
        <f>IF(AND(Projects!$G$8="Yes",Projects!$F$8="Yes",54&gt;=Projects!$C$8,54&lt;Projects!$C$8+Projects!$D$8),Projects!$B$8*(1-SUMPRODUCT((Curves!$B$4:$AO$4)*(COLUMN(Curves!$B$4:$AO$4)-COLUMN(Curves!$B$4)+1&lt;=54-Projects!$C$8+1))),0)</f>
        <v>0</v>
      </c>
      <c r="BE11" s="231">
        <f>IF(AND(Projects!$G$8="Yes",Projects!$F$8="Yes",55&gt;=Projects!$C$8,55&lt;Projects!$C$8+Projects!$D$8),Projects!$B$8*(1-SUMPRODUCT((Curves!$B$4:$AO$4)*(COLUMN(Curves!$B$4:$AO$4)-COLUMN(Curves!$B$4)+1&lt;=55-Projects!$C$8+1))),0)</f>
        <v>0</v>
      </c>
      <c r="BF11" s="231">
        <f>IF(AND(Projects!$G$8="Yes",Projects!$F$8="Yes",56&gt;=Projects!$C$8,56&lt;Projects!$C$8+Projects!$D$8),Projects!$B$8*(1-SUMPRODUCT((Curves!$B$4:$AO$4)*(COLUMN(Curves!$B$4:$AO$4)-COLUMN(Curves!$B$4)+1&lt;=56-Projects!$C$8+1))),0)</f>
        <v>0</v>
      </c>
      <c r="BG11" s="231">
        <f>IF(AND(Projects!$G$8="Yes",Projects!$F$8="Yes",57&gt;=Projects!$C$8,57&lt;Projects!$C$8+Projects!$D$8),Projects!$B$8*(1-SUMPRODUCT((Curves!$B$4:$AO$4)*(COLUMN(Curves!$B$4:$AO$4)-COLUMN(Curves!$B$4)+1&lt;=57-Projects!$C$8+1))),0)</f>
        <v>0</v>
      </c>
      <c r="BH11" s="231">
        <f>IF(AND(Projects!$G$8="Yes",Projects!$F$8="Yes",58&gt;=Projects!$C$8,58&lt;Projects!$C$8+Projects!$D$8),Projects!$B$8*(1-SUMPRODUCT((Curves!$B$4:$AO$4)*(COLUMN(Curves!$B$4:$AO$4)-COLUMN(Curves!$B$4)+1&lt;=58-Projects!$C$8+1))),0)</f>
        <v>0</v>
      </c>
      <c r="BI11" s="231">
        <f>IF(AND(Projects!$G$8="Yes",Projects!$F$8="Yes",59&gt;=Projects!$C$8,59&lt;Projects!$C$8+Projects!$D$8),Projects!$B$8*(1-SUMPRODUCT((Curves!$B$4:$AO$4)*(COLUMN(Curves!$B$4:$AO$4)-COLUMN(Curves!$B$4)+1&lt;=59-Projects!$C$8+1))),0)</f>
        <v>0</v>
      </c>
      <c r="BJ11" s="231">
        <f>IF(AND(Projects!$G$8="Yes",Projects!$F$8="Yes",60&gt;=Projects!$C$8,60&lt;Projects!$C$8+Projects!$D$8),Projects!$B$8*(1-SUMPRODUCT((Curves!$B$4:$AO$4)*(COLUMN(Curves!$B$4:$AO$4)-COLUMN(Curves!$B$4)+1&lt;=60-Projects!$C$8+1))),0)</f>
        <v>0</v>
      </c>
      <c r="BK11" s="231">
        <f>IF(AND(Projects!$G$8="Yes",Projects!$F$8="Yes",61&gt;=Projects!$C$8,61&lt;Projects!$C$8+Projects!$D$8),Projects!$B$8*(1-SUMPRODUCT((Curves!$B$4:$AO$4)*(COLUMN(Curves!$B$4:$AO$4)-COLUMN(Curves!$B$4)+1&lt;=61-Projects!$C$8+1))),0)</f>
        <v>0</v>
      </c>
      <c r="BL11" s="231">
        <f>IF(AND(Projects!$G$8="Yes",Projects!$F$8="Yes",62&gt;=Projects!$C$8,62&lt;Projects!$C$8+Projects!$D$8),Projects!$B$8*(1-SUMPRODUCT((Curves!$B$4:$AO$4)*(COLUMN(Curves!$B$4:$AO$4)-COLUMN(Curves!$B$4)+1&lt;=62-Projects!$C$8+1))),0)</f>
        <v>0</v>
      </c>
      <c r="BM11" s="231">
        <f>IF(AND(Projects!$G$8="Yes",Projects!$F$8="Yes",63&gt;=Projects!$C$8,63&lt;Projects!$C$8+Projects!$D$8),Projects!$B$8*(1-SUMPRODUCT((Curves!$B$4:$AO$4)*(COLUMN(Curves!$B$4:$AO$4)-COLUMN(Curves!$B$4)+1&lt;=63-Projects!$C$8+1))),0)</f>
        <v>0</v>
      </c>
      <c r="BN11" s="231">
        <f>IF(AND(Projects!$G$8="Yes",Projects!$F$8="Yes",64&gt;=Projects!$C$8,64&lt;Projects!$C$8+Projects!$D$8),Projects!$B$8*(1-SUMPRODUCT((Curves!$B$4:$AO$4)*(COLUMN(Curves!$B$4:$AO$4)-COLUMN(Curves!$B$4)+1&lt;=64-Projects!$C$8+1))),0)</f>
        <v>0</v>
      </c>
      <c r="BO11" s="231">
        <f>IF(AND(Projects!$G$8="Yes",Projects!$F$8="Yes",65&gt;=Projects!$C$8,65&lt;Projects!$C$8+Projects!$D$8),Projects!$B$8*(1-SUMPRODUCT((Curves!$B$4:$AO$4)*(COLUMN(Curves!$B$4:$AO$4)-COLUMN(Curves!$B$4)+1&lt;=65-Projects!$C$8+1))),0)</f>
        <v>0</v>
      </c>
      <c r="BP11" s="231">
        <f>IF(AND(Projects!$G$8="Yes",Projects!$F$8="Yes",66&gt;=Projects!$C$8,66&lt;Projects!$C$8+Projects!$D$8),Projects!$B$8*(1-SUMPRODUCT((Curves!$B$4:$AO$4)*(COLUMN(Curves!$B$4:$AO$4)-COLUMN(Curves!$B$4)+1&lt;=66-Projects!$C$8+1))),0)</f>
        <v>0</v>
      </c>
      <c r="BQ11" s="231">
        <f>IF(AND(Projects!$G$8="Yes",Projects!$F$8="Yes",67&gt;=Projects!$C$8,67&lt;Projects!$C$8+Projects!$D$8),Projects!$B$8*(1-SUMPRODUCT((Curves!$B$4:$AO$4)*(COLUMN(Curves!$B$4:$AO$4)-COLUMN(Curves!$B$4)+1&lt;=67-Projects!$C$8+1))),0)</f>
        <v>0</v>
      </c>
      <c r="BR11" s="231">
        <f>IF(AND(Projects!$G$8="Yes",Projects!$F$8="Yes",68&gt;=Projects!$C$8,68&lt;Projects!$C$8+Projects!$D$8),Projects!$B$8*(1-SUMPRODUCT((Curves!$B$4:$AO$4)*(COLUMN(Curves!$B$4:$AO$4)-COLUMN(Curves!$B$4)+1&lt;=68-Projects!$C$8+1))),0)</f>
        <v>0</v>
      </c>
      <c r="BS11" s="231">
        <f>IF(AND(Projects!$G$8="Yes",Projects!$F$8="Yes",69&gt;=Projects!$C$8,69&lt;Projects!$C$8+Projects!$D$8),Projects!$B$8*(1-SUMPRODUCT((Curves!$B$4:$AO$4)*(COLUMN(Curves!$B$4:$AO$4)-COLUMN(Curves!$B$4)+1&lt;=69-Projects!$C$8+1))),0)</f>
        <v>0</v>
      </c>
      <c r="BT11" s="231">
        <f>IF(AND(Projects!$G$8="Yes",Projects!$F$8="Yes",70&gt;=Projects!$C$8,70&lt;Projects!$C$8+Projects!$D$8),Projects!$B$8*(1-SUMPRODUCT((Curves!$B$4:$AO$4)*(COLUMN(Curves!$B$4:$AO$4)-COLUMN(Curves!$B$4)+1&lt;=70-Projects!$C$8+1))),0)</f>
        <v>0</v>
      </c>
      <c r="BU11" s="231">
        <f>IF(AND(Projects!$G$8="Yes",Projects!$F$8="Yes",71&gt;=Projects!$C$8,71&lt;Projects!$C$8+Projects!$D$8),Projects!$B$8*(1-SUMPRODUCT((Curves!$B$4:$AO$4)*(COLUMN(Curves!$B$4:$AO$4)-COLUMN(Curves!$B$4)+1&lt;=71-Projects!$C$8+1))),0)</f>
        <v>0</v>
      </c>
      <c r="BV11" s="231">
        <f>IF(AND(Projects!$G$8="Yes",Projects!$F$8="Yes",72&gt;=Projects!$C$8,72&lt;Projects!$C$8+Projects!$D$8),Projects!$B$8*(1-SUMPRODUCT((Curves!$B$4:$AO$4)*(COLUMN(Curves!$B$4:$AO$4)-COLUMN(Curves!$B$4)+1&lt;=72-Projects!$C$8+1))),0)</f>
        <v>0</v>
      </c>
      <c r="BW11" s="231">
        <f>IF(AND(Projects!$G$8="Yes",Projects!$F$8="Yes",73&gt;=Projects!$C$8,73&lt;Projects!$C$8+Projects!$D$8),Projects!$B$8*(1-SUMPRODUCT((Curves!$B$4:$AO$4)*(COLUMN(Curves!$B$4:$AO$4)-COLUMN(Curves!$B$4)+1&lt;=73-Projects!$C$8+1))),0)</f>
        <v>0</v>
      </c>
      <c r="BX11" s="231">
        <f>IF(AND(Projects!$G$8="Yes",Projects!$F$8="Yes",74&gt;=Projects!$C$8,74&lt;Projects!$C$8+Projects!$D$8),Projects!$B$8*(1-SUMPRODUCT((Curves!$B$4:$AO$4)*(COLUMN(Curves!$B$4:$AO$4)-COLUMN(Curves!$B$4)+1&lt;=74-Projects!$C$8+1))),0)</f>
        <v>0</v>
      </c>
      <c r="BY11" s="231">
        <f>IF(AND(Projects!$G$8="Yes",Projects!$F$8="Yes",75&gt;=Projects!$C$8,75&lt;Projects!$C$8+Projects!$D$8),Projects!$B$8*(1-SUMPRODUCT((Curves!$B$4:$AO$4)*(COLUMN(Curves!$B$4:$AO$4)-COLUMN(Curves!$B$4)+1&lt;=75-Projects!$C$8+1))),0)</f>
        <v>0</v>
      </c>
      <c r="BZ11" s="231">
        <f>IF(AND(Projects!$G$8="Yes",Projects!$F$8="Yes",76&gt;=Projects!$C$8,76&lt;Projects!$C$8+Projects!$D$8),Projects!$B$8*(1-SUMPRODUCT((Curves!$B$4:$AO$4)*(COLUMN(Curves!$B$4:$AO$4)-COLUMN(Curves!$B$4)+1&lt;=76-Projects!$C$8+1))),0)</f>
        <v>0</v>
      </c>
      <c r="CA11" s="231">
        <f>IF(AND(Projects!$G$8="Yes",Projects!$F$8="Yes",77&gt;=Projects!$C$8,77&lt;Projects!$C$8+Projects!$D$8),Projects!$B$8*(1-SUMPRODUCT((Curves!$B$4:$AO$4)*(COLUMN(Curves!$B$4:$AO$4)-COLUMN(Curves!$B$4)+1&lt;=77-Projects!$C$8+1))),0)</f>
        <v>0</v>
      </c>
      <c r="CB11" s="231">
        <f>IF(AND(Projects!$G$8="Yes",Projects!$F$8="Yes",78&gt;=Projects!$C$8,78&lt;Projects!$C$8+Projects!$D$8),Projects!$B$8*(1-SUMPRODUCT((Curves!$B$4:$AO$4)*(COLUMN(Curves!$B$4:$AO$4)-COLUMN(Curves!$B$4)+1&lt;=78-Projects!$C$8+1))),0)</f>
        <v>0</v>
      </c>
      <c r="CC11" s="231">
        <f>IF(AND(Projects!$G$8="Yes",Projects!$F$8="Yes",79&gt;=Projects!$C$8,79&lt;Projects!$C$8+Projects!$D$8),Projects!$B$8*(1-SUMPRODUCT((Curves!$B$4:$AO$4)*(COLUMN(Curves!$B$4:$AO$4)-COLUMN(Curves!$B$4)+1&lt;=79-Projects!$C$8+1))),0)</f>
        <v>0</v>
      </c>
      <c r="CD11" s="231">
        <f>IF(AND(Projects!$G$8="Yes",Projects!$F$8="Yes",80&gt;=Projects!$C$8,80&lt;Projects!$C$8+Projects!$D$8),Projects!$B$8*(1-SUMPRODUCT((Curves!$B$4:$AO$4)*(COLUMN(Curves!$B$4:$AO$4)-COLUMN(Curves!$B$4)+1&lt;=80-Projects!$C$8+1))),0)</f>
        <v>0</v>
      </c>
      <c r="CE11" s="231">
        <f>IF(AND(Projects!$G$8="Yes",Projects!$F$8="Yes",81&gt;=Projects!$C$8,81&lt;Projects!$C$8+Projects!$D$8),Projects!$B$8*(1-SUMPRODUCT((Curves!$B$4:$AO$4)*(COLUMN(Curves!$B$4:$AO$4)-COLUMN(Curves!$B$4)+1&lt;=81-Projects!$C$8+1))),0)</f>
        <v>0</v>
      </c>
      <c r="CF11" s="231">
        <f>IF(AND(Projects!$G$8="Yes",Projects!$F$8="Yes",82&gt;=Projects!$C$8,82&lt;Projects!$C$8+Projects!$D$8),Projects!$B$8*(1-SUMPRODUCT((Curves!$B$4:$AO$4)*(COLUMN(Curves!$B$4:$AO$4)-COLUMN(Curves!$B$4)+1&lt;=82-Projects!$C$8+1))),0)</f>
        <v>0</v>
      </c>
      <c r="CG11" s="231">
        <f>IF(AND(Projects!$G$8="Yes",Projects!$F$8="Yes",83&gt;=Projects!$C$8,83&lt;Projects!$C$8+Projects!$D$8),Projects!$B$8*(1-SUMPRODUCT((Curves!$B$4:$AO$4)*(COLUMN(Curves!$B$4:$AO$4)-COLUMN(Curves!$B$4)+1&lt;=83-Projects!$C$8+1))),0)</f>
        <v>0</v>
      </c>
      <c r="CH11" s="231">
        <f>IF(AND(Projects!$G$8="Yes",Projects!$F$8="Yes",84&gt;=Projects!$C$8,84&lt;Projects!$C$8+Projects!$D$8),Projects!$B$8*(1-SUMPRODUCT((Curves!$B$4:$AO$4)*(COLUMN(Curves!$B$4:$AO$4)-COLUMN(Curves!$B$4)+1&lt;=84-Projects!$C$8+1))),0)</f>
        <v>0</v>
      </c>
      <c r="CI11" s="231">
        <f>IF(AND(Projects!$G$8="Yes",Projects!$F$8="Yes",85&gt;=Projects!$C$8,85&lt;Projects!$C$8+Projects!$D$8),Projects!$B$8*(1-SUMPRODUCT((Curves!$B$4:$AO$4)*(COLUMN(Curves!$B$4:$AO$4)-COLUMN(Curves!$B$4)+1&lt;=85-Projects!$C$8+1))),0)</f>
        <v>0</v>
      </c>
      <c r="CJ11" s="231">
        <f>IF(AND(Projects!$G$8="Yes",Projects!$F$8="Yes",86&gt;=Projects!$C$8,86&lt;Projects!$C$8+Projects!$D$8),Projects!$B$8*(1-SUMPRODUCT((Curves!$B$4:$AO$4)*(COLUMN(Curves!$B$4:$AO$4)-COLUMN(Curves!$B$4)+1&lt;=86-Projects!$C$8+1))),0)</f>
        <v>0</v>
      </c>
      <c r="CK11" s="231">
        <f>IF(AND(Projects!$G$8="Yes",Projects!$F$8="Yes",87&gt;=Projects!$C$8,87&lt;Projects!$C$8+Projects!$D$8),Projects!$B$8*(1-SUMPRODUCT((Curves!$B$4:$AO$4)*(COLUMN(Curves!$B$4:$AO$4)-COLUMN(Curves!$B$4)+1&lt;=87-Projects!$C$8+1))),0)</f>
        <v>0</v>
      </c>
      <c r="CL11" s="231">
        <f>IF(AND(Projects!$G$8="Yes",Projects!$F$8="Yes",88&gt;=Projects!$C$8,88&lt;Projects!$C$8+Projects!$D$8),Projects!$B$8*(1-SUMPRODUCT((Curves!$B$4:$AO$4)*(COLUMN(Curves!$B$4:$AO$4)-COLUMN(Curves!$B$4)+1&lt;=88-Projects!$C$8+1))),0)</f>
        <v>0</v>
      </c>
      <c r="CM11" s="231">
        <f>IF(AND(Projects!$G$8="Yes",Projects!$F$8="Yes",89&gt;=Projects!$C$8,89&lt;Projects!$C$8+Projects!$D$8),Projects!$B$8*(1-SUMPRODUCT((Curves!$B$4:$AO$4)*(COLUMN(Curves!$B$4:$AO$4)-COLUMN(Curves!$B$4)+1&lt;=89-Projects!$C$8+1))),0)</f>
        <v>0</v>
      </c>
      <c r="CN11" s="231">
        <f>IF(AND(Projects!$G$8="Yes",Projects!$F$8="Yes",90&gt;=Projects!$C$8,90&lt;Projects!$C$8+Projects!$D$8),Projects!$B$8*(1-SUMPRODUCT((Curves!$B$4:$AO$4)*(COLUMN(Curves!$B$4:$AO$4)-COLUMN(Curves!$B$4)+1&lt;=90-Projects!$C$8+1))),0)</f>
        <v>0</v>
      </c>
      <c r="CO11" s="231">
        <f>IF(AND(Projects!$G$8="Yes",Projects!$F$8="Yes",91&gt;=Projects!$C$8,91&lt;Projects!$C$8+Projects!$D$8),Projects!$B$8*(1-SUMPRODUCT((Curves!$B$4:$AO$4)*(COLUMN(Curves!$B$4:$AO$4)-COLUMN(Curves!$B$4)+1&lt;=91-Projects!$C$8+1))),0)</f>
        <v>0</v>
      </c>
      <c r="CP11" s="231">
        <f>IF(AND(Projects!$G$8="Yes",Projects!$F$8="Yes",92&gt;=Projects!$C$8,92&lt;Projects!$C$8+Projects!$D$8),Projects!$B$8*(1-SUMPRODUCT((Curves!$B$4:$AO$4)*(COLUMN(Curves!$B$4:$AO$4)-COLUMN(Curves!$B$4)+1&lt;=92-Projects!$C$8+1))),0)</f>
        <v>0</v>
      </c>
      <c r="CQ11" s="231">
        <f>IF(AND(Projects!$G$8="Yes",Projects!$F$8="Yes",93&gt;=Projects!$C$8,93&lt;Projects!$C$8+Projects!$D$8),Projects!$B$8*(1-SUMPRODUCT((Curves!$B$4:$AO$4)*(COLUMN(Curves!$B$4:$AO$4)-COLUMN(Curves!$B$4)+1&lt;=93-Projects!$C$8+1))),0)</f>
        <v>0</v>
      </c>
    </row>
    <row r="12" spans="1:95" ht="15" customHeight="1" x14ac:dyDescent="0.25">
      <c r="A12" s="144" t="s">
        <v>170</v>
      </c>
      <c r="C12" s="231">
        <f>IF(AND(Projects!$G$9="Yes",Projects!$F$9="Yes",1&gt;=Projects!$C$9,1&lt;Projects!$C$9+Projects!$D$9),Projects!$B$9*(1-SUMPRODUCT((Curves!$B$2:$AO$2)*(COLUMN(Curves!$B$2:$AO$2)-COLUMN(Curves!$B$2)+1&lt;=1-Projects!$C$9+1))),0)</f>
        <v>0</v>
      </c>
      <c r="D12" s="231">
        <f>IF(AND(Projects!$G$9="Yes",Projects!$F$9="Yes",2&gt;=Projects!$C$9,2&lt;Projects!$C$9+Projects!$D$9),Projects!$B$9*(1-SUMPRODUCT((Curves!$B$2:$AO$2)*(COLUMN(Curves!$B$2:$AO$2)-COLUMN(Curves!$B$2)+1&lt;=2-Projects!$C$9+1))),0)</f>
        <v>0</v>
      </c>
      <c r="E12" s="231">
        <f>IF(AND(Projects!$G$9="Yes",Projects!$F$9="Yes",3&gt;=Projects!$C$9,3&lt;Projects!$C$9+Projects!$D$9),Projects!$B$9*(1-SUMPRODUCT((Curves!$B$2:$AO$2)*(COLUMN(Curves!$B$2:$AO$2)-COLUMN(Curves!$B$2)+1&lt;=3-Projects!$C$9+1))),0)</f>
        <v>0</v>
      </c>
      <c r="F12" s="231">
        <f>IF(AND(Projects!$G$9="Yes",Projects!$F$9="Yes",4&gt;=Projects!$C$9,4&lt;Projects!$C$9+Projects!$D$9),Projects!$B$9*(1-SUMPRODUCT((Curves!$B$2:$AO$2)*(COLUMN(Curves!$B$2:$AO$2)-COLUMN(Curves!$B$2)+1&lt;=4-Projects!$C$9+1))),0)</f>
        <v>0</v>
      </c>
      <c r="G12" s="231">
        <f>IF(AND(Projects!$G$9="Yes",Projects!$F$9="Yes",5&gt;=Projects!$C$9,5&lt;Projects!$C$9+Projects!$D$9),Projects!$B$9*(1-SUMPRODUCT((Curves!$B$2:$AO$2)*(COLUMN(Curves!$B$2:$AO$2)-COLUMN(Curves!$B$2)+1&lt;=5-Projects!$C$9+1))),0)</f>
        <v>0</v>
      </c>
      <c r="H12" s="231">
        <f>IF(AND(Projects!$G$9="Yes",Projects!$F$9="Yes",6&gt;=Projects!$C$9,6&lt;Projects!$C$9+Projects!$D$9),Projects!$B$9*(1-SUMPRODUCT((Curves!$B$2:$AO$2)*(COLUMN(Curves!$B$2:$AO$2)-COLUMN(Curves!$B$2)+1&lt;=6-Projects!$C$9+1))),0)</f>
        <v>0</v>
      </c>
      <c r="I12" s="231">
        <f>IF(AND(Projects!$G$9="Yes",Projects!$F$9="Yes",7&gt;=Projects!$C$9,7&lt;Projects!$C$9+Projects!$D$9),Projects!$B$9*(1-SUMPRODUCT((Curves!$B$2:$AO$2)*(COLUMN(Curves!$B$2:$AO$2)-COLUMN(Curves!$B$2)+1&lt;=7-Projects!$C$9+1))),0)</f>
        <v>15589764.538817</v>
      </c>
      <c r="J12" s="231">
        <f>IF(AND(Projects!$G$9="Yes",Projects!$F$9="Yes",8&gt;=Projects!$C$9,8&lt;Projects!$C$9+Projects!$D$9),Projects!$B$9*(1-SUMPRODUCT((Curves!$B$2:$AO$2)*(COLUMN(Curves!$B$2:$AO$2)-COLUMN(Curves!$B$2)+1&lt;=8-Projects!$C$9+1))),0)</f>
        <v>15296348.995423</v>
      </c>
      <c r="K12" s="231">
        <f>IF(AND(Projects!$G$9="Yes",Projects!$F$9="Yes",9&gt;=Projects!$C$9,9&lt;Projects!$C$9+Projects!$D$9),Projects!$B$9*(1-SUMPRODUCT((Curves!$B$2:$AO$2)*(COLUMN(Curves!$B$2:$AO$2)-COLUMN(Curves!$B$2)+1&lt;=9-Projects!$C$9+1))),0)</f>
        <v>14962227.947602</v>
      </c>
      <c r="L12" s="231">
        <f>IF(AND(Projects!$G$9="Yes",Projects!$F$9="Yes",10&gt;=Projects!$C$9,10&lt;Projects!$C$9+Projects!$D$9),Projects!$B$9*(1-SUMPRODUCT((Curves!$B$2:$AO$2)*(COLUMN(Curves!$B$2:$AO$2)-COLUMN(Curves!$B$2)+1&lt;=10-Projects!$C$9+1))),0)</f>
        <v>14585547.544043001</v>
      </c>
      <c r="M12" s="231">
        <f>IF(AND(Projects!$G$9="Yes",Projects!$F$9="Yes",11&gt;=Projects!$C$9,11&lt;Projects!$C$9+Projects!$D$9),Projects!$B$9*(1-SUMPRODUCT((Curves!$B$2:$AO$2)*(COLUMN(Curves!$B$2:$AO$2)-COLUMN(Curves!$B$2)+1&lt;=11-Projects!$C$9+1))),0)</f>
        <v>14165103.573638</v>
      </c>
      <c r="N12" s="231">
        <f>IF(AND(Projects!$G$9="Yes",Projects!$F$9="Yes",12&gt;=Projects!$C$9,12&lt;Projects!$C$9+Projects!$D$9),Projects!$B$9*(1-SUMPRODUCT((Curves!$B$2:$AO$2)*(COLUMN(Curves!$B$2:$AO$2)-COLUMN(Curves!$B$2)+1&lt;=12-Projects!$C$9+1))),0)</f>
        <v>13700484.069428999</v>
      </c>
      <c r="O12" s="231">
        <f>IF(AND(Projects!$G$9="Yes",Projects!$F$9="Yes",13&gt;=Projects!$C$9,13&lt;Projects!$C$9+Projects!$D$9),Projects!$B$9*(1-SUMPRODUCT((Curves!$B$2:$AO$2)*(COLUMN(Curves!$B$2:$AO$2)-COLUMN(Curves!$B$2)+1&lt;=13-Projects!$C$9+1))),0)</f>
        <v>13192148.533023</v>
      </c>
      <c r="P12" s="231">
        <f>IF(AND(Projects!$G$9="Yes",Projects!$F$9="Yes",14&gt;=Projects!$C$9,14&lt;Projects!$C$9+Projects!$D$9),Projects!$B$9*(1-SUMPRODUCT((Curves!$B$2:$AO$2)*(COLUMN(Curves!$B$2:$AO$2)-COLUMN(Curves!$B$2)+1&lt;=14-Projects!$C$9+1))),0)</f>
        <v>12641507.159007</v>
      </c>
      <c r="Q12" s="231">
        <f>IF(AND(Projects!$G$9="Yes",Projects!$F$9="Yes",15&gt;=Projects!$C$9,15&lt;Projects!$C$9+Projects!$D$9),Projects!$B$9*(1-SUMPRODUCT((Curves!$B$2:$AO$2)*(COLUMN(Curves!$B$2:$AO$2)-COLUMN(Curves!$B$2)+1&lt;=15-Projects!$C$9+1))),0)</f>
        <v>12050984.21448</v>
      </c>
      <c r="R12" s="231">
        <f>IF(AND(Projects!$G$9="Yes",Projects!$F$9="Yes",16&gt;=Projects!$C$9,16&lt;Projects!$C$9+Projects!$D$9),Projects!$B$9*(1-SUMPRODUCT((Curves!$B$2:$AO$2)*(COLUMN(Curves!$B$2:$AO$2)-COLUMN(Curves!$B$2)+1&lt;=16-Projects!$C$9+1))),0)</f>
        <v>11423970.504403999</v>
      </c>
      <c r="S12" s="231">
        <f>IF(AND(Projects!$G$9="Yes",Projects!$F$9="Yes",17&gt;=Projects!$C$9,17&lt;Projects!$C$9+Projects!$D$9),Projects!$B$9*(1-SUMPRODUCT((Curves!$B$2:$AO$2)*(COLUMN(Curves!$B$2:$AO$2)-COLUMN(Curves!$B$2)+1&lt;=17-Projects!$C$9+1))),0)</f>
        <v>10764839.216487</v>
      </c>
      <c r="T12" s="231">
        <f>IF(AND(Projects!$G$9="Yes",Projects!$F$9="Yes",18&gt;=Projects!$C$9,18&lt;Projects!$C$9+Projects!$D$9),Projects!$B$9*(1-SUMPRODUCT((Curves!$B$2:$AO$2)*(COLUMN(Curves!$B$2:$AO$2)-COLUMN(Curves!$B$2)+1&lt;=18-Projects!$C$9+1))),0)</f>
        <v>10078835.007002002</v>
      </c>
      <c r="U12" s="231">
        <f>IF(AND(Projects!$G$9="Yes",Projects!$F$9="Yes",19&gt;=Projects!$C$9,19&lt;Projects!$C$9+Projects!$D$9),Projects!$B$9*(1-SUMPRODUCT((Curves!$B$2:$AO$2)*(COLUMN(Curves!$B$2:$AO$2)-COLUMN(Curves!$B$2)+1&lt;=19-Projects!$C$9+1))),0)</f>
        <v>9371947.241723001</v>
      </c>
      <c r="V12" s="231">
        <f>IF(AND(Projects!$G$9="Yes",Projects!$F$9="Yes",20&gt;=Projects!$C$9,20&lt;Projects!$C$9+Projects!$D$9),Projects!$B$9*(1-SUMPRODUCT((Curves!$B$2:$AO$2)*(COLUMN(Curves!$B$2:$AO$2)-COLUMN(Curves!$B$2)+1&lt;=20-Projects!$C$9+1))),0)</f>
        <v>8650799.0817440003</v>
      </c>
      <c r="W12" s="231">
        <f>IF(AND(Projects!$G$9="Yes",Projects!$F$9="Yes",21&gt;=Projects!$C$9,21&lt;Projects!$C$9+Projects!$D$9),Projects!$B$9*(1-SUMPRODUCT((Curves!$B$2:$AO$2)*(COLUMN(Curves!$B$2:$AO$2)-COLUMN(Curves!$B$2)+1&lt;=21-Projects!$C$9+1))),0)</f>
        <v>7922409.8102340009</v>
      </c>
      <c r="X12" s="231">
        <f>IF(AND(Projects!$G$9="Yes",Projects!$F$9="Yes",22&gt;=Projects!$C$9,22&lt;Projects!$C$9+Projects!$D$9),Projects!$B$9*(1-SUMPRODUCT((Curves!$B$2:$AO$2)*(COLUMN(Curves!$B$2:$AO$2)-COLUMN(Curves!$B$2)+1&lt;=22-Projects!$C$9+1))),0)</f>
        <v>7194020.5387240015</v>
      </c>
      <c r="Y12" s="231">
        <f>IF(AND(Projects!$G$9="Yes",Projects!$F$9="Yes",23&gt;=Projects!$C$9,23&lt;Projects!$C$9+Projects!$D$9),Projects!$B$9*(1-SUMPRODUCT((Curves!$B$2:$AO$2)*(COLUMN(Curves!$B$2:$AO$2)-COLUMN(Curves!$B$2)+1&lt;=23-Projects!$C$9+1))),0)</f>
        <v>6472872.3787450008</v>
      </c>
      <c r="Z12" s="231">
        <f>IF(AND(Projects!$G$9="Yes",Projects!$F$9="Yes",24&gt;=Projects!$C$9,24&lt;Projects!$C$9+Projects!$D$9),Projects!$B$9*(1-SUMPRODUCT((Curves!$B$2:$AO$2)*(COLUMN(Curves!$B$2:$AO$2)-COLUMN(Curves!$B$2)+1&lt;=24-Projects!$C$9+1))),0)</f>
        <v>5765984.6134660011</v>
      </c>
      <c r="AA12" s="231">
        <f>IF(AND(Projects!$G$9="Yes",Projects!$F$9="Yes",25&gt;=Projects!$C$9,25&lt;Projects!$C$9+Projects!$D$9),Projects!$B$9*(1-SUMPRODUCT((Curves!$B$2:$AO$2)*(COLUMN(Curves!$B$2:$AO$2)-COLUMN(Curves!$B$2)+1&lt;=25-Projects!$C$9+1))),0)</f>
        <v>5079980.4039810011</v>
      </c>
      <c r="AB12" s="231">
        <f>IF(AND(Projects!$G$9="Yes",Projects!$F$9="Yes",26&gt;=Projects!$C$9,26&lt;Projects!$C$9+Projects!$D$9),Projects!$B$9*(1-SUMPRODUCT((Curves!$B$2:$AO$2)*(COLUMN(Curves!$B$2:$AO$2)-COLUMN(Curves!$B$2)+1&lt;=26-Projects!$C$9+1))),0)</f>
        <v>4420849.1160640027</v>
      </c>
      <c r="AC12" s="231">
        <f>IF(AND(Projects!$G$9="Yes",Projects!$F$9="Yes",27&gt;=Projects!$C$9,27&lt;Projects!$C$9+Projects!$D$9),Projects!$B$9*(1-SUMPRODUCT((Curves!$B$2:$AO$2)*(COLUMN(Curves!$B$2:$AO$2)-COLUMN(Curves!$B$2)+1&lt;=27-Projects!$C$9+1))),0)</f>
        <v>3793835.4059880013</v>
      </c>
      <c r="AD12" s="231">
        <f>IF(AND(Projects!$G$9="Yes",Projects!$F$9="Yes",28&gt;=Projects!$C$9,28&lt;Projects!$C$9+Projects!$D$9),Projects!$B$9*(1-SUMPRODUCT((Curves!$B$2:$AO$2)*(COLUMN(Curves!$B$2:$AO$2)-COLUMN(Curves!$B$2)+1&lt;=28-Projects!$C$9+1))),0)</f>
        <v>3203312.4614610015</v>
      </c>
      <c r="AE12" s="231">
        <f>IF(AND(Projects!$G$9="Yes",Projects!$F$9="Yes",29&gt;=Projects!$C$9,29&lt;Projects!$C$9+Projects!$D$9),Projects!$B$9*(1-SUMPRODUCT((Curves!$B$2:$AO$2)*(COLUMN(Curves!$B$2:$AO$2)-COLUMN(Curves!$B$2)+1&lt;=29-Projects!$C$9+1))),0)</f>
        <v>2652671.0874450016</v>
      </c>
      <c r="AF12" s="231">
        <f>IF(AND(Projects!$G$9="Yes",Projects!$F$9="Yes",30&gt;=Projects!$C$9,30&lt;Projects!$C$9+Projects!$D$9),Projects!$B$9*(1-SUMPRODUCT((Curves!$B$2:$AO$2)*(COLUMN(Curves!$B$2:$AO$2)-COLUMN(Curves!$B$2)+1&lt;=30-Projects!$C$9+1))),0)</f>
        <v>2144335.5510390024</v>
      </c>
      <c r="AG12" s="231">
        <f>IF(AND(Projects!$G$9="Yes",Projects!$F$9="Yes",31&gt;=Projects!$C$9,31&lt;Projects!$C$9+Projects!$D$9),Projects!$B$9*(1-SUMPRODUCT((Curves!$B$2:$AO$2)*(COLUMN(Curves!$B$2:$AO$2)-COLUMN(Curves!$B$2)+1&lt;=31-Projects!$C$9+1))),0)</f>
        <v>1679716.0468300025</v>
      </c>
      <c r="AH12" s="231">
        <f>IF(AND(Projects!$G$9="Yes",Projects!$F$9="Yes",32&gt;=Projects!$C$9,32&lt;Projects!$C$9+Projects!$D$9),Projects!$B$9*(1-SUMPRODUCT((Curves!$B$2:$AO$2)*(COLUMN(Curves!$B$2:$AO$2)-COLUMN(Curves!$B$2)+1&lt;=32-Projects!$C$9+1))),0)</f>
        <v>1259272.0764250029</v>
      </c>
      <c r="AI12" s="231">
        <f>IF(AND(Projects!$G$9="Yes",Projects!$F$9="Yes",33&gt;=Projects!$C$9,33&lt;Projects!$C$9+Projects!$D$9),Projects!$B$9*(1-SUMPRODUCT((Curves!$B$2:$AO$2)*(COLUMN(Curves!$B$2:$AO$2)-COLUMN(Curves!$B$2)+1&lt;=33-Projects!$C$9+1))),0)</f>
        <v>882591.67286600219</v>
      </c>
      <c r="AJ12" s="231">
        <f>IF(AND(Projects!$G$9="Yes",Projects!$F$9="Yes",34&gt;=Projects!$C$9,34&lt;Projects!$C$9+Projects!$D$9),Projects!$B$9*(1-SUMPRODUCT((Curves!$B$2:$AO$2)*(COLUMN(Curves!$B$2:$AO$2)-COLUMN(Curves!$B$2)+1&lt;=34-Projects!$C$9+1))),0)</f>
        <v>548470.62504500279</v>
      </c>
      <c r="AK12" s="231">
        <f>IF(AND(Projects!$G$9="Yes",Projects!$F$9="Yes",35&gt;=Projects!$C$9,35&lt;Projects!$C$9+Projects!$D$9),Projects!$B$9*(1-SUMPRODUCT((Curves!$B$2:$AO$2)*(COLUMN(Curves!$B$2:$AO$2)-COLUMN(Curves!$B$2)+1&lt;=35-Projects!$C$9+1))),0)</f>
        <v>255055.0816510022</v>
      </c>
      <c r="AL12" s="231">
        <f>IF(AND(Projects!$G$9="Yes",Projects!$F$9="Yes",36&gt;=Projects!$C$9,36&lt;Projects!$C$9+Projects!$D$9),Projects!$B$9*(1-SUMPRODUCT((Curves!$B$2:$AO$2)*(COLUMN(Curves!$B$2:$AO$2)-COLUMN(Curves!$B$2)+1&lt;=36-Projects!$C$9+1))),0)</f>
        <v>-63.379531998304252</v>
      </c>
      <c r="AM12" s="231">
        <f>IF(AND(Projects!$G$9="Yes",Projects!$F$9="Yes",37&gt;=Projects!$C$9,37&lt;Projects!$C$9+Projects!$D$9),Projects!$B$9*(1-SUMPRODUCT((Curves!$B$2:$AO$2)*(COLUMN(Curves!$B$2:$AO$2)-COLUMN(Curves!$B$2)+1&lt;=37-Projects!$C$9+1))),0)</f>
        <v>0</v>
      </c>
      <c r="AN12" s="231">
        <f>IF(AND(Projects!$G$9="Yes",Projects!$F$9="Yes",38&gt;=Projects!$C$9,38&lt;Projects!$C$9+Projects!$D$9),Projects!$B$9*(1-SUMPRODUCT((Curves!$B$2:$AO$2)*(COLUMN(Curves!$B$2:$AO$2)-COLUMN(Curves!$B$2)+1&lt;=38-Projects!$C$9+1))),0)</f>
        <v>0</v>
      </c>
      <c r="AO12" s="231">
        <f>IF(AND(Projects!$G$9="Yes",Projects!$F$9="Yes",39&gt;=Projects!$C$9,39&lt;Projects!$C$9+Projects!$D$9),Projects!$B$9*(1-SUMPRODUCT((Curves!$B$2:$AO$2)*(COLUMN(Curves!$B$2:$AO$2)-COLUMN(Curves!$B$2)+1&lt;=39-Projects!$C$9+1))),0)</f>
        <v>0</v>
      </c>
      <c r="AP12" s="231">
        <f>IF(AND(Projects!$G$9="Yes",Projects!$F$9="Yes",40&gt;=Projects!$C$9,40&lt;Projects!$C$9+Projects!$D$9),Projects!$B$9*(1-SUMPRODUCT((Curves!$B$2:$AO$2)*(COLUMN(Curves!$B$2:$AO$2)-COLUMN(Curves!$B$2)+1&lt;=40-Projects!$C$9+1))),0)</f>
        <v>0</v>
      </c>
      <c r="AQ12" s="231">
        <f>IF(AND(Projects!$G$9="Yes",Projects!$F$9="Yes",41&gt;=Projects!$C$9,41&lt;Projects!$C$9+Projects!$D$9),Projects!$B$9*(1-SUMPRODUCT((Curves!$B$2:$AO$2)*(COLUMN(Curves!$B$2:$AO$2)-COLUMN(Curves!$B$2)+1&lt;=41-Projects!$C$9+1))),0)</f>
        <v>0</v>
      </c>
      <c r="AR12" s="231">
        <f>IF(AND(Projects!$G$9="Yes",Projects!$F$9="Yes",42&gt;=Projects!$C$9,42&lt;Projects!$C$9+Projects!$D$9),Projects!$B$9*(1-SUMPRODUCT((Curves!$B$2:$AO$2)*(COLUMN(Curves!$B$2:$AO$2)-COLUMN(Curves!$B$2)+1&lt;=42-Projects!$C$9+1))),0)</f>
        <v>0</v>
      </c>
      <c r="AS12" s="231">
        <f>IF(AND(Projects!$G$9="Yes",Projects!$F$9="Yes",43&gt;=Projects!$C$9,43&lt;Projects!$C$9+Projects!$D$9),Projects!$B$9*(1-SUMPRODUCT((Curves!$B$2:$AO$2)*(COLUMN(Curves!$B$2:$AO$2)-COLUMN(Curves!$B$2)+1&lt;=43-Projects!$C$9+1))),0)</f>
        <v>0</v>
      </c>
      <c r="AT12" s="231">
        <f>IF(AND(Projects!$G$9="Yes",Projects!$F$9="Yes",44&gt;=Projects!$C$9,44&lt;Projects!$C$9+Projects!$D$9),Projects!$B$9*(1-SUMPRODUCT((Curves!$B$2:$AO$2)*(COLUMN(Curves!$B$2:$AO$2)-COLUMN(Curves!$B$2)+1&lt;=44-Projects!$C$9+1))),0)</f>
        <v>0</v>
      </c>
      <c r="AU12" s="231">
        <f>IF(AND(Projects!$G$9="Yes",Projects!$F$9="Yes",45&gt;=Projects!$C$9,45&lt;Projects!$C$9+Projects!$D$9),Projects!$B$9*(1-SUMPRODUCT((Curves!$B$2:$AO$2)*(COLUMN(Curves!$B$2:$AO$2)-COLUMN(Curves!$B$2)+1&lt;=45-Projects!$C$9+1))),0)</f>
        <v>0</v>
      </c>
      <c r="AV12" s="231">
        <f>IF(AND(Projects!$G$9="Yes",Projects!$F$9="Yes",46&gt;=Projects!$C$9,46&lt;Projects!$C$9+Projects!$D$9),Projects!$B$9*(1-SUMPRODUCT((Curves!$B$2:$AO$2)*(COLUMN(Curves!$B$2:$AO$2)-COLUMN(Curves!$B$2)+1&lt;=46-Projects!$C$9+1))),0)</f>
        <v>0</v>
      </c>
      <c r="AW12" s="231">
        <f>IF(AND(Projects!$G$9="Yes",Projects!$F$9="Yes",47&gt;=Projects!$C$9,47&lt;Projects!$C$9+Projects!$D$9),Projects!$B$9*(1-SUMPRODUCT((Curves!$B$2:$AO$2)*(COLUMN(Curves!$B$2:$AO$2)-COLUMN(Curves!$B$2)+1&lt;=47-Projects!$C$9+1))),0)</f>
        <v>0</v>
      </c>
      <c r="AX12" s="231">
        <f>IF(AND(Projects!$G$9="Yes",Projects!$F$9="Yes",48&gt;=Projects!$C$9,48&lt;Projects!$C$9+Projects!$D$9),Projects!$B$9*(1-SUMPRODUCT((Curves!$B$2:$AO$2)*(COLUMN(Curves!$B$2:$AO$2)-COLUMN(Curves!$B$2)+1&lt;=48-Projects!$C$9+1))),0)</f>
        <v>0</v>
      </c>
      <c r="AY12" s="231">
        <f>IF(AND(Projects!$G$9="Yes",Projects!$F$9="Yes",49&gt;=Projects!$C$9,49&lt;Projects!$C$9+Projects!$D$9),Projects!$B$9*(1-SUMPRODUCT((Curves!$B$2:$AO$2)*(COLUMN(Curves!$B$2:$AO$2)-COLUMN(Curves!$B$2)+1&lt;=49-Projects!$C$9+1))),0)</f>
        <v>0</v>
      </c>
      <c r="AZ12" s="231">
        <f>IF(AND(Projects!$G$9="Yes",Projects!$F$9="Yes",50&gt;=Projects!$C$9,50&lt;Projects!$C$9+Projects!$D$9),Projects!$B$9*(1-SUMPRODUCT((Curves!$B$2:$AO$2)*(COLUMN(Curves!$B$2:$AO$2)-COLUMN(Curves!$B$2)+1&lt;=50-Projects!$C$9+1))),0)</f>
        <v>0</v>
      </c>
      <c r="BA12" s="231">
        <f>IF(AND(Projects!$G$9="Yes",Projects!$F$9="Yes",51&gt;=Projects!$C$9,51&lt;Projects!$C$9+Projects!$D$9),Projects!$B$9*(1-SUMPRODUCT((Curves!$B$2:$AO$2)*(COLUMN(Curves!$B$2:$AO$2)-COLUMN(Curves!$B$2)+1&lt;=51-Projects!$C$9+1))),0)</f>
        <v>0</v>
      </c>
      <c r="BB12" s="231">
        <f>IF(AND(Projects!$G$9="Yes",Projects!$F$9="Yes",52&gt;=Projects!$C$9,52&lt;Projects!$C$9+Projects!$D$9),Projects!$B$9*(1-SUMPRODUCT((Curves!$B$2:$AO$2)*(COLUMN(Curves!$B$2:$AO$2)-COLUMN(Curves!$B$2)+1&lt;=52-Projects!$C$9+1))),0)</f>
        <v>0</v>
      </c>
      <c r="BC12" s="231">
        <f>IF(AND(Projects!$G$9="Yes",Projects!$F$9="Yes",53&gt;=Projects!$C$9,53&lt;Projects!$C$9+Projects!$D$9),Projects!$B$9*(1-SUMPRODUCT((Curves!$B$2:$AO$2)*(COLUMN(Curves!$B$2:$AO$2)-COLUMN(Curves!$B$2)+1&lt;=53-Projects!$C$9+1))),0)</f>
        <v>0</v>
      </c>
      <c r="BD12" s="231">
        <f>IF(AND(Projects!$G$9="Yes",Projects!$F$9="Yes",54&gt;=Projects!$C$9,54&lt;Projects!$C$9+Projects!$D$9),Projects!$B$9*(1-SUMPRODUCT((Curves!$B$2:$AO$2)*(COLUMN(Curves!$B$2:$AO$2)-COLUMN(Curves!$B$2)+1&lt;=54-Projects!$C$9+1))),0)</f>
        <v>0</v>
      </c>
      <c r="BE12" s="231">
        <f>IF(AND(Projects!$G$9="Yes",Projects!$F$9="Yes",55&gt;=Projects!$C$9,55&lt;Projects!$C$9+Projects!$D$9),Projects!$B$9*(1-SUMPRODUCT((Curves!$B$2:$AO$2)*(COLUMN(Curves!$B$2:$AO$2)-COLUMN(Curves!$B$2)+1&lt;=55-Projects!$C$9+1))),0)</f>
        <v>0</v>
      </c>
      <c r="BF12" s="231">
        <f>IF(AND(Projects!$G$9="Yes",Projects!$F$9="Yes",56&gt;=Projects!$C$9,56&lt;Projects!$C$9+Projects!$D$9),Projects!$B$9*(1-SUMPRODUCT((Curves!$B$2:$AO$2)*(COLUMN(Curves!$B$2:$AO$2)-COLUMN(Curves!$B$2)+1&lt;=56-Projects!$C$9+1))),0)</f>
        <v>0</v>
      </c>
      <c r="BG12" s="231">
        <f>IF(AND(Projects!$G$9="Yes",Projects!$F$9="Yes",57&gt;=Projects!$C$9,57&lt;Projects!$C$9+Projects!$D$9),Projects!$B$9*(1-SUMPRODUCT((Curves!$B$2:$AO$2)*(COLUMN(Curves!$B$2:$AO$2)-COLUMN(Curves!$B$2)+1&lt;=57-Projects!$C$9+1))),0)</f>
        <v>0</v>
      </c>
      <c r="BH12" s="231">
        <f>IF(AND(Projects!$G$9="Yes",Projects!$F$9="Yes",58&gt;=Projects!$C$9,58&lt;Projects!$C$9+Projects!$D$9),Projects!$B$9*(1-SUMPRODUCT((Curves!$B$2:$AO$2)*(COLUMN(Curves!$B$2:$AO$2)-COLUMN(Curves!$B$2)+1&lt;=58-Projects!$C$9+1))),0)</f>
        <v>0</v>
      </c>
      <c r="BI12" s="231">
        <f>IF(AND(Projects!$G$9="Yes",Projects!$F$9="Yes",59&gt;=Projects!$C$9,59&lt;Projects!$C$9+Projects!$D$9),Projects!$B$9*(1-SUMPRODUCT((Curves!$B$2:$AO$2)*(COLUMN(Curves!$B$2:$AO$2)-COLUMN(Curves!$B$2)+1&lt;=59-Projects!$C$9+1))),0)</f>
        <v>0</v>
      </c>
      <c r="BJ12" s="231">
        <f>IF(AND(Projects!$G$9="Yes",Projects!$F$9="Yes",60&gt;=Projects!$C$9,60&lt;Projects!$C$9+Projects!$D$9),Projects!$B$9*(1-SUMPRODUCT((Curves!$B$2:$AO$2)*(COLUMN(Curves!$B$2:$AO$2)-COLUMN(Curves!$B$2)+1&lt;=60-Projects!$C$9+1))),0)</f>
        <v>0</v>
      </c>
      <c r="BK12" s="231">
        <f>IF(AND(Projects!$G$9="Yes",Projects!$F$9="Yes",61&gt;=Projects!$C$9,61&lt;Projects!$C$9+Projects!$D$9),Projects!$B$9*(1-SUMPRODUCT((Curves!$B$2:$AO$2)*(COLUMN(Curves!$B$2:$AO$2)-COLUMN(Curves!$B$2)+1&lt;=61-Projects!$C$9+1))),0)</f>
        <v>0</v>
      </c>
      <c r="BL12" s="231">
        <f>IF(AND(Projects!$G$9="Yes",Projects!$F$9="Yes",62&gt;=Projects!$C$9,62&lt;Projects!$C$9+Projects!$D$9),Projects!$B$9*(1-SUMPRODUCT((Curves!$B$2:$AO$2)*(COLUMN(Curves!$B$2:$AO$2)-COLUMN(Curves!$B$2)+1&lt;=62-Projects!$C$9+1))),0)</f>
        <v>0</v>
      </c>
      <c r="BM12" s="231">
        <f>IF(AND(Projects!$G$9="Yes",Projects!$F$9="Yes",63&gt;=Projects!$C$9,63&lt;Projects!$C$9+Projects!$D$9),Projects!$B$9*(1-SUMPRODUCT((Curves!$B$2:$AO$2)*(COLUMN(Curves!$B$2:$AO$2)-COLUMN(Curves!$B$2)+1&lt;=63-Projects!$C$9+1))),0)</f>
        <v>0</v>
      </c>
      <c r="BN12" s="231">
        <f>IF(AND(Projects!$G$9="Yes",Projects!$F$9="Yes",64&gt;=Projects!$C$9,64&lt;Projects!$C$9+Projects!$D$9),Projects!$B$9*(1-SUMPRODUCT((Curves!$B$2:$AO$2)*(COLUMN(Curves!$B$2:$AO$2)-COLUMN(Curves!$B$2)+1&lt;=64-Projects!$C$9+1))),0)</f>
        <v>0</v>
      </c>
      <c r="BO12" s="231">
        <f>IF(AND(Projects!$G$9="Yes",Projects!$F$9="Yes",65&gt;=Projects!$C$9,65&lt;Projects!$C$9+Projects!$D$9),Projects!$B$9*(1-SUMPRODUCT((Curves!$B$2:$AO$2)*(COLUMN(Curves!$B$2:$AO$2)-COLUMN(Curves!$B$2)+1&lt;=65-Projects!$C$9+1))),0)</f>
        <v>0</v>
      </c>
      <c r="BP12" s="231">
        <f>IF(AND(Projects!$G$9="Yes",Projects!$F$9="Yes",66&gt;=Projects!$C$9,66&lt;Projects!$C$9+Projects!$D$9),Projects!$B$9*(1-SUMPRODUCT((Curves!$B$2:$AO$2)*(COLUMN(Curves!$B$2:$AO$2)-COLUMN(Curves!$B$2)+1&lt;=66-Projects!$C$9+1))),0)</f>
        <v>0</v>
      </c>
      <c r="BQ12" s="231">
        <f>IF(AND(Projects!$G$9="Yes",Projects!$F$9="Yes",67&gt;=Projects!$C$9,67&lt;Projects!$C$9+Projects!$D$9),Projects!$B$9*(1-SUMPRODUCT((Curves!$B$2:$AO$2)*(COLUMN(Curves!$B$2:$AO$2)-COLUMN(Curves!$B$2)+1&lt;=67-Projects!$C$9+1))),0)</f>
        <v>0</v>
      </c>
      <c r="BR12" s="231">
        <f>IF(AND(Projects!$G$9="Yes",Projects!$F$9="Yes",68&gt;=Projects!$C$9,68&lt;Projects!$C$9+Projects!$D$9),Projects!$B$9*(1-SUMPRODUCT((Curves!$B$2:$AO$2)*(COLUMN(Curves!$B$2:$AO$2)-COLUMN(Curves!$B$2)+1&lt;=68-Projects!$C$9+1))),0)</f>
        <v>0</v>
      </c>
      <c r="BS12" s="231">
        <f>IF(AND(Projects!$G$9="Yes",Projects!$F$9="Yes",69&gt;=Projects!$C$9,69&lt;Projects!$C$9+Projects!$D$9),Projects!$B$9*(1-SUMPRODUCT((Curves!$B$2:$AO$2)*(COLUMN(Curves!$B$2:$AO$2)-COLUMN(Curves!$B$2)+1&lt;=69-Projects!$C$9+1))),0)</f>
        <v>0</v>
      </c>
      <c r="BT12" s="231">
        <f>IF(AND(Projects!$G$9="Yes",Projects!$F$9="Yes",70&gt;=Projects!$C$9,70&lt;Projects!$C$9+Projects!$D$9),Projects!$B$9*(1-SUMPRODUCT((Curves!$B$2:$AO$2)*(COLUMN(Curves!$B$2:$AO$2)-COLUMN(Curves!$B$2)+1&lt;=70-Projects!$C$9+1))),0)</f>
        <v>0</v>
      </c>
      <c r="BU12" s="231">
        <f>IF(AND(Projects!$G$9="Yes",Projects!$F$9="Yes",71&gt;=Projects!$C$9,71&lt;Projects!$C$9+Projects!$D$9),Projects!$B$9*(1-SUMPRODUCT((Curves!$B$2:$AO$2)*(COLUMN(Curves!$B$2:$AO$2)-COLUMN(Curves!$B$2)+1&lt;=71-Projects!$C$9+1))),0)</f>
        <v>0</v>
      </c>
      <c r="BV12" s="231">
        <f>IF(AND(Projects!$G$9="Yes",Projects!$F$9="Yes",72&gt;=Projects!$C$9,72&lt;Projects!$C$9+Projects!$D$9),Projects!$B$9*(1-SUMPRODUCT((Curves!$B$2:$AO$2)*(COLUMN(Curves!$B$2:$AO$2)-COLUMN(Curves!$B$2)+1&lt;=72-Projects!$C$9+1))),0)</f>
        <v>0</v>
      </c>
      <c r="BW12" s="231">
        <f>IF(AND(Projects!$G$9="Yes",Projects!$F$9="Yes",73&gt;=Projects!$C$9,73&lt;Projects!$C$9+Projects!$D$9),Projects!$B$9*(1-SUMPRODUCT((Curves!$B$2:$AO$2)*(COLUMN(Curves!$B$2:$AO$2)-COLUMN(Curves!$B$2)+1&lt;=73-Projects!$C$9+1))),0)</f>
        <v>0</v>
      </c>
      <c r="BX12" s="231">
        <f>IF(AND(Projects!$G$9="Yes",Projects!$F$9="Yes",74&gt;=Projects!$C$9,74&lt;Projects!$C$9+Projects!$D$9),Projects!$B$9*(1-SUMPRODUCT((Curves!$B$2:$AO$2)*(COLUMN(Curves!$B$2:$AO$2)-COLUMN(Curves!$B$2)+1&lt;=74-Projects!$C$9+1))),0)</f>
        <v>0</v>
      </c>
      <c r="BY12" s="231">
        <f>IF(AND(Projects!$G$9="Yes",Projects!$F$9="Yes",75&gt;=Projects!$C$9,75&lt;Projects!$C$9+Projects!$D$9),Projects!$B$9*(1-SUMPRODUCT((Curves!$B$2:$AO$2)*(COLUMN(Curves!$B$2:$AO$2)-COLUMN(Curves!$B$2)+1&lt;=75-Projects!$C$9+1))),0)</f>
        <v>0</v>
      </c>
      <c r="BZ12" s="231">
        <f>IF(AND(Projects!$G$9="Yes",Projects!$F$9="Yes",76&gt;=Projects!$C$9,76&lt;Projects!$C$9+Projects!$D$9),Projects!$B$9*(1-SUMPRODUCT((Curves!$B$2:$AO$2)*(COLUMN(Curves!$B$2:$AO$2)-COLUMN(Curves!$B$2)+1&lt;=76-Projects!$C$9+1))),0)</f>
        <v>0</v>
      </c>
      <c r="CA12" s="231">
        <f>IF(AND(Projects!$G$9="Yes",Projects!$F$9="Yes",77&gt;=Projects!$C$9,77&lt;Projects!$C$9+Projects!$D$9),Projects!$B$9*(1-SUMPRODUCT((Curves!$B$2:$AO$2)*(COLUMN(Curves!$B$2:$AO$2)-COLUMN(Curves!$B$2)+1&lt;=77-Projects!$C$9+1))),0)</f>
        <v>0</v>
      </c>
      <c r="CB12" s="231">
        <f>IF(AND(Projects!$G$9="Yes",Projects!$F$9="Yes",78&gt;=Projects!$C$9,78&lt;Projects!$C$9+Projects!$D$9),Projects!$B$9*(1-SUMPRODUCT((Curves!$B$2:$AO$2)*(COLUMN(Curves!$B$2:$AO$2)-COLUMN(Curves!$B$2)+1&lt;=78-Projects!$C$9+1))),0)</f>
        <v>0</v>
      </c>
      <c r="CC12" s="231">
        <f>IF(AND(Projects!$G$9="Yes",Projects!$F$9="Yes",79&gt;=Projects!$C$9,79&lt;Projects!$C$9+Projects!$D$9),Projects!$B$9*(1-SUMPRODUCT((Curves!$B$2:$AO$2)*(COLUMN(Curves!$B$2:$AO$2)-COLUMN(Curves!$B$2)+1&lt;=79-Projects!$C$9+1))),0)</f>
        <v>0</v>
      </c>
      <c r="CD12" s="231">
        <f>IF(AND(Projects!$G$9="Yes",Projects!$F$9="Yes",80&gt;=Projects!$C$9,80&lt;Projects!$C$9+Projects!$D$9),Projects!$B$9*(1-SUMPRODUCT((Curves!$B$2:$AO$2)*(COLUMN(Curves!$B$2:$AO$2)-COLUMN(Curves!$B$2)+1&lt;=80-Projects!$C$9+1))),0)</f>
        <v>0</v>
      </c>
      <c r="CE12" s="231">
        <f>IF(AND(Projects!$G$9="Yes",Projects!$F$9="Yes",81&gt;=Projects!$C$9,81&lt;Projects!$C$9+Projects!$D$9),Projects!$B$9*(1-SUMPRODUCT((Curves!$B$2:$AO$2)*(COLUMN(Curves!$B$2:$AO$2)-COLUMN(Curves!$B$2)+1&lt;=81-Projects!$C$9+1))),0)</f>
        <v>0</v>
      </c>
      <c r="CF12" s="231">
        <f>IF(AND(Projects!$G$9="Yes",Projects!$F$9="Yes",82&gt;=Projects!$C$9,82&lt;Projects!$C$9+Projects!$D$9),Projects!$B$9*(1-SUMPRODUCT((Curves!$B$2:$AO$2)*(COLUMN(Curves!$B$2:$AO$2)-COLUMN(Curves!$B$2)+1&lt;=82-Projects!$C$9+1))),0)</f>
        <v>0</v>
      </c>
      <c r="CG12" s="231">
        <f>IF(AND(Projects!$G$9="Yes",Projects!$F$9="Yes",83&gt;=Projects!$C$9,83&lt;Projects!$C$9+Projects!$D$9),Projects!$B$9*(1-SUMPRODUCT((Curves!$B$2:$AO$2)*(COLUMN(Curves!$B$2:$AO$2)-COLUMN(Curves!$B$2)+1&lt;=83-Projects!$C$9+1))),0)</f>
        <v>0</v>
      </c>
      <c r="CH12" s="231">
        <f>IF(AND(Projects!$G$9="Yes",Projects!$F$9="Yes",84&gt;=Projects!$C$9,84&lt;Projects!$C$9+Projects!$D$9),Projects!$B$9*(1-SUMPRODUCT((Curves!$B$2:$AO$2)*(COLUMN(Curves!$B$2:$AO$2)-COLUMN(Curves!$B$2)+1&lt;=84-Projects!$C$9+1))),0)</f>
        <v>0</v>
      </c>
      <c r="CI12" s="231">
        <f>IF(AND(Projects!$G$9="Yes",Projects!$F$9="Yes",85&gt;=Projects!$C$9,85&lt;Projects!$C$9+Projects!$D$9),Projects!$B$9*(1-SUMPRODUCT((Curves!$B$2:$AO$2)*(COLUMN(Curves!$B$2:$AO$2)-COLUMN(Curves!$B$2)+1&lt;=85-Projects!$C$9+1))),0)</f>
        <v>0</v>
      </c>
      <c r="CJ12" s="231">
        <f>IF(AND(Projects!$G$9="Yes",Projects!$F$9="Yes",86&gt;=Projects!$C$9,86&lt;Projects!$C$9+Projects!$D$9),Projects!$B$9*(1-SUMPRODUCT((Curves!$B$2:$AO$2)*(COLUMN(Curves!$B$2:$AO$2)-COLUMN(Curves!$B$2)+1&lt;=86-Projects!$C$9+1))),0)</f>
        <v>0</v>
      </c>
      <c r="CK12" s="231">
        <f>IF(AND(Projects!$G$9="Yes",Projects!$F$9="Yes",87&gt;=Projects!$C$9,87&lt;Projects!$C$9+Projects!$D$9),Projects!$B$9*(1-SUMPRODUCT((Curves!$B$2:$AO$2)*(COLUMN(Curves!$B$2:$AO$2)-COLUMN(Curves!$B$2)+1&lt;=87-Projects!$C$9+1))),0)</f>
        <v>0</v>
      </c>
      <c r="CL12" s="231">
        <f>IF(AND(Projects!$G$9="Yes",Projects!$F$9="Yes",88&gt;=Projects!$C$9,88&lt;Projects!$C$9+Projects!$D$9),Projects!$B$9*(1-SUMPRODUCT((Curves!$B$2:$AO$2)*(COLUMN(Curves!$B$2:$AO$2)-COLUMN(Curves!$B$2)+1&lt;=88-Projects!$C$9+1))),0)</f>
        <v>0</v>
      </c>
      <c r="CM12" s="231">
        <f>IF(AND(Projects!$G$9="Yes",Projects!$F$9="Yes",89&gt;=Projects!$C$9,89&lt;Projects!$C$9+Projects!$D$9),Projects!$B$9*(1-SUMPRODUCT((Curves!$B$2:$AO$2)*(COLUMN(Curves!$B$2:$AO$2)-COLUMN(Curves!$B$2)+1&lt;=89-Projects!$C$9+1))),0)</f>
        <v>0</v>
      </c>
      <c r="CN12" s="231">
        <f>IF(AND(Projects!$G$9="Yes",Projects!$F$9="Yes",90&gt;=Projects!$C$9,90&lt;Projects!$C$9+Projects!$D$9),Projects!$B$9*(1-SUMPRODUCT((Curves!$B$2:$AO$2)*(COLUMN(Curves!$B$2:$AO$2)-COLUMN(Curves!$B$2)+1&lt;=90-Projects!$C$9+1))),0)</f>
        <v>0</v>
      </c>
      <c r="CO12" s="231">
        <f>IF(AND(Projects!$G$9="Yes",Projects!$F$9="Yes",91&gt;=Projects!$C$9,91&lt;Projects!$C$9+Projects!$D$9),Projects!$B$9*(1-SUMPRODUCT((Curves!$B$2:$AO$2)*(COLUMN(Curves!$B$2:$AO$2)-COLUMN(Curves!$B$2)+1&lt;=91-Projects!$C$9+1))),0)</f>
        <v>0</v>
      </c>
      <c r="CP12" s="231">
        <f>IF(AND(Projects!$G$9="Yes",Projects!$F$9="Yes",92&gt;=Projects!$C$9,92&lt;Projects!$C$9+Projects!$D$9),Projects!$B$9*(1-SUMPRODUCT((Curves!$B$2:$AO$2)*(COLUMN(Curves!$B$2:$AO$2)-COLUMN(Curves!$B$2)+1&lt;=92-Projects!$C$9+1))),0)</f>
        <v>0</v>
      </c>
      <c r="CQ12" s="231">
        <f>IF(AND(Projects!$G$9="Yes",Projects!$F$9="Yes",93&gt;=Projects!$C$9,93&lt;Projects!$C$9+Projects!$D$9),Projects!$B$9*(1-SUMPRODUCT((Curves!$B$2:$AO$2)*(COLUMN(Curves!$B$2:$AO$2)-COLUMN(Curves!$B$2)+1&lt;=93-Projects!$C$9+1))),0)</f>
        <v>0</v>
      </c>
    </row>
    <row r="13" spans="1:95" ht="15" customHeight="1" x14ac:dyDescent="0.25">
      <c r="A13" s="144" t="s">
        <v>171</v>
      </c>
      <c r="C13" s="231">
        <f>IF(AND(Projects!$G$10="Yes",Projects!$F$10="Yes",1&gt;=Projects!$C$10,1&lt;Projects!$C$10+Projects!$D$10),Projects!$B$10*(1-SUMPRODUCT((Curves!$B$4:$AO$4)*(COLUMN(Curves!$B$4:$AO$4)-COLUMN(Curves!$B$4)+1&lt;=1-Projects!$C$10+1))),0)</f>
        <v>0</v>
      </c>
      <c r="D13" s="231">
        <f>IF(AND(Projects!$G$10="Yes",Projects!$F$10="Yes",2&gt;=Projects!$C$10,2&lt;Projects!$C$10+Projects!$D$10),Projects!$B$10*(1-SUMPRODUCT((Curves!$B$4:$AO$4)*(COLUMN(Curves!$B$4:$AO$4)-COLUMN(Curves!$B$4)+1&lt;=2-Projects!$C$10+1))),0)</f>
        <v>0</v>
      </c>
      <c r="E13" s="231">
        <f>IF(AND(Projects!$G$10="Yes",Projects!$F$10="Yes",3&gt;=Projects!$C$10,3&lt;Projects!$C$10+Projects!$D$10),Projects!$B$10*(1-SUMPRODUCT((Curves!$B$4:$AO$4)*(COLUMN(Curves!$B$4:$AO$4)-COLUMN(Curves!$B$4)+1&lt;=3-Projects!$C$10+1))),0)</f>
        <v>0</v>
      </c>
      <c r="F13" s="231">
        <f>IF(AND(Projects!$G$10="Yes",Projects!$F$10="Yes",4&gt;=Projects!$C$10,4&lt;Projects!$C$10+Projects!$D$10),Projects!$B$10*(1-SUMPRODUCT((Curves!$B$4:$AO$4)*(COLUMN(Curves!$B$4:$AO$4)-COLUMN(Curves!$B$4)+1&lt;=4-Projects!$C$10+1))),0)</f>
        <v>0</v>
      </c>
      <c r="G13" s="231">
        <f>IF(AND(Projects!$G$10="Yes",Projects!$F$10="Yes",5&gt;=Projects!$C$10,5&lt;Projects!$C$10+Projects!$D$10),Projects!$B$10*(1-SUMPRODUCT((Curves!$B$4:$AO$4)*(COLUMN(Curves!$B$4:$AO$4)-COLUMN(Curves!$B$4)+1&lt;=5-Projects!$C$10+1))),0)</f>
        <v>0</v>
      </c>
      <c r="H13" s="231">
        <f>IF(AND(Projects!$G$10="Yes",Projects!$F$10="Yes",6&gt;=Projects!$C$10,6&lt;Projects!$C$10+Projects!$D$10),Projects!$B$10*(1-SUMPRODUCT((Curves!$B$4:$AO$4)*(COLUMN(Curves!$B$4:$AO$4)-COLUMN(Curves!$B$4)+1&lt;=6-Projects!$C$10+1))),0)</f>
        <v>0</v>
      </c>
      <c r="I13" s="231">
        <f>IF(AND(Projects!$G$10="Yes",Projects!$F$10="Yes",7&gt;=Projects!$C$10,7&lt;Projects!$C$10+Projects!$D$10),Projects!$B$10*(1-SUMPRODUCT((Curves!$B$4:$AO$4)*(COLUMN(Curves!$B$4:$AO$4)-COLUMN(Curves!$B$4)+1&lt;=7-Projects!$C$10+1))),0)</f>
        <v>0</v>
      </c>
      <c r="J13" s="231">
        <f>IF(AND(Projects!$G$10="Yes",Projects!$F$10="Yes",8&gt;=Projects!$C$10,8&lt;Projects!$C$10+Projects!$D$10),Projects!$B$10*(1-SUMPRODUCT((Curves!$B$4:$AO$4)*(COLUMN(Curves!$B$4:$AO$4)-COLUMN(Curves!$B$4)+1&lt;=8-Projects!$C$10+1))),0)</f>
        <v>20699563.289615002</v>
      </c>
      <c r="K13" s="231">
        <f>IF(AND(Projects!$G$10="Yes",Projects!$F$10="Yes",9&gt;=Projects!$C$10,9&lt;Projects!$C$10+Projects!$D$10),Projects!$B$10*(1-SUMPRODUCT((Curves!$B$4:$AO$4)*(COLUMN(Curves!$B$4:$AO$4)-COLUMN(Curves!$B$4)+1&lt;=9-Projects!$C$10+1))),0)</f>
        <v>20002952.87841</v>
      </c>
      <c r="L13" s="231">
        <f>IF(AND(Projects!$G$10="Yes",Projects!$F$10="Yes",10&gt;=Projects!$C$10,10&lt;Projects!$C$10+Projects!$D$10),Projects!$B$10*(1-SUMPRODUCT((Curves!$B$4:$AO$4)*(COLUMN(Curves!$B$4:$AO$4)-COLUMN(Curves!$B$4)+1&lt;=10-Projects!$C$10+1))),0)</f>
        <v>19163431.122200001</v>
      </c>
      <c r="M13" s="231">
        <f>IF(AND(Projects!$G$10="Yes",Projects!$F$10="Yes",11&gt;=Projects!$C$10,11&lt;Projects!$C$10+Projects!$D$10),Projects!$B$10*(1-SUMPRODUCT((Curves!$B$4:$AO$4)*(COLUMN(Curves!$B$4:$AO$4)-COLUMN(Curves!$B$4)+1&lt;=11-Projects!$C$10+1))),0)</f>
        <v>18176553.96934</v>
      </c>
      <c r="N13" s="231">
        <f>IF(AND(Projects!$G$10="Yes",Projects!$F$10="Yes",12&gt;=Projects!$C$10,12&lt;Projects!$C$10+Projects!$D$10),Projects!$B$10*(1-SUMPRODUCT((Curves!$B$4:$AO$4)*(COLUMN(Curves!$B$4:$AO$4)-COLUMN(Curves!$B$4)+1&lt;=12-Projects!$C$10+1))),0)</f>
        <v>17044958.082049999</v>
      </c>
      <c r="O13" s="231">
        <f>IF(AND(Projects!$G$10="Yes",Projects!$F$10="Yes",13&gt;=Projects!$C$10,13&lt;Projects!$C$10+Projects!$D$10),Projects!$B$10*(1-SUMPRODUCT((Curves!$B$4:$AO$4)*(COLUMN(Curves!$B$4:$AO$4)-COLUMN(Curves!$B$4)+1&lt;=13-Projects!$C$10+1))),0)</f>
        <v>15779317.689639999</v>
      </c>
      <c r="P13" s="231">
        <f>IF(AND(Projects!$G$10="Yes",Projects!$F$10="Yes",14&gt;=Projects!$C$10,14&lt;Projects!$C$10+Projects!$D$10),Projects!$B$10*(1-SUMPRODUCT((Curves!$B$4:$AO$4)*(COLUMN(Curves!$B$4:$AO$4)-COLUMN(Curves!$B$4)+1&lt;=14-Projects!$C$10+1))),0)</f>
        <v>14398535.959154999</v>
      </c>
      <c r="Q13" s="231">
        <f>IF(AND(Projects!$G$10="Yes",Projects!$F$10="Yes",15&gt;=Projects!$C$10,15&lt;Projects!$C$10+Projects!$D$10),Projects!$B$10*(1-SUMPRODUCT((Curves!$B$4:$AO$4)*(COLUMN(Curves!$B$4:$AO$4)-COLUMN(Curves!$B$4)+1&lt;=15-Projects!$C$10+1))),0)</f>
        <v>12929149.620035</v>
      </c>
      <c r="R13" s="231">
        <f>IF(AND(Projects!$G$10="Yes",Projects!$F$10="Yes",16&gt;=Projects!$C$10,16&lt;Projects!$C$10+Projects!$D$10),Projects!$B$10*(1-SUMPRODUCT((Curves!$B$4:$AO$4)*(COLUMN(Curves!$B$4:$AO$4)-COLUMN(Curves!$B$4)+1&lt;=16-Projects!$C$10+1))),0)</f>
        <v>11403883.052574998</v>
      </c>
      <c r="S13" s="231">
        <f>IF(AND(Projects!$G$10="Yes",Projects!$F$10="Yes",17&gt;=Projects!$C$10,17&lt;Projects!$C$10+Projects!$D$10),Projects!$B$10*(1-SUMPRODUCT((Curves!$B$4:$AO$4)*(COLUMN(Curves!$B$4:$AO$4)-COLUMN(Curves!$B$4)+1&lt;=17-Projects!$C$10+1))),0)</f>
        <v>9859521.9474249985</v>
      </c>
      <c r="T13" s="231">
        <f>IF(AND(Projects!$G$10="Yes",Projects!$F$10="Yes",18&gt;=Projects!$C$10,18&lt;Projects!$C$10+Projects!$D$10),Projects!$B$10*(1-SUMPRODUCT((Curves!$B$4:$AO$4)*(COLUMN(Curves!$B$4:$AO$4)-COLUMN(Curves!$B$4)+1&lt;=18-Projects!$C$10+1))),0)</f>
        <v>8334255.379964998</v>
      </c>
      <c r="U13" s="231">
        <f>IF(AND(Projects!$G$10="Yes",Projects!$F$10="Yes",19&gt;=Projects!$C$10,19&lt;Projects!$C$10+Projects!$D$10),Projects!$B$10*(1-SUMPRODUCT((Curves!$B$4:$AO$4)*(COLUMN(Curves!$B$4:$AO$4)-COLUMN(Curves!$B$4)+1&lt;=19-Projects!$C$10+1))),0)</f>
        <v>6864869.0408449983</v>
      </c>
      <c r="V13" s="231">
        <f>IF(AND(Projects!$G$10="Yes",Projects!$F$10="Yes",20&gt;=Projects!$C$10,20&lt;Projects!$C$10+Projects!$D$10),Projects!$B$10*(1-SUMPRODUCT((Curves!$B$4:$AO$4)*(COLUMN(Curves!$B$4:$AO$4)-COLUMN(Curves!$B$4)+1&lt;=20-Projects!$C$10+1))),0)</f>
        <v>5484087.3103599986</v>
      </c>
      <c r="W13" s="231">
        <f>IF(AND(Projects!$G$10="Yes",Projects!$F$10="Yes",21&gt;=Projects!$C$10,21&lt;Projects!$C$10+Projects!$D$10),Projects!$B$10*(1-SUMPRODUCT((Curves!$B$4:$AO$4)*(COLUMN(Curves!$B$4:$AO$4)-COLUMN(Curves!$B$4)+1&lt;=21-Projects!$C$10+1))),0)</f>
        <v>4218446.9179499988</v>
      </c>
      <c r="X13" s="231">
        <f>IF(AND(Projects!$G$10="Yes",Projects!$F$10="Yes",22&gt;=Projects!$C$10,22&lt;Projects!$C$10+Projects!$D$10),Projects!$B$10*(1-SUMPRODUCT((Curves!$B$4:$AO$4)*(COLUMN(Curves!$B$4:$AO$4)-COLUMN(Curves!$B$4)+1&lt;=22-Projects!$C$10+1))),0)</f>
        <v>3086851.0306599992</v>
      </c>
      <c r="Y13" s="231">
        <f>IF(AND(Projects!$G$10="Yes",Projects!$F$10="Yes",23&gt;=Projects!$C$10,23&lt;Projects!$C$10+Projects!$D$10),Projects!$B$10*(1-SUMPRODUCT((Curves!$B$4:$AO$4)*(COLUMN(Curves!$B$4:$AO$4)-COLUMN(Curves!$B$4)+1&lt;=23-Projects!$C$10+1))),0)</f>
        <v>2099973.877799999</v>
      </c>
      <c r="Z13" s="231">
        <f>IF(AND(Projects!$G$10="Yes",Projects!$F$10="Yes",24&gt;=Projects!$C$10,24&lt;Projects!$C$10+Projects!$D$10),Projects!$B$10*(1-SUMPRODUCT((Curves!$B$4:$AO$4)*(COLUMN(Curves!$B$4:$AO$4)-COLUMN(Curves!$B$4)+1&lt;=24-Projects!$C$10+1))),0)</f>
        <v>1260452.1215899987</v>
      </c>
      <c r="AA13" s="231">
        <f>IF(AND(Projects!$G$10="Yes",Projects!$F$10="Yes",25&gt;=Projects!$C$10,25&lt;Projects!$C$10+Projects!$D$10),Projects!$B$10*(1-SUMPRODUCT((Curves!$B$4:$AO$4)*(COLUMN(Curves!$B$4:$AO$4)-COLUMN(Curves!$B$4)+1&lt;=25-Projects!$C$10+1))),0)</f>
        <v>563841.71038499789</v>
      </c>
      <c r="AB13" s="231">
        <f>IF(AND(Projects!$G$10="Yes",Projects!$F$10="Yes",26&gt;=Projects!$C$10,26&lt;Projects!$C$10+Projects!$D$10),Projects!$B$10*(1-SUMPRODUCT((Curves!$B$4:$AO$4)*(COLUMN(Curves!$B$4:$AO$4)-COLUMN(Curves!$B$4)+1&lt;=26-Projects!$C$10+1))),0)</f>
        <v>0</v>
      </c>
      <c r="AC13" s="231">
        <f>IF(AND(Projects!$G$10="Yes",Projects!$F$10="Yes",27&gt;=Projects!$C$10,27&lt;Projects!$C$10+Projects!$D$10),Projects!$B$10*(1-SUMPRODUCT((Curves!$B$4:$AO$4)*(COLUMN(Curves!$B$4:$AO$4)-COLUMN(Curves!$B$4)+1&lt;=27-Projects!$C$10+1))),0)</f>
        <v>0</v>
      </c>
      <c r="AD13" s="231">
        <f>IF(AND(Projects!$G$10="Yes",Projects!$F$10="Yes",28&gt;=Projects!$C$10,28&lt;Projects!$C$10+Projects!$D$10),Projects!$B$10*(1-SUMPRODUCT((Curves!$B$4:$AO$4)*(COLUMN(Curves!$B$4:$AO$4)-COLUMN(Curves!$B$4)+1&lt;=28-Projects!$C$10+1))),0)</f>
        <v>0</v>
      </c>
      <c r="AE13" s="231">
        <f>IF(AND(Projects!$G$10="Yes",Projects!$F$10="Yes",29&gt;=Projects!$C$10,29&lt;Projects!$C$10+Projects!$D$10),Projects!$B$10*(1-SUMPRODUCT((Curves!$B$4:$AO$4)*(COLUMN(Curves!$B$4:$AO$4)-COLUMN(Curves!$B$4)+1&lt;=29-Projects!$C$10+1))),0)</f>
        <v>0</v>
      </c>
      <c r="AF13" s="231">
        <f>IF(AND(Projects!$G$10="Yes",Projects!$F$10="Yes",30&gt;=Projects!$C$10,30&lt;Projects!$C$10+Projects!$D$10),Projects!$B$10*(1-SUMPRODUCT((Curves!$B$4:$AO$4)*(COLUMN(Curves!$B$4:$AO$4)-COLUMN(Curves!$B$4)+1&lt;=30-Projects!$C$10+1))),0)</f>
        <v>0</v>
      </c>
      <c r="AG13" s="231">
        <f>IF(AND(Projects!$G$10="Yes",Projects!$F$10="Yes",31&gt;=Projects!$C$10,31&lt;Projects!$C$10+Projects!$D$10),Projects!$B$10*(1-SUMPRODUCT((Curves!$B$4:$AO$4)*(COLUMN(Curves!$B$4:$AO$4)-COLUMN(Curves!$B$4)+1&lt;=31-Projects!$C$10+1))),0)</f>
        <v>0</v>
      </c>
      <c r="AH13" s="231">
        <f>IF(AND(Projects!$G$10="Yes",Projects!$F$10="Yes",32&gt;=Projects!$C$10,32&lt;Projects!$C$10+Projects!$D$10),Projects!$B$10*(1-SUMPRODUCT((Curves!$B$4:$AO$4)*(COLUMN(Curves!$B$4:$AO$4)-COLUMN(Curves!$B$4)+1&lt;=32-Projects!$C$10+1))),0)</f>
        <v>0</v>
      </c>
      <c r="AI13" s="231">
        <f>IF(AND(Projects!$G$10="Yes",Projects!$F$10="Yes",33&gt;=Projects!$C$10,33&lt;Projects!$C$10+Projects!$D$10),Projects!$B$10*(1-SUMPRODUCT((Curves!$B$4:$AO$4)*(COLUMN(Curves!$B$4:$AO$4)-COLUMN(Curves!$B$4)+1&lt;=33-Projects!$C$10+1))),0)</f>
        <v>0</v>
      </c>
      <c r="AJ13" s="231">
        <f>IF(AND(Projects!$G$10="Yes",Projects!$F$10="Yes",34&gt;=Projects!$C$10,34&lt;Projects!$C$10+Projects!$D$10),Projects!$B$10*(1-SUMPRODUCT((Curves!$B$4:$AO$4)*(COLUMN(Curves!$B$4:$AO$4)-COLUMN(Curves!$B$4)+1&lt;=34-Projects!$C$10+1))),0)</f>
        <v>0</v>
      </c>
      <c r="AK13" s="231">
        <f>IF(AND(Projects!$G$10="Yes",Projects!$F$10="Yes",35&gt;=Projects!$C$10,35&lt;Projects!$C$10+Projects!$D$10),Projects!$B$10*(1-SUMPRODUCT((Curves!$B$4:$AO$4)*(COLUMN(Curves!$B$4:$AO$4)-COLUMN(Curves!$B$4)+1&lt;=35-Projects!$C$10+1))),0)</f>
        <v>0</v>
      </c>
      <c r="AL13" s="231">
        <f>IF(AND(Projects!$G$10="Yes",Projects!$F$10="Yes",36&gt;=Projects!$C$10,36&lt;Projects!$C$10+Projects!$D$10),Projects!$B$10*(1-SUMPRODUCT((Curves!$B$4:$AO$4)*(COLUMN(Curves!$B$4:$AO$4)-COLUMN(Curves!$B$4)+1&lt;=36-Projects!$C$10+1))),0)</f>
        <v>0</v>
      </c>
      <c r="AM13" s="231">
        <f>IF(AND(Projects!$G$10="Yes",Projects!$F$10="Yes",37&gt;=Projects!$C$10,37&lt;Projects!$C$10+Projects!$D$10),Projects!$B$10*(1-SUMPRODUCT((Curves!$B$4:$AO$4)*(COLUMN(Curves!$B$4:$AO$4)-COLUMN(Curves!$B$4)+1&lt;=37-Projects!$C$10+1))),0)</f>
        <v>0</v>
      </c>
      <c r="AN13" s="231">
        <f>IF(AND(Projects!$G$10="Yes",Projects!$F$10="Yes",38&gt;=Projects!$C$10,38&lt;Projects!$C$10+Projects!$D$10),Projects!$B$10*(1-SUMPRODUCT((Curves!$B$4:$AO$4)*(COLUMN(Curves!$B$4:$AO$4)-COLUMN(Curves!$B$4)+1&lt;=38-Projects!$C$10+1))),0)</f>
        <v>0</v>
      </c>
      <c r="AO13" s="231">
        <f>IF(AND(Projects!$G$10="Yes",Projects!$F$10="Yes",39&gt;=Projects!$C$10,39&lt;Projects!$C$10+Projects!$D$10),Projects!$B$10*(1-SUMPRODUCT((Curves!$B$4:$AO$4)*(COLUMN(Curves!$B$4:$AO$4)-COLUMN(Curves!$B$4)+1&lt;=39-Projects!$C$10+1))),0)</f>
        <v>0</v>
      </c>
      <c r="AP13" s="231">
        <f>IF(AND(Projects!$G$10="Yes",Projects!$F$10="Yes",40&gt;=Projects!$C$10,40&lt;Projects!$C$10+Projects!$D$10),Projects!$B$10*(1-SUMPRODUCT((Curves!$B$4:$AO$4)*(COLUMN(Curves!$B$4:$AO$4)-COLUMN(Curves!$B$4)+1&lt;=40-Projects!$C$10+1))),0)</f>
        <v>0</v>
      </c>
      <c r="AQ13" s="231">
        <f>IF(AND(Projects!$G$10="Yes",Projects!$F$10="Yes",41&gt;=Projects!$C$10,41&lt;Projects!$C$10+Projects!$D$10),Projects!$B$10*(1-SUMPRODUCT((Curves!$B$4:$AO$4)*(COLUMN(Curves!$B$4:$AO$4)-COLUMN(Curves!$B$4)+1&lt;=41-Projects!$C$10+1))),0)</f>
        <v>0</v>
      </c>
      <c r="AR13" s="231">
        <f>IF(AND(Projects!$G$10="Yes",Projects!$F$10="Yes",42&gt;=Projects!$C$10,42&lt;Projects!$C$10+Projects!$D$10),Projects!$B$10*(1-SUMPRODUCT((Curves!$B$4:$AO$4)*(COLUMN(Curves!$B$4:$AO$4)-COLUMN(Curves!$B$4)+1&lt;=42-Projects!$C$10+1))),0)</f>
        <v>0</v>
      </c>
      <c r="AS13" s="231">
        <f>IF(AND(Projects!$G$10="Yes",Projects!$F$10="Yes",43&gt;=Projects!$C$10,43&lt;Projects!$C$10+Projects!$D$10),Projects!$B$10*(1-SUMPRODUCT((Curves!$B$4:$AO$4)*(COLUMN(Curves!$B$4:$AO$4)-COLUMN(Curves!$B$4)+1&lt;=43-Projects!$C$10+1))),0)</f>
        <v>0</v>
      </c>
      <c r="AT13" s="231">
        <f>IF(AND(Projects!$G$10="Yes",Projects!$F$10="Yes",44&gt;=Projects!$C$10,44&lt;Projects!$C$10+Projects!$D$10),Projects!$B$10*(1-SUMPRODUCT((Curves!$B$4:$AO$4)*(COLUMN(Curves!$B$4:$AO$4)-COLUMN(Curves!$B$4)+1&lt;=44-Projects!$C$10+1))),0)</f>
        <v>0</v>
      </c>
      <c r="AU13" s="231">
        <f>IF(AND(Projects!$G$10="Yes",Projects!$F$10="Yes",45&gt;=Projects!$C$10,45&lt;Projects!$C$10+Projects!$D$10),Projects!$B$10*(1-SUMPRODUCT((Curves!$B$4:$AO$4)*(COLUMN(Curves!$B$4:$AO$4)-COLUMN(Curves!$B$4)+1&lt;=45-Projects!$C$10+1))),0)</f>
        <v>0</v>
      </c>
      <c r="AV13" s="231">
        <f>IF(AND(Projects!$G$10="Yes",Projects!$F$10="Yes",46&gt;=Projects!$C$10,46&lt;Projects!$C$10+Projects!$D$10),Projects!$B$10*(1-SUMPRODUCT((Curves!$B$4:$AO$4)*(COLUMN(Curves!$B$4:$AO$4)-COLUMN(Curves!$B$4)+1&lt;=46-Projects!$C$10+1))),0)</f>
        <v>0</v>
      </c>
      <c r="AW13" s="231">
        <f>IF(AND(Projects!$G$10="Yes",Projects!$F$10="Yes",47&gt;=Projects!$C$10,47&lt;Projects!$C$10+Projects!$D$10),Projects!$B$10*(1-SUMPRODUCT((Curves!$B$4:$AO$4)*(COLUMN(Curves!$B$4:$AO$4)-COLUMN(Curves!$B$4)+1&lt;=47-Projects!$C$10+1))),0)</f>
        <v>0</v>
      </c>
      <c r="AX13" s="231">
        <f>IF(AND(Projects!$G$10="Yes",Projects!$F$10="Yes",48&gt;=Projects!$C$10,48&lt;Projects!$C$10+Projects!$D$10),Projects!$B$10*(1-SUMPRODUCT((Curves!$B$4:$AO$4)*(COLUMN(Curves!$B$4:$AO$4)-COLUMN(Curves!$B$4)+1&lt;=48-Projects!$C$10+1))),0)</f>
        <v>0</v>
      </c>
      <c r="AY13" s="231">
        <f>IF(AND(Projects!$G$10="Yes",Projects!$F$10="Yes",49&gt;=Projects!$C$10,49&lt;Projects!$C$10+Projects!$D$10),Projects!$B$10*(1-SUMPRODUCT((Curves!$B$4:$AO$4)*(COLUMN(Curves!$B$4:$AO$4)-COLUMN(Curves!$B$4)+1&lt;=49-Projects!$C$10+1))),0)</f>
        <v>0</v>
      </c>
      <c r="AZ13" s="231">
        <f>IF(AND(Projects!$G$10="Yes",Projects!$F$10="Yes",50&gt;=Projects!$C$10,50&lt;Projects!$C$10+Projects!$D$10),Projects!$B$10*(1-SUMPRODUCT((Curves!$B$4:$AO$4)*(COLUMN(Curves!$B$4:$AO$4)-COLUMN(Curves!$B$4)+1&lt;=50-Projects!$C$10+1))),0)</f>
        <v>0</v>
      </c>
      <c r="BA13" s="231">
        <f>IF(AND(Projects!$G$10="Yes",Projects!$F$10="Yes",51&gt;=Projects!$C$10,51&lt;Projects!$C$10+Projects!$D$10),Projects!$B$10*(1-SUMPRODUCT((Curves!$B$4:$AO$4)*(COLUMN(Curves!$B$4:$AO$4)-COLUMN(Curves!$B$4)+1&lt;=51-Projects!$C$10+1))),0)</f>
        <v>0</v>
      </c>
      <c r="BB13" s="231">
        <f>IF(AND(Projects!$G$10="Yes",Projects!$F$10="Yes",52&gt;=Projects!$C$10,52&lt;Projects!$C$10+Projects!$D$10),Projects!$B$10*(1-SUMPRODUCT((Curves!$B$4:$AO$4)*(COLUMN(Curves!$B$4:$AO$4)-COLUMN(Curves!$B$4)+1&lt;=52-Projects!$C$10+1))),0)</f>
        <v>0</v>
      </c>
      <c r="BC13" s="231">
        <f>IF(AND(Projects!$G$10="Yes",Projects!$F$10="Yes",53&gt;=Projects!$C$10,53&lt;Projects!$C$10+Projects!$D$10),Projects!$B$10*(1-SUMPRODUCT((Curves!$B$4:$AO$4)*(COLUMN(Curves!$B$4:$AO$4)-COLUMN(Curves!$B$4)+1&lt;=53-Projects!$C$10+1))),0)</f>
        <v>0</v>
      </c>
      <c r="BD13" s="231">
        <f>IF(AND(Projects!$G$10="Yes",Projects!$F$10="Yes",54&gt;=Projects!$C$10,54&lt;Projects!$C$10+Projects!$D$10),Projects!$B$10*(1-SUMPRODUCT((Curves!$B$4:$AO$4)*(COLUMN(Curves!$B$4:$AO$4)-COLUMN(Curves!$B$4)+1&lt;=54-Projects!$C$10+1))),0)</f>
        <v>0</v>
      </c>
      <c r="BE13" s="231">
        <f>IF(AND(Projects!$G$10="Yes",Projects!$F$10="Yes",55&gt;=Projects!$C$10,55&lt;Projects!$C$10+Projects!$D$10),Projects!$B$10*(1-SUMPRODUCT((Curves!$B$4:$AO$4)*(COLUMN(Curves!$B$4:$AO$4)-COLUMN(Curves!$B$4)+1&lt;=55-Projects!$C$10+1))),0)</f>
        <v>0</v>
      </c>
      <c r="BF13" s="231">
        <f>IF(AND(Projects!$G$10="Yes",Projects!$F$10="Yes",56&gt;=Projects!$C$10,56&lt;Projects!$C$10+Projects!$D$10),Projects!$B$10*(1-SUMPRODUCT((Curves!$B$4:$AO$4)*(COLUMN(Curves!$B$4:$AO$4)-COLUMN(Curves!$B$4)+1&lt;=56-Projects!$C$10+1))),0)</f>
        <v>0</v>
      </c>
      <c r="BG13" s="231">
        <f>IF(AND(Projects!$G$10="Yes",Projects!$F$10="Yes",57&gt;=Projects!$C$10,57&lt;Projects!$C$10+Projects!$D$10),Projects!$B$10*(1-SUMPRODUCT((Curves!$B$4:$AO$4)*(COLUMN(Curves!$B$4:$AO$4)-COLUMN(Curves!$B$4)+1&lt;=57-Projects!$C$10+1))),0)</f>
        <v>0</v>
      </c>
      <c r="BH13" s="231">
        <f>IF(AND(Projects!$G$10="Yes",Projects!$F$10="Yes",58&gt;=Projects!$C$10,58&lt;Projects!$C$10+Projects!$D$10),Projects!$B$10*(1-SUMPRODUCT((Curves!$B$4:$AO$4)*(COLUMN(Curves!$B$4:$AO$4)-COLUMN(Curves!$B$4)+1&lt;=58-Projects!$C$10+1))),0)</f>
        <v>0</v>
      </c>
      <c r="BI13" s="231">
        <f>IF(AND(Projects!$G$10="Yes",Projects!$F$10="Yes",59&gt;=Projects!$C$10,59&lt;Projects!$C$10+Projects!$D$10),Projects!$B$10*(1-SUMPRODUCT((Curves!$B$4:$AO$4)*(COLUMN(Curves!$B$4:$AO$4)-COLUMN(Curves!$B$4)+1&lt;=59-Projects!$C$10+1))),0)</f>
        <v>0</v>
      </c>
      <c r="BJ13" s="231">
        <f>IF(AND(Projects!$G$10="Yes",Projects!$F$10="Yes",60&gt;=Projects!$C$10,60&lt;Projects!$C$10+Projects!$D$10),Projects!$B$10*(1-SUMPRODUCT((Curves!$B$4:$AO$4)*(COLUMN(Curves!$B$4:$AO$4)-COLUMN(Curves!$B$4)+1&lt;=60-Projects!$C$10+1))),0)</f>
        <v>0</v>
      </c>
      <c r="BK13" s="231">
        <f>IF(AND(Projects!$G$10="Yes",Projects!$F$10="Yes",61&gt;=Projects!$C$10,61&lt;Projects!$C$10+Projects!$D$10),Projects!$B$10*(1-SUMPRODUCT((Curves!$B$4:$AO$4)*(COLUMN(Curves!$B$4:$AO$4)-COLUMN(Curves!$B$4)+1&lt;=61-Projects!$C$10+1))),0)</f>
        <v>0</v>
      </c>
      <c r="BL13" s="231">
        <f>IF(AND(Projects!$G$10="Yes",Projects!$F$10="Yes",62&gt;=Projects!$C$10,62&lt;Projects!$C$10+Projects!$D$10),Projects!$B$10*(1-SUMPRODUCT((Curves!$B$4:$AO$4)*(COLUMN(Curves!$B$4:$AO$4)-COLUMN(Curves!$B$4)+1&lt;=62-Projects!$C$10+1))),0)</f>
        <v>0</v>
      </c>
      <c r="BM13" s="231">
        <f>IF(AND(Projects!$G$10="Yes",Projects!$F$10="Yes",63&gt;=Projects!$C$10,63&lt;Projects!$C$10+Projects!$D$10),Projects!$B$10*(1-SUMPRODUCT((Curves!$B$4:$AO$4)*(COLUMN(Curves!$B$4:$AO$4)-COLUMN(Curves!$B$4)+1&lt;=63-Projects!$C$10+1))),0)</f>
        <v>0</v>
      </c>
      <c r="BN13" s="231">
        <f>IF(AND(Projects!$G$10="Yes",Projects!$F$10="Yes",64&gt;=Projects!$C$10,64&lt;Projects!$C$10+Projects!$D$10),Projects!$B$10*(1-SUMPRODUCT((Curves!$B$4:$AO$4)*(COLUMN(Curves!$B$4:$AO$4)-COLUMN(Curves!$B$4)+1&lt;=64-Projects!$C$10+1))),0)</f>
        <v>0</v>
      </c>
      <c r="BO13" s="231">
        <f>IF(AND(Projects!$G$10="Yes",Projects!$F$10="Yes",65&gt;=Projects!$C$10,65&lt;Projects!$C$10+Projects!$D$10),Projects!$B$10*(1-SUMPRODUCT((Curves!$B$4:$AO$4)*(COLUMN(Curves!$B$4:$AO$4)-COLUMN(Curves!$B$4)+1&lt;=65-Projects!$C$10+1))),0)</f>
        <v>0</v>
      </c>
      <c r="BP13" s="231">
        <f>IF(AND(Projects!$G$10="Yes",Projects!$F$10="Yes",66&gt;=Projects!$C$10,66&lt;Projects!$C$10+Projects!$D$10),Projects!$B$10*(1-SUMPRODUCT((Curves!$B$4:$AO$4)*(COLUMN(Curves!$B$4:$AO$4)-COLUMN(Curves!$B$4)+1&lt;=66-Projects!$C$10+1))),0)</f>
        <v>0</v>
      </c>
      <c r="BQ13" s="231">
        <f>IF(AND(Projects!$G$10="Yes",Projects!$F$10="Yes",67&gt;=Projects!$C$10,67&lt;Projects!$C$10+Projects!$D$10),Projects!$B$10*(1-SUMPRODUCT((Curves!$B$4:$AO$4)*(COLUMN(Curves!$B$4:$AO$4)-COLUMN(Curves!$B$4)+1&lt;=67-Projects!$C$10+1))),0)</f>
        <v>0</v>
      </c>
      <c r="BR13" s="231">
        <f>IF(AND(Projects!$G$10="Yes",Projects!$F$10="Yes",68&gt;=Projects!$C$10,68&lt;Projects!$C$10+Projects!$D$10),Projects!$B$10*(1-SUMPRODUCT((Curves!$B$4:$AO$4)*(COLUMN(Curves!$B$4:$AO$4)-COLUMN(Curves!$B$4)+1&lt;=68-Projects!$C$10+1))),0)</f>
        <v>0</v>
      </c>
      <c r="BS13" s="231">
        <f>IF(AND(Projects!$G$10="Yes",Projects!$F$10="Yes",69&gt;=Projects!$C$10,69&lt;Projects!$C$10+Projects!$D$10),Projects!$B$10*(1-SUMPRODUCT((Curves!$B$4:$AO$4)*(COLUMN(Curves!$B$4:$AO$4)-COLUMN(Curves!$B$4)+1&lt;=69-Projects!$C$10+1))),0)</f>
        <v>0</v>
      </c>
      <c r="BT13" s="231">
        <f>IF(AND(Projects!$G$10="Yes",Projects!$F$10="Yes",70&gt;=Projects!$C$10,70&lt;Projects!$C$10+Projects!$D$10),Projects!$B$10*(1-SUMPRODUCT((Curves!$B$4:$AO$4)*(COLUMN(Curves!$B$4:$AO$4)-COLUMN(Curves!$B$4)+1&lt;=70-Projects!$C$10+1))),0)</f>
        <v>0</v>
      </c>
      <c r="BU13" s="231">
        <f>IF(AND(Projects!$G$10="Yes",Projects!$F$10="Yes",71&gt;=Projects!$C$10,71&lt;Projects!$C$10+Projects!$D$10),Projects!$B$10*(1-SUMPRODUCT((Curves!$B$4:$AO$4)*(COLUMN(Curves!$B$4:$AO$4)-COLUMN(Curves!$B$4)+1&lt;=71-Projects!$C$10+1))),0)</f>
        <v>0</v>
      </c>
      <c r="BV13" s="231">
        <f>IF(AND(Projects!$G$10="Yes",Projects!$F$10="Yes",72&gt;=Projects!$C$10,72&lt;Projects!$C$10+Projects!$D$10),Projects!$B$10*(1-SUMPRODUCT((Curves!$B$4:$AO$4)*(COLUMN(Curves!$B$4:$AO$4)-COLUMN(Curves!$B$4)+1&lt;=72-Projects!$C$10+1))),0)</f>
        <v>0</v>
      </c>
      <c r="BW13" s="231">
        <f>IF(AND(Projects!$G$10="Yes",Projects!$F$10="Yes",73&gt;=Projects!$C$10,73&lt;Projects!$C$10+Projects!$D$10),Projects!$B$10*(1-SUMPRODUCT((Curves!$B$4:$AO$4)*(COLUMN(Curves!$B$4:$AO$4)-COLUMN(Curves!$B$4)+1&lt;=73-Projects!$C$10+1))),0)</f>
        <v>0</v>
      </c>
      <c r="BX13" s="231">
        <f>IF(AND(Projects!$G$10="Yes",Projects!$F$10="Yes",74&gt;=Projects!$C$10,74&lt;Projects!$C$10+Projects!$D$10),Projects!$B$10*(1-SUMPRODUCT((Curves!$B$4:$AO$4)*(COLUMN(Curves!$B$4:$AO$4)-COLUMN(Curves!$B$4)+1&lt;=74-Projects!$C$10+1))),0)</f>
        <v>0</v>
      </c>
      <c r="BY13" s="231">
        <f>IF(AND(Projects!$G$10="Yes",Projects!$F$10="Yes",75&gt;=Projects!$C$10,75&lt;Projects!$C$10+Projects!$D$10),Projects!$B$10*(1-SUMPRODUCT((Curves!$B$4:$AO$4)*(COLUMN(Curves!$B$4:$AO$4)-COLUMN(Curves!$B$4)+1&lt;=75-Projects!$C$10+1))),0)</f>
        <v>0</v>
      </c>
      <c r="BZ13" s="231">
        <f>IF(AND(Projects!$G$10="Yes",Projects!$F$10="Yes",76&gt;=Projects!$C$10,76&lt;Projects!$C$10+Projects!$D$10),Projects!$B$10*(1-SUMPRODUCT((Curves!$B$4:$AO$4)*(COLUMN(Curves!$B$4:$AO$4)-COLUMN(Curves!$B$4)+1&lt;=76-Projects!$C$10+1))),0)</f>
        <v>0</v>
      </c>
      <c r="CA13" s="231">
        <f>IF(AND(Projects!$G$10="Yes",Projects!$F$10="Yes",77&gt;=Projects!$C$10,77&lt;Projects!$C$10+Projects!$D$10),Projects!$B$10*(1-SUMPRODUCT((Curves!$B$4:$AO$4)*(COLUMN(Curves!$B$4:$AO$4)-COLUMN(Curves!$B$4)+1&lt;=77-Projects!$C$10+1))),0)</f>
        <v>0</v>
      </c>
      <c r="CB13" s="231">
        <f>IF(AND(Projects!$G$10="Yes",Projects!$F$10="Yes",78&gt;=Projects!$C$10,78&lt;Projects!$C$10+Projects!$D$10),Projects!$B$10*(1-SUMPRODUCT((Curves!$B$4:$AO$4)*(COLUMN(Curves!$B$4:$AO$4)-COLUMN(Curves!$B$4)+1&lt;=78-Projects!$C$10+1))),0)</f>
        <v>0</v>
      </c>
      <c r="CC13" s="231">
        <f>IF(AND(Projects!$G$10="Yes",Projects!$F$10="Yes",79&gt;=Projects!$C$10,79&lt;Projects!$C$10+Projects!$D$10),Projects!$B$10*(1-SUMPRODUCT((Curves!$B$4:$AO$4)*(COLUMN(Curves!$B$4:$AO$4)-COLUMN(Curves!$B$4)+1&lt;=79-Projects!$C$10+1))),0)</f>
        <v>0</v>
      </c>
      <c r="CD13" s="231">
        <f>IF(AND(Projects!$G$10="Yes",Projects!$F$10="Yes",80&gt;=Projects!$C$10,80&lt;Projects!$C$10+Projects!$D$10),Projects!$B$10*(1-SUMPRODUCT((Curves!$B$4:$AO$4)*(COLUMN(Curves!$B$4:$AO$4)-COLUMN(Curves!$B$4)+1&lt;=80-Projects!$C$10+1))),0)</f>
        <v>0</v>
      </c>
      <c r="CE13" s="231">
        <f>IF(AND(Projects!$G$10="Yes",Projects!$F$10="Yes",81&gt;=Projects!$C$10,81&lt;Projects!$C$10+Projects!$D$10),Projects!$B$10*(1-SUMPRODUCT((Curves!$B$4:$AO$4)*(COLUMN(Curves!$B$4:$AO$4)-COLUMN(Curves!$B$4)+1&lt;=81-Projects!$C$10+1))),0)</f>
        <v>0</v>
      </c>
      <c r="CF13" s="231">
        <f>IF(AND(Projects!$G$10="Yes",Projects!$F$10="Yes",82&gt;=Projects!$C$10,82&lt;Projects!$C$10+Projects!$D$10),Projects!$B$10*(1-SUMPRODUCT((Curves!$B$4:$AO$4)*(COLUMN(Curves!$B$4:$AO$4)-COLUMN(Curves!$B$4)+1&lt;=82-Projects!$C$10+1))),0)</f>
        <v>0</v>
      </c>
      <c r="CG13" s="231">
        <f>IF(AND(Projects!$G$10="Yes",Projects!$F$10="Yes",83&gt;=Projects!$C$10,83&lt;Projects!$C$10+Projects!$D$10),Projects!$B$10*(1-SUMPRODUCT((Curves!$B$4:$AO$4)*(COLUMN(Curves!$B$4:$AO$4)-COLUMN(Curves!$B$4)+1&lt;=83-Projects!$C$10+1))),0)</f>
        <v>0</v>
      </c>
      <c r="CH13" s="231">
        <f>IF(AND(Projects!$G$10="Yes",Projects!$F$10="Yes",84&gt;=Projects!$C$10,84&lt;Projects!$C$10+Projects!$D$10),Projects!$B$10*(1-SUMPRODUCT((Curves!$B$4:$AO$4)*(COLUMN(Curves!$B$4:$AO$4)-COLUMN(Curves!$B$4)+1&lt;=84-Projects!$C$10+1))),0)</f>
        <v>0</v>
      </c>
      <c r="CI13" s="231">
        <f>IF(AND(Projects!$G$10="Yes",Projects!$F$10="Yes",85&gt;=Projects!$C$10,85&lt;Projects!$C$10+Projects!$D$10),Projects!$B$10*(1-SUMPRODUCT((Curves!$B$4:$AO$4)*(COLUMN(Curves!$B$4:$AO$4)-COLUMN(Curves!$B$4)+1&lt;=85-Projects!$C$10+1))),0)</f>
        <v>0</v>
      </c>
      <c r="CJ13" s="231">
        <f>IF(AND(Projects!$G$10="Yes",Projects!$F$10="Yes",86&gt;=Projects!$C$10,86&lt;Projects!$C$10+Projects!$D$10),Projects!$B$10*(1-SUMPRODUCT((Curves!$B$4:$AO$4)*(COLUMN(Curves!$B$4:$AO$4)-COLUMN(Curves!$B$4)+1&lt;=86-Projects!$C$10+1))),0)</f>
        <v>0</v>
      </c>
      <c r="CK13" s="231">
        <f>IF(AND(Projects!$G$10="Yes",Projects!$F$10="Yes",87&gt;=Projects!$C$10,87&lt;Projects!$C$10+Projects!$D$10),Projects!$B$10*(1-SUMPRODUCT((Curves!$B$4:$AO$4)*(COLUMN(Curves!$B$4:$AO$4)-COLUMN(Curves!$B$4)+1&lt;=87-Projects!$C$10+1))),0)</f>
        <v>0</v>
      </c>
      <c r="CL13" s="231">
        <f>IF(AND(Projects!$G$10="Yes",Projects!$F$10="Yes",88&gt;=Projects!$C$10,88&lt;Projects!$C$10+Projects!$D$10),Projects!$B$10*(1-SUMPRODUCT((Curves!$B$4:$AO$4)*(COLUMN(Curves!$B$4:$AO$4)-COLUMN(Curves!$B$4)+1&lt;=88-Projects!$C$10+1))),0)</f>
        <v>0</v>
      </c>
      <c r="CM13" s="231">
        <f>IF(AND(Projects!$G$10="Yes",Projects!$F$10="Yes",89&gt;=Projects!$C$10,89&lt;Projects!$C$10+Projects!$D$10),Projects!$B$10*(1-SUMPRODUCT((Curves!$B$4:$AO$4)*(COLUMN(Curves!$B$4:$AO$4)-COLUMN(Curves!$B$4)+1&lt;=89-Projects!$C$10+1))),0)</f>
        <v>0</v>
      </c>
      <c r="CN13" s="231">
        <f>IF(AND(Projects!$G$10="Yes",Projects!$F$10="Yes",90&gt;=Projects!$C$10,90&lt;Projects!$C$10+Projects!$D$10),Projects!$B$10*(1-SUMPRODUCT((Curves!$B$4:$AO$4)*(COLUMN(Curves!$B$4:$AO$4)-COLUMN(Curves!$B$4)+1&lt;=90-Projects!$C$10+1))),0)</f>
        <v>0</v>
      </c>
      <c r="CO13" s="231">
        <f>IF(AND(Projects!$G$10="Yes",Projects!$F$10="Yes",91&gt;=Projects!$C$10,91&lt;Projects!$C$10+Projects!$D$10),Projects!$B$10*(1-SUMPRODUCT((Curves!$B$4:$AO$4)*(COLUMN(Curves!$B$4:$AO$4)-COLUMN(Curves!$B$4)+1&lt;=91-Projects!$C$10+1))),0)</f>
        <v>0</v>
      </c>
      <c r="CP13" s="231">
        <f>IF(AND(Projects!$G$10="Yes",Projects!$F$10="Yes",92&gt;=Projects!$C$10,92&lt;Projects!$C$10+Projects!$D$10),Projects!$B$10*(1-SUMPRODUCT((Curves!$B$4:$AO$4)*(COLUMN(Curves!$B$4:$AO$4)-COLUMN(Curves!$B$4)+1&lt;=92-Projects!$C$10+1))),0)</f>
        <v>0</v>
      </c>
      <c r="CQ13" s="231">
        <f>IF(AND(Projects!$G$10="Yes",Projects!$F$10="Yes",93&gt;=Projects!$C$10,93&lt;Projects!$C$10+Projects!$D$10),Projects!$B$10*(1-SUMPRODUCT((Curves!$B$4:$AO$4)*(COLUMN(Curves!$B$4:$AO$4)-COLUMN(Curves!$B$4)+1&lt;=93-Projects!$C$10+1))),0)</f>
        <v>0</v>
      </c>
    </row>
    <row r="14" spans="1:95" ht="15" customHeight="1" x14ac:dyDescent="0.25">
      <c r="A14" s="144" t="s">
        <v>172</v>
      </c>
      <c r="C14" s="231">
        <f>IF(AND(Projects!$G$13="Yes",Projects!$F$13="Yes",1&gt;=Projects!$C$13,1&lt;Projects!$C$13+Projects!$D$13),Projects!$B$13*(1-SUMPRODUCT((Curves!$B$2:$AO$2)*(COLUMN(Curves!$B$2:$AO$2)-COLUMN(Curves!$B$2)+1&lt;=1-Projects!$C$13+1))),0)</f>
        <v>0</v>
      </c>
      <c r="D14" s="231">
        <f>IF(AND(Projects!$G$13="Yes",Projects!$F$13="Yes",2&gt;=Projects!$C$13,2&lt;Projects!$C$13+Projects!$D$13),Projects!$B$13*(1-SUMPRODUCT((Curves!$B$2:$AO$2)*(COLUMN(Curves!$B$2:$AO$2)-COLUMN(Curves!$B$2)+1&lt;=2-Projects!$C$13+1))),0)</f>
        <v>0</v>
      </c>
      <c r="E14" s="231">
        <f>IF(AND(Projects!$G$13="Yes",Projects!$F$13="Yes",3&gt;=Projects!$C$13,3&lt;Projects!$C$13+Projects!$D$13),Projects!$B$13*(1-SUMPRODUCT((Curves!$B$2:$AO$2)*(COLUMN(Curves!$B$2:$AO$2)-COLUMN(Curves!$B$2)+1&lt;=3-Projects!$C$13+1))),0)</f>
        <v>0</v>
      </c>
      <c r="F14" s="231">
        <f>IF(AND(Projects!$G$13="Yes",Projects!$F$13="Yes",4&gt;=Projects!$C$13,4&lt;Projects!$C$13+Projects!$D$13),Projects!$B$13*(1-SUMPRODUCT((Curves!$B$2:$AO$2)*(COLUMN(Curves!$B$2:$AO$2)-COLUMN(Curves!$B$2)+1&lt;=4-Projects!$C$13+1))),0)</f>
        <v>0</v>
      </c>
      <c r="G14" s="231">
        <f>IF(AND(Projects!$G$13="Yes",Projects!$F$13="Yes",5&gt;=Projects!$C$13,5&lt;Projects!$C$13+Projects!$D$13),Projects!$B$13*(1-SUMPRODUCT((Curves!$B$2:$AO$2)*(COLUMN(Curves!$B$2:$AO$2)-COLUMN(Curves!$B$2)+1&lt;=5-Projects!$C$13+1))),0)</f>
        <v>0</v>
      </c>
      <c r="H14" s="231">
        <f>IF(AND(Projects!$G$13="Yes",Projects!$F$13="Yes",6&gt;=Projects!$C$13,6&lt;Projects!$C$13+Projects!$D$13),Projects!$B$13*(1-SUMPRODUCT((Curves!$B$2:$AO$2)*(COLUMN(Curves!$B$2:$AO$2)-COLUMN(Curves!$B$2)+1&lt;=6-Projects!$C$13+1))),0)</f>
        <v>0</v>
      </c>
      <c r="I14" s="231">
        <f>IF(AND(Projects!$G$13="Yes",Projects!$F$13="Yes",7&gt;=Projects!$C$13,7&lt;Projects!$C$13+Projects!$D$13),Projects!$B$13*(1-SUMPRODUCT((Curves!$B$2:$AO$2)*(COLUMN(Curves!$B$2:$AO$2)-COLUMN(Curves!$B$2)+1&lt;=7-Projects!$C$13+1))),0)</f>
        <v>0</v>
      </c>
      <c r="J14" s="231">
        <f>IF(AND(Projects!$G$13="Yes",Projects!$F$13="Yes",8&gt;=Projects!$C$13,8&lt;Projects!$C$13+Projects!$D$13),Projects!$B$13*(1-SUMPRODUCT((Curves!$B$2:$AO$2)*(COLUMN(Curves!$B$2:$AO$2)-COLUMN(Curves!$B$2)+1&lt;=8-Projects!$C$13+1))),0)</f>
        <v>0</v>
      </c>
      <c r="K14" s="231">
        <f>IF(AND(Projects!$G$13="Yes",Projects!$F$13="Yes",9&gt;=Projects!$C$13,9&lt;Projects!$C$13+Projects!$D$13),Projects!$B$13*(1-SUMPRODUCT((Curves!$B$2:$AO$2)*(COLUMN(Curves!$B$2:$AO$2)-COLUMN(Curves!$B$2)+1&lt;=9-Projects!$C$13+1))),0)</f>
        <v>0</v>
      </c>
      <c r="L14" s="231">
        <f>IF(AND(Projects!$G$13="Yes",Projects!$F$13="Yes",10&gt;=Projects!$C$13,10&lt;Projects!$C$13+Projects!$D$13),Projects!$B$13*(1-SUMPRODUCT((Curves!$B$2:$AO$2)*(COLUMN(Curves!$B$2:$AO$2)-COLUMN(Curves!$B$2)+1&lt;=10-Projects!$C$13+1))),0)</f>
        <v>0</v>
      </c>
      <c r="M14" s="231">
        <f>IF(AND(Projects!$G$13="Yes",Projects!$F$13="Yes",11&gt;=Projects!$C$13,11&lt;Projects!$C$13+Projects!$D$13),Projects!$B$13*(1-SUMPRODUCT((Curves!$B$2:$AO$2)*(COLUMN(Curves!$B$2:$AO$2)-COLUMN(Curves!$B$2)+1&lt;=11-Projects!$C$13+1))),0)</f>
        <v>0</v>
      </c>
      <c r="N14" s="231">
        <f>IF(AND(Projects!$G$13="Yes",Projects!$F$13="Yes",12&gt;=Projects!$C$13,12&lt;Projects!$C$13+Projects!$D$13),Projects!$B$13*(1-SUMPRODUCT((Curves!$B$2:$AO$2)*(COLUMN(Curves!$B$2:$AO$2)-COLUMN(Curves!$B$2)+1&lt;=12-Projects!$C$13+1))),0)</f>
        <v>0</v>
      </c>
      <c r="O14" s="231">
        <f>IF(AND(Projects!$G$13="Yes",Projects!$F$13="Yes",13&gt;=Projects!$C$13,13&lt;Projects!$C$13+Projects!$D$13),Projects!$B$13*(1-SUMPRODUCT((Curves!$B$2:$AO$2)*(COLUMN(Curves!$B$2:$AO$2)-COLUMN(Curves!$B$2)+1&lt;=13-Projects!$C$13+1))),0)</f>
        <v>44537929.736230001</v>
      </c>
      <c r="P14" s="231">
        <f>IF(AND(Projects!$G$13="Yes",Projects!$F$13="Yes",14&gt;=Projects!$C$13,14&lt;Projects!$C$13+Projects!$D$13),Projects!$B$13*(1-SUMPRODUCT((Curves!$B$2:$AO$2)*(COLUMN(Curves!$B$2:$AO$2)-COLUMN(Curves!$B$2)+1&lt;=14-Projects!$C$13+1))),0)</f>
        <v>43699679.689369999</v>
      </c>
      <c r="Q14" s="231">
        <f>IF(AND(Projects!$G$13="Yes",Projects!$F$13="Yes",15&gt;=Projects!$C$13,15&lt;Projects!$C$13+Projects!$D$13),Projects!$B$13*(1-SUMPRODUCT((Curves!$B$2:$AO$2)*(COLUMN(Curves!$B$2:$AO$2)-COLUMN(Curves!$B$2)+1&lt;=15-Projects!$C$13+1))),0)</f>
        <v>42745139.310379997</v>
      </c>
      <c r="R14" s="231">
        <f>IF(AND(Projects!$G$13="Yes",Projects!$F$13="Yes",16&gt;=Projects!$C$13,16&lt;Projects!$C$13+Projects!$D$13),Projects!$B$13*(1-SUMPRODUCT((Curves!$B$2:$AO$2)*(COLUMN(Curves!$B$2:$AO$2)-COLUMN(Curves!$B$2)+1&lt;=16-Projects!$C$13+1))),0)</f>
        <v>41669012.387170002</v>
      </c>
      <c r="S14" s="231">
        <f>IF(AND(Projects!$G$13="Yes",Projects!$F$13="Yes",17&gt;=Projects!$C$13,17&lt;Projects!$C$13+Projects!$D$13),Projects!$B$13*(1-SUMPRODUCT((Curves!$B$2:$AO$2)*(COLUMN(Curves!$B$2:$AO$2)-COLUMN(Curves!$B$2)+1&lt;=17-Projects!$C$13+1))),0)</f>
        <v>40467858.645219997</v>
      </c>
      <c r="T14" s="231">
        <f>IF(AND(Projects!$G$13="Yes",Projects!$F$13="Yes",18&gt;=Projects!$C$13,18&lt;Projects!$C$13+Projects!$D$13),Projects!$B$13*(1-SUMPRODUCT((Curves!$B$2:$AO$2)*(COLUMN(Curves!$B$2:$AO$2)-COLUMN(Curves!$B$2)+1&lt;=18-Projects!$C$13+1))),0)</f>
        <v>39140501.148510002</v>
      </c>
      <c r="U14" s="231">
        <f>IF(AND(Projects!$G$13="Yes",Projects!$F$13="Yes",19&gt;=Projects!$C$13,19&lt;Projects!$C$13+Projects!$D$13),Projects!$B$13*(1-SUMPRODUCT((Curves!$B$2:$AO$2)*(COLUMN(Curves!$B$2:$AO$2)-COLUMN(Curves!$B$2)+1&lt;=19-Projects!$C$13+1))),0)</f>
        <v>37688252.633369997</v>
      </c>
      <c r="V14" s="231">
        <f>IF(AND(Projects!$G$13="Yes",Projects!$F$13="Yes",20&gt;=Projects!$C$13,20&lt;Projects!$C$13+Projects!$D$13),Projects!$B$13*(1-SUMPRODUCT((Curves!$B$2:$AO$2)*(COLUMN(Curves!$B$2:$AO$2)-COLUMN(Curves!$B$2)+1&lt;=20-Projects!$C$13+1))),0)</f>
        <v>36115141.842330001</v>
      </c>
      <c r="W14" s="231">
        <f>IF(AND(Projects!$G$13="Yes",Projects!$F$13="Yes",21&gt;=Projects!$C$13,21&lt;Projects!$C$13+Projects!$D$13),Projects!$B$13*(1-SUMPRODUCT((Curves!$B$2:$AO$2)*(COLUMN(Curves!$B$2:$AO$2)-COLUMN(Curves!$B$2)+1&lt;=21-Projects!$C$13+1))),0)</f>
        <v>34428094.591200002</v>
      </c>
      <c r="X14" s="231">
        <f>IF(AND(Projects!$G$13="Yes",Projects!$F$13="Yes",22&gt;=Projects!$C$13,22&lt;Projects!$C$13+Projects!$D$13),Projects!$B$13*(1-SUMPRODUCT((Curves!$B$2:$AO$2)*(COLUMN(Curves!$B$2:$AO$2)-COLUMN(Curves!$B$2)+1&lt;=22-Projects!$C$13+1))),0)</f>
        <v>32636797.968759999</v>
      </c>
      <c r="Y14" s="231">
        <f>IF(AND(Projects!$G$13="Yes",Projects!$F$13="Yes",23&gt;=Projects!$C$13,23&lt;Projects!$C$13+Projects!$D$13),Projects!$B$13*(1-SUMPRODUCT((Curves!$B$2:$AO$2)*(COLUMN(Curves!$B$2:$AO$2)-COLUMN(Curves!$B$2)+1&lt;=23-Projects!$C$13+1))),0)</f>
        <v>30753745.603530001</v>
      </c>
      <c r="Z14" s="231">
        <f>IF(AND(Projects!$G$13="Yes",Projects!$F$13="Yes",24&gt;=Projects!$C$13,24&lt;Projects!$C$13+Projects!$D$13),Projects!$B$13*(1-SUMPRODUCT((Curves!$B$2:$AO$2)*(COLUMN(Curves!$B$2:$AO$2)-COLUMN(Curves!$B$2)+1&lt;=24-Projects!$C$13+1))),0)</f>
        <v>28793920.796380002</v>
      </c>
      <c r="AA14" s="231">
        <f>IF(AND(Projects!$G$13="Yes",Projects!$F$13="Yes",25&gt;=Projects!$C$13,25&lt;Projects!$C$13+Projects!$D$13),Projects!$B$13*(1-SUMPRODUCT((Curves!$B$2:$AO$2)*(COLUMN(Curves!$B$2:$AO$2)-COLUMN(Curves!$B$2)+1&lt;=25-Projects!$C$13+1))),0)</f>
        <v>26774434.386370003</v>
      </c>
      <c r="AB14" s="231">
        <f>IF(AND(Projects!$G$13="Yes",Projects!$F$13="Yes",26&gt;=Projects!$C$13,26&lt;Projects!$C$13+Projects!$D$13),Projects!$B$13*(1-SUMPRODUCT((Curves!$B$2:$AO$2)*(COLUMN(Curves!$B$2:$AO$2)-COLUMN(Curves!$B$2)+1&lt;=26-Projects!$C$13+1))),0)</f>
        <v>24714207.883360002</v>
      </c>
      <c r="AC14" s="231">
        <f>IF(AND(Projects!$G$13="Yes",Projects!$F$13="Yes",27&gt;=Projects!$C$13,27&lt;Projects!$C$13+Projects!$D$13),Projects!$B$13*(1-SUMPRODUCT((Curves!$B$2:$AO$2)*(COLUMN(Curves!$B$2:$AO$2)-COLUMN(Curves!$B$2)+1&lt;=27-Projects!$C$13+1))),0)</f>
        <v>22633294.466460001</v>
      </c>
      <c r="AD14" s="231">
        <f>IF(AND(Projects!$G$13="Yes",Projects!$F$13="Yes",28&gt;=Projects!$C$13,28&lt;Projects!$C$13+Projects!$D$13),Projects!$B$13*(1-SUMPRODUCT((Curves!$B$2:$AO$2)*(COLUMN(Curves!$B$2:$AO$2)-COLUMN(Curves!$B$2)+1&lt;=28-Projects!$C$13+1))),0)</f>
        <v>20552381.049560003</v>
      </c>
      <c r="AE14" s="231">
        <f>IF(AND(Projects!$G$13="Yes",Projects!$F$13="Yes",29&gt;=Projects!$C$13,29&lt;Projects!$C$13+Projects!$D$13),Projects!$B$13*(1-SUMPRODUCT((Curves!$B$2:$AO$2)*(COLUMN(Curves!$B$2:$AO$2)-COLUMN(Curves!$B$2)+1&lt;=29-Projects!$C$13+1))),0)</f>
        <v>18492154.546550002</v>
      </c>
      <c r="AF14" s="231">
        <f>IF(AND(Projects!$G$13="Yes",Projects!$F$13="Yes",30&gt;=Projects!$C$13,30&lt;Projects!$C$13+Projects!$D$13),Projects!$B$13*(1-SUMPRODUCT((Curves!$B$2:$AO$2)*(COLUMN(Curves!$B$2:$AO$2)-COLUMN(Curves!$B$2)+1&lt;=30-Projects!$C$13+1))),0)</f>
        <v>16472668.136540003</v>
      </c>
      <c r="AG14" s="231">
        <f>IF(AND(Projects!$G$13="Yes",Projects!$F$13="Yes",31&gt;=Projects!$C$13,31&lt;Projects!$C$13+Projects!$D$13),Projects!$B$13*(1-SUMPRODUCT((Curves!$B$2:$AO$2)*(COLUMN(Curves!$B$2:$AO$2)-COLUMN(Curves!$B$2)+1&lt;=31-Projects!$C$13+1))),0)</f>
        <v>14512843.329390004</v>
      </c>
      <c r="AH14" s="231">
        <f>IF(AND(Projects!$G$13="Yes",Projects!$F$13="Yes",32&gt;=Projects!$C$13,32&lt;Projects!$C$13+Projects!$D$13),Projects!$B$13*(1-SUMPRODUCT((Curves!$B$2:$AO$2)*(COLUMN(Curves!$B$2:$AO$2)-COLUMN(Curves!$B$2)+1&lt;=32-Projects!$C$13+1))),0)</f>
        <v>12629790.964160006</v>
      </c>
      <c r="AI14" s="231">
        <f>IF(AND(Projects!$G$13="Yes",Projects!$F$13="Yes",33&gt;=Projects!$C$13,33&lt;Projects!$C$13+Projects!$D$13),Projects!$B$13*(1-SUMPRODUCT((Curves!$B$2:$AO$2)*(COLUMN(Curves!$B$2:$AO$2)-COLUMN(Curves!$B$2)+1&lt;=33-Projects!$C$13+1))),0)</f>
        <v>10838494.341720004</v>
      </c>
      <c r="AJ14" s="231">
        <f>IF(AND(Projects!$G$13="Yes",Projects!$F$13="Yes",34&gt;=Projects!$C$13,34&lt;Projects!$C$13+Projects!$D$13),Projects!$B$13*(1-SUMPRODUCT((Curves!$B$2:$AO$2)*(COLUMN(Curves!$B$2:$AO$2)-COLUMN(Curves!$B$2)+1&lt;=34-Projects!$C$13+1))),0)</f>
        <v>9151447.0905900039</v>
      </c>
      <c r="AK14" s="231">
        <f>IF(AND(Projects!$G$13="Yes",Projects!$F$13="Yes",35&gt;=Projects!$C$13,35&lt;Projects!$C$13+Projects!$D$13),Projects!$B$13*(1-SUMPRODUCT((Curves!$B$2:$AO$2)*(COLUMN(Curves!$B$2:$AO$2)-COLUMN(Curves!$B$2)+1&lt;=35-Projects!$C$13+1))),0)</f>
        <v>7578336.2995500043</v>
      </c>
      <c r="AL14" s="231">
        <f>IF(AND(Projects!$G$13="Yes",Projects!$F$13="Yes",36&gt;=Projects!$C$13,36&lt;Projects!$C$13+Projects!$D$13),Projects!$B$13*(1-SUMPRODUCT((Curves!$B$2:$AO$2)*(COLUMN(Curves!$B$2:$AO$2)-COLUMN(Curves!$B$2)+1&lt;=36-Projects!$C$13+1))),0)</f>
        <v>6126087.7844100064</v>
      </c>
      <c r="AM14" s="231">
        <f>IF(AND(Projects!$G$13="Yes",Projects!$F$13="Yes",37&gt;=Projects!$C$13,37&lt;Projects!$C$13+Projects!$D$13),Projects!$B$13*(1-SUMPRODUCT((Curves!$B$2:$AO$2)*(COLUMN(Curves!$B$2:$AO$2)-COLUMN(Curves!$B$2)+1&lt;=37-Projects!$C$13+1))),0)</f>
        <v>4798730.2877000077</v>
      </c>
      <c r="AN14" s="231">
        <f>IF(AND(Projects!$G$13="Yes",Projects!$F$13="Yes",38&gt;=Projects!$C$13,38&lt;Projects!$C$13+Projects!$D$13),Projects!$B$13*(1-SUMPRODUCT((Curves!$B$2:$AO$2)*(COLUMN(Curves!$B$2:$AO$2)-COLUMN(Curves!$B$2)+1&lt;=38-Projects!$C$13+1))),0)</f>
        <v>3597576.5457500084</v>
      </c>
      <c r="AO14" s="231">
        <f>IF(AND(Projects!$G$13="Yes",Projects!$F$13="Yes",39&gt;=Projects!$C$13,39&lt;Projects!$C$13+Projects!$D$13),Projects!$B$13*(1-SUMPRODUCT((Curves!$B$2:$AO$2)*(COLUMN(Curves!$B$2:$AO$2)-COLUMN(Curves!$B$2)+1&lt;=39-Projects!$C$13+1))),0)</f>
        <v>2521449.6225400064</v>
      </c>
      <c r="AP14" s="231">
        <f>IF(AND(Projects!$G$13="Yes",Projects!$F$13="Yes",40&gt;=Projects!$C$13,40&lt;Projects!$C$13+Projects!$D$13),Projects!$B$13*(1-SUMPRODUCT((Curves!$B$2:$AO$2)*(COLUMN(Curves!$B$2:$AO$2)-COLUMN(Curves!$B$2)+1&lt;=40-Projects!$C$13+1))),0)</f>
        <v>1566909.2435500079</v>
      </c>
      <c r="AQ14" s="231">
        <f>IF(AND(Projects!$G$13="Yes",Projects!$F$13="Yes",41&gt;=Projects!$C$13,41&lt;Projects!$C$13+Projects!$D$13),Projects!$B$13*(1-SUMPRODUCT((Curves!$B$2:$AO$2)*(COLUMN(Curves!$B$2:$AO$2)-COLUMN(Curves!$B$2)+1&lt;=41-Projects!$C$13+1))),0)</f>
        <v>728659.1966900063</v>
      </c>
      <c r="AR14" s="231">
        <f>IF(AND(Projects!$G$13="Yes",Projects!$F$13="Yes",42&gt;=Projects!$C$13,42&lt;Projects!$C$13+Projects!$D$13),Projects!$B$13*(1-SUMPRODUCT((Curves!$B$2:$AO$2)*(COLUMN(Curves!$B$2:$AO$2)-COLUMN(Curves!$B$2)+1&lt;=42-Projects!$C$13+1))),0)</f>
        <v>-181.06707999515547</v>
      </c>
      <c r="AS14" s="231">
        <f>IF(AND(Projects!$G$13="Yes",Projects!$F$13="Yes",43&gt;=Projects!$C$13,43&lt;Projects!$C$13+Projects!$D$13),Projects!$B$13*(1-SUMPRODUCT((Curves!$B$2:$AO$2)*(COLUMN(Curves!$B$2:$AO$2)-COLUMN(Curves!$B$2)+1&lt;=43-Projects!$C$13+1))),0)</f>
        <v>0</v>
      </c>
      <c r="AT14" s="231">
        <f>IF(AND(Projects!$G$13="Yes",Projects!$F$13="Yes",44&gt;=Projects!$C$13,44&lt;Projects!$C$13+Projects!$D$13),Projects!$B$13*(1-SUMPRODUCT((Curves!$B$2:$AO$2)*(COLUMN(Curves!$B$2:$AO$2)-COLUMN(Curves!$B$2)+1&lt;=44-Projects!$C$13+1))),0)</f>
        <v>0</v>
      </c>
      <c r="AU14" s="231">
        <f>IF(AND(Projects!$G$13="Yes",Projects!$F$13="Yes",45&gt;=Projects!$C$13,45&lt;Projects!$C$13+Projects!$D$13),Projects!$B$13*(1-SUMPRODUCT((Curves!$B$2:$AO$2)*(COLUMN(Curves!$B$2:$AO$2)-COLUMN(Curves!$B$2)+1&lt;=45-Projects!$C$13+1))),0)</f>
        <v>0</v>
      </c>
      <c r="AV14" s="231">
        <f>IF(AND(Projects!$G$13="Yes",Projects!$F$13="Yes",46&gt;=Projects!$C$13,46&lt;Projects!$C$13+Projects!$D$13),Projects!$B$13*(1-SUMPRODUCT((Curves!$B$2:$AO$2)*(COLUMN(Curves!$B$2:$AO$2)-COLUMN(Curves!$B$2)+1&lt;=46-Projects!$C$13+1))),0)</f>
        <v>0</v>
      </c>
      <c r="AW14" s="231">
        <f>IF(AND(Projects!$G$13="Yes",Projects!$F$13="Yes",47&gt;=Projects!$C$13,47&lt;Projects!$C$13+Projects!$D$13),Projects!$B$13*(1-SUMPRODUCT((Curves!$B$2:$AO$2)*(COLUMN(Curves!$B$2:$AO$2)-COLUMN(Curves!$B$2)+1&lt;=47-Projects!$C$13+1))),0)</f>
        <v>0</v>
      </c>
      <c r="AX14" s="231">
        <f>IF(AND(Projects!$G$13="Yes",Projects!$F$13="Yes",48&gt;=Projects!$C$13,48&lt;Projects!$C$13+Projects!$D$13),Projects!$B$13*(1-SUMPRODUCT((Curves!$B$2:$AO$2)*(COLUMN(Curves!$B$2:$AO$2)-COLUMN(Curves!$B$2)+1&lt;=48-Projects!$C$13+1))),0)</f>
        <v>0</v>
      </c>
      <c r="AY14" s="231">
        <f>IF(AND(Projects!$G$13="Yes",Projects!$F$13="Yes",49&gt;=Projects!$C$13,49&lt;Projects!$C$13+Projects!$D$13),Projects!$B$13*(1-SUMPRODUCT((Curves!$B$2:$AO$2)*(COLUMN(Curves!$B$2:$AO$2)-COLUMN(Curves!$B$2)+1&lt;=49-Projects!$C$13+1))),0)</f>
        <v>0</v>
      </c>
      <c r="AZ14" s="231">
        <f>IF(AND(Projects!$G$13="Yes",Projects!$F$13="Yes",50&gt;=Projects!$C$13,50&lt;Projects!$C$13+Projects!$D$13),Projects!$B$13*(1-SUMPRODUCT((Curves!$B$2:$AO$2)*(COLUMN(Curves!$B$2:$AO$2)-COLUMN(Curves!$B$2)+1&lt;=50-Projects!$C$13+1))),0)</f>
        <v>0</v>
      </c>
      <c r="BA14" s="231">
        <f>IF(AND(Projects!$G$13="Yes",Projects!$F$13="Yes",51&gt;=Projects!$C$13,51&lt;Projects!$C$13+Projects!$D$13),Projects!$B$13*(1-SUMPRODUCT((Curves!$B$2:$AO$2)*(COLUMN(Curves!$B$2:$AO$2)-COLUMN(Curves!$B$2)+1&lt;=51-Projects!$C$13+1))),0)</f>
        <v>0</v>
      </c>
      <c r="BB14" s="231">
        <f>IF(AND(Projects!$G$13="Yes",Projects!$F$13="Yes",52&gt;=Projects!$C$13,52&lt;Projects!$C$13+Projects!$D$13),Projects!$B$13*(1-SUMPRODUCT((Curves!$B$2:$AO$2)*(COLUMN(Curves!$B$2:$AO$2)-COLUMN(Curves!$B$2)+1&lt;=52-Projects!$C$13+1))),0)</f>
        <v>0</v>
      </c>
      <c r="BC14" s="231">
        <f>IF(AND(Projects!$G$13="Yes",Projects!$F$13="Yes",53&gt;=Projects!$C$13,53&lt;Projects!$C$13+Projects!$D$13),Projects!$B$13*(1-SUMPRODUCT((Curves!$B$2:$AO$2)*(COLUMN(Curves!$B$2:$AO$2)-COLUMN(Curves!$B$2)+1&lt;=53-Projects!$C$13+1))),0)</f>
        <v>0</v>
      </c>
      <c r="BD14" s="231">
        <f>IF(AND(Projects!$G$13="Yes",Projects!$F$13="Yes",54&gt;=Projects!$C$13,54&lt;Projects!$C$13+Projects!$D$13),Projects!$B$13*(1-SUMPRODUCT((Curves!$B$2:$AO$2)*(COLUMN(Curves!$B$2:$AO$2)-COLUMN(Curves!$B$2)+1&lt;=54-Projects!$C$13+1))),0)</f>
        <v>0</v>
      </c>
      <c r="BE14" s="231">
        <f>IF(AND(Projects!$G$13="Yes",Projects!$F$13="Yes",55&gt;=Projects!$C$13,55&lt;Projects!$C$13+Projects!$D$13),Projects!$B$13*(1-SUMPRODUCT((Curves!$B$2:$AO$2)*(COLUMN(Curves!$B$2:$AO$2)-COLUMN(Curves!$B$2)+1&lt;=55-Projects!$C$13+1))),0)</f>
        <v>0</v>
      </c>
      <c r="BF14" s="231">
        <f>IF(AND(Projects!$G$13="Yes",Projects!$F$13="Yes",56&gt;=Projects!$C$13,56&lt;Projects!$C$13+Projects!$D$13),Projects!$B$13*(1-SUMPRODUCT((Curves!$B$2:$AO$2)*(COLUMN(Curves!$B$2:$AO$2)-COLUMN(Curves!$B$2)+1&lt;=56-Projects!$C$13+1))),0)</f>
        <v>0</v>
      </c>
      <c r="BG14" s="231">
        <f>IF(AND(Projects!$G$13="Yes",Projects!$F$13="Yes",57&gt;=Projects!$C$13,57&lt;Projects!$C$13+Projects!$D$13),Projects!$B$13*(1-SUMPRODUCT((Curves!$B$2:$AO$2)*(COLUMN(Curves!$B$2:$AO$2)-COLUMN(Curves!$B$2)+1&lt;=57-Projects!$C$13+1))),0)</f>
        <v>0</v>
      </c>
      <c r="BH14" s="231">
        <f>IF(AND(Projects!$G$13="Yes",Projects!$F$13="Yes",58&gt;=Projects!$C$13,58&lt;Projects!$C$13+Projects!$D$13),Projects!$B$13*(1-SUMPRODUCT((Curves!$B$2:$AO$2)*(COLUMN(Curves!$B$2:$AO$2)-COLUMN(Curves!$B$2)+1&lt;=58-Projects!$C$13+1))),0)</f>
        <v>0</v>
      </c>
      <c r="BI14" s="231">
        <f>IF(AND(Projects!$G$13="Yes",Projects!$F$13="Yes",59&gt;=Projects!$C$13,59&lt;Projects!$C$13+Projects!$D$13),Projects!$B$13*(1-SUMPRODUCT((Curves!$B$2:$AO$2)*(COLUMN(Curves!$B$2:$AO$2)-COLUMN(Curves!$B$2)+1&lt;=59-Projects!$C$13+1))),0)</f>
        <v>0</v>
      </c>
      <c r="BJ14" s="231">
        <f>IF(AND(Projects!$G$13="Yes",Projects!$F$13="Yes",60&gt;=Projects!$C$13,60&lt;Projects!$C$13+Projects!$D$13),Projects!$B$13*(1-SUMPRODUCT((Curves!$B$2:$AO$2)*(COLUMN(Curves!$B$2:$AO$2)-COLUMN(Curves!$B$2)+1&lt;=60-Projects!$C$13+1))),0)</f>
        <v>0</v>
      </c>
      <c r="BK14" s="231">
        <f>IF(AND(Projects!$G$13="Yes",Projects!$F$13="Yes",61&gt;=Projects!$C$13,61&lt;Projects!$C$13+Projects!$D$13),Projects!$B$13*(1-SUMPRODUCT((Curves!$B$2:$AO$2)*(COLUMN(Curves!$B$2:$AO$2)-COLUMN(Curves!$B$2)+1&lt;=61-Projects!$C$13+1))),0)</f>
        <v>0</v>
      </c>
      <c r="BL14" s="231">
        <f>IF(AND(Projects!$G$13="Yes",Projects!$F$13="Yes",62&gt;=Projects!$C$13,62&lt;Projects!$C$13+Projects!$D$13),Projects!$B$13*(1-SUMPRODUCT((Curves!$B$2:$AO$2)*(COLUMN(Curves!$B$2:$AO$2)-COLUMN(Curves!$B$2)+1&lt;=62-Projects!$C$13+1))),0)</f>
        <v>0</v>
      </c>
      <c r="BM14" s="231">
        <f>IF(AND(Projects!$G$13="Yes",Projects!$F$13="Yes",63&gt;=Projects!$C$13,63&lt;Projects!$C$13+Projects!$D$13),Projects!$B$13*(1-SUMPRODUCT((Curves!$B$2:$AO$2)*(COLUMN(Curves!$B$2:$AO$2)-COLUMN(Curves!$B$2)+1&lt;=63-Projects!$C$13+1))),0)</f>
        <v>0</v>
      </c>
      <c r="BN14" s="231">
        <f>IF(AND(Projects!$G$13="Yes",Projects!$F$13="Yes",64&gt;=Projects!$C$13,64&lt;Projects!$C$13+Projects!$D$13),Projects!$B$13*(1-SUMPRODUCT((Curves!$B$2:$AO$2)*(COLUMN(Curves!$B$2:$AO$2)-COLUMN(Curves!$B$2)+1&lt;=64-Projects!$C$13+1))),0)</f>
        <v>0</v>
      </c>
      <c r="BO14" s="231">
        <f>IF(AND(Projects!$G$13="Yes",Projects!$F$13="Yes",65&gt;=Projects!$C$13,65&lt;Projects!$C$13+Projects!$D$13),Projects!$B$13*(1-SUMPRODUCT((Curves!$B$2:$AO$2)*(COLUMN(Curves!$B$2:$AO$2)-COLUMN(Curves!$B$2)+1&lt;=65-Projects!$C$13+1))),0)</f>
        <v>0</v>
      </c>
      <c r="BP14" s="231">
        <f>IF(AND(Projects!$G$13="Yes",Projects!$F$13="Yes",66&gt;=Projects!$C$13,66&lt;Projects!$C$13+Projects!$D$13),Projects!$B$13*(1-SUMPRODUCT((Curves!$B$2:$AO$2)*(COLUMN(Curves!$B$2:$AO$2)-COLUMN(Curves!$B$2)+1&lt;=66-Projects!$C$13+1))),0)</f>
        <v>0</v>
      </c>
      <c r="BQ14" s="231">
        <f>IF(AND(Projects!$G$13="Yes",Projects!$F$13="Yes",67&gt;=Projects!$C$13,67&lt;Projects!$C$13+Projects!$D$13),Projects!$B$13*(1-SUMPRODUCT((Curves!$B$2:$AO$2)*(COLUMN(Curves!$B$2:$AO$2)-COLUMN(Curves!$B$2)+1&lt;=67-Projects!$C$13+1))),0)</f>
        <v>0</v>
      </c>
      <c r="BR14" s="231">
        <f>IF(AND(Projects!$G$13="Yes",Projects!$F$13="Yes",68&gt;=Projects!$C$13,68&lt;Projects!$C$13+Projects!$D$13),Projects!$B$13*(1-SUMPRODUCT((Curves!$B$2:$AO$2)*(COLUMN(Curves!$B$2:$AO$2)-COLUMN(Curves!$B$2)+1&lt;=68-Projects!$C$13+1))),0)</f>
        <v>0</v>
      </c>
      <c r="BS14" s="231">
        <f>IF(AND(Projects!$G$13="Yes",Projects!$F$13="Yes",69&gt;=Projects!$C$13,69&lt;Projects!$C$13+Projects!$D$13),Projects!$B$13*(1-SUMPRODUCT((Curves!$B$2:$AO$2)*(COLUMN(Curves!$B$2:$AO$2)-COLUMN(Curves!$B$2)+1&lt;=69-Projects!$C$13+1))),0)</f>
        <v>0</v>
      </c>
      <c r="BT14" s="231">
        <f>IF(AND(Projects!$G$13="Yes",Projects!$F$13="Yes",70&gt;=Projects!$C$13,70&lt;Projects!$C$13+Projects!$D$13),Projects!$B$13*(1-SUMPRODUCT((Curves!$B$2:$AO$2)*(COLUMN(Curves!$B$2:$AO$2)-COLUMN(Curves!$B$2)+1&lt;=70-Projects!$C$13+1))),0)</f>
        <v>0</v>
      </c>
      <c r="BU14" s="231">
        <f>IF(AND(Projects!$G$13="Yes",Projects!$F$13="Yes",71&gt;=Projects!$C$13,71&lt;Projects!$C$13+Projects!$D$13),Projects!$B$13*(1-SUMPRODUCT((Curves!$B$2:$AO$2)*(COLUMN(Curves!$B$2:$AO$2)-COLUMN(Curves!$B$2)+1&lt;=71-Projects!$C$13+1))),0)</f>
        <v>0</v>
      </c>
      <c r="BV14" s="231">
        <f>IF(AND(Projects!$G$13="Yes",Projects!$F$13="Yes",72&gt;=Projects!$C$13,72&lt;Projects!$C$13+Projects!$D$13),Projects!$B$13*(1-SUMPRODUCT((Curves!$B$2:$AO$2)*(COLUMN(Curves!$B$2:$AO$2)-COLUMN(Curves!$B$2)+1&lt;=72-Projects!$C$13+1))),0)</f>
        <v>0</v>
      </c>
      <c r="BW14" s="231">
        <f>IF(AND(Projects!$G$13="Yes",Projects!$F$13="Yes",73&gt;=Projects!$C$13,73&lt;Projects!$C$13+Projects!$D$13),Projects!$B$13*(1-SUMPRODUCT((Curves!$B$2:$AO$2)*(COLUMN(Curves!$B$2:$AO$2)-COLUMN(Curves!$B$2)+1&lt;=73-Projects!$C$13+1))),0)</f>
        <v>0</v>
      </c>
      <c r="BX14" s="231">
        <f>IF(AND(Projects!$G$13="Yes",Projects!$F$13="Yes",74&gt;=Projects!$C$13,74&lt;Projects!$C$13+Projects!$D$13),Projects!$B$13*(1-SUMPRODUCT((Curves!$B$2:$AO$2)*(COLUMN(Curves!$B$2:$AO$2)-COLUMN(Curves!$B$2)+1&lt;=74-Projects!$C$13+1))),0)</f>
        <v>0</v>
      </c>
      <c r="BY14" s="231">
        <f>IF(AND(Projects!$G$13="Yes",Projects!$F$13="Yes",75&gt;=Projects!$C$13,75&lt;Projects!$C$13+Projects!$D$13),Projects!$B$13*(1-SUMPRODUCT((Curves!$B$2:$AO$2)*(COLUMN(Curves!$B$2:$AO$2)-COLUMN(Curves!$B$2)+1&lt;=75-Projects!$C$13+1))),0)</f>
        <v>0</v>
      </c>
      <c r="BZ14" s="231">
        <f>IF(AND(Projects!$G$13="Yes",Projects!$F$13="Yes",76&gt;=Projects!$C$13,76&lt;Projects!$C$13+Projects!$D$13),Projects!$B$13*(1-SUMPRODUCT((Curves!$B$2:$AO$2)*(COLUMN(Curves!$B$2:$AO$2)-COLUMN(Curves!$B$2)+1&lt;=76-Projects!$C$13+1))),0)</f>
        <v>0</v>
      </c>
      <c r="CA14" s="231">
        <f>IF(AND(Projects!$G$13="Yes",Projects!$F$13="Yes",77&gt;=Projects!$C$13,77&lt;Projects!$C$13+Projects!$D$13),Projects!$B$13*(1-SUMPRODUCT((Curves!$B$2:$AO$2)*(COLUMN(Curves!$B$2:$AO$2)-COLUMN(Curves!$B$2)+1&lt;=77-Projects!$C$13+1))),0)</f>
        <v>0</v>
      </c>
      <c r="CB14" s="231">
        <f>IF(AND(Projects!$G$13="Yes",Projects!$F$13="Yes",78&gt;=Projects!$C$13,78&lt;Projects!$C$13+Projects!$D$13),Projects!$B$13*(1-SUMPRODUCT((Curves!$B$2:$AO$2)*(COLUMN(Curves!$B$2:$AO$2)-COLUMN(Curves!$B$2)+1&lt;=78-Projects!$C$13+1))),0)</f>
        <v>0</v>
      </c>
      <c r="CC14" s="231">
        <f>IF(AND(Projects!$G$13="Yes",Projects!$F$13="Yes",79&gt;=Projects!$C$13,79&lt;Projects!$C$13+Projects!$D$13),Projects!$B$13*(1-SUMPRODUCT((Curves!$B$2:$AO$2)*(COLUMN(Curves!$B$2:$AO$2)-COLUMN(Curves!$B$2)+1&lt;=79-Projects!$C$13+1))),0)</f>
        <v>0</v>
      </c>
      <c r="CD14" s="231">
        <f>IF(AND(Projects!$G$13="Yes",Projects!$F$13="Yes",80&gt;=Projects!$C$13,80&lt;Projects!$C$13+Projects!$D$13),Projects!$B$13*(1-SUMPRODUCT((Curves!$B$2:$AO$2)*(COLUMN(Curves!$B$2:$AO$2)-COLUMN(Curves!$B$2)+1&lt;=80-Projects!$C$13+1))),0)</f>
        <v>0</v>
      </c>
      <c r="CE14" s="231">
        <f>IF(AND(Projects!$G$13="Yes",Projects!$F$13="Yes",81&gt;=Projects!$C$13,81&lt;Projects!$C$13+Projects!$D$13),Projects!$B$13*(1-SUMPRODUCT((Curves!$B$2:$AO$2)*(COLUMN(Curves!$B$2:$AO$2)-COLUMN(Curves!$B$2)+1&lt;=81-Projects!$C$13+1))),0)</f>
        <v>0</v>
      </c>
      <c r="CF14" s="231">
        <f>IF(AND(Projects!$G$13="Yes",Projects!$F$13="Yes",82&gt;=Projects!$C$13,82&lt;Projects!$C$13+Projects!$D$13),Projects!$B$13*(1-SUMPRODUCT((Curves!$B$2:$AO$2)*(COLUMN(Curves!$B$2:$AO$2)-COLUMN(Curves!$B$2)+1&lt;=82-Projects!$C$13+1))),0)</f>
        <v>0</v>
      </c>
      <c r="CG14" s="231">
        <f>IF(AND(Projects!$G$13="Yes",Projects!$F$13="Yes",83&gt;=Projects!$C$13,83&lt;Projects!$C$13+Projects!$D$13),Projects!$B$13*(1-SUMPRODUCT((Curves!$B$2:$AO$2)*(COLUMN(Curves!$B$2:$AO$2)-COLUMN(Curves!$B$2)+1&lt;=83-Projects!$C$13+1))),0)</f>
        <v>0</v>
      </c>
      <c r="CH14" s="231">
        <f>IF(AND(Projects!$G$13="Yes",Projects!$F$13="Yes",84&gt;=Projects!$C$13,84&lt;Projects!$C$13+Projects!$D$13),Projects!$B$13*(1-SUMPRODUCT((Curves!$B$2:$AO$2)*(COLUMN(Curves!$B$2:$AO$2)-COLUMN(Curves!$B$2)+1&lt;=84-Projects!$C$13+1))),0)</f>
        <v>0</v>
      </c>
      <c r="CI14" s="231">
        <f>IF(AND(Projects!$G$13="Yes",Projects!$F$13="Yes",85&gt;=Projects!$C$13,85&lt;Projects!$C$13+Projects!$D$13),Projects!$B$13*(1-SUMPRODUCT((Curves!$B$2:$AO$2)*(COLUMN(Curves!$B$2:$AO$2)-COLUMN(Curves!$B$2)+1&lt;=85-Projects!$C$13+1))),0)</f>
        <v>0</v>
      </c>
      <c r="CJ14" s="231">
        <f>IF(AND(Projects!$G$13="Yes",Projects!$F$13="Yes",86&gt;=Projects!$C$13,86&lt;Projects!$C$13+Projects!$D$13),Projects!$B$13*(1-SUMPRODUCT((Curves!$B$2:$AO$2)*(COLUMN(Curves!$B$2:$AO$2)-COLUMN(Curves!$B$2)+1&lt;=86-Projects!$C$13+1))),0)</f>
        <v>0</v>
      </c>
      <c r="CK14" s="231">
        <f>IF(AND(Projects!$G$13="Yes",Projects!$F$13="Yes",87&gt;=Projects!$C$13,87&lt;Projects!$C$13+Projects!$D$13),Projects!$B$13*(1-SUMPRODUCT((Curves!$B$2:$AO$2)*(COLUMN(Curves!$B$2:$AO$2)-COLUMN(Curves!$B$2)+1&lt;=87-Projects!$C$13+1))),0)</f>
        <v>0</v>
      </c>
      <c r="CL14" s="231">
        <f>IF(AND(Projects!$G$13="Yes",Projects!$F$13="Yes",88&gt;=Projects!$C$13,88&lt;Projects!$C$13+Projects!$D$13),Projects!$B$13*(1-SUMPRODUCT((Curves!$B$2:$AO$2)*(COLUMN(Curves!$B$2:$AO$2)-COLUMN(Curves!$B$2)+1&lt;=88-Projects!$C$13+1))),0)</f>
        <v>0</v>
      </c>
      <c r="CM14" s="231">
        <f>IF(AND(Projects!$G$13="Yes",Projects!$F$13="Yes",89&gt;=Projects!$C$13,89&lt;Projects!$C$13+Projects!$D$13),Projects!$B$13*(1-SUMPRODUCT((Curves!$B$2:$AO$2)*(COLUMN(Curves!$B$2:$AO$2)-COLUMN(Curves!$B$2)+1&lt;=89-Projects!$C$13+1))),0)</f>
        <v>0</v>
      </c>
      <c r="CN14" s="231">
        <f>IF(AND(Projects!$G$13="Yes",Projects!$F$13="Yes",90&gt;=Projects!$C$13,90&lt;Projects!$C$13+Projects!$D$13),Projects!$B$13*(1-SUMPRODUCT((Curves!$B$2:$AO$2)*(COLUMN(Curves!$B$2:$AO$2)-COLUMN(Curves!$B$2)+1&lt;=90-Projects!$C$13+1))),0)</f>
        <v>0</v>
      </c>
      <c r="CO14" s="231">
        <f>IF(AND(Projects!$G$13="Yes",Projects!$F$13="Yes",91&gt;=Projects!$C$13,91&lt;Projects!$C$13+Projects!$D$13),Projects!$B$13*(1-SUMPRODUCT((Curves!$B$2:$AO$2)*(COLUMN(Curves!$B$2:$AO$2)-COLUMN(Curves!$B$2)+1&lt;=91-Projects!$C$13+1))),0)</f>
        <v>0</v>
      </c>
      <c r="CP14" s="231">
        <f>IF(AND(Projects!$G$13="Yes",Projects!$F$13="Yes",92&gt;=Projects!$C$13,92&lt;Projects!$C$13+Projects!$D$13),Projects!$B$13*(1-SUMPRODUCT((Curves!$B$2:$AO$2)*(COLUMN(Curves!$B$2:$AO$2)-COLUMN(Curves!$B$2)+1&lt;=92-Projects!$C$13+1))),0)</f>
        <v>0</v>
      </c>
      <c r="CQ14" s="231">
        <f>IF(AND(Projects!$G$13="Yes",Projects!$F$13="Yes",93&gt;=Projects!$C$13,93&lt;Projects!$C$13+Projects!$D$13),Projects!$B$13*(1-SUMPRODUCT((Curves!$B$2:$AO$2)*(COLUMN(Curves!$B$2:$AO$2)-COLUMN(Curves!$B$2)+1&lt;=93-Projects!$C$13+1))),0)</f>
        <v>0</v>
      </c>
    </row>
    <row r="15" spans="1:95" ht="15" customHeight="1" x14ac:dyDescent="0.25">
      <c r="A15" s="144" t="s">
        <v>173</v>
      </c>
      <c r="C15" s="231">
        <f>IF(AND(Projects!$G$14="Yes",Projects!$F$14="Yes",1&gt;=Projects!$C$14,1&lt;Projects!$C$14+Projects!$D$14),Projects!$B$14*(1-SUMPRODUCT((Curves!$B$2:$AO$2)*(COLUMN(Curves!$B$2:$AO$2)-COLUMN(Curves!$B$2)+1&lt;=1-Projects!$C$14+1))),0)</f>
        <v>0</v>
      </c>
      <c r="D15" s="231">
        <f>IF(AND(Projects!$G$14="Yes",Projects!$F$14="Yes",2&gt;=Projects!$C$14,2&lt;Projects!$C$14+Projects!$D$14),Projects!$B$14*(1-SUMPRODUCT((Curves!$B$2:$AO$2)*(COLUMN(Curves!$B$2:$AO$2)-COLUMN(Curves!$B$2)+1&lt;=2-Projects!$C$14+1))),0)</f>
        <v>0</v>
      </c>
      <c r="E15" s="231">
        <f>IF(AND(Projects!$G$14="Yes",Projects!$F$14="Yes",3&gt;=Projects!$C$14,3&lt;Projects!$C$14+Projects!$D$14),Projects!$B$14*(1-SUMPRODUCT((Curves!$B$2:$AO$2)*(COLUMN(Curves!$B$2:$AO$2)-COLUMN(Curves!$B$2)+1&lt;=3-Projects!$C$14+1))),0)</f>
        <v>0</v>
      </c>
      <c r="F15" s="231">
        <f>IF(AND(Projects!$G$14="Yes",Projects!$F$14="Yes",4&gt;=Projects!$C$14,4&lt;Projects!$C$14+Projects!$D$14),Projects!$B$14*(1-SUMPRODUCT((Curves!$B$2:$AO$2)*(COLUMN(Curves!$B$2:$AO$2)-COLUMN(Curves!$B$2)+1&lt;=4-Projects!$C$14+1))),0)</f>
        <v>0</v>
      </c>
      <c r="G15" s="231">
        <f>IF(AND(Projects!$G$14="Yes",Projects!$F$14="Yes",5&gt;=Projects!$C$14,5&lt;Projects!$C$14+Projects!$D$14),Projects!$B$14*(1-SUMPRODUCT((Curves!$B$2:$AO$2)*(COLUMN(Curves!$B$2:$AO$2)-COLUMN(Curves!$B$2)+1&lt;=5-Projects!$C$14+1))),0)</f>
        <v>0</v>
      </c>
      <c r="H15" s="231">
        <f>IF(AND(Projects!$G$14="Yes",Projects!$F$14="Yes",6&gt;=Projects!$C$14,6&lt;Projects!$C$14+Projects!$D$14),Projects!$B$14*(1-SUMPRODUCT((Curves!$B$2:$AO$2)*(COLUMN(Curves!$B$2:$AO$2)-COLUMN(Curves!$B$2)+1&lt;=6-Projects!$C$14+1))),0)</f>
        <v>0</v>
      </c>
      <c r="I15" s="231">
        <f>IF(AND(Projects!$G$14="Yes",Projects!$F$14="Yes",7&gt;=Projects!$C$14,7&lt;Projects!$C$14+Projects!$D$14),Projects!$B$14*(1-SUMPRODUCT((Curves!$B$2:$AO$2)*(COLUMN(Curves!$B$2:$AO$2)-COLUMN(Curves!$B$2)+1&lt;=7-Projects!$C$14+1))),0)</f>
        <v>0</v>
      </c>
      <c r="J15" s="231">
        <f>IF(AND(Projects!$G$14="Yes",Projects!$F$14="Yes",8&gt;=Projects!$C$14,8&lt;Projects!$C$14+Projects!$D$14),Projects!$B$14*(1-SUMPRODUCT((Curves!$B$2:$AO$2)*(COLUMN(Curves!$B$2:$AO$2)-COLUMN(Curves!$B$2)+1&lt;=8-Projects!$C$14+1))),0)</f>
        <v>0</v>
      </c>
      <c r="K15" s="231">
        <f>IF(AND(Projects!$G$14="Yes",Projects!$F$14="Yes",9&gt;=Projects!$C$14,9&lt;Projects!$C$14+Projects!$D$14),Projects!$B$14*(1-SUMPRODUCT((Curves!$B$2:$AO$2)*(COLUMN(Curves!$B$2:$AO$2)-COLUMN(Curves!$B$2)+1&lt;=9-Projects!$C$14+1))),0)</f>
        <v>0</v>
      </c>
      <c r="L15" s="231">
        <f>IF(AND(Projects!$G$14="Yes",Projects!$F$14="Yes",10&gt;=Projects!$C$14,10&lt;Projects!$C$14+Projects!$D$14),Projects!$B$14*(1-SUMPRODUCT((Curves!$B$2:$AO$2)*(COLUMN(Curves!$B$2:$AO$2)-COLUMN(Curves!$B$2)+1&lt;=10-Projects!$C$14+1))),0)</f>
        <v>0</v>
      </c>
      <c r="M15" s="231">
        <f>IF(AND(Projects!$G$14="Yes",Projects!$F$14="Yes",11&gt;=Projects!$C$14,11&lt;Projects!$C$14+Projects!$D$14),Projects!$B$14*(1-SUMPRODUCT((Curves!$B$2:$AO$2)*(COLUMN(Curves!$B$2:$AO$2)-COLUMN(Curves!$B$2)+1&lt;=11-Projects!$C$14+1))),0)</f>
        <v>0</v>
      </c>
      <c r="N15" s="231">
        <f>IF(AND(Projects!$G$14="Yes",Projects!$F$14="Yes",12&gt;=Projects!$C$14,12&lt;Projects!$C$14+Projects!$D$14),Projects!$B$14*(1-SUMPRODUCT((Curves!$B$2:$AO$2)*(COLUMN(Curves!$B$2:$AO$2)-COLUMN(Curves!$B$2)+1&lt;=12-Projects!$C$14+1))),0)</f>
        <v>0</v>
      </c>
      <c r="O15" s="231">
        <f>IF(AND(Projects!$G$14="Yes",Projects!$F$14="Yes",13&gt;=Projects!$C$14,13&lt;Projects!$C$14+Projects!$D$14),Projects!$B$14*(1-SUMPRODUCT((Curves!$B$2:$AO$2)*(COLUMN(Curves!$B$2:$AO$2)-COLUMN(Curves!$B$2)+1&lt;=13-Projects!$C$14+1))),0)</f>
        <v>0</v>
      </c>
      <c r="P15" s="231">
        <f>IF(AND(Projects!$G$14="Yes",Projects!$F$14="Yes",14&gt;=Projects!$C$14,14&lt;Projects!$C$14+Projects!$D$14),Projects!$B$14*(1-SUMPRODUCT((Curves!$B$2:$AO$2)*(COLUMN(Curves!$B$2:$AO$2)-COLUMN(Curves!$B$2)+1&lt;=14-Projects!$C$14+1))),0)</f>
        <v>0</v>
      </c>
      <c r="Q15" s="231">
        <f>IF(AND(Projects!$G$14="Yes",Projects!$F$14="Yes",15&gt;=Projects!$C$14,15&lt;Projects!$C$14+Projects!$D$14),Projects!$B$14*(1-SUMPRODUCT((Curves!$B$2:$AO$2)*(COLUMN(Curves!$B$2:$AO$2)-COLUMN(Curves!$B$2)+1&lt;=15-Projects!$C$14+1))),0)</f>
        <v>0</v>
      </c>
      <c r="R15" s="231">
        <f>IF(AND(Projects!$G$14="Yes",Projects!$F$14="Yes",16&gt;=Projects!$C$14,16&lt;Projects!$C$14+Projects!$D$14),Projects!$B$14*(1-SUMPRODUCT((Curves!$B$2:$AO$2)*(COLUMN(Curves!$B$2:$AO$2)-COLUMN(Curves!$B$2)+1&lt;=16-Projects!$C$14+1))),0)</f>
        <v>0</v>
      </c>
      <c r="S15" s="231">
        <f>IF(AND(Projects!$G$14="Yes",Projects!$F$14="Yes",17&gt;=Projects!$C$14,17&lt;Projects!$C$14+Projects!$D$14),Projects!$B$14*(1-SUMPRODUCT((Curves!$B$2:$AO$2)*(COLUMN(Curves!$B$2:$AO$2)-COLUMN(Curves!$B$2)+1&lt;=17-Projects!$C$14+1))),0)</f>
        <v>0</v>
      </c>
      <c r="T15" s="231">
        <f>IF(AND(Projects!$G$14="Yes",Projects!$F$14="Yes",18&gt;=Projects!$C$14,18&lt;Projects!$C$14+Projects!$D$14),Projects!$B$14*(1-SUMPRODUCT((Curves!$B$2:$AO$2)*(COLUMN(Curves!$B$2:$AO$2)-COLUMN(Curves!$B$2)+1&lt;=18-Projects!$C$14+1))),0)</f>
        <v>0</v>
      </c>
      <c r="U15" s="231">
        <f>IF(AND(Projects!$G$14="Yes",Projects!$F$14="Yes",19&gt;=Projects!$C$14,19&lt;Projects!$C$14+Projects!$D$14),Projects!$B$14*(1-SUMPRODUCT((Curves!$B$2:$AO$2)*(COLUMN(Curves!$B$2:$AO$2)-COLUMN(Curves!$B$2)+1&lt;=19-Projects!$C$14+1))),0)</f>
        <v>0</v>
      </c>
      <c r="V15" s="231">
        <f>IF(AND(Projects!$G$14="Yes",Projects!$F$14="Yes",20&gt;=Projects!$C$14,20&lt;Projects!$C$14+Projects!$D$14),Projects!$B$14*(1-SUMPRODUCT((Curves!$B$2:$AO$2)*(COLUMN(Curves!$B$2:$AO$2)-COLUMN(Curves!$B$2)+1&lt;=20-Projects!$C$14+1))),0)</f>
        <v>0</v>
      </c>
      <c r="W15" s="231">
        <f>IF(AND(Projects!$G$14="Yes",Projects!$F$14="Yes",21&gt;=Projects!$C$14,21&lt;Projects!$C$14+Projects!$D$14),Projects!$B$14*(1-SUMPRODUCT((Curves!$B$2:$AO$2)*(COLUMN(Curves!$B$2:$AO$2)-COLUMN(Curves!$B$2)+1&lt;=21-Projects!$C$14+1))),0)</f>
        <v>0</v>
      </c>
      <c r="X15" s="231">
        <f>IF(AND(Projects!$G$14="Yes",Projects!$F$14="Yes",22&gt;=Projects!$C$14,22&lt;Projects!$C$14+Projects!$D$14),Projects!$B$14*(1-SUMPRODUCT((Curves!$B$2:$AO$2)*(COLUMN(Curves!$B$2:$AO$2)-COLUMN(Curves!$B$2)+1&lt;=22-Projects!$C$14+1))),0)</f>
        <v>0</v>
      </c>
      <c r="Y15" s="231">
        <f>IF(AND(Projects!$G$14="Yes",Projects!$F$14="Yes",23&gt;=Projects!$C$14,23&lt;Projects!$C$14+Projects!$D$14),Projects!$B$14*(1-SUMPRODUCT((Curves!$B$2:$AO$2)*(COLUMN(Curves!$B$2:$AO$2)-COLUMN(Curves!$B$2)+1&lt;=23-Projects!$C$14+1))),0)</f>
        <v>0</v>
      </c>
      <c r="Z15" s="231">
        <f>IF(AND(Projects!$G$14="Yes",Projects!$F$14="Yes",24&gt;=Projects!$C$14,24&lt;Projects!$C$14+Projects!$D$14),Projects!$B$14*(1-SUMPRODUCT((Curves!$B$2:$AO$2)*(COLUMN(Curves!$B$2:$AO$2)-COLUMN(Curves!$B$2)+1&lt;=24-Projects!$C$14+1))),0)</f>
        <v>0</v>
      </c>
      <c r="AA15" s="231">
        <f>IF(AND(Projects!$G$14="Yes",Projects!$F$14="Yes",25&gt;=Projects!$C$14,25&lt;Projects!$C$14+Projects!$D$14),Projects!$B$14*(1-SUMPRODUCT((Curves!$B$2:$AO$2)*(COLUMN(Curves!$B$2:$AO$2)-COLUMN(Curves!$B$2)+1&lt;=25-Projects!$C$14+1))),0)</f>
        <v>0</v>
      </c>
      <c r="AB15" s="231">
        <f>IF(AND(Projects!$G$14="Yes",Projects!$F$14="Yes",26&gt;=Projects!$C$14,26&lt;Projects!$C$14+Projects!$D$14),Projects!$B$14*(1-SUMPRODUCT((Curves!$B$2:$AO$2)*(COLUMN(Curves!$B$2:$AO$2)-COLUMN(Curves!$B$2)+1&lt;=26-Projects!$C$14+1))),0)</f>
        <v>0</v>
      </c>
      <c r="AC15" s="231">
        <f>IF(AND(Projects!$G$14="Yes",Projects!$F$14="Yes",27&gt;=Projects!$C$14,27&lt;Projects!$C$14+Projects!$D$14),Projects!$B$14*(1-SUMPRODUCT((Curves!$B$2:$AO$2)*(COLUMN(Curves!$B$2:$AO$2)-COLUMN(Curves!$B$2)+1&lt;=27-Projects!$C$14+1))),0)</f>
        <v>40688781.070167996</v>
      </c>
      <c r="AD15" s="231">
        <f>IF(AND(Projects!$G$14="Yes",Projects!$F$14="Yes",28&gt;=Projects!$C$14,28&lt;Projects!$C$14+Projects!$D$14),Projects!$B$14*(1-SUMPRODUCT((Curves!$B$2:$AO$2)*(COLUMN(Curves!$B$2:$AO$2)-COLUMN(Curves!$B$2)+1&lt;=28-Projects!$C$14+1))),0)</f>
        <v>39922975.994791999</v>
      </c>
      <c r="AE15" s="231">
        <f>IF(AND(Projects!$G$14="Yes",Projects!$F$14="Yes",29&gt;=Projects!$C$14,29&lt;Projects!$C$14+Projects!$D$14),Projects!$B$14*(1-SUMPRODUCT((Curves!$B$2:$AO$2)*(COLUMN(Curves!$B$2:$AO$2)-COLUMN(Curves!$B$2)+1&lt;=29-Projects!$C$14+1))),0)</f>
        <v>39050930.869807996</v>
      </c>
      <c r="AF15" s="231">
        <f>IF(AND(Projects!$G$14="Yes",Projects!$F$14="Yes",30&gt;=Projects!$C$14,30&lt;Projects!$C$14+Projects!$D$14),Projects!$B$14*(1-SUMPRODUCT((Curves!$B$2:$AO$2)*(COLUMN(Curves!$B$2:$AO$2)-COLUMN(Curves!$B$2)+1&lt;=30-Projects!$C$14+1))),0)</f>
        <v>38067807.203272</v>
      </c>
      <c r="AG15" s="231">
        <f>IF(AND(Projects!$G$14="Yes",Projects!$F$14="Yes",31&gt;=Projects!$C$14,31&lt;Projects!$C$14+Projects!$D$14),Projects!$B$14*(1-SUMPRODUCT((Curves!$B$2:$AO$2)*(COLUMN(Curves!$B$2:$AO$2)-COLUMN(Curves!$B$2)+1&lt;=31-Projects!$C$14+1))),0)</f>
        <v>36970462.043151997</v>
      </c>
      <c r="AH15" s="231">
        <f>IF(AND(Projects!$G$14="Yes",Projects!$F$14="Yes",32&gt;=Projects!$C$14,32&lt;Projects!$C$14+Projects!$D$14),Projects!$B$14*(1-SUMPRODUCT((Curves!$B$2:$AO$2)*(COLUMN(Curves!$B$2:$AO$2)-COLUMN(Curves!$B$2)+1&lt;=32-Projects!$C$14+1))),0)</f>
        <v>35757820.169015996</v>
      </c>
      <c r="AI15" s="231">
        <f>IF(AND(Projects!$G$14="Yes",Projects!$F$14="Yes",33&gt;=Projects!$C$14,33&lt;Projects!$C$14+Projects!$D$14),Projects!$B$14*(1-SUMPRODUCT((Curves!$B$2:$AO$2)*(COLUMN(Curves!$B$2:$AO$2)-COLUMN(Curves!$B$2)+1&lt;=33-Projects!$C$14+1))),0)</f>
        <v>34431080.865192004</v>
      </c>
      <c r="AJ15" s="231">
        <f>IF(AND(Projects!$G$14="Yes",Projects!$F$14="Yes",34&gt;=Projects!$C$14,34&lt;Projects!$C$14+Projects!$D$14),Projects!$B$14*(1-SUMPRODUCT((Curves!$B$2:$AO$2)*(COLUMN(Curves!$B$2:$AO$2)-COLUMN(Curves!$B$2)+1&lt;=34-Projects!$C$14+1))),0)</f>
        <v>32993924.693928</v>
      </c>
      <c r="AK15" s="231">
        <f>IF(AND(Projects!$G$14="Yes",Projects!$F$14="Yes",35&gt;=Projects!$C$14,35&lt;Projects!$C$14+Projects!$D$14),Projects!$B$14*(1-SUMPRODUCT((Curves!$B$2:$AO$2)*(COLUMN(Curves!$B$2:$AO$2)-COLUMN(Curves!$B$2)+1&lt;=35-Projects!$C$14+1))),0)</f>
        <v>31452678.91392</v>
      </c>
      <c r="AL15" s="231">
        <f>IF(AND(Projects!$G$14="Yes",Projects!$F$14="Yes",36&gt;=Projects!$C$14,36&lt;Projects!$C$14+Projects!$D$14),Projects!$B$14*(1-SUMPRODUCT((Curves!$B$2:$AO$2)*(COLUMN(Curves!$B$2:$AO$2)-COLUMN(Curves!$B$2)+1&lt;=36-Projects!$C$14+1))),0)</f>
        <v>29816193.416415997</v>
      </c>
      <c r="AM15" s="231">
        <f>IF(AND(Projects!$G$14="Yes",Projects!$F$14="Yes",37&gt;=Projects!$C$14,37&lt;Projects!$C$14+Projects!$D$14),Projects!$B$14*(1-SUMPRODUCT((Curves!$B$2:$AO$2)*(COLUMN(Curves!$B$2:$AO$2)-COLUMN(Curves!$B$2)+1&lt;=37-Projects!$C$14+1))),0)</f>
        <v>28095882.079848003</v>
      </c>
      <c r="AN15" s="231">
        <f>IF(AND(Projects!$G$14="Yes",Projects!$F$14="Yes",38&gt;=Projects!$C$14,38&lt;Projects!$C$14+Projects!$D$14),Projects!$B$14*(1-SUMPRODUCT((Curves!$B$2:$AO$2)*(COLUMN(Curves!$B$2:$AO$2)-COLUMN(Curves!$B$2)+1&lt;=38-Projects!$C$14+1))),0)</f>
        <v>26305433.287408002</v>
      </c>
      <c r="AO15" s="231">
        <f>IF(AND(Projects!$G$14="Yes",Projects!$F$14="Yes",39&gt;=Projects!$C$14,39&lt;Projects!$C$14+Projects!$D$14),Projects!$B$14*(1-SUMPRODUCT((Curves!$B$2:$AO$2)*(COLUMN(Curves!$B$2:$AO$2)-COLUMN(Curves!$B$2)+1&lt;=39-Projects!$C$14+1))),0)</f>
        <v>24460479.089992002</v>
      </c>
      <c r="AP15" s="231">
        <f>IF(AND(Projects!$G$14="Yes",Projects!$F$14="Yes",40&gt;=Projects!$C$14,40&lt;Projects!$C$14+Projects!$D$14),Projects!$B$14*(1-SUMPRODUCT((Curves!$B$2:$AO$2)*(COLUMN(Curves!$B$2:$AO$2)-COLUMN(Curves!$B$2)+1&lt;=40-Projects!$C$14+1))),0)</f>
        <v>22578305.723776001</v>
      </c>
      <c r="AQ15" s="231">
        <f>IF(AND(Projects!$G$14="Yes",Projects!$F$14="Yes",41&gt;=Projects!$C$14,41&lt;Projects!$C$14+Projects!$D$14),Projects!$B$14*(1-SUMPRODUCT((Curves!$B$2:$AO$2)*(COLUMN(Curves!$B$2:$AO$2)-COLUMN(Curves!$B$2)+1&lt;=41-Projects!$C$14+1))),0)</f>
        <v>20677233.290736001</v>
      </c>
      <c r="AR15" s="231">
        <f>IF(AND(Projects!$G$14="Yes",Projects!$F$14="Yes",42&gt;=Projects!$C$14,42&lt;Projects!$C$14+Projects!$D$14),Projects!$B$14*(1-SUMPRODUCT((Curves!$B$2:$AO$2)*(COLUMN(Curves!$B$2:$AO$2)-COLUMN(Curves!$B$2)+1&lt;=42-Projects!$C$14+1))),0)</f>
        <v>18776160.857696004</v>
      </c>
      <c r="AS15" s="231">
        <f>IF(AND(Projects!$G$14="Yes",Projects!$F$14="Yes",43&gt;=Projects!$C$14,43&lt;Projects!$C$14+Projects!$D$14),Projects!$B$14*(1-SUMPRODUCT((Curves!$B$2:$AO$2)*(COLUMN(Curves!$B$2:$AO$2)-COLUMN(Curves!$B$2)+1&lt;=43-Projects!$C$14+1))),0)</f>
        <v>16893987.491480004</v>
      </c>
      <c r="AT15" s="231">
        <f>IF(AND(Projects!$G$14="Yes",Projects!$F$14="Yes",44&gt;=Projects!$C$14,44&lt;Projects!$C$14+Projects!$D$14),Projects!$B$14*(1-SUMPRODUCT((Curves!$B$2:$AO$2)*(COLUMN(Curves!$B$2:$AO$2)-COLUMN(Curves!$B$2)+1&lt;=44-Projects!$C$14+1))),0)</f>
        <v>15049033.294064002</v>
      </c>
      <c r="AU15" s="231">
        <f>IF(AND(Projects!$G$14="Yes",Projects!$F$14="Yes",45&gt;=Projects!$C$14,45&lt;Projects!$C$14+Projects!$D$14),Projects!$B$14*(1-SUMPRODUCT((Curves!$B$2:$AO$2)*(COLUMN(Curves!$B$2:$AO$2)-COLUMN(Curves!$B$2)+1&lt;=45-Projects!$C$14+1))),0)</f>
        <v>13258584.501624003</v>
      </c>
      <c r="AV15" s="231">
        <f>IF(AND(Projects!$G$14="Yes",Projects!$F$14="Yes",46&gt;=Projects!$C$14,46&lt;Projects!$C$14+Projects!$D$14),Projects!$B$14*(1-SUMPRODUCT((Curves!$B$2:$AO$2)*(COLUMN(Curves!$B$2:$AO$2)-COLUMN(Curves!$B$2)+1&lt;=46-Projects!$C$14+1))),0)</f>
        <v>11538273.165056005</v>
      </c>
      <c r="AW15" s="231">
        <f>IF(AND(Projects!$G$14="Yes",Projects!$F$14="Yes",47&gt;=Projects!$C$14,47&lt;Projects!$C$14+Projects!$D$14),Projects!$B$14*(1-SUMPRODUCT((Curves!$B$2:$AO$2)*(COLUMN(Curves!$B$2:$AO$2)-COLUMN(Curves!$B$2)+1&lt;=47-Projects!$C$14+1))),0)</f>
        <v>9901787.6675520036</v>
      </c>
      <c r="AX15" s="231">
        <f>IF(AND(Projects!$G$14="Yes",Projects!$F$14="Yes",48&gt;=Projects!$C$14,48&lt;Projects!$C$14+Projects!$D$14),Projects!$B$14*(1-SUMPRODUCT((Curves!$B$2:$AO$2)*(COLUMN(Curves!$B$2:$AO$2)-COLUMN(Curves!$B$2)+1&lt;=48-Projects!$C$14+1))),0)</f>
        <v>8360541.8875440042</v>
      </c>
      <c r="AY15" s="231">
        <f>IF(AND(Projects!$G$14="Yes",Projects!$F$14="Yes",49&gt;=Projects!$C$14,49&lt;Projects!$C$14+Projects!$D$14),Projects!$B$14*(1-SUMPRODUCT((Curves!$B$2:$AO$2)*(COLUMN(Curves!$B$2:$AO$2)-COLUMN(Curves!$B$2)+1&lt;=49-Projects!$C$14+1))),0)</f>
        <v>6923385.716280004</v>
      </c>
      <c r="AZ15" s="231">
        <f>IF(AND(Projects!$G$14="Yes",Projects!$F$14="Yes",50&gt;=Projects!$C$14,50&lt;Projects!$C$14+Projects!$D$14),Projects!$B$14*(1-SUMPRODUCT((Curves!$B$2:$AO$2)*(COLUMN(Curves!$B$2:$AO$2)-COLUMN(Curves!$B$2)+1&lt;=50-Projects!$C$14+1))),0)</f>
        <v>5596646.4124560058</v>
      </c>
      <c r="BA15" s="231">
        <f>IF(AND(Projects!$G$14="Yes",Projects!$F$14="Yes",51&gt;=Projects!$C$14,51&lt;Projects!$C$14+Projects!$D$14),Projects!$B$14*(1-SUMPRODUCT((Curves!$B$2:$AO$2)*(COLUMN(Curves!$B$2:$AO$2)-COLUMN(Curves!$B$2)+1&lt;=51-Projects!$C$14+1))),0)</f>
        <v>4384004.5383200068</v>
      </c>
      <c r="BB15" s="231">
        <f>IF(AND(Projects!$G$14="Yes",Projects!$F$14="Yes",52&gt;=Projects!$C$14,52&lt;Projects!$C$14+Projects!$D$14),Projects!$B$14*(1-SUMPRODUCT((Curves!$B$2:$AO$2)*(COLUMN(Curves!$B$2:$AO$2)-COLUMN(Curves!$B$2)+1&lt;=52-Projects!$C$14+1))),0)</f>
        <v>3286659.3782000076</v>
      </c>
      <c r="BC15" s="231">
        <f>IF(AND(Projects!$G$14="Yes",Projects!$F$14="Yes",53&gt;=Projects!$C$14,53&lt;Projects!$C$14+Projects!$D$14),Projects!$B$14*(1-SUMPRODUCT((Curves!$B$2:$AO$2)*(COLUMN(Curves!$B$2:$AO$2)-COLUMN(Curves!$B$2)+1&lt;=53-Projects!$C$14+1))),0)</f>
        <v>2303535.7116640056</v>
      </c>
      <c r="BD15" s="231">
        <f>IF(AND(Projects!$G$14="Yes",Projects!$F$14="Yes",54&gt;=Projects!$C$14,54&lt;Projects!$C$14+Projects!$D$14),Projects!$B$14*(1-SUMPRODUCT((Curves!$B$2:$AO$2)*(COLUMN(Curves!$B$2:$AO$2)-COLUMN(Curves!$B$2)+1&lt;=54-Projects!$C$14+1))),0)</f>
        <v>1431490.5866800072</v>
      </c>
      <c r="BE15" s="231">
        <f>IF(AND(Projects!$G$14="Yes",Projects!$F$14="Yes",55&gt;=Projects!$C$14,55&lt;Projects!$C$14+Projects!$D$14),Projects!$B$14*(1-SUMPRODUCT((Curves!$B$2:$AO$2)*(COLUMN(Curves!$B$2:$AO$2)-COLUMN(Curves!$B$2)+1&lt;=55-Projects!$C$14+1))),0)</f>
        <v>665685.51130400575</v>
      </c>
      <c r="BF15" s="231">
        <f>IF(AND(Projects!$G$14="Yes",Projects!$F$14="Yes",56&gt;=Projects!$C$14,56&lt;Projects!$C$14+Projects!$D$14),Projects!$B$14*(1-SUMPRODUCT((Curves!$B$2:$AO$2)*(COLUMN(Curves!$B$2:$AO$2)-COLUMN(Curves!$B$2)+1&lt;=56-Projects!$C$14+1))),0)</f>
        <v>-165.41852799557415</v>
      </c>
      <c r="BG15" s="231">
        <f>IF(AND(Projects!$G$14="Yes",Projects!$F$14="Yes",57&gt;=Projects!$C$14,57&lt;Projects!$C$14+Projects!$D$14),Projects!$B$14*(1-SUMPRODUCT((Curves!$B$2:$AO$2)*(COLUMN(Curves!$B$2:$AO$2)-COLUMN(Curves!$B$2)+1&lt;=57-Projects!$C$14+1))),0)</f>
        <v>0</v>
      </c>
      <c r="BH15" s="231">
        <f>IF(AND(Projects!$G$14="Yes",Projects!$F$14="Yes",58&gt;=Projects!$C$14,58&lt;Projects!$C$14+Projects!$D$14),Projects!$B$14*(1-SUMPRODUCT((Curves!$B$2:$AO$2)*(COLUMN(Curves!$B$2:$AO$2)-COLUMN(Curves!$B$2)+1&lt;=58-Projects!$C$14+1))),0)</f>
        <v>0</v>
      </c>
      <c r="BI15" s="231">
        <f>IF(AND(Projects!$G$14="Yes",Projects!$F$14="Yes",59&gt;=Projects!$C$14,59&lt;Projects!$C$14+Projects!$D$14),Projects!$B$14*(1-SUMPRODUCT((Curves!$B$2:$AO$2)*(COLUMN(Curves!$B$2:$AO$2)-COLUMN(Curves!$B$2)+1&lt;=59-Projects!$C$14+1))),0)</f>
        <v>0</v>
      </c>
      <c r="BJ15" s="231">
        <f>IF(AND(Projects!$G$14="Yes",Projects!$F$14="Yes",60&gt;=Projects!$C$14,60&lt;Projects!$C$14+Projects!$D$14),Projects!$B$14*(1-SUMPRODUCT((Curves!$B$2:$AO$2)*(COLUMN(Curves!$B$2:$AO$2)-COLUMN(Curves!$B$2)+1&lt;=60-Projects!$C$14+1))),0)</f>
        <v>0</v>
      </c>
      <c r="BK15" s="231">
        <f>IF(AND(Projects!$G$14="Yes",Projects!$F$14="Yes",61&gt;=Projects!$C$14,61&lt;Projects!$C$14+Projects!$D$14),Projects!$B$14*(1-SUMPRODUCT((Curves!$B$2:$AO$2)*(COLUMN(Curves!$B$2:$AO$2)-COLUMN(Curves!$B$2)+1&lt;=61-Projects!$C$14+1))),0)</f>
        <v>0</v>
      </c>
      <c r="BL15" s="231">
        <f>IF(AND(Projects!$G$14="Yes",Projects!$F$14="Yes",62&gt;=Projects!$C$14,62&lt;Projects!$C$14+Projects!$D$14),Projects!$B$14*(1-SUMPRODUCT((Curves!$B$2:$AO$2)*(COLUMN(Curves!$B$2:$AO$2)-COLUMN(Curves!$B$2)+1&lt;=62-Projects!$C$14+1))),0)</f>
        <v>0</v>
      </c>
      <c r="BM15" s="231">
        <f>IF(AND(Projects!$G$14="Yes",Projects!$F$14="Yes",63&gt;=Projects!$C$14,63&lt;Projects!$C$14+Projects!$D$14),Projects!$B$14*(1-SUMPRODUCT((Curves!$B$2:$AO$2)*(COLUMN(Curves!$B$2:$AO$2)-COLUMN(Curves!$B$2)+1&lt;=63-Projects!$C$14+1))),0)</f>
        <v>0</v>
      </c>
      <c r="BN15" s="231">
        <f>IF(AND(Projects!$G$14="Yes",Projects!$F$14="Yes",64&gt;=Projects!$C$14,64&lt;Projects!$C$14+Projects!$D$14),Projects!$B$14*(1-SUMPRODUCT((Curves!$B$2:$AO$2)*(COLUMN(Curves!$B$2:$AO$2)-COLUMN(Curves!$B$2)+1&lt;=64-Projects!$C$14+1))),0)</f>
        <v>0</v>
      </c>
      <c r="BO15" s="231">
        <f>IF(AND(Projects!$G$14="Yes",Projects!$F$14="Yes",65&gt;=Projects!$C$14,65&lt;Projects!$C$14+Projects!$D$14),Projects!$B$14*(1-SUMPRODUCT((Curves!$B$2:$AO$2)*(COLUMN(Curves!$B$2:$AO$2)-COLUMN(Curves!$B$2)+1&lt;=65-Projects!$C$14+1))),0)</f>
        <v>0</v>
      </c>
      <c r="BP15" s="231">
        <f>IF(AND(Projects!$G$14="Yes",Projects!$F$14="Yes",66&gt;=Projects!$C$14,66&lt;Projects!$C$14+Projects!$D$14),Projects!$B$14*(1-SUMPRODUCT((Curves!$B$2:$AO$2)*(COLUMN(Curves!$B$2:$AO$2)-COLUMN(Curves!$B$2)+1&lt;=66-Projects!$C$14+1))),0)</f>
        <v>0</v>
      </c>
      <c r="BQ15" s="231">
        <f>IF(AND(Projects!$G$14="Yes",Projects!$F$14="Yes",67&gt;=Projects!$C$14,67&lt;Projects!$C$14+Projects!$D$14),Projects!$B$14*(1-SUMPRODUCT((Curves!$B$2:$AO$2)*(COLUMN(Curves!$B$2:$AO$2)-COLUMN(Curves!$B$2)+1&lt;=67-Projects!$C$14+1))),0)</f>
        <v>0</v>
      </c>
      <c r="BR15" s="231">
        <f>IF(AND(Projects!$G$14="Yes",Projects!$F$14="Yes",68&gt;=Projects!$C$14,68&lt;Projects!$C$14+Projects!$D$14),Projects!$B$14*(1-SUMPRODUCT((Curves!$B$2:$AO$2)*(COLUMN(Curves!$B$2:$AO$2)-COLUMN(Curves!$B$2)+1&lt;=68-Projects!$C$14+1))),0)</f>
        <v>0</v>
      </c>
      <c r="BS15" s="231">
        <f>IF(AND(Projects!$G$14="Yes",Projects!$F$14="Yes",69&gt;=Projects!$C$14,69&lt;Projects!$C$14+Projects!$D$14),Projects!$B$14*(1-SUMPRODUCT((Curves!$B$2:$AO$2)*(COLUMN(Curves!$B$2:$AO$2)-COLUMN(Curves!$B$2)+1&lt;=69-Projects!$C$14+1))),0)</f>
        <v>0</v>
      </c>
      <c r="BT15" s="231">
        <f>IF(AND(Projects!$G$14="Yes",Projects!$F$14="Yes",70&gt;=Projects!$C$14,70&lt;Projects!$C$14+Projects!$D$14),Projects!$B$14*(1-SUMPRODUCT((Curves!$B$2:$AO$2)*(COLUMN(Curves!$B$2:$AO$2)-COLUMN(Curves!$B$2)+1&lt;=70-Projects!$C$14+1))),0)</f>
        <v>0</v>
      </c>
      <c r="BU15" s="231">
        <f>IF(AND(Projects!$G$14="Yes",Projects!$F$14="Yes",71&gt;=Projects!$C$14,71&lt;Projects!$C$14+Projects!$D$14),Projects!$B$14*(1-SUMPRODUCT((Curves!$B$2:$AO$2)*(COLUMN(Curves!$B$2:$AO$2)-COLUMN(Curves!$B$2)+1&lt;=71-Projects!$C$14+1))),0)</f>
        <v>0</v>
      </c>
      <c r="BV15" s="231">
        <f>IF(AND(Projects!$G$14="Yes",Projects!$F$14="Yes",72&gt;=Projects!$C$14,72&lt;Projects!$C$14+Projects!$D$14),Projects!$B$14*(1-SUMPRODUCT((Curves!$B$2:$AO$2)*(COLUMN(Curves!$B$2:$AO$2)-COLUMN(Curves!$B$2)+1&lt;=72-Projects!$C$14+1))),0)</f>
        <v>0</v>
      </c>
      <c r="BW15" s="231">
        <f>IF(AND(Projects!$G$14="Yes",Projects!$F$14="Yes",73&gt;=Projects!$C$14,73&lt;Projects!$C$14+Projects!$D$14),Projects!$B$14*(1-SUMPRODUCT((Curves!$B$2:$AO$2)*(COLUMN(Curves!$B$2:$AO$2)-COLUMN(Curves!$B$2)+1&lt;=73-Projects!$C$14+1))),0)</f>
        <v>0</v>
      </c>
      <c r="BX15" s="231">
        <f>IF(AND(Projects!$G$14="Yes",Projects!$F$14="Yes",74&gt;=Projects!$C$14,74&lt;Projects!$C$14+Projects!$D$14),Projects!$B$14*(1-SUMPRODUCT((Curves!$B$2:$AO$2)*(COLUMN(Curves!$B$2:$AO$2)-COLUMN(Curves!$B$2)+1&lt;=74-Projects!$C$14+1))),0)</f>
        <v>0</v>
      </c>
      <c r="BY15" s="231">
        <f>IF(AND(Projects!$G$14="Yes",Projects!$F$14="Yes",75&gt;=Projects!$C$14,75&lt;Projects!$C$14+Projects!$D$14),Projects!$B$14*(1-SUMPRODUCT((Curves!$B$2:$AO$2)*(COLUMN(Curves!$B$2:$AO$2)-COLUMN(Curves!$B$2)+1&lt;=75-Projects!$C$14+1))),0)</f>
        <v>0</v>
      </c>
      <c r="BZ15" s="231">
        <f>IF(AND(Projects!$G$14="Yes",Projects!$F$14="Yes",76&gt;=Projects!$C$14,76&lt;Projects!$C$14+Projects!$D$14),Projects!$B$14*(1-SUMPRODUCT((Curves!$B$2:$AO$2)*(COLUMN(Curves!$B$2:$AO$2)-COLUMN(Curves!$B$2)+1&lt;=76-Projects!$C$14+1))),0)</f>
        <v>0</v>
      </c>
      <c r="CA15" s="231">
        <f>IF(AND(Projects!$G$14="Yes",Projects!$F$14="Yes",77&gt;=Projects!$C$14,77&lt;Projects!$C$14+Projects!$D$14),Projects!$B$14*(1-SUMPRODUCT((Curves!$B$2:$AO$2)*(COLUMN(Curves!$B$2:$AO$2)-COLUMN(Curves!$B$2)+1&lt;=77-Projects!$C$14+1))),0)</f>
        <v>0</v>
      </c>
      <c r="CB15" s="231">
        <f>IF(AND(Projects!$G$14="Yes",Projects!$F$14="Yes",78&gt;=Projects!$C$14,78&lt;Projects!$C$14+Projects!$D$14),Projects!$B$14*(1-SUMPRODUCT((Curves!$B$2:$AO$2)*(COLUMN(Curves!$B$2:$AO$2)-COLUMN(Curves!$B$2)+1&lt;=78-Projects!$C$14+1))),0)</f>
        <v>0</v>
      </c>
      <c r="CC15" s="231">
        <f>IF(AND(Projects!$G$14="Yes",Projects!$F$14="Yes",79&gt;=Projects!$C$14,79&lt;Projects!$C$14+Projects!$D$14),Projects!$B$14*(1-SUMPRODUCT((Curves!$B$2:$AO$2)*(COLUMN(Curves!$B$2:$AO$2)-COLUMN(Curves!$B$2)+1&lt;=79-Projects!$C$14+1))),0)</f>
        <v>0</v>
      </c>
      <c r="CD15" s="231">
        <f>IF(AND(Projects!$G$14="Yes",Projects!$F$14="Yes",80&gt;=Projects!$C$14,80&lt;Projects!$C$14+Projects!$D$14),Projects!$B$14*(1-SUMPRODUCT((Curves!$B$2:$AO$2)*(COLUMN(Curves!$B$2:$AO$2)-COLUMN(Curves!$B$2)+1&lt;=80-Projects!$C$14+1))),0)</f>
        <v>0</v>
      </c>
      <c r="CE15" s="231">
        <f>IF(AND(Projects!$G$14="Yes",Projects!$F$14="Yes",81&gt;=Projects!$C$14,81&lt;Projects!$C$14+Projects!$D$14),Projects!$B$14*(1-SUMPRODUCT((Curves!$B$2:$AO$2)*(COLUMN(Curves!$B$2:$AO$2)-COLUMN(Curves!$B$2)+1&lt;=81-Projects!$C$14+1))),0)</f>
        <v>0</v>
      </c>
      <c r="CF15" s="231">
        <f>IF(AND(Projects!$G$14="Yes",Projects!$F$14="Yes",82&gt;=Projects!$C$14,82&lt;Projects!$C$14+Projects!$D$14),Projects!$B$14*(1-SUMPRODUCT((Curves!$B$2:$AO$2)*(COLUMN(Curves!$B$2:$AO$2)-COLUMN(Curves!$B$2)+1&lt;=82-Projects!$C$14+1))),0)</f>
        <v>0</v>
      </c>
      <c r="CG15" s="231">
        <f>IF(AND(Projects!$G$14="Yes",Projects!$F$14="Yes",83&gt;=Projects!$C$14,83&lt;Projects!$C$14+Projects!$D$14),Projects!$B$14*(1-SUMPRODUCT((Curves!$B$2:$AO$2)*(COLUMN(Curves!$B$2:$AO$2)-COLUMN(Curves!$B$2)+1&lt;=83-Projects!$C$14+1))),0)</f>
        <v>0</v>
      </c>
      <c r="CH15" s="231">
        <f>IF(AND(Projects!$G$14="Yes",Projects!$F$14="Yes",84&gt;=Projects!$C$14,84&lt;Projects!$C$14+Projects!$D$14),Projects!$B$14*(1-SUMPRODUCT((Curves!$B$2:$AO$2)*(COLUMN(Curves!$B$2:$AO$2)-COLUMN(Curves!$B$2)+1&lt;=84-Projects!$C$14+1))),0)</f>
        <v>0</v>
      </c>
      <c r="CI15" s="231">
        <f>IF(AND(Projects!$G$14="Yes",Projects!$F$14="Yes",85&gt;=Projects!$C$14,85&lt;Projects!$C$14+Projects!$D$14),Projects!$B$14*(1-SUMPRODUCT((Curves!$B$2:$AO$2)*(COLUMN(Curves!$B$2:$AO$2)-COLUMN(Curves!$B$2)+1&lt;=85-Projects!$C$14+1))),0)</f>
        <v>0</v>
      </c>
      <c r="CJ15" s="231">
        <f>IF(AND(Projects!$G$14="Yes",Projects!$F$14="Yes",86&gt;=Projects!$C$14,86&lt;Projects!$C$14+Projects!$D$14),Projects!$B$14*(1-SUMPRODUCT((Curves!$B$2:$AO$2)*(COLUMN(Curves!$B$2:$AO$2)-COLUMN(Curves!$B$2)+1&lt;=86-Projects!$C$14+1))),0)</f>
        <v>0</v>
      </c>
      <c r="CK15" s="231">
        <f>IF(AND(Projects!$G$14="Yes",Projects!$F$14="Yes",87&gt;=Projects!$C$14,87&lt;Projects!$C$14+Projects!$D$14),Projects!$B$14*(1-SUMPRODUCT((Curves!$B$2:$AO$2)*(COLUMN(Curves!$B$2:$AO$2)-COLUMN(Curves!$B$2)+1&lt;=87-Projects!$C$14+1))),0)</f>
        <v>0</v>
      </c>
      <c r="CL15" s="231">
        <f>IF(AND(Projects!$G$14="Yes",Projects!$F$14="Yes",88&gt;=Projects!$C$14,88&lt;Projects!$C$14+Projects!$D$14),Projects!$B$14*(1-SUMPRODUCT((Curves!$B$2:$AO$2)*(COLUMN(Curves!$B$2:$AO$2)-COLUMN(Curves!$B$2)+1&lt;=88-Projects!$C$14+1))),0)</f>
        <v>0</v>
      </c>
      <c r="CM15" s="231">
        <f>IF(AND(Projects!$G$14="Yes",Projects!$F$14="Yes",89&gt;=Projects!$C$14,89&lt;Projects!$C$14+Projects!$D$14),Projects!$B$14*(1-SUMPRODUCT((Curves!$B$2:$AO$2)*(COLUMN(Curves!$B$2:$AO$2)-COLUMN(Curves!$B$2)+1&lt;=89-Projects!$C$14+1))),0)</f>
        <v>0</v>
      </c>
      <c r="CN15" s="231">
        <f>IF(AND(Projects!$G$14="Yes",Projects!$F$14="Yes",90&gt;=Projects!$C$14,90&lt;Projects!$C$14+Projects!$D$14),Projects!$B$14*(1-SUMPRODUCT((Curves!$B$2:$AO$2)*(COLUMN(Curves!$B$2:$AO$2)-COLUMN(Curves!$B$2)+1&lt;=90-Projects!$C$14+1))),0)</f>
        <v>0</v>
      </c>
      <c r="CO15" s="231">
        <f>IF(AND(Projects!$G$14="Yes",Projects!$F$14="Yes",91&gt;=Projects!$C$14,91&lt;Projects!$C$14+Projects!$D$14),Projects!$B$14*(1-SUMPRODUCT((Curves!$B$2:$AO$2)*(COLUMN(Curves!$B$2:$AO$2)-COLUMN(Curves!$B$2)+1&lt;=91-Projects!$C$14+1))),0)</f>
        <v>0</v>
      </c>
      <c r="CP15" s="231">
        <f>IF(AND(Projects!$G$14="Yes",Projects!$F$14="Yes",92&gt;=Projects!$C$14,92&lt;Projects!$C$14+Projects!$D$14),Projects!$B$14*(1-SUMPRODUCT((Curves!$B$2:$AO$2)*(COLUMN(Curves!$B$2:$AO$2)-COLUMN(Curves!$B$2)+1&lt;=92-Projects!$C$14+1))),0)</f>
        <v>0</v>
      </c>
      <c r="CQ15" s="231">
        <f>IF(AND(Projects!$G$14="Yes",Projects!$F$14="Yes",93&gt;=Projects!$C$14,93&lt;Projects!$C$14+Projects!$D$14),Projects!$B$14*(1-SUMPRODUCT((Curves!$B$2:$AO$2)*(COLUMN(Curves!$B$2:$AO$2)-COLUMN(Curves!$B$2)+1&lt;=93-Projects!$C$14+1))),0)</f>
        <v>0</v>
      </c>
    </row>
    <row r="16" spans="1:95" ht="15" customHeight="1" x14ac:dyDescent="0.25">
      <c r="A16" s="99" t="s">
        <v>174</v>
      </c>
      <c r="C16" s="246">
        <f t="shared" ref="C16:AH16" si="0">SUM(C8:C15)</f>
        <v>24716840.3468768</v>
      </c>
      <c r="D16" s="246">
        <f t="shared" si="0"/>
        <v>22881539.176573537</v>
      </c>
      <c r="E16" s="246">
        <f t="shared" si="0"/>
        <v>20879271.912436187</v>
      </c>
      <c r="F16" s="246">
        <f t="shared" si="0"/>
        <v>60836243.104082987</v>
      </c>
      <c r="G16" s="246">
        <f t="shared" si="0"/>
        <v>57578778.6797034</v>
      </c>
      <c r="H16" s="246">
        <f t="shared" si="0"/>
        <v>54117067.973172709</v>
      </c>
      <c r="I16" s="246">
        <f t="shared" si="0"/>
        <v>79352933.496734113</v>
      </c>
      <c r="J16" s="246">
        <f t="shared" si="0"/>
        <v>95588363.965789929</v>
      </c>
      <c r="K16" s="246">
        <f t="shared" si="0"/>
        <v>90239873.755658567</v>
      </c>
      <c r="L16" s="246">
        <f t="shared" si="0"/>
        <v>84604000.439778298</v>
      </c>
      <c r="M16" s="246">
        <f t="shared" si="0"/>
        <v>78720266.974022105</v>
      </c>
      <c r="N16" s="246">
        <f t="shared" si="0"/>
        <v>72635646.38755329</v>
      </c>
      <c r="O16" s="246">
        <f t="shared" si="0"/>
        <v>110943455.0816887</v>
      </c>
      <c r="P16" s="246">
        <f t="shared" si="0"/>
        <v>103793457.32488425</v>
      </c>
      <c r="Q16" s="246">
        <f t="shared" si="0"/>
        <v>96517203.05507499</v>
      </c>
      <c r="R16" s="246">
        <f t="shared" si="0"/>
        <v>89832380.402736992</v>
      </c>
      <c r="S16" s="246">
        <f t="shared" si="0"/>
        <v>83021753.709655985</v>
      </c>
      <c r="T16" s="246">
        <f t="shared" si="0"/>
        <v>76187589.600928992</v>
      </c>
      <c r="U16" s="246">
        <f t="shared" si="0"/>
        <v>69427945.700481981</v>
      </c>
      <c r="V16" s="246">
        <f t="shared" si="0"/>
        <v>62831519.462921992</v>
      </c>
      <c r="W16" s="246">
        <f t="shared" si="0"/>
        <v>56473335.557831988</v>
      </c>
      <c r="X16" s="246">
        <f t="shared" si="0"/>
        <v>50412135.689663991</v>
      </c>
      <c r="Y16" s="246">
        <f t="shared" si="0"/>
        <v>44689514.450514987</v>
      </c>
      <c r="Z16" s="246">
        <f t="shared" si="0"/>
        <v>39330314.060103998</v>
      </c>
      <c r="AA16" s="246">
        <f t="shared" si="0"/>
        <v>34344660.929919995</v>
      </c>
      <c r="AB16" s="246">
        <f t="shared" si="0"/>
        <v>30015781.278079994</v>
      </c>
      <c r="AC16" s="246">
        <f t="shared" si="0"/>
        <v>67115910.942615986</v>
      </c>
      <c r="AD16" s="246">
        <f t="shared" si="0"/>
        <v>63678669.505812995</v>
      </c>
      <c r="AE16" s="246">
        <f t="shared" si="0"/>
        <v>60195756.503802985</v>
      </c>
      <c r="AF16" s="246">
        <f t="shared" si="0"/>
        <v>56684810.890850991</v>
      </c>
      <c r="AG16" s="246">
        <f t="shared" si="0"/>
        <v>53163021.419371992</v>
      </c>
      <c r="AH16" s="246">
        <f t="shared" si="0"/>
        <v>49646883.209601</v>
      </c>
      <c r="AI16" s="246">
        <f t="shared" ref="AI16:BN16" si="1">SUM(AI8:AI15)</f>
        <v>46152166.879777998</v>
      </c>
      <c r="AJ16" s="246">
        <f t="shared" si="1"/>
        <v>42693842.409563005</v>
      </c>
      <c r="AK16" s="246">
        <f t="shared" si="1"/>
        <v>39286070.295121007</v>
      </c>
      <c r="AL16" s="246">
        <f t="shared" si="1"/>
        <v>35942217.821294002</v>
      </c>
      <c r="AM16" s="246">
        <f t="shared" si="1"/>
        <v>32894612.367548011</v>
      </c>
      <c r="AN16" s="246">
        <f t="shared" si="1"/>
        <v>29903009.833158009</v>
      </c>
      <c r="AO16" s="246">
        <f t="shared" si="1"/>
        <v>26981928.712532006</v>
      </c>
      <c r="AP16" s="246">
        <f t="shared" si="1"/>
        <v>24145214.967326008</v>
      </c>
      <c r="AQ16" s="246">
        <f t="shared" si="1"/>
        <v>21405892.487426009</v>
      </c>
      <c r="AR16" s="246">
        <f t="shared" si="1"/>
        <v>18775979.790616009</v>
      </c>
      <c r="AS16" s="246">
        <f t="shared" si="1"/>
        <v>16893987.491480004</v>
      </c>
      <c r="AT16" s="246">
        <f t="shared" si="1"/>
        <v>15049033.294064002</v>
      </c>
      <c r="AU16" s="246">
        <f t="shared" si="1"/>
        <v>13258584.501624003</v>
      </c>
      <c r="AV16" s="246">
        <f t="shared" si="1"/>
        <v>11538273.165056005</v>
      </c>
      <c r="AW16" s="246">
        <f t="shared" si="1"/>
        <v>9901787.6675520036</v>
      </c>
      <c r="AX16" s="246">
        <f t="shared" si="1"/>
        <v>8360541.8875440042</v>
      </c>
      <c r="AY16" s="246">
        <f t="shared" si="1"/>
        <v>6923385.716280004</v>
      </c>
      <c r="AZ16" s="246">
        <f t="shared" si="1"/>
        <v>5596646.4124560058</v>
      </c>
      <c r="BA16" s="246">
        <f t="shared" si="1"/>
        <v>4384004.5383200068</v>
      </c>
      <c r="BB16" s="246">
        <f t="shared" si="1"/>
        <v>3286659.3782000076</v>
      </c>
      <c r="BC16" s="246">
        <f t="shared" si="1"/>
        <v>2303535.7116640056</v>
      </c>
      <c r="BD16" s="246">
        <f t="shared" si="1"/>
        <v>1431490.5866800072</v>
      </c>
      <c r="BE16" s="246">
        <f t="shared" si="1"/>
        <v>665685.51130400575</v>
      </c>
      <c r="BF16" s="246">
        <f t="shared" si="1"/>
        <v>-165.41852799557415</v>
      </c>
      <c r="BG16" s="246">
        <f t="shared" si="1"/>
        <v>0</v>
      </c>
      <c r="BH16" s="246">
        <f t="shared" si="1"/>
        <v>0</v>
      </c>
      <c r="BI16" s="246">
        <f t="shared" si="1"/>
        <v>0</v>
      </c>
      <c r="BJ16" s="246">
        <f t="shared" si="1"/>
        <v>0</v>
      </c>
      <c r="BK16" s="246">
        <f t="shared" si="1"/>
        <v>0</v>
      </c>
      <c r="BL16" s="246">
        <f t="shared" si="1"/>
        <v>0</v>
      </c>
      <c r="BM16" s="246">
        <f t="shared" si="1"/>
        <v>0</v>
      </c>
      <c r="BN16" s="246">
        <f t="shared" si="1"/>
        <v>0</v>
      </c>
      <c r="BO16" s="246">
        <f t="shared" ref="BO16:CT16" si="2">SUM(BO8:BO15)</f>
        <v>0</v>
      </c>
      <c r="BP16" s="246">
        <f t="shared" si="2"/>
        <v>0</v>
      </c>
      <c r="BQ16" s="246">
        <f t="shared" si="2"/>
        <v>0</v>
      </c>
      <c r="BR16" s="246">
        <f t="shared" si="2"/>
        <v>0</v>
      </c>
      <c r="BS16" s="246">
        <f t="shared" si="2"/>
        <v>0</v>
      </c>
      <c r="BT16" s="246">
        <f t="shared" si="2"/>
        <v>0</v>
      </c>
      <c r="BU16" s="246">
        <f t="shared" si="2"/>
        <v>0</v>
      </c>
      <c r="BV16" s="246">
        <f t="shared" si="2"/>
        <v>0</v>
      </c>
      <c r="BW16" s="246">
        <f t="shared" si="2"/>
        <v>0</v>
      </c>
      <c r="BX16" s="246">
        <f t="shared" si="2"/>
        <v>0</v>
      </c>
      <c r="BY16" s="246">
        <f t="shared" si="2"/>
        <v>0</v>
      </c>
      <c r="BZ16" s="246">
        <f t="shared" si="2"/>
        <v>0</v>
      </c>
      <c r="CA16" s="246">
        <f t="shared" si="2"/>
        <v>0</v>
      </c>
      <c r="CB16" s="246">
        <f t="shared" si="2"/>
        <v>0</v>
      </c>
      <c r="CC16" s="246">
        <f t="shared" si="2"/>
        <v>0</v>
      </c>
      <c r="CD16" s="246">
        <f t="shared" si="2"/>
        <v>0</v>
      </c>
      <c r="CE16" s="246">
        <f t="shared" si="2"/>
        <v>0</v>
      </c>
      <c r="CF16" s="246">
        <f t="shared" si="2"/>
        <v>0</v>
      </c>
      <c r="CG16" s="246">
        <f t="shared" si="2"/>
        <v>0</v>
      </c>
      <c r="CH16" s="246">
        <f t="shared" si="2"/>
        <v>0</v>
      </c>
      <c r="CI16" s="246">
        <f t="shared" si="2"/>
        <v>0</v>
      </c>
      <c r="CJ16" s="246">
        <f t="shared" si="2"/>
        <v>0</v>
      </c>
      <c r="CK16" s="246">
        <f t="shared" si="2"/>
        <v>0</v>
      </c>
      <c r="CL16" s="246">
        <f t="shared" si="2"/>
        <v>0</v>
      </c>
      <c r="CM16" s="246">
        <f t="shared" si="2"/>
        <v>0</v>
      </c>
      <c r="CN16" s="246">
        <f t="shared" si="2"/>
        <v>0</v>
      </c>
      <c r="CO16" s="246">
        <f t="shared" si="2"/>
        <v>0</v>
      </c>
      <c r="CP16" s="246">
        <f t="shared" si="2"/>
        <v>0</v>
      </c>
      <c r="CQ16" s="246">
        <f t="shared" si="2"/>
        <v>0</v>
      </c>
    </row>
    <row r="18" spans="1:95" ht="15" customHeight="1" x14ac:dyDescent="0.25">
      <c r="A18" s="315" t="s">
        <v>803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O18" s="315"/>
      <c r="BP18" s="315"/>
      <c r="BQ18" s="315"/>
      <c r="BR18" s="315"/>
      <c r="BS18" s="315"/>
      <c r="BT18" s="315"/>
      <c r="BU18" s="315"/>
      <c r="BV18" s="315"/>
      <c r="BW18" s="315"/>
      <c r="BX18" s="315"/>
      <c r="BY18" s="315"/>
      <c r="BZ18" s="315"/>
      <c r="CA18" s="315"/>
      <c r="CB18" s="315"/>
      <c r="CC18" s="315"/>
      <c r="CD18" s="315"/>
      <c r="CE18" s="315"/>
      <c r="CF18" s="315"/>
      <c r="CG18" s="315"/>
      <c r="CH18" s="315"/>
    </row>
    <row r="19" spans="1:95" ht="15" customHeight="1" x14ac:dyDescent="0.25">
      <c r="A19" s="144" t="s">
        <v>804</v>
      </c>
      <c r="C19" s="231">
        <f>IF(Projects!$G$7="Yes",Projects!$B$7*Assumptions!$B$47+Assumptions!$B$53*Assumptions!$B$48,0)</f>
        <v>579684.48</v>
      </c>
      <c r="D19" s="231">
        <f t="shared" ref="D19:AI19" si="3">C21</f>
        <v>579684.48</v>
      </c>
      <c r="E19" s="231">
        <f t="shared" si="3"/>
        <v>579684.48</v>
      </c>
      <c r="F19" s="231">
        <f t="shared" si="3"/>
        <v>579684.48</v>
      </c>
      <c r="G19" s="231">
        <f t="shared" si="3"/>
        <v>579684.48</v>
      </c>
      <c r="H19" s="231">
        <f t="shared" si="3"/>
        <v>579684.48</v>
      </c>
      <c r="I19" s="231">
        <f t="shared" si="3"/>
        <v>579684.48</v>
      </c>
      <c r="J19" s="231">
        <f t="shared" si="3"/>
        <v>579684.48</v>
      </c>
      <c r="K19" s="231">
        <f t="shared" si="3"/>
        <v>579684.48</v>
      </c>
      <c r="L19" s="231">
        <f t="shared" si="3"/>
        <v>579684.48</v>
      </c>
      <c r="M19" s="231">
        <f t="shared" si="3"/>
        <v>579684.48</v>
      </c>
      <c r="N19" s="231">
        <f t="shared" si="3"/>
        <v>579684.48</v>
      </c>
      <c r="O19" s="231">
        <f t="shared" si="3"/>
        <v>579684.48</v>
      </c>
      <c r="P19" s="231">
        <f t="shared" si="3"/>
        <v>579684.48</v>
      </c>
      <c r="Q19" s="231">
        <f t="shared" si="3"/>
        <v>579684.48</v>
      </c>
      <c r="R19" s="231">
        <f t="shared" si="3"/>
        <v>579684.48</v>
      </c>
      <c r="S19" s="231">
        <f t="shared" si="3"/>
        <v>579684.48</v>
      </c>
      <c r="T19" s="231">
        <f t="shared" si="3"/>
        <v>579684.48</v>
      </c>
      <c r="U19" s="231">
        <f t="shared" si="3"/>
        <v>579684.48</v>
      </c>
      <c r="V19" s="231">
        <f t="shared" si="3"/>
        <v>579684.48</v>
      </c>
      <c r="W19" s="231">
        <f t="shared" si="3"/>
        <v>579684.48</v>
      </c>
      <c r="X19" s="231">
        <f t="shared" si="3"/>
        <v>579684.48</v>
      </c>
      <c r="Y19" s="231">
        <f t="shared" si="3"/>
        <v>579684.48</v>
      </c>
      <c r="Z19" s="231">
        <f t="shared" si="3"/>
        <v>579684.48</v>
      </c>
      <c r="AA19" s="231">
        <f t="shared" si="3"/>
        <v>579684.48</v>
      </c>
      <c r="AB19" s="231">
        <f t="shared" si="3"/>
        <v>579684.48</v>
      </c>
      <c r="AC19" s="231">
        <f t="shared" si="3"/>
        <v>579684.48</v>
      </c>
      <c r="AD19" s="231">
        <f t="shared" si="3"/>
        <v>579684.48</v>
      </c>
      <c r="AE19" s="231">
        <f t="shared" si="3"/>
        <v>579684.48</v>
      </c>
      <c r="AF19" s="231">
        <f t="shared" si="3"/>
        <v>579684.48</v>
      </c>
      <c r="AG19" s="231">
        <f t="shared" si="3"/>
        <v>579684.48</v>
      </c>
      <c r="AH19" s="231">
        <f t="shared" si="3"/>
        <v>579684.48</v>
      </c>
      <c r="AI19" s="231">
        <f t="shared" si="3"/>
        <v>579684.48</v>
      </c>
      <c r="AJ19" s="231">
        <f t="shared" ref="AJ19:BO19" si="4">AI21</f>
        <v>579684.48</v>
      </c>
      <c r="AK19" s="231">
        <f t="shared" si="4"/>
        <v>579684.48</v>
      </c>
      <c r="AL19" s="231">
        <f t="shared" si="4"/>
        <v>579684.48</v>
      </c>
      <c r="AM19" s="231">
        <f t="shared" si="4"/>
        <v>579684.48</v>
      </c>
      <c r="AN19" s="231">
        <f t="shared" si="4"/>
        <v>579684.48</v>
      </c>
      <c r="AO19" s="231">
        <f t="shared" si="4"/>
        <v>579684.48</v>
      </c>
      <c r="AP19" s="231">
        <f t="shared" si="4"/>
        <v>579684.48</v>
      </c>
      <c r="AQ19" s="231">
        <f t="shared" si="4"/>
        <v>579684.48</v>
      </c>
      <c r="AR19" s="231">
        <f t="shared" si="4"/>
        <v>579684.48</v>
      </c>
      <c r="AS19" s="231">
        <f t="shared" si="4"/>
        <v>498001.48</v>
      </c>
      <c r="AT19" s="231">
        <f t="shared" si="4"/>
        <v>498001.48</v>
      </c>
      <c r="AU19" s="231">
        <f t="shared" si="4"/>
        <v>498001.48</v>
      </c>
      <c r="AV19" s="231">
        <f t="shared" si="4"/>
        <v>416319.48</v>
      </c>
      <c r="AW19" s="231">
        <f t="shared" si="4"/>
        <v>416319.48</v>
      </c>
      <c r="AX19" s="231">
        <f t="shared" si="4"/>
        <v>416319.48</v>
      </c>
      <c r="AY19" s="231">
        <f t="shared" si="4"/>
        <v>334637.48</v>
      </c>
      <c r="AZ19" s="231">
        <f t="shared" si="4"/>
        <v>334637.48</v>
      </c>
      <c r="BA19" s="231">
        <f t="shared" si="4"/>
        <v>334637.48</v>
      </c>
      <c r="BB19" s="231">
        <f t="shared" si="4"/>
        <v>252955.47999999998</v>
      </c>
      <c r="BC19" s="231">
        <f t="shared" si="4"/>
        <v>252955.47999999998</v>
      </c>
      <c r="BD19" s="231">
        <f t="shared" si="4"/>
        <v>252955.47999999998</v>
      </c>
      <c r="BE19" s="231">
        <f t="shared" si="4"/>
        <v>193777.47999999998</v>
      </c>
      <c r="BF19" s="231">
        <f t="shared" si="4"/>
        <v>193777.47999999998</v>
      </c>
      <c r="BG19" s="231">
        <f t="shared" si="4"/>
        <v>193777.47999999998</v>
      </c>
      <c r="BH19" s="231">
        <f t="shared" si="4"/>
        <v>134601.47999999998</v>
      </c>
      <c r="BI19" s="231">
        <f t="shared" si="4"/>
        <v>134601.47999999998</v>
      </c>
      <c r="BJ19" s="231">
        <f t="shared" si="4"/>
        <v>134601.47999999998</v>
      </c>
      <c r="BK19" s="231">
        <f t="shared" si="4"/>
        <v>75425.479999999981</v>
      </c>
      <c r="BL19" s="231">
        <f t="shared" si="4"/>
        <v>75425.479999999981</v>
      </c>
      <c r="BM19" s="231">
        <f t="shared" si="4"/>
        <v>75425.479999999981</v>
      </c>
      <c r="BN19" s="231">
        <f t="shared" si="4"/>
        <v>16249.479999999981</v>
      </c>
      <c r="BO19" s="231">
        <f t="shared" si="4"/>
        <v>16249.479999999981</v>
      </c>
      <c r="BP19" s="231">
        <f t="shared" ref="BP19:CQ19" si="5">BO21</f>
        <v>16249.479999999981</v>
      </c>
      <c r="BQ19" s="231">
        <f t="shared" si="5"/>
        <v>0</v>
      </c>
      <c r="BR19" s="231">
        <f t="shared" si="5"/>
        <v>0</v>
      </c>
      <c r="BS19" s="231">
        <f t="shared" si="5"/>
        <v>0</v>
      </c>
      <c r="BT19" s="231">
        <f t="shared" si="5"/>
        <v>0</v>
      </c>
      <c r="BU19" s="231">
        <f t="shared" si="5"/>
        <v>0</v>
      </c>
      <c r="BV19" s="231">
        <f t="shared" si="5"/>
        <v>0</v>
      </c>
      <c r="BW19" s="231">
        <f t="shared" si="5"/>
        <v>0</v>
      </c>
      <c r="BX19" s="231">
        <f t="shared" si="5"/>
        <v>0</v>
      </c>
      <c r="BY19" s="231">
        <f t="shared" si="5"/>
        <v>0</v>
      </c>
      <c r="BZ19" s="231">
        <f t="shared" si="5"/>
        <v>0</v>
      </c>
      <c r="CA19" s="231">
        <f t="shared" si="5"/>
        <v>0</v>
      </c>
      <c r="CB19" s="231">
        <f t="shared" si="5"/>
        <v>0</v>
      </c>
      <c r="CC19" s="231">
        <f t="shared" si="5"/>
        <v>0</v>
      </c>
      <c r="CD19" s="231">
        <f t="shared" si="5"/>
        <v>0</v>
      </c>
      <c r="CE19" s="231">
        <f t="shared" si="5"/>
        <v>0</v>
      </c>
      <c r="CF19" s="231">
        <f t="shared" si="5"/>
        <v>0</v>
      </c>
      <c r="CG19" s="231">
        <f t="shared" si="5"/>
        <v>0</v>
      </c>
      <c r="CH19" s="231">
        <f t="shared" si="5"/>
        <v>0</v>
      </c>
      <c r="CI19" s="231">
        <f t="shared" si="5"/>
        <v>0</v>
      </c>
      <c r="CJ19" s="231">
        <f t="shared" si="5"/>
        <v>0</v>
      </c>
      <c r="CK19" s="231">
        <f t="shared" si="5"/>
        <v>0</v>
      </c>
      <c r="CL19" s="231">
        <f t="shared" si="5"/>
        <v>0</v>
      </c>
      <c r="CM19" s="231">
        <f t="shared" si="5"/>
        <v>0</v>
      </c>
      <c r="CN19" s="231">
        <f t="shared" si="5"/>
        <v>0</v>
      </c>
      <c r="CO19" s="231">
        <f t="shared" si="5"/>
        <v>0</v>
      </c>
      <c r="CP19" s="231">
        <f t="shared" si="5"/>
        <v>0</v>
      </c>
      <c r="CQ19" s="231">
        <f t="shared" si="5"/>
        <v>0</v>
      </c>
    </row>
    <row r="20" spans="1:95" ht="15" customHeight="1" x14ac:dyDescent="0.25">
      <c r="A20" s="247" t="s">
        <v>805</v>
      </c>
      <c r="C20" s="248">
        <f>MIN(C19,Model!F76)</f>
        <v>0</v>
      </c>
      <c r="D20" s="248">
        <f>MIN(D19,Model!G76)</f>
        <v>0</v>
      </c>
      <c r="E20" s="248">
        <f>MIN(E19,Model!H76)</f>
        <v>0</v>
      </c>
      <c r="F20" s="248">
        <f>MIN(F19,Model!I76)</f>
        <v>0</v>
      </c>
      <c r="G20" s="248">
        <f>MIN(G19,Model!J76)</f>
        <v>0</v>
      </c>
      <c r="H20" s="248">
        <f>MIN(H19,Model!K76)</f>
        <v>0</v>
      </c>
      <c r="I20" s="248">
        <f>MIN(I19,Model!L76)</f>
        <v>0</v>
      </c>
      <c r="J20" s="248">
        <f>MIN(J19,Model!M76)</f>
        <v>0</v>
      </c>
      <c r="K20" s="248">
        <f>MIN(K19,Model!N76)</f>
        <v>0</v>
      </c>
      <c r="L20" s="248">
        <f>MIN(L19,Model!O76)</f>
        <v>0</v>
      </c>
      <c r="M20" s="248">
        <f>MIN(M19,Model!P76)</f>
        <v>0</v>
      </c>
      <c r="N20" s="248">
        <f>MIN(N19,Model!Q76)</f>
        <v>0</v>
      </c>
      <c r="O20" s="248">
        <f>MIN(O19,Model!R76)</f>
        <v>0</v>
      </c>
      <c r="P20" s="248">
        <f>MIN(P19,Model!S76)</f>
        <v>0</v>
      </c>
      <c r="Q20" s="248">
        <f>MIN(Q19,Model!T76)</f>
        <v>0</v>
      </c>
      <c r="R20" s="248">
        <f>MIN(R19,Model!U76)</f>
        <v>0</v>
      </c>
      <c r="S20" s="248">
        <f>MIN(S19,Model!V76)</f>
        <v>0</v>
      </c>
      <c r="T20" s="248">
        <f>MIN(T19,Model!W76)</f>
        <v>0</v>
      </c>
      <c r="U20" s="248">
        <f>MIN(U19,Model!X76)</f>
        <v>0</v>
      </c>
      <c r="V20" s="248">
        <f>MIN(V19,Model!Y76)</f>
        <v>0</v>
      </c>
      <c r="W20" s="248">
        <f>MIN(W19,Model!Z76)</f>
        <v>0</v>
      </c>
      <c r="X20" s="248">
        <f>MIN(X19,Model!AA76)</f>
        <v>0</v>
      </c>
      <c r="Y20" s="248">
        <f>MIN(Y19,Model!AB76)</f>
        <v>0</v>
      </c>
      <c r="Z20" s="248">
        <f>MIN(Z19,Model!AC76)</f>
        <v>0</v>
      </c>
      <c r="AA20" s="248">
        <f>MIN(AA19,Model!AD76)</f>
        <v>0</v>
      </c>
      <c r="AB20" s="248">
        <f>MIN(AB19,Model!AE76)</f>
        <v>0</v>
      </c>
      <c r="AC20" s="248">
        <f>MIN(AC19,Model!AF76)</f>
        <v>0</v>
      </c>
      <c r="AD20" s="248">
        <f>MIN(AD19,Model!AG76)</f>
        <v>0</v>
      </c>
      <c r="AE20" s="248">
        <f>MIN(AE19,Model!AH76)</f>
        <v>0</v>
      </c>
      <c r="AF20" s="248">
        <f>MIN(AF19,Model!AI76)</f>
        <v>0</v>
      </c>
      <c r="AG20" s="248">
        <f>MIN(AG19,Model!AJ76)</f>
        <v>0</v>
      </c>
      <c r="AH20" s="248">
        <f>MIN(AH19,Model!AK76)</f>
        <v>0</v>
      </c>
      <c r="AI20" s="248">
        <f>MIN(AI19,Model!AL76)</f>
        <v>0</v>
      </c>
      <c r="AJ20" s="248">
        <f>MIN(AJ19,Model!AM76)</f>
        <v>0</v>
      </c>
      <c r="AK20" s="248">
        <f>MIN(AK19,Model!AN76)</f>
        <v>0</v>
      </c>
      <c r="AL20" s="248">
        <f>MIN(AL19,Model!AO76)</f>
        <v>0</v>
      </c>
      <c r="AM20" s="248">
        <f>MIN(AM19,Model!AP76)</f>
        <v>0</v>
      </c>
      <c r="AN20" s="248">
        <f>MIN(AN19,Model!AQ76)</f>
        <v>0</v>
      </c>
      <c r="AO20" s="248">
        <f>MIN(AO19,Model!AR76)</f>
        <v>0</v>
      </c>
      <c r="AP20" s="248">
        <f>MIN(AP19,Model!AS76)</f>
        <v>0</v>
      </c>
      <c r="AQ20" s="248">
        <f>MIN(AQ19,Model!AT76)</f>
        <v>0</v>
      </c>
      <c r="AR20" s="248">
        <f>MIN(AR19,Model!AU76)</f>
        <v>81683</v>
      </c>
      <c r="AS20" s="248">
        <f>MIN(AS19,Model!AV76)</f>
        <v>0</v>
      </c>
      <c r="AT20" s="248">
        <f>MIN(AT19,Model!AW76)</f>
        <v>0</v>
      </c>
      <c r="AU20" s="248">
        <f>MIN(AU19,Model!AX76)</f>
        <v>81682</v>
      </c>
      <c r="AV20" s="248">
        <f>MIN(AV19,Model!AY76)</f>
        <v>0</v>
      </c>
      <c r="AW20" s="248">
        <f>MIN(AW19,Model!AZ76)</f>
        <v>0</v>
      </c>
      <c r="AX20" s="248">
        <f>MIN(AX19,Model!BA76)</f>
        <v>81682</v>
      </c>
      <c r="AY20" s="248">
        <f>MIN(AY19,Model!BB76)</f>
        <v>0</v>
      </c>
      <c r="AZ20" s="248">
        <f>MIN(AZ19,Model!BC76)</f>
        <v>0</v>
      </c>
      <c r="BA20" s="248">
        <f>MIN(BA19,Model!BD76)</f>
        <v>81682</v>
      </c>
      <c r="BB20" s="248">
        <f>MIN(BB19,Model!BE76)</f>
        <v>0</v>
      </c>
      <c r="BC20" s="248">
        <f>MIN(BC19,Model!BF76)</f>
        <v>0</v>
      </c>
      <c r="BD20" s="248">
        <f>MIN(BD19,Model!BG76)</f>
        <v>59178</v>
      </c>
      <c r="BE20" s="248">
        <f>MIN(BE19,Model!BH76)</f>
        <v>0</v>
      </c>
      <c r="BF20" s="248">
        <f>MIN(BF19,Model!BI76)</f>
        <v>0</v>
      </c>
      <c r="BG20" s="248">
        <f>MIN(BG19,Model!BJ76)</f>
        <v>59176</v>
      </c>
      <c r="BH20" s="248">
        <f>MIN(BH19,Model!BK76)</f>
        <v>0</v>
      </c>
      <c r="BI20" s="248">
        <f>MIN(BI19,Model!BL76)</f>
        <v>0</v>
      </c>
      <c r="BJ20" s="248">
        <f>MIN(BJ19,Model!BM76)</f>
        <v>59176</v>
      </c>
      <c r="BK20" s="248">
        <f>MIN(BK19,Model!BN76)</f>
        <v>0</v>
      </c>
      <c r="BL20" s="248">
        <f>MIN(BL19,Model!BO76)</f>
        <v>0</v>
      </c>
      <c r="BM20" s="248">
        <f>MIN(BM19,Model!BP76)</f>
        <v>59176</v>
      </c>
      <c r="BN20" s="248">
        <f>MIN(BN19,Model!BQ76)</f>
        <v>0</v>
      </c>
      <c r="BO20" s="248">
        <f>MIN(BO19,Model!BR76)</f>
        <v>0</v>
      </c>
      <c r="BP20" s="248">
        <f>MIN(BP19,Model!BS76)</f>
        <v>16249.479999999981</v>
      </c>
      <c r="BQ20" s="248">
        <f>MIN(BQ19,Model!BT76)</f>
        <v>0</v>
      </c>
      <c r="BR20" s="248">
        <f>MIN(BR19,Model!BU76)</f>
        <v>0</v>
      </c>
      <c r="BS20" s="248">
        <f>MIN(BS19,Model!BV76)</f>
        <v>0</v>
      </c>
      <c r="BT20" s="248">
        <f>MIN(BT19,Model!BW76)</f>
        <v>0</v>
      </c>
      <c r="BU20" s="248">
        <f>MIN(BU19,Model!BX76)</f>
        <v>0</v>
      </c>
      <c r="BV20" s="248">
        <f>MIN(BV19,Model!BY76)</f>
        <v>0</v>
      </c>
      <c r="BW20" s="248">
        <f>MIN(BW19,Model!BZ76)</f>
        <v>0</v>
      </c>
      <c r="BX20" s="248">
        <f>MIN(BX19,Model!CA76)</f>
        <v>0</v>
      </c>
      <c r="BY20" s="248">
        <f>MIN(BY19,Model!CB76)</f>
        <v>0</v>
      </c>
      <c r="BZ20" s="248">
        <f>MIN(BZ19,Model!CC76)</f>
        <v>0</v>
      </c>
      <c r="CA20" s="248">
        <f>MIN(CA19,Model!CD76)</f>
        <v>0</v>
      </c>
      <c r="CB20" s="248">
        <f>MIN(CB19,Model!CE76)</f>
        <v>0</v>
      </c>
      <c r="CC20" s="248">
        <f>MIN(CC19,Model!CF76)</f>
        <v>0</v>
      </c>
      <c r="CD20" s="248">
        <f>MIN(CD19,Model!CG76)</f>
        <v>0</v>
      </c>
      <c r="CE20" s="248">
        <f>MIN(CE19,Model!CH76)</f>
        <v>0</v>
      </c>
      <c r="CF20" s="248">
        <f>MIN(CF19,Model!CI76)</f>
        <v>0</v>
      </c>
      <c r="CG20" s="248">
        <f>MIN(CG19,Model!CJ76)</f>
        <v>0</v>
      </c>
      <c r="CH20" s="248">
        <f>MIN(CH19,Model!CK76)</f>
        <v>0</v>
      </c>
      <c r="CI20" s="248">
        <f>MIN(CI19,Model!CL76)</f>
        <v>0</v>
      </c>
      <c r="CJ20" s="248">
        <f>MIN(CJ19,Model!CM76)</f>
        <v>0</v>
      </c>
      <c r="CK20" s="248">
        <f>MIN(CK19,Model!CN76)</f>
        <v>0</v>
      </c>
      <c r="CL20" s="248">
        <f>MIN(CL19,Model!CO76)</f>
        <v>0</v>
      </c>
      <c r="CM20" s="248">
        <f>MIN(CM19,Model!CP76)</f>
        <v>0</v>
      </c>
      <c r="CN20" s="248">
        <f>MIN(CN19,Model!CQ76)</f>
        <v>0</v>
      </c>
      <c r="CO20" s="248">
        <f>MIN(CO19,Model!CR76)</f>
        <v>0</v>
      </c>
      <c r="CP20" s="248">
        <f>MIN(CP19,Model!CS76)</f>
        <v>0</v>
      </c>
      <c r="CQ20" s="248">
        <f>MIN(CQ19,Model!CT76)</f>
        <v>0</v>
      </c>
    </row>
    <row r="21" spans="1:95" ht="15" customHeight="1" x14ac:dyDescent="0.25">
      <c r="A21" s="99" t="s">
        <v>806</v>
      </c>
      <c r="C21" s="246">
        <f t="shared" ref="C21:AH21" si="6">MAX(0,C19-C20)</f>
        <v>579684.48</v>
      </c>
      <c r="D21" s="246">
        <f t="shared" si="6"/>
        <v>579684.48</v>
      </c>
      <c r="E21" s="246">
        <f t="shared" si="6"/>
        <v>579684.48</v>
      </c>
      <c r="F21" s="246">
        <f t="shared" si="6"/>
        <v>579684.48</v>
      </c>
      <c r="G21" s="246">
        <f t="shared" si="6"/>
        <v>579684.48</v>
      </c>
      <c r="H21" s="246">
        <f t="shared" si="6"/>
        <v>579684.48</v>
      </c>
      <c r="I21" s="246">
        <f t="shared" si="6"/>
        <v>579684.48</v>
      </c>
      <c r="J21" s="246">
        <f t="shared" si="6"/>
        <v>579684.48</v>
      </c>
      <c r="K21" s="246">
        <f t="shared" si="6"/>
        <v>579684.48</v>
      </c>
      <c r="L21" s="246">
        <f t="shared" si="6"/>
        <v>579684.48</v>
      </c>
      <c r="M21" s="246">
        <f t="shared" si="6"/>
        <v>579684.48</v>
      </c>
      <c r="N21" s="246">
        <f t="shared" si="6"/>
        <v>579684.48</v>
      </c>
      <c r="O21" s="246">
        <f t="shared" si="6"/>
        <v>579684.48</v>
      </c>
      <c r="P21" s="246">
        <f t="shared" si="6"/>
        <v>579684.48</v>
      </c>
      <c r="Q21" s="246">
        <f t="shared" si="6"/>
        <v>579684.48</v>
      </c>
      <c r="R21" s="246">
        <f t="shared" si="6"/>
        <v>579684.48</v>
      </c>
      <c r="S21" s="246">
        <f t="shared" si="6"/>
        <v>579684.48</v>
      </c>
      <c r="T21" s="246">
        <f t="shared" si="6"/>
        <v>579684.48</v>
      </c>
      <c r="U21" s="246">
        <f t="shared" si="6"/>
        <v>579684.48</v>
      </c>
      <c r="V21" s="246">
        <f t="shared" si="6"/>
        <v>579684.48</v>
      </c>
      <c r="W21" s="246">
        <f t="shared" si="6"/>
        <v>579684.48</v>
      </c>
      <c r="X21" s="246">
        <f t="shared" si="6"/>
        <v>579684.48</v>
      </c>
      <c r="Y21" s="246">
        <f t="shared" si="6"/>
        <v>579684.48</v>
      </c>
      <c r="Z21" s="246">
        <f t="shared" si="6"/>
        <v>579684.48</v>
      </c>
      <c r="AA21" s="246">
        <f t="shared" si="6"/>
        <v>579684.48</v>
      </c>
      <c r="AB21" s="246">
        <f t="shared" si="6"/>
        <v>579684.48</v>
      </c>
      <c r="AC21" s="246">
        <f t="shared" si="6"/>
        <v>579684.48</v>
      </c>
      <c r="AD21" s="246">
        <f t="shared" si="6"/>
        <v>579684.48</v>
      </c>
      <c r="AE21" s="246">
        <f t="shared" si="6"/>
        <v>579684.48</v>
      </c>
      <c r="AF21" s="246">
        <f t="shared" si="6"/>
        <v>579684.48</v>
      </c>
      <c r="AG21" s="246">
        <f t="shared" si="6"/>
        <v>579684.48</v>
      </c>
      <c r="AH21" s="246">
        <f t="shared" si="6"/>
        <v>579684.48</v>
      </c>
      <c r="AI21" s="246">
        <f t="shared" ref="AI21:BN21" si="7">MAX(0,AI19-AI20)</f>
        <v>579684.48</v>
      </c>
      <c r="AJ21" s="246">
        <f t="shared" si="7"/>
        <v>579684.48</v>
      </c>
      <c r="AK21" s="246">
        <f t="shared" si="7"/>
        <v>579684.48</v>
      </c>
      <c r="AL21" s="246">
        <f t="shared" si="7"/>
        <v>579684.48</v>
      </c>
      <c r="AM21" s="246">
        <f t="shared" si="7"/>
        <v>579684.48</v>
      </c>
      <c r="AN21" s="246">
        <f t="shared" si="7"/>
        <v>579684.48</v>
      </c>
      <c r="AO21" s="246">
        <f t="shared" si="7"/>
        <v>579684.48</v>
      </c>
      <c r="AP21" s="246">
        <f t="shared" si="7"/>
        <v>579684.48</v>
      </c>
      <c r="AQ21" s="246">
        <f t="shared" si="7"/>
        <v>579684.48</v>
      </c>
      <c r="AR21" s="246">
        <f t="shared" si="7"/>
        <v>498001.48</v>
      </c>
      <c r="AS21" s="246">
        <f t="shared" si="7"/>
        <v>498001.48</v>
      </c>
      <c r="AT21" s="246">
        <f t="shared" si="7"/>
        <v>498001.48</v>
      </c>
      <c r="AU21" s="246">
        <f t="shared" si="7"/>
        <v>416319.48</v>
      </c>
      <c r="AV21" s="246">
        <f t="shared" si="7"/>
        <v>416319.48</v>
      </c>
      <c r="AW21" s="246">
        <f t="shared" si="7"/>
        <v>416319.48</v>
      </c>
      <c r="AX21" s="246">
        <f t="shared" si="7"/>
        <v>334637.48</v>
      </c>
      <c r="AY21" s="246">
        <f t="shared" si="7"/>
        <v>334637.48</v>
      </c>
      <c r="AZ21" s="246">
        <f t="shared" si="7"/>
        <v>334637.48</v>
      </c>
      <c r="BA21" s="246">
        <f t="shared" si="7"/>
        <v>252955.47999999998</v>
      </c>
      <c r="BB21" s="246">
        <f t="shared" si="7"/>
        <v>252955.47999999998</v>
      </c>
      <c r="BC21" s="246">
        <f t="shared" si="7"/>
        <v>252955.47999999998</v>
      </c>
      <c r="BD21" s="246">
        <f t="shared" si="7"/>
        <v>193777.47999999998</v>
      </c>
      <c r="BE21" s="246">
        <f t="shared" si="7"/>
        <v>193777.47999999998</v>
      </c>
      <c r="BF21" s="246">
        <f t="shared" si="7"/>
        <v>193777.47999999998</v>
      </c>
      <c r="BG21" s="246">
        <f t="shared" si="7"/>
        <v>134601.47999999998</v>
      </c>
      <c r="BH21" s="246">
        <f t="shared" si="7"/>
        <v>134601.47999999998</v>
      </c>
      <c r="BI21" s="246">
        <f t="shared" si="7"/>
        <v>134601.47999999998</v>
      </c>
      <c r="BJ21" s="246">
        <f t="shared" si="7"/>
        <v>75425.479999999981</v>
      </c>
      <c r="BK21" s="246">
        <f t="shared" si="7"/>
        <v>75425.479999999981</v>
      </c>
      <c r="BL21" s="246">
        <f t="shared" si="7"/>
        <v>75425.479999999981</v>
      </c>
      <c r="BM21" s="246">
        <f t="shared" si="7"/>
        <v>16249.479999999981</v>
      </c>
      <c r="BN21" s="246">
        <f t="shared" si="7"/>
        <v>16249.479999999981</v>
      </c>
      <c r="BO21" s="246">
        <f t="shared" ref="BO21:CT21" si="8">MAX(0,BO19-BO20)</f>
        <v>16249.479999999981</v>
      </c>
      <c r="BP21" s="246">
        <f t="shared" si="8"/>
        <v>0</v>
      </c>
      <c r="BQ21" s="246">
        <f t="shared" si="8"/>
        <v>0</v>
      </c>
      <c r="BR21" s="246">
        <f t="shared" si="8"/>
        <v>0</v>
      </c>
      <c r="BS21" s="246">
        <f t="shared" si="8"/>
        <v>0</v>
      </c>
      <c r="BT21" s="246">
        <f t="shared" si="8"/>
        <v>0</v>
      </c>
      <c r="BU21" s="246">
        <f t="shared" si="8"/>
        <v>0</v>
      </c>
      <c r="BV21" s="246">
        <f t="shared" si="8"/>
        <v>0</v>
      </c>
      <c r="BW21" s="246">
        <f t="shared" si="8"/>
        <v>0</v>
      </c>
      <c r="BX21" s="246">
        <f t="shared" si="8"/>
        <v>0</v>
      </c>
      <c r="BY21" s="246">
        <f t="shared" si="8"/>
        <v>0</v>
      </c>
      <c r="BZ21" s="246">
        <f t="shared" si="8"/>
        <v>0</v>
      </c>
      <c r="CA21" s="246">
        <f t="shared" si="8"/>
        <v>0</v>
      </c>
      <c r="CB21" s="246">
        <f t="shared" si="8"/>
        <v>0</v>
      </c>
      <c r="CC21" s="246">
        <f t="shared" si="8"/>
        <v>0</v>
      </c>
      <c r="CD21" s="246">
        <f t="shared" si="8"/>
        <v>0</v>
      </c>
      <c r="CE21" s="246">
        <f t="shared" si="8"/>
        <v>0</v>
      </c>
      <c r="CF21" s="246">
        <f t="shared" si="8"/>
        <v>0</v>
      </c>
      <c r="CG21" s="246">
        <f t="shared" si="8"/>
        <v>0</v>
      </c>
      <c r="CH21" s="246">
        <f t="shared" si="8"/>
        <v>0</v>
      </c>
      <c r="CI21" s="246">
        <f t="shared" si="8"/>
        <v>0</v>
      </c>
      <c r="CJ21" s="246">
        <f t="shared" si="8"/>
        <v>0</v>
      </c>
      <c r="CK21" s="246">
        <f t="shared" si="8"/>
        <v>0</v>
      </c>
      <c r="CL21" s="246">
        <f t="shared" si="8"/>
        <v>0</v>
      </c>
      <c r="CM21" s="246">
        <f t="shared" si="8"/>
        <v>0</v>
      </c>
      <c r="CN21" s="246">
        <f t="shared" si="8"/>
        <v>0</v>
      </c>
      <c r="CO21" s="246">
        <f t="shared" si="8"/>
        <v>0</v>
      </c>
      <c r="CP21" s="246">
        <f t="shared" si="8"/>
        <v>0</v>
      </c>
      <c r="CQ21" s="246">
        <f t="shared" si="8"/>
        <v>0</v>
      </c>
    </row>
    <row r="22" spans="1:95" ht="15" customHeight="1" x14ac:dyDescent="0.25">
      <c r="A22" s="144" t="s">
        <v>807</v>
      </c>
      <c r="C22" s="231">
        <f>IF(Projects!$G$13="Yes",Projects!$B$13*Assumptions!$B$47+Assumptions!$B$54*Assumptions!$B$48,0)</f>
        <v>602667.69999999995</v>
      </c>
      <c r="D22" s="231">
        <f t="shared" ref="D22:AI22" si="9">C24</f>
        <v>602667.69999999995</v>
      </c>
      <c r="E22" s="231">
        <f t="shared" si="9"/>
        <v>602667.69999999995</v>
      </c>
      <c r="F22" s="231">
        <f t="shared" si="9"/>
        <v>602667.69999999995</v>
      </c>
      <c r="G22" s="231">
        <f t="shared" si="9"/>
        <v>602667.69999999995</v>
      </c>
      <c r="H22" s="231">
        <f t="shared" si="9"/>
        <v>602667.69999999995</v>
      </c>
      <c r="I22" s="231">
        <f t="shared" si="9"/>
        <v>602667.69999999995</v>
      </c>
      <c r="J22" s="231">
        <f t="shared" si="9"/>
        <v>602667.69999999995</v>
      </c>
      <c r="K22" s="231">
        <f t="shared" si="9"/>
        <v>602667.69999999995</v>
      </c>
      <c r="L22" s="231">
        <f t="shared" si="9"/>
        <v>602667.69999999995</v>
      </c>
      <c r="M22" s="231">
        <f t="shared" si="9"/>
        <v>602667.69999999995</v>
      </c>
      <c r="N22" s="231">
        <f t="shared" si="9"/>
        <v>602667.69999999995</v>
      </c>
      <c r="O22" s="231">
        <f t="shared" si="9"/>
        <v>602667.69999999995</v>
      </c>
      <c r="P22" s="231">
        <f t="shared" si="9"/>
        <v>602667.69999999995</v>
      </c>
      <c r="Q22" s="231">
        <f t="shared" si="9"/>
        <v>602667.69999999995</v>
      </c>
      <c r="R22" s="231">
        <f t="shared" si="9"/>
        <v>602667.69999999995</v>
      </c>
      <c r="S22" s="231">
        <f t="shared" si="9"/>
        <v>602667.69999999995</v>
      </c>
      <c r="T22" s="231">
        <f t="shared" si="9"/>
        <v>602667.69999999995</v>
      </c>
      <c r="U22" s="231">
        <f t="shared" si="9"/>
        <v>602667.69999999995</v>
      </c>
      <c r="V22" s="231">
        <f t="shared" si="9"/>
        <v>602667.69999999995</v>
      </c>
      <c r="W22" s="231">
        <f t="shared" si="9"/>
        <v>602667.69999999995</v>
      </c>
      <c r="X22" s="231">
        <f t="shared" si="9"/>
        <v>602667.69999999995</v>
      </c>
      <c r="Y22" s="231">
        <f t="shared" si="9"/>
        <v>602667.69999999995</v>
      </c>
      <c r="Z22" s="231">
        <f t="shared" si="9"/>
        <v>602667.69999999995</v>
      </c>
      <c r="AA22" s="231">
        <f t="shared" si="9"/>
        <v>602667.69999999995</v>
      </c>
      <c r="AB22" s="231">
        <f t="shared" si="9"/>
        <v>602667.69999999995</v>
      </c>
      <c r="AC22" s="231">
        <f t="shared" si="9"/>
        <v>602667.69999999995</v>
      </c>
      <c r="AD22" s="231">
        <f t="shared" si="9"/>
        <v>602667.69999999995</v>
      </c>
      <c r="AE22" s="231">
        <f t="shared" si="9"/>
        <v>602667.69999999995</v>
      </c>
      <c r="AF22" s="231">
        <f t="shared" si="9"/>
        <v>602667.69999999995</v>
      </c>
      <c r="AG22" s="231">
        <f t="shared" si="9"/>
        <v>602667.69999999995</v>
      </c>
      <c r="AH22" s="231">
        <f t="shared" si="9"/>
        <v>602667.69999999995</v>
      </c>
      <c r="AI22" s="231">
        <f t="shared" si="9"/>
        <v>602667.69999999995</v>
      </c>
      <c r="AJ22" s="231">
        <f t="shared" ref="AJ22:BO22" si="10">AI24</f>
        <v>602667.69999999995</v>
      </c>
      <c r="AK22" s="231">
        <f t="shared" si="10"/>
        <v>602667.69999999995</v>
      </c>
      <c r="AL22" s="231">
        <f t="shared" si="10"/>
        <v>602667.69999999995</v>
      </c>
      <c r="AM22" s="231">
        <f t="shared" si="10"/>
        <v>602667.69999999995</v>
      </c>
      <c r="AN22" s="231">
        <f t="shared" si="10"/>
        <v>602667.69999999995</v>
      </c>
      <c r="AO22" s="231">
        <f t="shared" si="10"/>
        <v>602667.69999999995</v>
      </c>
      <c r="AP22" s="231">
        <f t="shared" si="10"/>
        <v>602667.69999999995</v>
      </c>
      <c r="AQ22" s="231">
        <f t="shared" si="10"/>
        <v>602667.69999999995</v>
      </c>
      <c r="AR22" s="231">
        <f t="shared" si="10"/>
        <v>602667.69999999995</v>
      </c>
      <c r="AS22" s="231">
        <f t="shared" si="10"/>
        <v>602667.69999999995</v>
      </c>
      <c r="AT22" s="231">
        <f t="shared" si="10"/>
        <v>602667.69999999995</v>
      </c>
      <c r="AU22" s="231">
        <f t="shared" si="10"/>
        <v>602667.69999999995</v>
      </c>
      <c r="AV22" s="231">
        <f t="shared" si="10"/>
        <v>602667.69999999995</v>
      </c>
      <c r="AW22" s="231">
        <f t="shared" si="10"/>
        <v>602667.69999999995</v>
      </c>
      <c r="AX22" s="231">
        <f t="shared" si="10"/>
        <v>602667.69999999995</v>
      </c>
      <c r="AY22" s="231">
        <f t="shared" si="10"/>
        <v>602667.69999999995</v>
      </c>
      <c r="AZ22" s="231">
        <f t="shared" si="10"/>
        <v>602667.69999999995</v>
      </c>
      <c r="BA22" s="231">
        <f t="shared" si="10"/>
        <v>602667.69999999995</v>
      </c>
      <c r="BB22" s="231">
        <f t="shared" si="10"/>
        <v>0</v>
      </c>
      <c r="BC22" s="231">
        <f t="shared" si="10"/>
        <v>0</v>
      </c>
      <c r="BD22" s="231">
        <f t="shared" si="10"/>
        <v>0</v>
      </c>
      <c r="BE22" s="231">
        <f t="shared" si="10"/>
        <v>0</v>
      </c>
      <c r="BF22" s="231">
        <f t="shared" si="10"/>
        <v>0</v>
      </c>
      <c r="BG22" s="231">
        <f t="shared" si="10"/>
        <v>0</v>
      </c>
      <c r="BH22" s="231">
        <f t="shared" si="10"/>
        <v>0</v>
      </c>
      <c r="BI22" s="231">
        <f t="shared" si="10"/>
        <v>0</v>
      </c>
      <c r="BJ22" s="231">
        <f t="shared" si="10"/>
        <v>0</v>
      </c>
      <c r="BK22" s="231">
        <f t="shared" si="10"/>
        <v>0</v>
      </c>
      <c r="BL22" s="231">
        <f t="shared" si="10"/>
        <v>0</v>
      </c>
      <c r="BM22" s="231">
        <f t="shared" si="10"/>
        <v>0</v>
      </c>
      <c r="BN22" s="231">
        <f t="shared" si="10"/>
        <v>0</v>
      </c>
      <c r="BO22" s="231">
        <f t="shared" si="10"/>
        <v>0</v>
      </c>
      <c r="BP22" s="231">
        <f t="shared" ref="BP22:CQ22" si="11">BO24</f>
        <v>0</v>
      </c>
      <c r="BQ22" s="231">
        <f t="shared" si="11"/>
        <v>0</v>
      </c>
      <c r="BR22" s="231">
        <f t="shared" si="11"/>
        <v>0</v>
      </c>
      <c r="BS22" s="231">
        <f t="shared" si="11"/>
        <v>0</v>
      </c>
      <c r="BT22" s="231">
        <f t="shared" si="11"/>
        <v>0</v>
      </c>
      <c r="BU22" s="231">
        <f t="shared" si="11"/>
        <v>0</v>
      </c>
      <c r="BV22" s="231">
        <f t="shared" si="11"/>
        <v>0</v>
      </c>
      <c r="BW22" s="231">
        <f t="shared" si="11"/>
        <v>0</v>
      </c>
      <c r="BX22" s="231">
        <f t="shared" si="11"/>
        <v>0</v>
      </c>
      <c r="BY22" s="231">
        <f t="shared" si="11"/>
        <v>0</v>
      </c>
      <c r="BZ22" s="231">
        <f t="shared" si="11"/>
        <v>0</v>
      </c>
      <c r="CA22" s="231">
        <f t="shared" si="11"/>
        <v>0</v>
      </c>
      <c r="CB22" s="231">
        <f t="shared" si="11"/>
        <v>0</v>
      </c>
      <c r="CC22" s="231">
        <f t="shared" si="11"/>
        <v>0</v>
      </c>
      <c r="CD22" s="231">
        <f t="shared" si="11"/>
        <v>0</v>
      </c>
      <c r="CE22" s="231">
        <f t="shared" si="11"/>
        <v>0</v>
      </c>
      <c r="CF22" s="231">
        <f t="shared" si="11"/>
        <v>0</v>
      </c>
      <c r="CG22" s="231">
        <f t="shared" si="11"/>
        <v>0</v>
      </c>
      <c r="CH22" s="231">
        <f t="shared" si="11"/>
        <v>0</v>
      </c>
      <c r="CI22" s="231">
        <f t="shared" si="11"/>
        <v>0</v>
      </c>
      <c r="CJ22" s="231">
        <f t="shared" si="11"/>
        <v>0</v>
      </c>
      <c r="CK22" s="231">
        <f t="shared" si="11"/>
        <v>0</v>
      </c>
      <c r="CL22" s="231">
        <f t="shared" si="11"/>
        <v>0</v>
      </c>
      <c r="CM22" s="231">
        <f t="shared" si="11"/>
        <v>0</v>
      </c>
      <c r="CN22" s="231">
        <f t="shared" si="11"/>
        <v>0</v>
      </c>
      <c r="CO22" s="231">
        <f t="shared" si="11"/>
        <v>0</v>
      </c>
      <c r="CP22" s="231">
        <f t="shared" si="11"/>
        <v>0</v>
      </c>
      <c r="CQ22" s="231">
        <f t="shared" si="11"/>
        <v>0</v>
      </c>
    </row>
    <row r="23" spans="1:95" ht="15" customHeight="1" x14ac:dyDescent="0.25">
      <c r="A23" s="247" t="s">
        <v>808</v>
      </c>
      <c r="C23" s="248">
        <f>MIN(C22,Model!F77)</f>
        <v>0</v>
      </c>
      <c r="D23" s="248">
        <f>MIN(D22,Model!G77)</f>
        <v>0</v>
      </c>
      <c r="E23" s="248">
        <f>MIN(E22,Model!H77)</f>
        <v>0</v>
      </c>
      <c r="F23" s="248">
        <f>MIN(F22,Model!I77)</f>
        <v>0</v>
      </c>
      <c r="G23" s="248">
        <f>MIN(G22,Model!J77)</f>
        <v>0</v>
      </c>
      <c r="H23" s="248">
        <f>MIN(H22,Model!K77)</f>
        <v>0</v>
      </c>
      <c r="I23" s="248">
        <f>MIN(I22,Model!L77)</f>
        <v>0</v>
      </c>
      <c r="J23" s="248">
        <f>MIN(J22,Model!M77)</f>
        <v>0</v>
      </c>
      <c r="K23" s="248">
        <f>MIN(K22,Model!N77)</f>
        <v>0</v>
      </c>
      <c r="L23" s="248">
        <f>MIN(L22,Model!O77)</f>
        <v>0</v>
      </c>
      <c r="M23" s="248">
        <f>MIN(M22,Model!P77)</f>
        <v>0</v>
      </c>
      <c r="N23" s="248">
        <f>MIN(N22,Model!Q77)</f>
        <v>0</v>
      </c>
      <c r="O23" s="248">
        <f>MIN(O22,Model!R77)</f>
        <v>0</v>
      </c>
      <c r="P23" s="248">
        <f>MIN(P22,Model!S77)</f>
        <v>0</v>
      </c>
      <c r="Q23" s="248">
        <f>MIN(Q22,Model!T77)</f>
        <v>0</v>
      </c>
      <c r="R23" s="248">
        <f>MIN(R22,Model!U77)</f>
        <v>0</v>
      </c>
      <c r="S23" s="248">
        <f>MIN(S22,Model!V77)</f>
        <v>0</v>
      </c>
      <c r="T23" s="248">
        <f>MIN(T22,Model!W77)</f>
        <v>0</v>
      </c>
      <c r="U23" s="248">
        <f>MIN(U22,Model!X77)</f>
        <v>0</v>
      </c>
      <c r="V23" s="248">
        <f>MIN(V22,Model!Y77)</f>
        <v>0</v>
      </c>
      <c r="W23" s="248">
        <f>MIN(W22,Model!Z77)</f>
        <v>0</v>
      </c>
      <c r="X23" s="248">
        <f>MIN(X22,Model!AA77)</f>
        <v>0</v>
      </c>
      <c r="Y23" s="248">
        <f>MIN(Y22,Model!AB77)</f>
        <v>0</v>
      </c>
      <c r="Z23" s="248">
        <f>MIN(Z22,Model!AC77)</f>
        <v>0</v>
      </c>
      <c r="AA23" s="248">
        <f>MIN(AA22,Model!AD77)</f>
        <v>0</v>
      </c>
      <c r="AB23" s="248">
        <f>MIN(AB22,Model!AE77)</f>
        <v>0</v>
      </c>
      <c r="AC23" s="248">
        <f>MIN(AC22,Model!AF77)</f>
        <v>0</v>
      </c>
      <c r="AD23" s="248">
        <f>MIN(AD22,Model!AG77)</f>
        <v>0</v>
      </c>
      <c r="AE23" s="248">
        <f>MIN(AE22,Model!AH77)</f>
        <v>0</v>
      </c>
      <c r="AF23" s="248">
        <f>MIN(AF22,Model!AI77)</f>
        <v>0</v>
      </c>
      <c r="AG23" s="248">
        <f>MIN(AG22,Model!AJ77)</f>
        <v>0</v>
      </c>
      <c r="AH23" s="248">
        <f>MIN(AH22,Model!AK77)</f>
        <v>0</v>
      </c>
      <c r="AI23" s="248">
        <f>MIN(AI22,Model!AL77)</f>
        <v>0</v>
      </c>
      <c r="AJ23" s="248">
        <f>MIN(AJ22,Model!AM77)</f>
        <v>0</v>
      </c>
      <c r="AK23" s="248">
        <f>MIN(AK22,Model!AN77)</f>
        <v>0</v>
      </c>
      <c r="AL23" s="248">
        <f>MIN(AL22,Model!AO77)</f>
        <v>0</v>
      </c>
      <c r="AM23" s="248">
        <f>MIN(AM22,Model!AP77)</f>
        <v>0</v>
      </c>
      <c r="AN23" s="248">
        <f>MIN(AN22,Model!AQ77)</f>
        <v>0</v>
      </c>
      <c r="AO23" s="248">
        <f>MIN(AO22,Model!AR77)</f>
        <v>0</v>
      </c>
      <c r="AP23" s="248">
        <f>MIN(AP22,Model!AS77)</f>
        <v>0</v>
      </c>
      <c r="AQ23" s="248">
        <f>MIN(AQ22,Model!AT77)</f>
        <v>0</v>
      </c>
      <c r="AR23" s="248">
        <f>MIN(AR22,Model!AU77)</f>
        <v>0</v>
      </c>
      <c r="AS23" s="248">
        <f>MIN(AS22,Model!AV77)</f>
        <v>0</v>
      </c>
      <c r="AT23" s="248">
        <f>MIN(AT22,Model!AW77)</f>
        <v>0</v>
      </c>
      <c r="AU23" s="248">
        <f>MIN(AU22,Model!AX77)</f>
        <v>0</v>
      </c>
      <c r="AV23" s="248">
        <f>MIN(AV22,Model!AY77)</f>
        <v>0</v>
      </c>
      <c r="AW23" s="248">
        <f>MIN(AW22,Model!AZ77)</f>
        <v>0</v>
      </c>
      <c r="AX23" s="248">
        <f>MIN(AX22,Model!BA77)</f>
        <v>0</v>
      </c>
      <c r="AY23" s="248">
        <f>MIN(AY22,Model!BB77)</f>
        <v>0</v>
      </c>
      <c r="AZ23" s="248">
        <f>MIN(AZ22,Model!BC77)</f>
        <v>0</v>
      </c>
      <c r="BA23" s="248">
        <f>MIN(BA22,Model!BD77)</f>
        <v>602667.69999999995</v>
      </c>
      <c r="BB23" s="248">
        <f>MIN(BB22,Model!BE77)</f>
        <v>0</v>
      </c>
      <c r="BC23" s="248">
        <f>MIN(BC22,Model!BF77)</f>
        <v>0</v>
      </c>
      <c r="BD23" s="248">
        <f>MIN(BD22,Model!BG77)</f>
        <v>0</v>
      </c>
      <c r="BE23" s="248">
        <f>MIN(BE22,Model!BH77)</f>
        <v>0</v>
      </c>
      <c r="BF23" s="248">
        <f>MIN(BF22,Model!BI77)</f>
        <v>0</v>
      </c>
      <c r="BG23" s="248">
        <f>MIN(BG22,Model!BJ77)</f>
        <v>0</v>
      </c>
      <c r="BH23" s="248">
        <f>MIN(BH22,Model!BK77)</f>
        <v>0</v>
      </c>
      <c r="BI23" s="248">
        <f>MIN(BI22,Model!BL77)</f>
        <v>0</v>
      </c>
      <c r="BJ23" s="248">
        <f>MIN(BJ22,Model!BM77)</f>
        <v>0</v>
      </c>
      <c r="BK23" s="248">
        <f>MIN(BK22,Model!BN77)</f>
        <v>0</v>
      </c>
      <c r="BL23" s="248">
        <f>MIN(BL22,Model!BO77)</f>
        <v>0</v>
      </c>
      <c r="BM23" s="248">
        <f>MIN(BM22,Model!BP77)</f>
        <v>0</v>
      </c>
      <c r="BN23" s="248">
        <f>MIN(BN22,Model!BQ77)</f>
        <v>0</v>
      </c>
      <c r="BO23" s="248">
        <f>MIN(BO22,Model!BR77)</f>
        <v>0</v>
      </c>
      <c r="BP23" s="248">
        <f>MIN(BP22,Model!BS77)</f>
        <v>0</v>
      </c>
      <c r="BQ23" s="248">
        <f>MIN(BQ22,Model!BT77)</f>
        <v>0</v>
      </c>
      <c r="BR23" s="248">
        <f>MIN(BR22,Model!BU77)</f>
        <v>0</v>
      </c>
      <c r="BS23" s="248">
        <f>MIN(BS22,Model!BV77)</f>
        <v>0</v>
      </c>
      <c r="BT23" s="248">
        <f>MIN(BT22,Model!BW77)</f>
        <v>0</v>
      </c>
      <c r="BU23" s="248">
        <f>MIN(BU22,Model!BX77)</f>
        <v>0</v>
      </c>
      <c r="BV23" s="248">
        <f>MIN(BV22,Model!BY77)</f>
        <v>0</v>
      </c>
      <c r="BW23" s="248">
        <f>MIN(BW22,Model!BZ77)</f>
        <v>0</v>
      </c>
      <c r="BX23" s="248">
        <f>MIN(BX22,Model!CA77)</f>
        <v>0</v>
      </c>
      <c r="BY23" s="248">
        <f>MIN(BY22,Model!CB77)</f>
        <v>0</v>
      </c>
      <c r="BZ23" s="248">
        <f>MIN(BZ22,Model!CC77)</f>
        <v>0</v>
      </c>
      <c r="CA23" s="248">
        <f>MIN(CA22,Model!CD77)</f>
        <v>0</v>
      </c>
      <c r="CB23" s="248">
        <f>MIN(CB22,Model!CE77)</f>
        <v>0</v>
      </c>
      <c r="CC23" s="248">
        <f>MIN(CC22,Model!CF77)</f>
        <v>0</v>
      </c>
      <c r="CD23" s="248">
        <f>MIN(CD22,Model!CG77)</f>
        <v>0</v>
      </c>
      <c r="CE23" s="248">
        <f>MIN(CE22,Model!CH77)</f>
        <v>0</v>
      </c>
      <c r="CF23" s="248">
        <f>MIN(CF22,Model!CI77)</f>
        <v>0</v>
      </c>
      <c r="CG23" s="248">
        <f>MIN(CG22,Model!CJ77)</f>
        <v>0</v>
      </c>
      <c r="CH23" s="248">
        <f>MIN(CH22,Model!CK77)</f>
        <v>0</v>
      </c>
      <c r="CI23" s="248">
        <f>MIN(CI22,Model!CL77)</f>
        <v>0</v>
      </c>
      <c r="CJ23" s="248">
        <f>MIN(CJ22,Model!CM77)</f>
        <v>0</v>
      </c>
      <c r="CK23" s="248">
        <f>MIN(CK22,Model!CN77)</f>
        <v>0</v>
      </c>
      <c r="CL23" s="248">
        <f>MIN(CL22,Model!CO77)</f>
        <v>0</v>
      </c>
      <c r="CM23" s="248">
        <f>MIN(CM22,Model!CP77)</f>
        <v>0</v>
      </c>
      <c r="CN23" s="248">
        <f>MIN(CN22,Model!CQ77)</f>
        <v>0</v>
      </c>
      <c r="CO23" s="248">
        <f>MIN(CO22,Model!CR77)</f>
        <v>0</v>
      </c>
      <c r="CP23" s="248">
        <f>MIN(CP22,Model!CS77)</f>
        <v>0</v>
      </c>
      <c r="CQ23" s="248">
        <f>MIN(CQ22,Model!CT77)</f>
        <v>0</v>
      </c>
    </row>
    <row r="24" spans="1:95" ht="15" customHeight="1" x14ac:dyDescent="0.25">
      <c r="A24" s="99" t="s">
        <v>809</v>
      </c>
      <c r="C24" s="246">
        <f t="shared" ref="C24:AH24" si="12">MAX(0,C22-C23)</f>
        <v>602667.69999999995</v>
      </c>
      <c r="D24" s="246">
        <f t="shared" si="12"/>
        <v>602667.69999999995</v>
      </c>
      <c r="E24" s="246">
        <f t="shared" si="12"/>
        <v>602667.69999999995</v>
      </c>
      <c r="F24" s="246">
        <f t="shared" si="12"/>
        <v>602667.69999999995</v>
      </c>
      <c r="G24" s="246">
        <f t="shared" si="12"/>
        <v>602667.69999999995</v>
      </c>
      <c r="H24" s="246">
        <f t="shared" si="12"/>
        <v>602667.69999999995</v>
      </c>
      <c r="I24" s="246">
        <f t="shared" si="12"/>
        <v>602667.69999999995</v>
      </c>
      <c r="J24" s="246">
        <f t="shared" si="12"/>
        <v>602667.69999999995</v>
      </c>
      <c r="K24" s="246">
        <f t="shared" si="12"/>
        <v>602667.69999999995</v>
      </c>
      <c r="L24" s="246">
        <f t="shared" si="12"/>
        <v>602667.69999999995</v>
      </c>
      <c r="M24" s="246">
        <f t="shared" si="12"/>
        <v>602667.69999999995</v>
      </c>
      <c r="N24" s="246">
        <f t="shared" si="12"/>
        <v>602667.69999999995</v>
      </c>
      <c r="O24" s="246">
        <f t="shared" si="12"/>
        <v>602667.69999999995</v>
      </c>
      <c r="P24" s="246">
        <f t="shared" si="12"/>
        <v>602667.69999999995</v>
      </c>
      <c r="Q24" s="246">
        <f t="shared" si="12"/>
        <v>602667.69999999995</v>
      </c>
      <c r="R24" s="246">
        <f t="shared" si="12"/>
        <v>602667.69999999995</v>
      </c>
      <c r="S24" s="246">
        <f t="shared" si="12"/>
        <v>602667.69999999995</v>
      </c>
      <c r="T24" s="246">
        <f t="shared" si="12"/>
        <v>602667.69999999995</v>
      </c>
      <c r="U24" s="246">
        <f t="shared" si="12"/>
        <v>602667.69999999995</v>
      </c>
      <c r="V24" s="246">
        <f t="shared" si="12"/>
        <v>602667.69999999995</v>
      </c>
      <c r="W24" s="246">
        <f t="shared" si="12"/>
        <v>602667.69999999995</v>
      </c>
      <c r="X24" s="246">
        <f t="shared" si="12"/>
        <v>602667.69999999995</v>
      </c>
      <c r="Y24" s="246">
        <f t="shared" si="12"/>
        <v>602667.69999999995</v>
      </c>
      <c r="Z24" s="246">
        <f t="shared" si="12"/>
        <v>602667.69999999995</v>
      </c>
      <c r="AA24" s="246">
        <f t="shared" si="12"/>
        <v>602667.69999999995</v>
      </c>
      <c r="AB24" s="246">
        <f t="shared" si="12"/>
        <v>602667.69999999995</v>
      </c>
      <c r="AC24" s="246">
        <f t="shared" si="12"/>
        <v>602667.69999999995</v>
      </c>
      <c r="AD24" s="246">
        <f t="shared" si="12"/>
        <v>602667.69999999995</v>
      </c>
      <c r="AE24" s="246">
        <f t="shared" si="12"/>
        <v>602667.69999999995</v>
      </c>
      <c r="AF24" s="246">
        <f t="shared" si="12"/>
        <v>602667.69999999995</v>
      </c>
      <c r="AG24" s="246">
        <f t="shared" si="12"/>
        <v>602667.69999999995</v>
      </c>
      <c r="AH24" s="246">
        <f t="shared" si="12"/>
        <v>602667.69999999995</v>
      </c>
      <c r="AI24" s="246">
        <f t="shared" ref="AI24:BN24" si="13">MAX(0,AI22-AI23)</f>
        <v>602667.69999999995</v>
      </c>
      <c r="AJ24" s="246">
        <f t="shared" si="13"/>
        <v>602667.69999999995</v>
      </c>
      <c r="AK24" s="246">
        <f t="shared" si="13"/>
        <v>602667.69999999995</v>
      </c>
      <c r="AL24" s="246">
        <f t="shared" si="13"/>
        <v>602667.69999999995</v>
      </c>
      <c r="AM24" s="246">
        <f t="shared" si="13"/>
        <v>602667.69999999995</v>
      </c>
      <c r="AN24" s="246">
        <f t="shared" si="13"/>
        <v>602667.69999999995</v>
      </c>
      <c r="AO24" s="246">
        <f t="shared" si="13"/>
        <v>602667.69999999995</v>
      </c>
      <c r="AP24" s="246">
        <f t="shared" si="13"/>
        <v>602667.69999999995</v>
      </c>
      <c r="AQ24" s="246">
        <f t="shared" si="13"/>
        <v>602667.69999999995</v>
      </c>
      <c r="AR24" s="246">
        <f t="shared" si="13"/>
        <v>602667.69999999995</v>
      </c>
      <c r="AS24" s="246">
        <f t="shared" si="13"/>
        <v>602667.69999999995</v>
      </c>
      <c r="AT24" s="246">
        <f t="shared" si="13"/>
        <v>602667.69999999995</v>
      </c>
      <c r="AU24" s="246">
        <f t="shared" si="13"/>
        <v>602667.69999999995</v>
      </c>
      <c r="AV24" s="246">
        <f t="shared" si="13"/>
        <v>602667.69999999995</v>
      </c>
      <c r="AW24" s="246">
        <f t="shared" si="13"/>
        <v>602667.69999999995</v>
      </c>
      <c r="AX24" s="246">
        <f t="shared" si="13"/>
        <v>602667.69999999995</v>
      </c>
      <c r="AY24" s="246">
        <f t="shared" si="13"/>
        <v>602667.69999999995</v>
      </c>
      <c r="AZ24" s="246">
        <f t="shared" si="13"/>
        <v>602667.69999999995</v>
      </c>
      <c r="BA24" s="246">
        <f t="shared" si="13"/>
        <v>0</v>
      </c>
      <c r="BB24" s="246">
        <f t="shared" si="13"/>
        <v>0</v>
      </c>
      <c r="BC24" s="246">
        <f t="shared" si="13"/>
        <v>0</v>
      </c>
      <c r="BD24" s="246">
        <f t="shared" si="13"/>
        <v>0</v>
      </c>
      <c r="BE24" s="246">
        <f t="shared" si="13"/>
        <v>0</v>
      </c>
      <c r="BF24" s="246">
        <f t="shared" si="13"/>
        <v>0</v>
      </c>
      <c r="BG24" s="246">
        <f t="shared" si="13"/>
        <v>0</v>
      </c>
      <c r="BH24" s="246">
        <f t="shared" si="13"/>
        <v>0</v>
      </c>
      <c r="BI24" s="246">
        <f t="shared" si="13"/>
        <v>0</v>
      </c>
      <c r="BJ24" s="246">
        <f t="shared" si="13"/>
        <v>0</v>
      </c>
      <c r="BK24" s="246">
        <f t="shared" si="13"/>
        <v>0</v>
      </c>
      <c r="BL24" s="246">
        <f t="shared" si="13"/>
        <v>0</v>
      </c>
      <c r="BM24" s="246">
        <f t="shared" si="13"/>
        <v>0</v>
      </c>
      <c r="BN24" s="246">
        <f t="shared" si="13"/>
        <v>0</v>
      </c>
      <c r="BO24" s="246">
        <f t="shared" ref="BO24:CT24" si="14">MAX(0,BO22-BO23)</f>
        <v>0</v>
      </c>
      <c r="BP24" s="246">
        <f t="shared" si="14"/>
        <v>0</v>
      </c>
      <c r="BQ24" s="246">
        <f t="shared" si="14"/>
        <v>0</v>
      </c>
      <c r="BR24" s="246">
        <f t="shared" si="14"/>
        <v>0</v>
      </c>
      <c r="BS24" s="246">
        <f t="shared" si="14"/>
        <v>0</v>
      </c>
      <c r="BT24" s="246">
        <f t="shared" si="14"/>
        <v>0</v>
      </c>
      <c r="BU24" s="246">
        <f t="shared" si="14"/>
        <v>0</v>
      </c>
      <c r="BV24" s="246">
        <f t="shared" si="14"/>
        <v>0</v>
      </c>
      <c r="BW24" s="246">
        <f t="shared" si="14"/>
        <v>0</v>
      </c>
      <c r="BX24" s="246">
        <f t="shared" si="14"/>
        <v>0</v>
      </c>
      <c r="BY24" s="246">
        <f t="shared" si="14"/>
        <v>0</v>
      </c>
      <c r="BZ24" s="246">
        <f t="shared" si="14"/>
        <v>0</v>
      </c>
      <c r="CA24" s="246">
        <f t="shared" si="14"/>
        <v>0</v>
      </c>
      <c r="CB24" s="246">
        <f t="shared" si="14"/>
        <v>0</v>
      </c>
      <c r="CC24" s="246">
        <f t="shared" si="14"/>
        <v>0</v>
      </c>
      <c r="CD24" s="246">
        <f t="shared" si="14"/>
        <v>0</v>
      </c>
      <c r="CE24" s="246">
        <f t="shared" si="14"/>
        <v>0</v>
      </c>
      <c r="CF24" s="246">
        <f t="shared" si="14"/>
        <v>0</v>
      </c>
      <c r="CG24" s="246">
        <f t="shared" si="14"/>
        <v>0</v>
      </c>
      <c r="CH24" s="246">
        <f t="shared" si="14"/>
        <v>0</v>
      </c>
      <c r="CI24" s="246">
        <f t="shared" si="14"/>
        <v>0</v>
      </c>
      <c r="CJ24" s="246">
        <f t="shared" si="14"/>
        <v>0</v>
      </c>
      <c r="CK24" s="246">
        <f t="shared" si="14"/>
        <v>0</v>
      </c>
      <c r="CL24" s="246">
        <f t="shared" si="14"/>
        <v>0</v>
      </c>
      <c r="CM24" s="246">
        <f t="shared" si="14"/>
        <v>0</v>
      </c>
      <c r="CN24" s="246">
        <f t="shared" si="14"/>
        <v>0</v>
      </c>
      <c r="CO24" s="246">
        <f t="shared" si="14"/>
        <v>0</v>
      </c>
      <c r="CP24" s="246">
        <f t="shared" si="14"/>
        <v>0</v>
      </c>
      <c r="CQ24" s="246">
        <f t="shared" si="14"/>
        <v>0</v>
      </c>
    </row>
    <row r="25" spans="1:95" ht="15" customHeight="1" x14ac:dyDescent="0.25">
      <c r="A25" s="195" t="s">
        <v>810</v>
      </c>
      <c r="B25" s="195" t="s">
        <v>811</v>
      </c>
      <c r="C25" s="353">
        <f>IF(Projects!$G$14="Yes",Projects!$B$14*Assumptions!$B$47+Assumptions!$B$55*Assumptions!$B$48,0)</f>
        <v>563546.32000000007</v>
      </c>
      <c r="D25" s="195">
        <f t="shared" ref="D25:AI25" si="15">C27</f>
        <v>563546.32000000007</v>
      </c>
      <c r="E25" s="195">
        <f t="shared" si="15"/>
        <v>563546.32000000007</v>
      </c>
      <c r="F25" s="195">
        <f t="shared" si="15"/>
        <v>563546.32000000007</v>
      </c>
      <c r="G25" s="195">
        <f t="shared" si="15"/>
        <v>563546.32000000007</v>
      </c>
      <c r="H25" s="195">
        <f t="shared" si="15"/>
        <v>563546.32000000007</v>
      </c>
      <c r="I25" s="195">
        <f t="shared" si="15"/>
        <v>563546.32000000007</v>
      </c>
      <c r="J25" s="195">
        <f t="shared" si="15"/>
        <v>563546.32000000007</v>
      </c>
      <c r="K25" s="195">
        <f t="shared" si="15"/>
        <v>563546.32000000007</v>
      </c>
      <c r="L25" s="195">
        <f t="shared" si="15"/>
        <v>563546.32000000007</v>
      </c>
      <c r="M25" s="195">
        <f t="shared" si="15"/>
        <v>563546.32000000007</v>
      </c>
      <c r="N25" s="195">
        <f t="shared" si="15"/>
        <v>563546.32000000007</v>
      </c>
      <c r="O25" s="195">
        <f t="shared" si="15"/>
        <v>563546.32000000007</v>
      </c>
      <c r="P25" s="195">
        <f t="shared" si="15"/>
        <v>563546.32000000007</v>
      </c>
      <c r="Q25" s="195">
        <f t="shared" si="15"/>
        <v>563546.32000000007</v>
      </c>
      <c r="R25" s="195">
        <f t="shared" si="15"/>
        <v>563546.32000000007</v>
      </c>
      <c r="S25" s="195">
        <f t="shared" si="15"/>
        <v>563546.32000000007</v>
      </c>
      <c r="T25" s="195">
        <f t="shared" si="15"/>
        <v>563546.32000000007</v>
      </c>
      <c r="U25" s="195">
        <f t="shared" si="15"/>
        <v>563546.32000000007</v>
      </c>
      <c r="V25" s="195">
        <f t="shared" si="15"/>
        <v>563546.32000000007</v>
      </c>
      <c r="W25" s="195">
        <f t="shared" si="15"/>
        <v>563546.32000000007</v>
      </c>
      <c r="X25" s="195">
        <f t="shared" si="15"/>
        <v>563546.32000000007</v>
      </c>
      <c r="Y25" s="195">
        <f t="shared" si="15"/>
        <v>563546.32000000007</v>
      </c>
      <c r="Z25" s="195">
        <f t="shared" si="15"/>
        <v>563546.32000000007</v>
      </c>
      <c r="AA25" s="195">
        <f t="shared" si="15"/>
        <v>563546.32000000007</v>
      </c>
      <c r="AB25" s="195">
        <f t="shared" si="15"/>
        <v>563546.32000000007</v>
      </c>
      <c r="AC25" s="195">
        <f t="shared" si="15"/>
        <v>563546.32000000007</v>
      </c>
      <c r="AD25" s="195">
        <f t="shared" si="15"/>
        <v>563546.32000000007</v>
      </c>
      <c r="AE25" s="195">
        <f t="shared" si="15"/>
        <v>563546.32000000007</v>
      </c>
      <c r="AF25" s="195">
        <f t="shared" si="15"/>
        <v>563546.32000000007</v>
      </c>
      <c r="AG25" s="195">
        <f t="shared" si="15"/>
        <v>563546.32000000007</v>
      </c>
      <c r="AH25" s="195">
        <f t="shared" si="15"/>
        <v>563546.32000000007</v>
      </c>
      <c r="AI25" s="195">
        <f t="shared" si="15"/>
        <v>563546.32000000007</v>
      </c>
      <c r="AJ25" s="195">
        <f t="shared" ref="AJ25:BO25" si="16">AI27</f>
        <v>563546.32000000007</v>
      </c>
      <c r="AK25" s="195">
        <f t="shared" si="16"/>
        <v>563546.32000000007</v>
      </c>
      <c r="AL25" s="195">
        <f t="shared" si="16"/>
        <v>563546.32000000007</v>
      </c>
      <c r="AM25" s="195">
        <f t="shared" si="16"/>
        <v>563546.32000000007</v>
      </c>
      <c r="AN25" s="195">
        <f t="shared" si="16"/>
        <v>563546.32000000007</v>
      </c>
      <c r="AO25" s="195">
        <f t="shared" si="16"/>
        <v>563546.32000000007</v>
      </c>
      <c r="AP25" s="195">
        <f t="shared" si="16"/>
        <v>563546.32000000007</v>
      </c>
      <c r="AQ25" s="195">
        <f t="shared" si="16"/>
        <v>563546.32000000007</v>
      </c>
      <c r="AR25" s="195">
        <f t="shared" si="16"/>
        <v>563546.32000000007</v>
      </c>
      <c r="AS25" s="195">
        <f t="shared" si="16"/>
        <v>563546.32000000007</v>
      </c>
      <c r="AT25" s="195">
        <f t="shared" si="16"/>
        <v>563546.32000000007</v>
      </c>
      <c r="AU25" s="195">
        <f t="shared" si="16"/>
        <v>563546.32000000007</v>
      </c>
      <c r="AV25" s="195">
        <f t="shared" si="16"/>
        <v>563546.32000000007</v>
      </c>
      <c r="AW25" s="195">
        <f t="shared" si="16"/>
        <v>563546.32000000007</v>
      </c>
      <c r="AX25" s="195">
        <f t="shared" si="16"/>
        <v>563546.32000000007</v>
      </c>
      <c r="AY25" s="195">
        <f t="shared" si="16"/>
        <v>563546.32000000007</v>
      </c>
      <c r="AZ25" s="195">
        <f t="shared" si="16"/>
        <v>563546.32000000007</v>
      </c>
      <c r="BA25" s="195">
        <f t="shared" si="16"/>
        <v>563546.32000000007</v>
      </c>
      <c r="BB25" s="195">
        <f t="shared" si="16"/>
        <v>563546.32000000007</v>
      </c>
      <c r="BC25" s="195">
        <f t="shared" si="16"/>
        <v>563546.32000000007</v>
      </c>
      <c r="BD25" s="195">
        <f t="shared" si="16"/>
        <v>563546.32000000007</v>
      </c>
      <c r="BE25" s="195">
        <f t="shared" si="16"/>
        <v>563546.32000000007</v>
      </c>
      <c r="BF25" s="195">
        <f t="shared" si="16"/>
        <v>563546.32000000007</v>
      </c>
      <c r="BG25" s="195">
        <f t="shared" si="16"/>
        <v>563546.32000000007</v>
      </c>
      <c r="BH25" s="195">
        <f t="shared" si="16"/>
        <v>563546.32000000007</v>
      </c>
      <c r="BI25" s="195">
        <f t="shared" si="16"/>
        <v>563546.32000000007</v>
      </c>
      <c r="BJ25" s="195">
        <f t="shared" si="16"/>
        <v>563546.32000000007</v>
      </c>
      <c r="BK25" s="195">
        <f t="shared" si="16"/>
        <v>563546.32000000007</v>
      </c>
      <c r="BL25" s="195">
        <f t="shared" si="16"/>
        <v>563546.32000000007</v>
      </c>
      <c r="BM25" s="195">
        <f t="shared" si="16"/>
        <v>563546.32000000007</v>
      </c>
      <c r="BN25" s="195">
        <f t="shared" si="16"/>
        <v>563546.32000000007</v>
      </c>
      <c r="BO25" s="195">
        <f t="shared" si="16"/>
        <v>563546.32000000007</v>
      </c>
      <c r="BP25" s="195">
        <f t="shared" ref="BP25:CQ25" si="17">BO27</f>
        <v>563546.32000000007</v>
      </c>
      <c r="BQ25" s="195">
        <f t="shared" si="17"/>
        <v>563546.32000000007</v>
      </c>
      <c r="BR25" s="195">
        <f t="shared" si="17"/>
        <v>563546.32000000007</v>
      </c>
      <c r="BS25" s="195">
        <f t="shared" si="17"/>
        <v>563546.32000000007</v>
      </c>
      <c r="BT25" s="195">
        <f t="shared" si="17"/>
        <v>563546.32000000007</v>
      </c>
      <c r="BU25" s="195">
        <f t="shared" si="17"/>
        <v>563546.32000000007</v>
      </c>
      <c r="BV25" s="195">
        <f t="shared" si="17"/>
        <v>563546.32000000007</v>
      </c>
      <c r="BW25" s="195">
        <f t="shared" si="17"/>
        <v>563546.32000000007</v>
      </c>
      <c r="BX25" s="195">
        <f t="shared" si="17"/>
        <v>563546.32000000007</v>
      </c>
      <c r="BY25" s="195">
        <f t="shared" si="17"/>
        <v>563546.32000000007</v>
      </c>
      <c r="BZ25" s="195">
        <f t="shared" si="17"/>
        <v>490390.32000000007</v>
      </c>
      <c r="CA25" s="195">
        <f t="shared" si="17"/>
        <v>490390.32000000007</v>
      </c>
      <c r="CB25" s="195">
        <f t="shared" si="17"/>
        <v>490390.32000000007</v>
      </c>
      <c r="CC25" s="195">
        <f t="shared" si="17"/>
        <v>417235.32000000007</v>
      </c>
      <c r="CD25" s="195">
        <f t="shared" si="17"/>
        <v>417235.32000000007</v>
      </c>
      <c r="CE25" s="195">
        <f t="shared" si="17"/>
        <v>417235.32000000007</v>
      </c>
      <c r="CF25" s="195">
        <f t="shared" si="17"/>
        <v>344080.32000000007</v>
      </c>
      <c r="CG25" s="195">
        <f t="shared" si="17"/>
        <v>344080.32000000007</v>
      </c>
      <c r="CH25" s="195">
        <f t="shared" si="17"/>
        <v>344080.32000000007</v>
      </c>
      <c r="CI25" s="195">
        <f t="shared" si="17"/>
        <v>270925.32000000007</v>
      </c>
      <c r="CJ25" s="195">
        <f t="shared" si="17"/>
        <v>197770.32000000007</v>
      </c>
      <c r="CK25" s="195">
        <f t="shared" si="17"/>
        <v>124615.32000000007</v>
      </c>
      <c r="CL25" s="195">
        <f t="shared" si="17"/>
        <v>51460.320000000065</v>
      </c>
      <c r="CM25" s="195">
        <f t="shared" si="17"/>
        <v>0</v>
      </c>
      <c r="CN25" s="195">
        <f t="shared" si="17"/>
        <v>0</v>
      </c>
      <c r="CO25" s="195">
        <f t="shared" si="17"/>
        <v>0</v>
      </c>
      <c r="CP25" s="195">
        <f t="shared" si="17"/>
        <v>0</v>
      </c>
      <c r="CQ25" s="195">
        <f t="shared" si="17"/>
        <v>0</v>
      </c>
    </row>
    <row r="26" spans="1:95" ht="15" customHeight="1" x14ac:dyDescent="0.25">
      <c r="B26" s="195" t="s">
        <v>812</v>
      </c>
      <c r="C26" s="353">
        <f>MIN(C25,Model!F78)</f>
        <v>0</v>
      </c>
      <c r="D26" s="195">
        <f>MIN(D25,Model!G78)</f>
        <v>0</v>
      </c>
      <c r="E26" s="195">
        <f>MIN(E25,Model!H78)</f>
        <v>0</v>
      </c>
      <c r="F26" s="195">
        <f>MIN(F25,Model!I78)</f>
        <v>0</v>
      </c>
      <c r="G26" s="195">
        <f>MIN(G25,Model!J78)</f>
        <v>0</v>
      </c>
      <c r="H26" s="195">
        <f>MIN(H25,Model!K78)</f>
        <v>0</v>
      </c>
      <c r="I26" s="195">
        <f>MIN(I25,Model!L78)</f>
        <v>0</v>
      </c>
      <c r="J26" s="195">
        <f>MIN(J25,Model!M78)</f>
        <v>0</v>
      </c>
      <c r="K26" s="195">
        <f>MIN(K25,Model!N78)</f>
        <v>0</v>
      </c>
      <c r="L26" s="195">
        <f>MIN(L25,Model!O78)</f>
        <v>0</v>
      </c>
      <c r="M26" s="195">
        <f>MIN(M25,Model!P78)</f>
        <v>0</v>
      </c>
      <c r="N26" s="195">
        <f>MIN(N25,Model!Q78)</f>
        <v>0</v>
      </c>
      <c r="O26" s="195">
        <f>MIN(O25,Model!R78)</f>
        <v>0</v>
      </c>
      <c r="P26" s="195">
        <f>MIN(P25,Model!S78)</f>
        <v>0</v>
      </c>
      <c r="Q26" s="195">
        <f>MIN(Q25,Model!T78)</f>
        <v>0</v>
      </c>
      <c r="R26" s="195">
        <f>MIN(R25,Model!U78)</f>
        <v>0</v>
      </c>
      <c r="S26" s="195">
        <f>MIN(S25,Model!V78)</f>
        <v>0</v>
      </c>
      <c r="T26" s="195">
        <f>MIN(T25,Model!W78)</f>
        <v>0</v>
      </c>
      <c r="U26" s="195">
        <f>MIN(U25,Model!X78)</f>
        <v>0</v>
      </c>
      <c r="V26" s="195">
        <f>MIN(V25,Model!Y78)</f>
        <v>0</v>
      </c>
      <c r="W26" s="195">
        <f>MIN(W25,Model!Z78)</f>
        <v>0</v>
      </c>
      <c r="X26" s="195">
        <f>MIN(X25,Model!AA78)</f>
        <v>0</v>
      </c>
      <c r="Y26" s="195">
        <f>MIN(Y25,Model!AB78)</f>
        <v>0</v>
      </c>
      <c r="Z26" s="195">
        <f>MIN(Z25,Model!AC78)</f>
        <v>0</v>
      </c>
      <c r="AA26" s="195">
        <f>MIN(AA25,Model!AD78)</f>
        <v>0</v>
      </c>
      <c r="AB26" s="195">
        <f>MIN(AB25,Model!AE78)</f>
        <v>0</v>
      </c>
      <c r="AC26" s="195">
        <f>MIN(AC25,Model!AF78)</f>
        <v>0</v>
      </c>
      <c r="AD26" s="195">
        <f>MIN(AD25,Model!AG78)</f>
        <v>0</v>
      </c>
      <c r="AE26" s="195">
        <f>MIN(AE25,Model!AH78)</f>
        <v>0</v>
      </c>
      <c r="AF26" s="195">
        <f>MIN(AF25,Model!AI78)</f>
        <v>0</v>
      </c>
      <c r="AG26" s="195">
        <f>MIN(AG25,Model!AJ78)</f>
        <v>0</v>
      </c>
      <c r="AH26" s="195">
        <f>MIN(AH25,Model!AK78)</f>
        <v>0</v>
      </c>
      <c r="AI26" s="195">
        <f>MIN(AI25,Model!AL78)</f>
        <v>0</v>
      </c>
      <c r="AJ26" s="195">
        <f>MIN(AJ25,Model!AM78)</f>
        <v>0</v>
      </c>
      <c r="AK26" s="195">
        <f>MIN(AK25,Model!AN78)</f>
        <v>0</v>
      </c>
      <c r="AL26" s="195">
        <f>MIN(AL25,Model!AO78)</f>
        <v>0</v>
      </c>
      <c r="AM26" s="195">
        <f>MIN(AM25,Model!AP78)</f>
        <v>0</v>
      </c>
      <c r="AN26" s="195">
        <f>MIN(AN25,Model!AQ78)</f>
        <v>0</v>
      </c>
      <c r="AO26" s="195">
        <f>MIN(AO25,Model!AR78)</f>
        <v>0</v>
      </c>
      <c r="AP26" s="195">
        <f>MIN(AP25,Model!AS78)</f>
        <v>0</v>
      </c>
      <c r="AQ26" s="195">
        <f>MIN(AQ25,Model!AT78)</f>
        <v>0</v>
      </c>
      <c r="AR26" s="195">
        <f>MIN(AR25,Model!AU78)</f>
        <v>0</v>
      </c>
      <c r="AS26" s="195">
        <f>MIN(AS25,Model!AV78)</f>
        <v>0</v>
      </c>
      <c r="AT26" s="195">
        <f>MIN(AT25,Model!AW78)</f>
        <v>0</v>
      </c>
      <c r="AU26" s="195">
        <f>MIN(AU25,Model!AX78)</f>
        <v>0</v>
      </c>
      <c r="AV26" s="195">
        <f>MIN(AV25,Model!AY78)</f>
        <v>0</v>
      </c>
      <c r="AW26" s="195">
        <f>MIN(AW25,Model!AZ78)</f>
        <v>0</v>
      </c>
      <c r="AX26" s="195">
        <f>MIN(AX25,Model!BA78)</f>
        <v>0</v>
      </c>
      <c r="AY26" s="195">
        <f>MIN(AY25,Model!BB78)</f>
        <v>0</v>
      </c>
      <c r="AZ26" s="195">
        <f>MIN(AZ25,Model!BC78)</f>
        <v>0</v>
      </c>
      <c r="BA26" s="195">
        <f>MIN(BA25,Model!BD78)</f>
        <v>0</v>
      </c>
      <c r="BB26" s="195">
        <f>MIN(BB25,Model!BE78)</f>
        <v>0</v>
      </c>
      <c r="BC26" s="195">
        <f>MIN(BC25,Model!BF78)</f>
        <v>0</v>
      </c>
      <c r="BD26" s="195">
        <f>MIN(BD25,Model!BG78)</f>
        <v>0</v>
      </c>
      <c r="BE26" s="195">
        <f>MIN(BE25,Model!BH78)</f>
        <v>0</v>
      </c>
      <c r="BF26" s="195">
        <f>MIN(BF25,Model!BI78)</f>
        <v>0</v>
      </c>
      <c r="BG26" s="195">
        <f>MIN(BG25,Model!BJ78)</f>
        <v>0</v>
      </c>
      <c r="BH26" s="195">
        <f>MIN(BH25,Model!BK78)</f>
        <v>0</v>
      </c>
      <c r="BI26" s="195">
        <f>MIN(BI25,Model!BL78)</f>
        <v>0</v>
      </c>
      <c r="BJ26" s="195">
        <f>MIN(BJ25,Model!BM78)</f>
        <v>0</v>
      </c>
      <c r="BK26" s="195">
        <f>MIN(BK25,Model!BN78)</f>
        <v>0</v>
      </c>
      <c r="BL26" s="195">
        <f>MIN(BL25,Model!BO78)</f>
        <v>0</v>
      </c>
      <c r="BM26" s="195">
        <f>MIN(BM25,Model!BP78)</f>
        <v>0</v>
      </c>
      <c r="BN26" s="195">
        <f>MIN(BN25,Model!BQ78)</f>
        <v>0</v>
      </c>
      <c r="BO26" s="195">
        <f>MIN(BO25,Model!BR78)</f>
        <v>0</v>
      </c>
      <c r="BP26" s="195">
        <f>MIN(BP25,Model!BS78)</f>
        <v>0</v>
      </c>
      <c r="BQ26" s="195">
        <f>MIN(BQ25,Model!BT78)</f>
        <v>0</v>
      </c>
      <c r="BR26" s="195">
        <f>MIN(BR25,Model!BU78)</f>
        <v>0</v>
      </c>
      <c r="BS26" s="195">
        <f>MIN(BS25,Model!BV78)</f>
        <v>0</v>
      </c>
      <c r="BT26" s="195">
        <f>MIN(BT25,Model!BW78)</f>
        <v>0</v>
      </c>
      <c r="BU26" s="195">
        <f>MIN(BU25,Model!BX78)</f>
        <v>0</v>
      </c>
      <c r="BV26" s="195">
        <f>MIN(BV25,Model!BY78)</f>
        <v>0</v>
      </c>
      <c r="BW26" s="195">
        <f>MIN(BW25,Model!BZ78)</f>
        <v>0</v>
      </c>
      <c r="BX26" s="195">
        <f>MIN(BX25,Model!CA78)</f>
        <v>0</v>
      </c>
      <c r="BY26" s="195">
        <f>MIN(BY25,Model!CB78)</f>
        <v>73156</v>
      </c>
      <c r="BZ26" s="195">
        <f>MIN(BZ25,Model!CC78)</f>
        <v>0</v>
      </c>
      <c r="CA26" s="195">
        <f>MIN(CA25,Model!CD78)</f>
        <v>0</v>
      </c>
      <c r="CB26" s="195">
        <f>MIN(CB25,Model!CE78)</f>
        <v>73155</v>
      </c>
      <c r="CC26" s="195">
        <f>MIN(CC25,Model!CF78)</f>
        <v>0</v>
      </c>
      <c r="CD26" s="195">
        <f>MIN(CD25,Model!CG78)</f>
        <v>0</v>
      </c>
      <c r="CE26" s="195">
        <f>MIN(CE25,Model!CH78)</f>
        <v>73155</v>
      </c>
      <c r="CF26" s="195">
        <f>MIN(CF25,Model!CI78)</f>
        <v>0</v>
      </c>
      <c r="CG26" s="195">
        <f>MIN(CG25,Model!CJ78)</f>
        <v>0</v>
      </c>
      <c r="CH26" s="195">
        <f>MIN(CH25,Model!CK78)</f>
        <v>73155</v>
      </c>
      <c r="CI26" s="195">
        <f>MIN(CI25,Model!CL78)</f>
        <v>73155</v>
      </c>
      <c r="CJ26" s="195">
        <f>MIN(CJ25,Model!CM78)</f>
        <v>73155</v>
      </c>
      <c r="CK26" s="195">
        <f>MIN(CK25,Model!CN78)</f>
        <v>73155</v>
      </c>
      <c r="CL26" s="195">
        <f>MIN(CL25,Model!CO78)</f>
        <v>51460.320000000065</v>
      </c>
      <c r="CM26" s="195">
        <f>MIN(CM25,Model!CP78)</f>
        <v>0</v>
      </c>
      <c r="CN26" s="195">
        <f>MIN(CN25,Model!CQ78)</f>
        <v>0</v>
      </c>
      <c r="CO26" s="195">
        <f>MIN(CO25,Model!CR78)</f>
        <v>0</v>
      </c>
      <c r="CP26" s="195">
        <f>MIN(CP25,Model!CS78)</f>
        <v>0</v>
      </c>
      <c r="CQ26" s="195">
        <f>MIN(CQ25,Model!CT78)</f>
        <v>0</v>
      </c>
    </row>
    <row r="27" spans="1:95" ht="15" customHeight="1" x14ac:dyDescent="0.25">
      <c r="B27" s="195" t="s">
        <v>813</v>
      </c>
      <c r="C27" s="195">
        <f t="shared" ref="C27:AH27" si="18">MAX(0,C25-C26)</f>
        <v>563546.32000000007</v>
      </c>
      <c r="D27" s="195">
        <f t="shared" si="18"/>
        <v>563546.32000000007</v>
      </c>
      <c r="E27" s="195">
        <f t="shared" si="18"/>
        <v>563546.32000000007</v>
      </c>
      <c r="F27" s="195">
        <f t="shared" si="18"/>
        <v>563546.32000000007</v>
      </c>
      <c r="G27" s="195">
        <f t="shared" si="18"/>
        <v>563546.32000000007</v>
      </c>
      <c r="H27" s="195">
        <f t="shared" si="18"/>
        <v>563546.32000000007</v>
      </c>
      <c r="I27" s="195">
        <f t="shared" si="18"/>
        <v>563546.32000000007</v>
      </c>
      <c r="J27" s="195">
        <f t="shared" si="18"/>
        <v>563546.32000000007</v>
      </c>
      <c r="K27" s="195">
        <f t="shared" si="18"/>
        <v>563546.32000000007</v>
      </c>
      <c r="L27" s="195">
        <f t="shared" si="18"/>
        <v>563546.32000000007</v>
      </c>
      <c r="M27" s="195">
        <f t="shared" si="18"/>
        <v>563546.32000000007</v>
      </c>
      <c r="N27" s="195">
        <f t="shared" si="18"/>
        <v>563546.32000000007</v>
      </c>
      <c r="O27" s="195">
        <f t="shared" si="18"/>
        <v>563546.32000000007</v>
      </c>
      <c r="P27" s="195">
        <f t="shared" si="18"/>
        <v>563546.32000000007</v>
      </c>
      <c r="Q27" s="195">
        <f t="shared" si="18"/>
        <v>563546.32000000007</v>
      </c>
      <c r="R27" s="195">
        <f t="shared" si="18"/>
        <v>563546.32000000007</v>
      </c>
      <c r="S27" s="195">
        <f t="shared" si="18"/>
        <v>563546.32000000007</v>
      </c>
      <c r="T27" s="195">
        <f t="shared" si="18"/>
        <v>563546.32000000007</v>
      </c>
      <c r="U27" s="195">
        <f t="shared" si="18"/>
        <v>563546.32000000007</v>
      </c>
      <c r="V27" s="195">
        <f t="shared" si="18"/>
        <v>563546.32000000007</v>
      </c>
      <c r="W27" s="195">
        <f t="shared" si="18"/>
        <v>563546.32000000007</v>
      </c>
      <c r="X27" s="195">
        <f t="shared" si="18"/>
        <v>563546.32000000007</v>
      </c>
      <c r="Y27" s="195">
        <f t="shared" si="18"/>
        <v>563546.32000000007</v>
      </c>
      <c r="Z27" s="195">
        <f t="shared" si="18"/>
        <v>563546.32000000007</v>
      </c>
      <c r="AA27" s="195">
        <f t="shared" si="18"/>
        <v>563546.32000000007</v>
      </c>
      <c r="AB27" s="195">
        <f t="shared" si="18"/>
        <v>563546.32000000007</v>
      </c>
      <c r="AC27" s="195">
        <f t="shared" si="18"/>
        <v>563546.32000000007</v>
      </c>
      <c r="AD27" s="195">
        <f t="shared" si="18"/>
        <v>563546.32000000007</v>
      </c>
      <c r="AE27" s="195">
        <f t="shared" si="18"/>
        <v>563546.32000000007</v>
      </c>
      <c r="AF27" s="195">
        <f t="shared" si="18"/>
        <v>563546.32000000007</v>
      </c>
      <c r="AG27" s="195">
        <f t="shared" si="18"/>
        <v>563546.32000000007</v>
      </c>
      <c r="AH27" s="195">
        <f t="shared" si="18"/>
        <v>563546.32000000007</v>
      </c>
      <c r="AI27" s="195">
        <f t="shared" ref="AI27:BN27" si="19">MAX(0,AI25-AI26)</f>
        <v>563546.32000000007</v>
      </c>
      <c r="AJ27" s="195">
        <f t="shared" si="19"/>
        <v>563546.32000000007</v>
      </c>
      <c r="AK27" s="195">
        <f t="shared" si="19"/>
        <v>563546.32000000007</v>
      </c>
      <c r="AL27" s="195">
        <f t="shared" si="19"/>
        <v>563546.32000000007</v>
      </c>
      <c r="AM27" s="195">
        <f t="shared" si="19"/>
        <v>563546.32000000007</v>
      </c>
      <c r="AN27" s="195">
        <f t="shared" si="19"/>
        <v>563546.32000000007</v>
      </c>
      <c r="AO27" s="195">
        <f t="shared" si="19"/>
        <v>563546.32000000007</v>
      </c>
      <c r="AP27" s="195">
        <f t="shared" si="19"/>
        <v>563546.32000000007</v>
      </c>
      <c r="AQ27" s="195">
        <f t="shared" si="19"/>
        <v>563546.32000000007</v>
      </c>
      <c r="AR27" s="195">
        <f t="shared" si="19"/>
        <v>563546.32000000007</v>
      </c>
      <c r="AS27" s="195">
        <f t="shared" si="19"/>
        <v>563546.32000000007</v>
      </c>
      <c r="AT27" s="195">
        <f t="shared" si="19"/>
        <v>563546.32000000007</v>
      </c>
      <c r="AU27" s="195">
        <f t="shared" si="19"/>
        <v>563546.32000000007</v>
      </c>
      <c r="AV27" s="195">
        <f t="shared" si="19"/>
        <v>563546.32000000007</v>
      </c>
      <c r="AW27" s="195">
        <f t="shared" si="19"/>
        <v>563546.32000000007</v>
      </c>
      <c r="AX27" s="195">
        <f t="shared" si="19"/>
        <v>563546.32000000007</v>
      </c>
      <c r="AY27" s="195">
        <f t="shared" si="19"/>
        <v>563546.32000000007</v>
      </c>
      <c r="AZ27" s="195">
        <f t="shared" si="19"/>
        <v>563546.32000000007</v>
      </c>
      <c r="BA27" s="195">
        <f t="shared" si="19"/>
        <v>563546.32000000007</v>
      </c>
      <c r="BB27" s="195">
        <f t="shared" si="19"/>
        <v>563546.32000000007</v>
      </c>
      <c r="BC27" s="195">
        <f t="shared" si="19"/>
        <v>563546.32000000007</v>
      </c>
      <c r="BD27" s="195">
        <f t="shared" si="19"/>
        <v>563546.32000000007</v>
      </c>
      <c r="BE27" s="195">
        <f t="shared" si="19"/>
        <v>563546.32000000007</v>
      </c>
      <c r="BF27" s="195">
        <f t="shared" si="19"/>
        <v>563546.32000000007</v>
      </c>
      <c r="BG27" s="195">
        <f t="shared" si="19"/>
        <v>563546.32000000007</v>
      </c>
      <c r="BH27" s="195">
        <f t="shared" si="19"/>
        <v>563546.32000000007</v>
      </c>
      <c r="BI27" s="195">
        <f t="shared" si="19"/>
        <v>563546.32000000007</v>
      </c>
      <c r="BJ27" s="195">
        <f t="shared" si="19"/>
        <v>563546.32000000007</v>
      </c>
      <c r="BK27" s="195">
        <f t="shared" si="19"/>
        <v>563546.32000000007</v>
      </c>
      <c r="BL27" s="195">
        <f t="shared" si="19"/>
        <v>563546.32000000007</v>
      </c>
      <c r="BM27" s="195">
        <f t="shared" si="19"/>
        <v>563546.32000000007</v>
      </c>
      <c r="BN27" s="195">
        <f t="shared" si="19"/>
        <v>563546.32000000007</v>
      </c>
      <c r="BO27" s="195">
        <f t="shared" ref="BO27:CT27" si="20">MAX(0,BO25-BO26)</f>
        <v>563546.32000000007</v>
      </c>
      <c r="BP27" s="195">
        <f t="shared" si="20"/>
        <v>563546.32000000007</v>
      </c>
      <c r="BQ27" s="195">
        <f t="shared" si="20"/>
        <v>563546.32000000007</v>
      </c>
      <c r="BR27" s="195">
        <f t="shared" si="20"/>
        <v>563546.32000000007</v>
      </c>
      <c r="BS27" s="195">
        <f t="shared" si="20"/>
        <v>563546.32000000007</v>
      </c>
      <c r="BT27" s="195">
        <f t="shared" si="20"/>
        <v>563546.32000000007</v>
      </c>
      <c r="BU27" s="195">
        <f t="shared" si="20"/>
        <v>563546.32000000007</v>
      </c>
      <c r="BV27" s="195">
        <f t="shared" si="20"/>
        <v>563546.32000000007</v>
      </c>
      <c r="BW27" s="195">
        <f t="shared" si="20"/>
        <v>563546.32000000007</v>
      </c>
      <c r="BX27" s="195">
        <f t="shared" si="20"/>
        <v>563546.32000000007</v>
      </c>
      <c r="BY27" s="195">
        <f t="shared" si="20"/>
        <v>490390.32000000007</v>
      </c>
      <c r="BZ27" s="195">
        <f t="shared" si="20"/>
        <v>490390.32000000007</v>
      </c>
      <c r="CA27" s="195">
        <f t="shared" si="20"/>
        <v>490390.32000000007</v>
      </c>
      <c r="CB27" s="195">
        <f t="shared" si="20"/>
        <v>417235.32000000007</v>
      </c>
      <c r="CC27" s="195">
        <f t="shared" si="20"/>
        <v>417235.32000000007</v>
      </c>
      <c r="CD27" s="195">
        <f t="shared" si="20"/>
        <v>417235.32000000007</v>
      </c>
      <c r="CE27" s="195">
        <f t="shared" si="20"/>
        <v>344080.32000000007</v>
      </c>
      <c r="CF27" s="195">
        <f t="shared" si="20"/>
        <v>344080.32000000007</v>
      </c>
      <c r="CG27" s="195">
        <f t="shared" si="20"/>
        <v>344080.32000000007</v>
      </c>
      <c r="CH27" s="195">
        <f t="shared" si="20"/>
        <v>270925.32000000007</v>
      </c>
      <c r="CI27" s="195">
        <f t="shared" si="20"/>
        <v>197770.32000000007</v>
      </c>
      <c r="CJ27" s="195">
        <f t="shared" si="20"/>
        <v>124615.32000000007</v>
      </c>
      <c r="CK27" s="195">
        <f t="shared" si="20"/>
        <v>51460.320000000065</v>
      </c>
      <c r="CL27" s="195">
        <f t="shared" si="20"/>
        <v>0</v>
      </c>
      <c r="CM27" s="195">
        <f t="shared" si="20"/>
        <v>0</v>
      </c>
      <c r="CN27" s="195">
        <f t="shared" si="20"/>
        <v>0</v>
      </c>
      <c r="CO27" s="195">
        <f t="shared" si="20"/>
        <v>0</v>
      </c>
      <c r="CP27" s="195">
        <f t="shared" si="20"/>
        <v>0</v>
      </c>
      <c r="CQ27" s="195">
        <f t="shared" si="20"/>
        <v>0</v>
      </c>
    </row>
    <row r="30" spans="1:95" ht="15" customHeight="1" x14ac:dyDescent="0.25">
      <c r="A30" s="234" t="s">
        <v>814</v>
      </c>
      <c r="B30" s="234"/>
      <c r="C30" s="234"/>
      <c r="D30" s="234"/>
      <c r="E30" s="234"/>
      <c r="F30" s="234"/>
      <c r="G30" s="234"/>
      <c r="H30" s="234"/>
      <c r="I30" s="234"/>
    </row>
    <row r="31" spans="1:95" ht="15" customHeight="1" x14ac:dyDescent="0.25">
      <c r="A31" s="249" t="s">
        <v>815</v>
      </c>
    </row>
    <row r="32" spans="1:95" ht="15" customHeight="1" x14ac:dyDescent="0.25">
      <c r="A32" s="250" t="s">
        <v>168</v>
      </c>
      <c r="B32" s="174">
        <f>LOOKUP(2,1/(Model!F76:CH76&gt;0),Model!F76:CH76)</f>
        <v>76499</v>
      </c>
    </row>
    <row r="33" spans="1:2" ht="15" customHeight="1" x14ac:dyDescent="0.25">
      <c r="A33" s="250" t="s">
        <v>173</v>
      </c>
      <c r="B33" s="174">
        <f>LOOKUP(2,1/(Model!F78:CH78&gt;0),Model!F78:CH78)</f>
        <v>73155</v>
      </c>
    </row>
    <row r="34" spans="1:2" ht="15" customHeight="1" x14ac:dyDescent="0.25">
      <c r="A34" s="250" t="s">
        <v>172</v>
      </c>
      <c r="B34" s="174">
        <f>LOOKUP(2,1/(Model!F77:CH77&gt;0),Model!F77:CH77)</f>
        <v>81362</v>
      </c>
    </row>
    <row r="36" spans="1:2" ht="15" customHeight="1" x14ac:dyDescent="0.25">
      <c r="A36" s="249" t="s">
        <v>816</v>
      </c>
    </row>
    <row r="37" spans="1:2" ht="15" customHeight="1" x14ac:dyDescent="0.25">
      <c r="A37" s="250" t="s">
        <v>168</v>
      </c>
      <c r="B37" s="136">
        <f>SUMPRODUCT((Model!F76:CH76&gt;0)*1)</f>
        <v>14</v>
      </c>
    </row>
    <row r="38" spans="1:2" ht="15" customHeight="1" x14ac:dyDescent="0.25">
      <c r="A38" s="250" t="s">
        <v>173</v>
      </c>
      <c r="B38" s="136">
        <f>SUMPRODUCT((Model!F78:CH78&gt;0)*1)</f>
        <v>3</v>
      </c>
    </row>
    <row r="39" spans="1:2" ht="15" customHeight="1" x14ac:dyDescent="0.25">
      <c r="A39" s="250" t="s">
        <v>172</v>
      </c>
      <c r="B39" s="136">
        <f>SUMPRODUCT((Model!F77:CH77&gt;0)*1)</f>
        <v>11</v>
      </c>
    </row>
    <row r="41" spans="1:2" ht="15" customHeight="1" x14ac:dyDescent="0.25">
      <c r="A41" s="249" t="s">
        <v>817</v>
      </c>
    </row>
    <row r="42" spans="1:2" ht="15" customHeight="1" x14ac:dyDescent="0.25">
      <c r="A42" s="250" t="s">
        <v>168</v>
      </c>
      <c r="B42" s="136">
        <f>40-B37</f>
        <v>26</v>
      </c>
    </row>
    <row r="43" spans="1:2" ht="15" customHeight="1" x14ac:dyDescent="0.25">
      <c r="A43" s="250" t="s">
        <v>173</v>
      </c>
      <c r="B43" s="136">
        <f>40-B38</f>
        <v>37</v>
      </c>
    </row>
    <row r="44" spans="1:2" ht="15" customHeight="1" x14ac:dyDescent="0.25">
      <c r="A44" s="250" t="s">
        <v>172</v>
      </c>
      <c r="B44" s="136">
        <f>40-B39</f>
        <v>29</v>
      </c>
    </row>
    <row r="46" spans="1:2" ht="15" customHeight="1" x14ac:dyDescent="0.25">
      <c r="A46" s="249" t="s">
        <v>818</v>
      </c>
    </row>
    <row r="47" spans="1:2" ht="15" customHeight="1" x14ac:dyDescent="0.25">
      <c r="A47" s="250" t="s">
        <v>168</v>
      </c>
      <c r="B47" s="174">
        <f>B32*B42</f>
        <v>1988974</v>
      </c>
    </row>
    <row r="48" spans="1:2" ht="15" customHeight="1" x14ac:dyDescent="0.25">
      <c r="A48" s="250" t="s">
        <v>173</v>
      </c>
      <c r="B48" s="174">
        <f>B33*B43</f>
        <v>2706735</v>
      </c>
    </row>
    <row r="49" spans="1:7" ht="15" customHeight="1" x14ac:dyDescent="0.25">
      <c r="A49" s="250" t="s">
        <v>172</v>
      </c>
      <c r="B49" s="174">
        <f>B34*B44</f>
        <v>2359498</v>
      </c>
    </row>
    <row r="51" spans="1:7" ht="15" customHeight="1" x14ac:dyDescent="0.25">
      <c r="A51" s="234" t="s">
        <v>819</v>
      </c>
      <c r="B51" s="234"/>
      <c r="C51" s="234"/>
      <c r="D51" s="234"/>
      <c r="E51" s="234"/>
      <c r="F51" s="234"/>
      <c r="G51" s="234"/>
    </row>
    <row r="52" spans="1:7" ht="15" customHeight="1" x14ac:dyDescent="0.25">
      <c r="A52" s="249" t="s">
        <v>820</v>
      </c>
      <c r="B52" s="249" t="s">
        <v>821</v>
      </c>
      <c r="C52" s="249" t="s">
        <v>822</v>
      </c>
      <c r="D52" s="249" t="s">
        <v>823</v>
      </c>
      <c r="E52" s="249" t="s">
        <v>824</v>
      </c>
      <c r="F52" s="249" t="s">
        <v>825</v>
      </c>
      <c r="G52" s="249" t="s">
        <v>826</v>
      </c>
    </row>
    <row r="53" spans="1:7" ht="15" customHeight="1" x14ac:dyDescent="0.25">
      <c r="A53" s="136">
        <v>1</v>
      </c>
      <c r="B53" s="174">
        <f t="shared" ref="B53:B92" si="21">$B$33</f>
        <v>73155</v>
      </c>
      <c r="C53" s="174">
        <f>CH27</f>
        <v>270925.32000000007</v>
      </c>
      <c r="D53" s="174">
        <f t="shared" ref="D53:D92" si="22">MIN(C53,B53)</f>
        <v>73155</v>
      </c>
      <c r="E53" s="174">
        <f>Model!CK154</f>
        <v>570021.54700517189</v>
      </c>
      <c r="F53" s="174">
        <f>E53*Assumptions!$B$59</f>
        <v>21375.808012693946</v>
      </c>
      <c r="G53" s="174">
        <f t="shared" ref="G53:G92" si="23">MIN(E53+F53,MAX(0,B53-D53))</f>
        <v>0</v>
      </c>
    </row>
    <row r="54" spans="1:7" ht="15" customHeight="1" x14ac:dyDescent="0.25">
      <c r="A54" s="136">
        <v>2</v>
      </c>
      <c r="B54" s="174">
        <f t="shared" si="21"/>
        <v>73155</v>
      </c>
      <c r="C54" s="174">
        <f t="shared" ref="C54:C92" si="24">MAX(0,C53-D53)</f>
        <v>197770.32000000007</v>
      </c>
      <c r="D54" s="174">
        <f t="shared" si="22"/>
        <v>73155</v>
      </c>
      <c r="E54" s="174">
        <f t="shared" ref="E54:E92" si="25">MAX(0,E53+F53-G53)</f>
        <v>591397.35501786578</v>
      </c>
      <c r="F54" s="174">
        <f>E54*Assumptions!$B$59</f>
        <v>22177.400813169967</v>
      </c>
      <c r="G54" s="174">
        <f t="shared" si="23"/>
        <v>0</v>
      </c>
    </row>
    <row r="55" spans="1:7" ht="15" customHeight="1" x14ac:dyDescent="0.25">
      <c r="A55" s="136">
        <v>3</v>
      </c>
      <c r="B55" s="174">
        <f t="shared" si="21"/>
        <v>73155</v>
      </c>
      <c r="C55" s="174">
        <f t="shared" si="24"/>
        <v>124615.32000000007</v>
      </c>
      <c r="D55" s="174">
        <f t="shared" si="22"/>
        <v>73155</v>
      </c>
      <c r="E55" s="174">
        <f t="shared" si="25"/>
        <v>613574.75583103579</v>
      </c>
      <c r="F55" s="174">
        <f>E55*Assumptions!$B$59</f>
        <v>23009.05334366384</v>
      </c>
      <c r="G55" s="174">
        <f t="shared" si="23"/>
        <v>0</v>
      </c>
    </row>
    <row r="56" spans="1:7" ht="15" customHeight="1" x14ac:dyDescent="0.25">
      <c r="A56" s="136">
        <v>4</v>
      </c>
      <c r="B56" s="174">
        <f t="shared" si="21"/>
        <v>73155</v>
      </c>
      <c r="C56" s="174">
        <f t="shared" si="24"/>
        <v>51460.320000000065</v>
      </c>
      <c r="D56" s="174">
        <f t="shared" si="22"/>
        <v>51460.320000000065</v>
      </c>
      <c r="E56" s="174">
        <f t="shared" si="25"/>
        <v>636583.80917469959</v>
      </c>
      <c r="F56" s="174">
        <f>E56*Assumptions!$B$59</f>
        <v>23871.892844051235</v>
      </c>
      <c r="G56" s="174">
        <f t="shared" si="23"/>
        <v>21694.679999999935</v>
      </c>
    </row>
    <row r="57" spans="1:7" ht="15" customHeight="1" x14ac:dyDescent="0.25">
      <c r="A57" s="136">
        <v>5</v>
      </c>
      <c r="B57" s="174">
        <f t="shared" si="21"/>
        <v>73155</v>
      </c>
      <c r="C57" s="174">
        <f t="shared" si="24"/>
        <v>0</v>
      </c>
      <c r="D57" s="174">
        <f t="shared" si="22"/>
        <v>0</v>
      </c>
      <c r="E57" s="174">
        <f t="shared" si="25"/>
        <v>638761.0220187509</v>
      </c>
      <c r="F57" s="174">
        <f>E57*Assumptions!$B$59</f>
        <v>23953.538325703157</v>
      </c>
      <c r="G57" s="174">
        <f t="shared" si="23"/>
        <v>73155</v>
      </c>
    </row>
    <row r="58" spans="1:7" ht="15" customHeight="1" x14ac:dyDescent="0.25">
      <c r="A58" s="136">
        <v>6</v>
      </c>
      <c r="B58" s="174">
        <f t="shared" si="21"/>
        <v>73155</v>
      </c>
      <c r="C58" s="174">
        <f t="shared" si="24"/>
        <v>0</v>
      </c>
      <c r="D58" s="174">
        <f t="shared" si="22"/>
        <v>0</v>
      </c>
      <c r="E58" s="174">
        <f t="shared" si="25"/>
        <v>589559.56034445402</v>
      </c>
      <c r="F58" s="174">
        <f>E58*Assumptions!$B$59</f>
        <v>22108.483512917024</v>
      </c>
      <c r="G58" s="174">
        <f t="shared" si="23"/>
        <v>73155</v>
      </c>
    </row>
    <row r="59" spans="1:7" ht="15" customHeight="1" x14ac:dyDescent="0.25">
      <c r="A59" s="136">
        <v>7</v>
      </c>
      <c r="B59" s="174">
        <f t="shared" si="21"/>
        <v>73155</v>
      </c>
      <c r="C59" s="174">
        <f t="shared" si="24"/>
        <v>0</v>
      </c>
      <c r="D59" s="174">
        <f t="shared" si="22"/>
        <v>0</v>
      </c>
      <c r="E59" s="174">
        <f t="shared" si="25"/>
        <v>538513.04385737109</v>
      </c>
      <c r="F59" s="174">
        <f>E59*Assumptions!$B$59</f>
        <v>20194.239144651416</v>
      </c>
      <c r="G59" s="174">
        <f t="shared" si="23"/>
        <v>73155</v>
      </c>
    </row>
    <row r="60" spans="1:7" ht="15" customHeight="1" x14ac:dyDescent="0.25">
      <c r="A60" s="136">
        <v>8</v>
      </c>
      <c r="B60" s="174">
        <f t="shared" si="21"/>
        <v>73155</v>
      </c>
      <c r="C60" s="174">
        <f t="shared" si="24"/>
        <v>0</v>
      </c>
      <c r="D60" s="174">
        <f t="shared" si="22"/>
        <v>0</v>
      </c>
      <c r="E60" s="174">
        <f t="shared" si="25"/>
        <v>485552.28300202254</v>
      </c>
      <c r="F60" s="174">
        <f>E60*Assumptions!$B$59</f>
        <v>18208.210612575844</v>
      </c>
      <c r="G60" s="174">
        <f t="shared" si="23"/>
        <v>73155</v>
      </c>
    </row>
    <row r="61" spans="1:7" ht="15" customHeight="1" x14ac:dyDescent="0.25">
      <c r="A61" s="136">
        <v>9</v>
      </c>
      <c r="B61" s="174">
        <f t="shared" si="21"/>
        <v>73155</v>
      </c>
      <c r="C61" s="174">
        <f t="shared" si="24"/>
        <v>0</v>
      </c>
      <c r="D61" s="174">
        <f t="shared" si="22"/>
        <v>0</v>
      </c>
      <c r="E61" s="174">
        <f t="shared" si="25"/>
        <v>430605.49361459841</v>
      </c>
      <c r="F61" s="174">
        <f>E61*Assumptions!$B$59</f>
        <v>16147.706010547439</v>
      </c>
      <c r="G61" s="174">
        <f t="shared" si="23"/>
        <v>73155</v>
      </c>
    </row>
    <row r="62" spans="1:7" ht="15" customHeight="1" x14ac:dyDescent="0.25">
      <c r="A62" s="136">
        <v>10</v>
      </c>
      <c r="B62" s="174">
        <f t="shared" si="21"/>
        <v>73155</v>
      </c>
      <c r="C62" s="174">
        <f t="shared" si="24"/>
        <v>0</v>
      </c>
      <c r="D62" s="174">
        <f t="shared" si="22"/>
        <v>0</v>
      </c>
      <c r="E62" s="174">
        <f t="shared" si="25"/>
        <v>373598.19962514588</v>
      </c>
      <c r="F62" s="174">
        <f>E62*Assumptions!$B$59</f>
        <v>14009.932485942971</v>
      </c>
      <c r="G62" s="174">
        <f t="shared" si="23"/>
        <v>73155</v>
      </c>
    </row>
    <row r="63" spans="1:7" ht="15" customHeight="1" x14ac:dyDescent="0.25">
      <c r="A63" s="136">
        <v>11</v>
      </c>
      <c r="B63" s="174">
        <f t="shared" si="21"/>
        <v>73155</v>
      </c>
      <c r="C63" s="174">
        <f t="shared" si="24"/>
        <v>0</v>
      </c>
      <c r="D63" s="174">
        <f t="shared" si="22"/>
        <v>0</v>
      </c>
      <c r="E63" s="174">
        <f t="shared" si="25"/>
        <v>314453.13211108884</v>
      </c>
      <c r="F63" s="174">
        <f>E63*Assumptions!$B$59</f>
        <v>11791.992454165831</v>
      </c>
      <c r="G63" s="174">
        <f t="shared" si="23"/>
        <v>73155</v>
      </c>
    </row>
    <row r="64" spans="1:7" ht="15" customHeight="1" x14ac:dyDescent="0.25">
      <c r="A64" s="136">
        <v>12</v>
      </c>
      <c r="B64" s="174">
        <f t="shared" si="21"/>
        <v>73155</v>
      </c>
      <c r="C64" s="174">
        <f t="shared" si="24"/>
        <v>0</v>
      </c>
      <c r="D64" s="174">
        <f t="shared" si="22"/>
        <v>0</v>
      </c>
      <c r="E64" s="174">
        <f t="shared" si="25"/>
        <v>253090.12456525466</v>
      </c>
      <c r="F64" s="174">
        <f>E64*Assumptions!$B$59</f>
        <v>9490.8796711970499</v>
      </c>
      <c r="G64" s="174">
        <f t="shared" si="23"/>
        <v>73155</v>
      </c>
    </row>
    <row r="65" spans="1:7" ht="15" customHeight="1" x14ac:dyDescent="0.25">
      <c r="A65" s="136">
        <v>13</v>
      </c>
      <c r="B65" s="174">
        <f t="shared" si="21"/>
        <v>73155</v>
      </c>
      <c r="C65" s="174">
        <f t="shared" si="24"/>
        <v>0</v>
      </c>
      <c r="D65" s="174">
        <f t="shared" si="22"/>
        <v>0</v>
      </c>
      <c r="E65" s="174">
        <f t="shared" si="25"/>
        <v>189426.0042364517</v>
      </c>
      <c r="F65" s="174">
        <f>E65*Assumptions!$B$59</f>
        <v>7103.4751588669387</v>
      </c>
      <c r="G65" s="174">
        <f t="shared" si="23"/>
        <v>73155</v>
      </c>
    </row>
    <row r="66" spans="1:7" ht="15" customHeight="1" x14ac:dyDescent="0.25">
      <c r="A66" s="136">
        <v>14</v>
      </c>
      <c r="B66" s="174">
        <f t="shared" si="21"/>
        <v>73155</v>
      </c>
      <c r="C66" s="174">
        <f t="shared" si="24"/>
        <v>0</v>
      </c>
      <c r="D66" s="174">
        <f t="shared" si="22"/>
        <v>0</v>
      </c>
      <c r="E66" s="174">
        <f t="shared" si="25"/>
        <v>123374.47939531863</v>
      </c>
      <c r="F66" s="174">
        <f>E66*Assumptions!$B$59</f>
        <v>4626.5429773244487</v>
      </c>
      <c r="G66" s="174">
        <f t="shared" si="23"/>
        <v>73155</v>
      </c>
    </row>
    <row r="67" spans="1:7" ht="15" customHeight="1" x14ac:dyDescent="0.25">
      <c r="A67" s="136">
        <v>15</v>
      </c>
      <c r="B67" s="174">
        <f t="shared" si="21"/>
        <v>73155</v>
      </c>
      <c r="C67" s="174">
        <f t="shared" si="24"/>
        <v>0</v>
      </c>
      <c r="D67" s="174">
        <f t="shared" si="22"/>
        <v>0</v>
      </c>
      <c r="E67" s="174">
        <f t="shared" si="25"/>
        <v>54846.022372643085</v>
      </c>
      <c r="F67" s="174">
        <f>E67*Assumptions!$B$59</f>
        <v>2056.7258389741155</v>
      </c>
      <c r="G67" s="174">
        <f t="shared" si="23"/>
        <v>56902.748211617203</v>
      </c>
    </row>
    <row r="68" spans="1:7" ht="15" customHeight="1" x14ac:dyDescent="0.25">
      <c r="A68" s="136">
        <v>16</v>
      </c>
      <c r="B68" s="174">
        <f t="shared" si="21"/>
        <v>73155</v>
      </c>
      <c r="C68" s="174">
        <f t="shared" si="24"/>
        <v>0</v>
      </c>
      <c r="D68" s="174">
        <f t="shared" si="22"/>
        <v>0</v>
      </c>
      <c r="E68" s="174">
        <f t="shared" si="25"/>
        <v>0</v>
      </c>
      <c r="F68" s="174">
        <f>E68*Assumptions!$B$59</f>
        <v>0</v>
      </c>
      <c r="G68" s="174">
        <f t="shared" si="23"/>
        <v>0</v>
      </c>
    </row>
    <row r="69" spans="1:7" ht="15" customHeight="1" x14ac:dyDescent="0.25">
      <c r="A69" s="136">
        <v>17</v>
      </c>
      <c r="B69" s="174">
        <f t="shared" si="21"/>
        <v>73155</v>
      </c>
      <c r="C69" s="174">
        <f t="shared" si="24"/>
        <v>0</v>
      </c>
      <c r="D69" s="174">
        <f t="shared" si="22"/>
        <v>0</v>
      </c>
      <c r="E69" s="174">
        <f t="shared" si="25"/>
        <v>0</v>
      </c>
      <c r="F69" s="174">
        <f>E69*Assumptions!$B$59</f>
        <v>0</v>
      </c>
      <c r="G69" s="174">
        <f t="shared" si="23"/>
        <v>0</v>
      </c>
    </row>
    <row r="70" spans="1:7" ht="15" customHeight="1" x14ac:dyDescent="0.25">
      <c r="A70" s="136">
        <v>18</v>
      </c>
      <c r="B70" s="174">
        <f t="shared" si="21"/>
        <v>73155</v>
      </c>
      <c r="C70" s="174">
        <f t="shared" si="24"/>
        <v>0</v>
      </c>
      <c r="D70" s="174">
        <f t="shared" si="22"/>
        <v>0</v>
      </c>
      <c r="E70" s="174">
        <f t="shared" si="25"/>
        <v>0</v>
      </c>
      <c r="F70" s="174">
        <f>E70*Assumptions!$B$59</f>
        <v>0</v>
      </c>
      <c r="G70" s="174">
        <f t="shared" si="23"/>
        <v>0</v>
      </c>
    </row>
    <row r="71" spans="1:7" ht="15" customHeight="1" x14ac:dyDescent="0.25">
      <c r="A71" s="136">
        <v>19</v>
      </c>
      <c r="B71" s="174">
        <f t="shared" si="21"/>
        <v>73155</v>
      </c>
      <c r="C71" s="174">
        <f t="shared" si="24"/>
        <v>0</v>
      </c>
      <c r="D71" s="174">
        <f t="shared" si="22"/>
        <v>0</v>
      </c>
      <c r="E71" s="174">
        <f t="shared" si="25"/>
        <v>0</v>
      </c>
      <c r="F71" s="174">
        <f>E71*Assumptions!$B$59</f>
        <v>0</v>
      </c>
      <c r="G71" s="174">
        <f t="shared" si="23"/>
        <v>0</v>
      </c>
    </row>
    <row r="72" spans="1:7" ht="15" customHeight="1" x14ac:dyDescent="0.25">
      <c r="A72" s="136">
        <v>20</v>
      </c>
      <c r="B72" s="174">
        <f t="shared" si="21"/>
        <v>73155</v>
      </c>
      <c r="C72" s="174">
        <f t="shared" si="24"/>
        <v>0</v>
      </c>
      <c r="D72" s="174">
        <f t="shared" si="22"/>
        <v>0</v>
      </c>
      <c r="E72" s="174">
        <f t="shared" si="25"/>
        <v>0</v>
      </c>
      <c r="F72" s="174">
        <f>E72*Assumptions!$B$59</f>
        <v>0</v>
      </c>
      <c r="G72" s="174">
        <f t="shared" si="23"/>
        <v>0</v>
      </c>
    </row>
    <row r="73" spans="1:7" ht="15" customHeight="1" x14ac:dyDescent="0.25">
      <c r="A73" s="136">
        <v>21</v>
      </c>
      <c r="B73" s="174">
        <f t="shared" si="21"/>
        <v>73155</v>
      </c>
      <c r="C73" s="174">
        <f t="shared" si="24"/>
        <v>0</v>
      </c>
      <c r="D73" s="174">
        <f t="shared" si="22"/>
        <v>0</v>
      </c>
      <c r="E73" s="174">
        <f t="shared" si="25"/>
        <v>0</v>
      </c>
      <c r="F73" s="174">
        <f>E73*Assumptions!$B$59</f>
        <v>0</v>
      </c>
      <c r="G73" s="174">
        <f t="shared" si="23"/>
        <v>0</v>
      </c>
    </row>
    <row r="74" spans="1:7" ht="15" customHeight="1" x14ac:dyDescent="0.25">
      <c r="A74" s="136">
        <v>22</v>
      </c>
      <c r="B74" s="174">
        <f t="shared" si="21"/>
        <v>73155</v>
      </c>
      <c r="C74" s="174">
        <f t="shared" si="24"/>
        <v>0</v>
      </c>
      <c r="D74" s="174">
        <f t="shared" si="22"/>
        <v>0</v>
      </c>
      <c r="E74" s="174">
        <f t="shared" si="25"/>
        <v>0</v>
      </c>
      <c r="F74" s="174">
        <f>E74*Assumptions!$B$59</f>
        <v>0</v>
      </c>
      <c r="G74" s="174">
        <f t="shared" si="23"/>
        <v>0</v>
      </c>
    </row>
    <row r="75" spans="1:7" ht="15" customHeight="1" x14ac:dyDescent="0.25">
      <c r="A75" s="136">
        <v>23</v>
      </c>
      <c r="B75" s="174">
        <f t="shared" si="21"/>
        <v>73155</v>
      </c>
      <c r="C75" s="174">
        <f t="shared" si="24"/>
        <v>0</v>
      </c>
      <c r="D75" s="174">
        <f t="shared" si="22"/>
        <v>0</v>
      </c>
      <c r="E75" s="174">
        <f t="shared" si="25"/>
        <v>0</v>
      </c>
      <c r="F75" s="174">
        <f>E75*Assumptions!$B$59</f>
        <v>0</v>
      </c>
      <c r="G75" s="174">
        <f t="shared" si="23"/>
        <v>0</v>
      </c>
    </row>
    <row r="76" spans="1:7" ht="15" customHeight="1" x14ac:dyDescent="0.25">
      <c r="A76" s="136">
        <v>24</v>
      </c>
      <c r="B76" s="174">
        <f t="shared" si="21"/>
        <v>73155</v>
      </c>
      <c r="C76" s="174">
        <f t="shared" si="24"/>
        <v>0</v>
      </c>
      <c r="D76" s="174">
        <f t="shared" si="22"/>
        <v>0</v>
      </c>
      <c r="E76" s="174">
        <f t="shared" si="25"/>
        <v>0</v>
      </c>
      <c r="F76" s="174">
        <f>E76*Assumptions!$B$59</f>
        <v>0</v>
      </c>
      <c r="G76" s="174">
        <f t="shared" si="23"/>
        <v>0</v>
      </c>
    </row>
    <row r="77" spans="1:7" ht="15" customHeight="1" x14ac:dyDescent="0.25">
      <c r="A77" s="136">
        <v>25</v>
      </c>
      <c r="B77" s="174">
        <f t="shared" si="21"/>
        <v>73155</v>
      </c>
      <c r="C77" s="174">
        <f t="shared" si="24"/>
        <v>0</v>
      </c>
      <c r="D77" s="174">
        <f t="shared" si="22"/>
        <v>0</v>
      </c>
      <c r="E77" s="174">
        <f t="shared" si="25"/>
        <v>0</v>
      </c>
      <c r="F77" s="174">
        <f>E77*Assumptions!$B$59</f>
        <v>0</v>
      </c>
      <c r="G77" s="174">
        <f t="shared" si="23"/>
        <v>0</v>
      </c>
    </row>
    <row r="78" spans="1:7" ht="15" customHeight="1" x14ac:dyDescent="0.25">
      <c r="A78" s="136">
        <v>26</v>
      </c>
      <c r="B78" s="174">
        <f t="shared" si="21"/>
        <v>73155</v>
      </c>
      <c r="C78" s="174">
        <f t="shared" si="24"/>
        <v>0</v>
      </c>
      <c r="D78" s="174">
        <f t="shared" si="22"/>
        <v>0</v>
      </c>
      <c r="E78" s="174">
        <f t="shared" si="25"/>
        <v>0</v>
      </c>
      <c r="F78" s="174">
        <f>E78*Assumptions!$B$59</f>
        <v>0</v>
      </c>
      <c r="G78" s="174">
        <f t="shared" si="23"/>
        <v>0</v>
      </c>
    </row>
    <row r="79" spans="1:7" ht="15" customHeight="1" x14ac:dyDescent="0.25">
      <c r="A79" s="136">
        <v>27</v>
      </c>
      <c r="B79" s="174">
        <f t="shared" si="21"/>
        <v>73155</v>
      </c>
      <c r="C79" s="174">
        <f t="shared" si="24"/>
        <v>0</v>
      </c>
      <c r="D79" s="174">
        <f t="shared" si="22"/>
        <v>0</v>
      </c>
      <c r="E79" s="174">
        <f t="shared" si="25"/>
        <v>0</v>
      </c>
      <c r="F79" s="174">
        <f>E79*Assumptions!$B$59</f>
        <v>0</v>
      </c>
      <c r="G79" s="174">
        <f t="shared" si="23"/>
        <v>0</v>
      </c>
    </row>
    <row r="80" spans="1:7" ht="15" customHeight="1" x14ac:dyDescent="0.25">
      <c r="A80" s="136">
        <v>28</v>
      </c>
      <c r="B80" s="174">
        <f t="shared" si="21"/>
        <v>73155</v>
      </c>
      <c r="C80" s="174">
        <f t="shared" si="24"/>
        <v>0</v>
      </c>
      <c r="D80" s="174">
        <f t="shared" si="22"/>
        <v>0</v>
      </c>
      <c r="E80" s="174">
        <f t="shared" si="25"/>
        <v>0</v>
      </c>
      <c r="F80" s="174">
        <f>E80*Assumptions!$B$59</f>
        <v>0</v>
      </c>
      <c r="G80" s="174">
        <f t="shared" si="23"/>
        <v>0</v>
      </c>
    </row>
    <row r="81" spans="1:110" ht="15" customHeight="1" x14ac:dyDescent="0.25">
      <c r="A81" s="136">
        <v>29</v>
      </c>
      <c r="B81" s="174">
        <f t="shared" si="21"/>
        <v>73155</v>
      </c>
      <c r="C81" s="174">
        <f t="shared" si="24"/>
        <v>0</v>
      </c>
      <c r="D81" s="174">
        <f t="shared" si="22"/>
        <v>0</v>
      </c>
      <c r="E81" s="174">
        <f t="shared" si="25"/>
        <v>0</v>
      </c>
      <c r="F81" s="174">
        <f>E81*Assumptions!$B$59</f>
        <v>0</v>
      </c>
      <c r="G81" s="174">
        <f t="shared" si="23"/>
        <v>0</v>
      </c>
    </row>
    <row r="82" spans="1:110" ht="15" customHeight="1" x14ac:dyDescent="0.25">
      <c r="A82" s="136">
        <v>30</v>
      </c>
      <c r="B82" s="174">
        <f t="shared" si="21"/>
        <v>73155</v>
      </c>
      <c r="C82" s="174">
        <f t="shared" si="24"/>
        <v>0</v>
      </c>
      <c r="D82" s="174">
        <f t="shared" si="22"/>
        <v>0</v>
      </c>
      <c r="E82" s="174">
        <f t="shared" si="25"/>
        <v>0</v>
      </c>
      <c r="F82" s="174">
        <f>E82*Assumptions!$B$59</f>
        <v>0</v>
      </c>
      <c r="G82" s="174">
        <f t="shared" si="23"/>
        <v>0</v>
      </c>
    </row>
    <row r="83" spans="1:110" ht="15" customHeight="1" x14ac:dyDescent="0.25">
      <c r="A83" s="136">
        <v>31</v>
      </c>
      <c r="B83" s="174">
        <f t="shared" si="21"/>
        <v>73155</v>
      </c>
      <c r="C83" s="174">
        <f t="shared" si="24"/>
        <v>0</v>
      </c>
      <c r="D83" s="174">
        <f t="shared" si="22"/>
        <v>0</v>
      </c>
      <c r="E83" s="174">
        <f t="shared" si="25"/>
        <v>0</v>
      </c>
      <c r="F83" s="174">
        <f>E83*Assumptions!$B$59</f>
        <v>0</v>
      </c>
      <c r="G83" s="174">
        <f t="shared" si="23"/>
        <v>0</v>
      </c>
    </row>
    <row r="84" spans="1:110" ht="15" customHeight="1" x14ac:dyDescent="0.25">
      <c r="A84" s="136">
        <v>32</v>
      </c>
      <c r="B84" s="174">
        <f t="shared" si="21"/>
        <v>73155</v>
      </c>
      <c r="C84" s="174">
        <f t="shared" si="24"/>
        <v>0</v>
      </c>
      <c r="D84" s="174">
        <f t="shared" si="22"/>
        <v>0</v>
      </c>
      <c r="E84" s="174">
        <f t="shared" si="25"/>
        <v>0</v>
      </c>
      <c r="F84" s="174">
        <f>E84*Assumptions!$B$59</f>
        <v>0</v>
      </c>
      <c r="G84" s="174">
        <f t="shared" si="23"/>
        <v>0</v>
      </c>
    </row>
    <row r="85" spans="1:110" ht="15" customHeight="1" x14ac:dyDescent="0.25">
      <c r="A85" s="136">
        <v>33</v>
      </c>
      <c r="B85" s="174">
        <f t="shared" si="21"/>
        <v>73155</v>
      </c>
      <c r="C85" s="174">
        <f t="shared" si="24"/>
        <v>0</v>
      </c>
      <c r="D85" s="174">
        <f t="shared" si="22"/>
        <v>0</v>
      </c>
      <c r="E85" s="174">
        <f t="shared" si="25"/>
        <v>0</v>
      </c>
      <c r="F85" s="174">
        <f>E85*Assumptions!$B$59</f>
        <v>0</v>
      </c>
      <c r="G85" s="174">
        <f t="shared" si="23"/>
        <v>0</v>
      </c>
    </row>
    <row r="86" spans="1:110" ht="15" customHeight="1" x14ac:dyDescent="0.25">
      <c r="A86" s="136">
        <v>34</v>
      </c>
      <c r="B86" s="174">
        <f t="shared" si="21"/>
        <v>73155</v>
      </c>
      <c r="C86" s="174">
        <f t="shared" si="24"/>
        <v>0</v>
      </c>
      <c r="D86" s="174">
        <f t="shared" si="22"/>
        <v>0</v>
      </c>
      <c r="E86" s="174">
        <f t="shared" si="25"/>
        <v>0</v>
      </c>
      <c r="F86" s="174">
        <f>E86*Assumptions!$B$59</f>
        <v>0</v>
      </c>
      <c r="G86" s="174">
        <f t="shared" si="23"/>
        <v>0</v>
      </c>
    </row>
    <row r="87" spans="1:110" ht="15" customHeight="1" x14ac:dyDescent="0.25">
      <c r="A87" s="136">
        <v>35</v>
      </c>
      <c r="B87" s="174">
        <f t="shared" si="21"/>
        <v>73155</v>
      </c>
      <c r="C87" s="174">
        <f t="shared" si="24"/>
        <v>0</v>
      </c>
      <c r="D87" s="174">
        <f t="shared" si="22"/>
        <v>0</v>
      </c>
      <c r="E87" s="174">
        <f t="shared" si="25"/>
        <v>0</v>
      </c>
      <c r="F87" s="174">
        <f>E87*Assumptions!$B$59</f>
        <v>0</v>
      </c>
      <c r="G87" s="174">
        <f t="shared" si="23"/>
        <v>0</v>
      </c>
    </row>
    <row r="88" spans="1:110" ht="15" customHeight="1" x14ac:dyDescent="0.25">
      <c r="A88" s="136">
        <v>36</v>
      </c>
      <c r="B88" s="174">
        <f t="shared" si="21"/>
        <v>73155</v>
      </c>
      <c r="C88" s="174">
        <f t="shared" si="24"/>
        <v>0</v>
      </c>
      <c r="D88" s="174">
        <f t="shared" si="22"/>
        <v>0</v>
      </c>
      <c r="E88" s="174">
        <f t="shared" si="25"/>
        <v>0</v>
      </c>
      <c r="F88" s="174">
        <f>E88*Assumptions!$B$59</f>
        <v>0</v>
      </c>
      <c r="G88" s="174">
        <f t="shared" si="23"/>
        <v>0</v>
      </c>
    </row>
    <row r="89" spans="1:110" ht="15" customHeight="1" x14ac:dyDescent="0.25">
      <c r="A89" s="136">
        <v>37</v>
      </c>
      <c r="B89" s="174">
        <f t="shared" si="21"/>
        <v>73155</v>
      </c>
      <c r="C89" s="174">
        <f t="shared" si="24"/>
        <v>0</v>
      </c>
      <c r="D89" s="174">
        <f t="shared" si="22"/>
        <v>0</v>
      </c>
      <c r="E89" s="174">
        <f t="shared" si="25"/>
        <v>0</v>
      </c>
      <c r="F89" s="174">
        <f>E89*Assumptions!$B$59</f>
        <v>0</v>
      </c>
      <c r="G89" s="174">
        <f t="shared" si="23"/>
        <v>0</v>
      </c>
    </row>
    <row r="90" spans="1:110" ht="15" customHeight="1" x14ac:dyDescent="0.25">
      <c r="A90" s="136">
        <v>38</v>
      </c>
      <c r="B90" s="174">
        <f t="shared" si="21"/>
        <v>73155</v>
      </c>
      <c r="C90" s="174">
        <f t="shared" si="24"/>
        <v>0</v>
      </c>
      <c r="D90" s="174">
        <f t="shared" si="22"/>
        <v>0</v>
      </c>
      <c r="E90" s="174">
        <f t="shared" si="25"/>
        <v>0</v>
      </c>
      <c r="F90" s="174">
        <f>E90*Assumptions!$B$59</f>
        <v>0</v>
      </c>
      <c r="G90" s="174">
        <f t="shared" si="23"/>
        <v>0</v>
      </c>
    </row>
    <row r="91" spans="1:110" ht="15" customHeight="1" x14ac:dyDescent="0.25">
      <c r="A91" s="136">
        <v>39</v>
      </c>
      <c r="B91" s="174">
        <f t="shared" si="21"/>
        <v>73155</v>
      </c>
      <c r="C91" s="174">
        <f t="shared" si="24"/>
        <v>0</v>
      </c>
      <c r="D91" s="174">
        <f t="shared" si="22"/>
        <v>0</v>
      </c>
      <c r="E91" s="174">
        <f t="shared" si="25"/>
        <v>0</v>
      </c>
      <c r="F91" s="174">
        <f>E91*Assumptions!$B$59</f>
        <v>0</v>
      </c>
      <c r="G91" s="174">
        <f t="shared" si="23"/>
        <v>0</v>
      </c>
    </row>
    <row r="92" spans="1:110" ht="15" customHeight="1" x14ac:dyDescent="0.25">
      <c r="A92" s="136">
        <v>40</v>
      </c>
      <c r="B92" s="174">
        <f t="shared" si="21"/>
        <v>73155</v>
      </c>
      <c r="C92" s="174">
        <f t="shared" si="24"/>
        <v>0</v>
      </c>
      <c r="D92" s="174">
        <f t="shared" si="22"/>
        <v>0</v>
      </c>
      <c r="E92" s="174">
        <f t="shared" si="25"/>
        <v>0</v>
      </c>
      <c r="F92" s="174">
        <f>E92*Assumptions!$B$59</f>
        <v>0</v>
      </c>
      <c r="G92" s="174">
        <f t="shared" si="23"/>
        <v>0</v>
      </c>
    </row>
    <row r="93" spans="1:110" ht="15" customHeight="1" x14ac:dyDescent="0.25">
      <c r="A93" s="249" t="s">
        <v>827</v>
      </c>
      <c r="D93" s="251">
        <f>SUM(D53:D92)</f>
        <v>270925.32000000007</v>
      </c>
      <c r="F93" s="251">
        <f>SUM(F53:F92)</f>
        <v>240125.88120644525</v>
      </c>
      <c r="G93" s="251">
        <f>SUM(G53:G92)</f>
        <v>810147.42821161717</v>
      </c>
    </row>
    <row r="95" spans="1:110" x14ac:dyDescent="0.25">
      <c r="A95" s="338" t="s">
        <v>828</v>
      </c>
    </row>
    <row r="96" spans="1:110" x14ac:dyDescent="0.25">
      <c r="A96" s="56" t="s">
        <v>829</v>
      </c>
      <c r="B96" s="57">
        <f>SUM(Actuals!C110:N110)</f>
        <v>-821437.0199999999</v>
      </c>
      <c r="C96" s="59">
        <f>IF(AND(Projects!$G$17="Yes",-2&gt;=Projects!$C$17,-2&lt;Projects!$C$17+Projects!$D$17),Projects!$B$17*INDEX(Curves!$B$4:$AR$4,1,-2-Projects!$C$17+1),0)+IF(AND(Projects!$G$18="Yes",-2&gt;=Projects!$C$18,-2&lt;Projects!$C$18+Projects!$D$18),Projects!$B$18*INDEX(Curves!$B$4:$AR$4,1,-2-Projects!$C$18+1),0)+IF(AND(Projects!$G$19="Yes",-2&gt;=Projects!$C$19,-2&lt;Projects!$C$19+Projects!$D$19),Projects!$B$19*INDEX(Curves!$B$4:$AR$4,1,-2-Projects!$C$19+1),0)+IF(AND(Projects!$G$20="Yes",-2&gt;=Projects!$C$20,-2&lt;Projects!$C$20+Projects!$D$20),Projects!$B$20*INDEX(Curves!$B$4:$AR$4,1,-2-Projects!$C$20+1),0)+IF(AND(Projects!$G$21="Yes",-2&gt;=Projects!$C$21,-2&lt;Projects!$C$21+Projects!$D$21),Projects!$B$21*INDEX(Curves!$B$4:$AR$4,1,-2-Projects!$C$21+1),0)+IF(AND(Projects!$G$22="Yes",-2&gt;=Projects!$C$22,-2&lt;Projects!$C$22+Projects!$D$22),Projects!$B$22*INDEX(Curves!$B$4:$AR$4,1,-2-Projects!$C$22+1),0)+IF(AND(Projects!$G$23="Yes",-2&gt;=Projects!$C$23,-2&lt;Projects!$C$23+Projects!$D$23),Projects!$B$23*INDEX(Curves!$B$4:$AR$4,1,-2-Projects!$C$23+1),0)+IF(AND(Projects!$G$24="Yes",-2&gt;=Projects!$C$24,-2&lt;Projects!$C$24+Projects!$D$24),Projects!$B$24*INDEX(Curves!$B$4:$AR$4,1,-2-Projects!$C$24+1),0)+IF(AND(Projects!$G$25="Yes",-2&gt;=Projects!$C$25,-2&lt;Projects!$C$25+Projects!$D$25),Projects!$B$25*INDEX(Curves!$B$4:$AR$4,1,-2-Projects!$C$25+1),0)+IF(AND(Projects!$G$26="Yes",-2&gt;=Projects!$C$26,-2&lt;Projects!$C$26+Projects!$D$26),Projects!$B$26*INDEX(Curves!$B$4:$AR$4,1,-2-Projects!$C$26+1),0)+IF(AND(Projects!$G$27="Yes",-2&gt;=Projects!$C$27,-2&lt;Projects!$C$27+Projects!$D$27),Projects!$B$27*INDEX(Curves!$B$4:$AR$4,1,-2-Projects!$C$27+1),0)+IF(AND(Projects!$G$28="Yes",-2&gt;=Projects!$C$28,-2&lt;Projects!$C$28+Projects!$D$28),Projects!$B$28*INDEX(Curves!$B$4:$AR$4,1,-2-Projects!$C$28+1),0)+IF(AND(Projects!$G$29="Yes",-2&gt;=Projects!$C$29,-2&lt;Projects!$C$29+Projects!$D$29),Projects!$B$29*INDEX(Curves!$B$4:$AR$4,1,-2-Projects!$C$29+1),0)+IF(AND(Projects!$G$30="Yes",-2&gt;=Projects!$C$30,-2&lt;Projects!$C$30+Projects!$D$30),Projects!$B$30*INDEX(Curves!$B$4:$AR$4,1,-2-Projects!$C$30+1),0)+IF(AND(Projects!$G$31="Yes",-2&gt;=Projects!$C$31,-2&lt;Projects!$C$31+Projects!$D$31),Projects!$B$31*INDEX(Curves!$B$4:$AR$4,1,-2-Projects!$C$31+1),0)+IF(AND(Projects!$G$32="Yes",-2&gt;=Projects!$C$32,-2&lt;Projects!$C$32+Projects!$D$32),Projects!$B$32*INDEX(Curves!$B$4:$AR$4,1,-2-Projects!$C$32+1),0)+IF(AND(Projects!$G$33="Yes",-2&gt;=Projects!$C$33,-2&lt;Projects!$C$33+Projects!$D$33),Projects!$B$33*INDEX(Curves!$B$4:$AR$4,1,-2-Projects!$C$33+1),0)+IF(AND(Projects!$G$34="Yes",-2&gt;=Projects!$C$34,-2&lt;Projects!$C$34+Projects!$D$34),Projects!$B$34*INDEX(Curves!$B$4:$AR$4,1,-2-Projects!$C$34+1),0)+IF(AND(Projects!$G$35="Yes",-2&gt;=Projects!$C$35,-2&lt;Projects!$C$35+Projects!$D$35),Projects!$B$35*INDEX(Curves!$B$4:$AR$4,1,-2-Projects!$C$35+1),0)+IF(AND(Projects!$G$36="Yes",-2&gt;=Projects!$C$36,-2&lt;Projects!$C$36+Projects!$D$36),Projects!$B$36*INDEX(Curves!$B$4:$AR$4,1,-2-Projects!$C$36+1),0)+IF(AND(Projects!$G$37="Yes",-2&gt;=Projects!$C$37,-2&lt;Projects!$C$37+Projects!$D$37),Projects!$B$37*INDEX(Curves!$B$4:$AR$4,1,-2-Projects!$C$37+1),0)+IF(AND(Projects!$G$38="Yes",-2&gt;=Projects!$C$38,-2&lt;Projects!$C$38+Projects!$D$38),Projects!$B$38*INDEX(Curves!$B$4:$AR$4,1,-2-Projects!$C$38+1),0)+IF(AND(Projects!$G$39="Yes",-2&gt;=Projects!$C$39,-2&lt;Projects!$C$39+Projects!$D$39),Projects!$B$39*INDEX(Curves!$B$4:$AR$4,1,-2-Projects!$C$39+1),0)+IF(AND(Projects!$G$40="Yes",-2&gt;=Projects!$C$40,-2&lt;Projects!$C$40+Projects!$D$40),Projects!$B$40*INDEX(Curves!$B$4:$AR$4,1,-2-Projects!$C$40+1),0)+IF(AND(Projects!$G$41="Yes",-2&gt;=Projects!$C$41,-2&lt;Projects!$C$41+Projects!$D$41),Projects!$B$41*INDEX(Curves!$B$4:$AR$4,1,-2-Projects!$C$41+1),0)+IF(AND(Projects!$G$42="Yes",-2&gt;=Projects!$C$42,-2&lt;Projects!$C$42+Projects!$D$42),Projects!$B$42*INDEX(Curves!$B$4:$AR$4,1,-2-Projects!$C$42+1),0)+IF(AND(Projects!$G$43="Yes",-2&gt;=Projects!$C$43,-2&lt;Projects!$C$43+Projects!$D$43),Projects!$B$43*INDEX(Curves!$B$4:$AR$4,1,-2-Projects!$C$43+1),0)+IF(AND(Projects!$G$44="Yes",-2&gt;=Projects!$C$44,-2&lt;Projects!$C$44+Projects!$D$44),Projects!$B$44*INDEX(Curves!$B$4:$AR$4,1,-2-Projects!$C$44+1),0)+IF(AND(Projects!$G$45="Yes",-2&gt;=Projects!$C$45,-2&lt;Projects!$C$45+Projects!$D$45),Projects!$B$45*INDEX(Curves!$B$4:$AR$4,1,-2-Projects!$C$45+1),0)+IF(AND(Projects!$G$46="Yes",-2&gt;=Projects!$C$46,-2&lt;Projects!$C$46+Projects!$D$46),Projects!$B$46*INDEX(Curves!$B$4:$AR$4,1,-2-Projects!$C$46+1),0)</f>
        <v>0</v>
      </c>
      <c r="D96" s="59">
        <f>IF(AND(Projects!$G$17="Yes",-1&gt;=Projects!$C$17,-1&lt;Projects!$C$17+Projects!$D$17),Projects!$B$17*INDEX(Curves!$B$4:$AR$4,1,-1-Projects!$C$17+1),0)+IF(AND(Projects!$G$18="Yes",-1&gt;=Projects!$C$18,-1&lt;Projects!$C$18+Projects!$D$18),Projects!$B$18*INDEX(Curves!$B$4:$AR$4,1,-1-Projects!$C$18+1),0)+IF(AND(Projects!$G$19="Yes",-1&gt;=Projects!$C$19,-1&lt;Projects!$C$19+Projects!$D$19),Projects!$B$19*INDEX(Curves!$B$4:$AR$4,1,-1-Projects!$C$19+1),0)+IF(AND(Projects!$G$20="Yes",-1&gt;=Projects!$C$20,-1&lt;Projects!$C$20+Projects!$D$20),Projects!$B$20*INDEX(Curves!$B$4:$AR$4,1,-1-Projects!$C$20+1),0)+IF(AND(Projects!$G$21="Yes",-1&gt;=Projects!$C$21,-1&lt;Projects!$C$21+Projects!$D$21),Projects!$B$21*INDEX(Curves!$B$4:$AR$4,1,-1-Projects!$C$21+1),0)+IF(AND(Projects!$G$22="Yes",-1&gt;=Projects!$C$22,-1&lt;Projects!$C$22+Projects!$D$22),Projects!$B$22*INDEX(Curves!$B$4:$AR$4,1,-1-Projects!$C$22+1),0)+IF(AND(Projects!$G$23="Yes",-1&gt;=Projects!$C$23,-1&lt;Projects!$C$23+Projects!$D$23),Projects!$B$23*INDEX(Curves!$B$4:$AR$4,1,-1-Projects!$C$23+1),0)+IF(AND(Projects!$G$24="Yes",-1&gt;=Projects!$C$24,-1&lt;Projects!$C$24+Projects!$D$24),Projects!$B$24*INDEX(Curves!$B$4:$AR$4,1,-1-Projects!$C$24+1),0)+IF(AND(Projects!$G$25="Yes",-1&gt;=Projects!$C$25,-1&lt;Projects!$C$25+Projects!$D$25),Projects!$B$25*INDEX(Curves!$B$4:$AR$4,1,-1-Projects!$C$25+1),0)+IF(AND(Projects!$G$26="Yes",-1&gt;=Projects!$C$26,-1&lt;Projects!$C$26+Projects!$D$26),Projects!$B$26*INDEX(Curves!$B$4:$AR$4,1,-1-Projects!$C$26+1),0)+IF(AND(Projects!$G$27="Yes",-1&gt;=Projects!$C$27,-1&lt;Projects!$C$27+Projects!$D$27),Projects!$B$27*INDEX(Curves!$B$4:$AR$4,1,-1-Projects!$C$27+1),0)+IF(AND(Projects!$G$28="Yes",-1&gt;=Projects!$C$28,-1&lt;Projects!$C$28+Projects!$D$28),Projects!$B$28*INDEX(Curves!$B$4:$AR$4,1,-1-Projects!$C$28+1),0)+IF(AND(Projects!$G$29="Yes",-1&gt;=Projects!$C$29,-1&lt;Projects!$C$29+Projects!$D$29),Projects!$B$29*INDEX(Curves!$B$4:$AR$4,1,-1-Projects!$C$29+1),0)+IF(AND(Projects!$G$30="Yes",-1&gt;=Projects!$C$30,-1&lt;Projects!$C$30+Projects!$D$30),Projects!$B$30*INDEX(Curves!$B$4:$AR$4,1,-1-Projects!$C$30+1),0)+IF(AND(Projects!$G$31="Yes",-1&gt;=Projects!$C$31,-1&lt;Projects!$C$31+Projects!$D$31),Projects!$B$31*INDEX(Curves!$B$4:$AR$4,1,-1-Projects!$C$31+1),0)+IF(AND(Projects!$G$32="Yes",-1&gt;=Projects!$C$32,-1&lt;Projects!$C$32+Projects!$D$32),Projects!$B$32*INDEX(Curves!$B$4:$AR$4,1,-1-Projects!$C$32+1),0)+IF(AND(Projects!$G$33="Yes",-1&gt;=Projects!$C$33,-1&lt;Projects!$C$33+Projects!$D$33),Projects!$B$33*INDEX(Curves!$B$4:$AR$4,1,-1-Projects!$C$33+1),0)+IF(AND(Projects!$G$34="Yes",-1&gt;=Projects!$C$34,-1&lt;Projects!$C$34+Projects!$D$34),Projects!$B$34*INDEX(Curves!$B$4:$AR$4,1,-1-Projects!$C$34+1),0)+IF(AND(Projects!$G$35="Yes",-1&gt;=Projects!$C$35,-1&lt;Projects!$C$35+Projects!$D$35),Projects!$B$35*INDEX(Curves!$B$4:$AR$4,1,-1-Projects!$C$35+1),0)+IF(AND(Projects!$G$36="Yes",-1&gt;=Projects!$C$36,-1&lt;Projects!$C$36+Projects!$D$36),Projects!$B$36*INDEX(Curves!$B$4:$AR$4,1,-1-Projects!$C$36+1),0)+IF(AND(Projects!$G$37="Yes",-1&gt;=Projects!$C$37,-1&lt;Projects!$C$37+Projects!$D$37),Projects!$B$37*INDEX(Curves!$B$4:$AR$4,1,-1-Projects!$C$37+1),0)+IF(AND(Projects!$G$38="Yes",-1&gt;=Projects!$C$38,-1&lt;Projects!$C$38+Projects!$D$38),Projects!$B$38*INDEX(Curves!$B$4:$AR$4,1,-1-Projects!$C$38+1),0)+IF(AND(Projects!$G$39="Yes",-1&gt;=Projects!$C$39,-1&lt;Projects!$C$39+Projects!$D$39),Projects!$B$39*INDEX(Curves!$B$4:$AR$4,1,-1-Projects!$C$39+1),0)+IF(AND(Projects!$G$40="Yes",-1&gt;=Projects!$C$40,-1&lt;Projects!$C$40+Projects!$D$40),Projects!$B$40*INDEX(Curves!$B$4:$AR$4,1,-1-Projects!$C$40+1),0)+IF(AND(Projects!$G$41="Yes",-1&gt;=Projects!$C$41,-1&lt;Projects!$C$41+Projects!$D$41),Projects!$B$41*INDEX(Curves!$B$4:$AR$4,1,-1-Projects!$C$41+1),0)+IF(AND(Projects!$G$42="Yes",-1&gt;=Projects!$C$42,-1&lt;Projects!$C$42+Projects!$D$42),Projects!$B$42*INDEX(Curves!$B$4:$AR$4,1,-1-Projects!$C$42+1),0)+IF(AND(Projects!$G$43="Yes",-1&gt;=Projects!$C$43,-1&lt;Projects!$C$43+Projects!$D$43),Projects!$B$43*INDEX(Curves!$B$4:$AR$4,1,-1-Projects!$C$43+1),0)+IF(AND(Projects!$G$44="Yes",-1&gt;=Projects!$C$44,-1&lt;Projects!$C$44+Projects!$D$44),Projects!$B$44*INDEX(Curves!$B$4:$AR$4,1,-1-Projects!$C$44+1),0)+IF(AND(Projects!$G$45="Yes",-1&gt;=Projects!$C$45,-1&lt;Projects!$C$45+Projects!$D$45),Projects!$B$45*INDEX(Curves!$B$4:$AR$4,1,-1-Projects!$C$45+1),0)+IF(AND(Projects!$G$46="Yes",-1&gt;=Projects!$C$46,-1&lt;Projects!$C$46+Projects!$D$46),Projects!$B$46*INDEX(Curves!$B$4:$AR$4,1,-1-Projects!$C$46+1),0)</f>
        <v>0</v>
      </c>
      <c r="E96" s="59">
        <f>IF(AND(Projects!$G$17="Yes",0&gt;=Projects!$C$17,0&lt;Projects!$C$17+Projects!$D$17),Projects!$B$17*INDEX(Curves!$B$4:$AR$4,1,0-Projects!$C$17+1),0)+IF(AND(Projects!$G$18="Yes",0&gt;=Projects!$C$18,0&lt;Projects!$C$18+Projects!$D$18),Projects!$B$18*INDEX(Curves!$B$4:$AR$4,1,0-Projects!$C$18+1),0)+IF(AND(Projects!$G$19="Yes",0&gt;=Projects!$C$19,0&lt;Projects!$C$19+Projects!$D$19),Projects!$B$19*INDEX(Curves!$B$4:$AR$4,1,0-Projects!$C$19+1),0)+IF(AND(Projects!$G$20="Yes",0&gt;=Projects!$C$20,0&lt;Projects!$C$20+Projects!$D$20),Projects!$B$20*INDEX(Curves!$B$4:$AR$4,1,0-Projects!$C$20+1),0)+IF(AND(Projects!$G$21="Yes",0&gt;=Projects!$C$21,0&lt;Projects!$C$21+Projects!$D$21),Projects!$B$21*INDEX(Curves!$B$4:$AR$4,1,0-Projects!$C$21+1),0)+IF(AND(Projects!$G$22="Yes",0&gt;=Projects!$C$22,0&lt;Projects!$C$22+Projects!$D$22),Projects!$B$22*INDEX(Curves!$B$4:$AR$4,1,0-Projects!$C$22+1),0)+IF(AND(Projects!$G$23="Yes",0&gt;=Projects!$C$23,0&lt;Projects!$C$23+Projects!$D$23),Projects!$B$23*INDEX(Curves!$B$4:$AR$4,1,0-Projects!$C$23+1),0)+IF(AND(Projects!$G$24="Yes",0&gt;=Projects!$C$24,0&lt;Projects!$C$24+Projects!$D$24),Projects!$B$24*INDEX(Curves!$B$4:$AR$4,1,0-Projects!$C$24+1),0)+IF(AND(Projects!$G$25="Yes",0&gt;=Projects!$C$25,0&lt;Projects!$C$25+Projects!$D$25),Projects!$B$25*INDEX(Curves!$B$4:$AR$4,1,0-Projects!$C$25+1),0)+IF(AND(Projects!$G$26="Yes",0&gt;=Projects!$C$26,0&lt;Projects!$C$26+Projects!$D$26),Projects!$B$26*INDEX(Curves!$B$4:$AR$4,1,0-Projects!$C$26+1),0)+IF(AND(Projects!$G$27="Yes",0&gt;=Projects!$C$27,0&lt;Projects!$C$27+Projects!$D$27),Projects!$B$27*INDEX(Curves!$B$4:$AR$4,1,0-Projects!$C$27+1),0)+IF(AND(Projects!$G$28="Yes",0&gt;=Projects!$C$28,0&lt;Projects!$C$28+Projects!$D$28),Projects!$B$28*INDEX(Curves!$B$4:$AR$4,1,0-Projects!$C$28+1),0)+IF(AND(Projects!$G$29="Yes",0&gt;=Projects!$C$29,0&lt;Projects!$C$29+Projects!$D$29),Projects!$B$29*INDEX(Curves!$B$4:$AR$4,1,0-Projects!$C$29+1),0)+IF(AND(Projects!$G$30="Yes",0&gt;=Projects!$C$30,0&lt;Projects!$C$30+Projects!$D$30),Projects!$B$30*INDEX(Curves!$B$4:$AR$4,1,0-Projects!$C$30+1),0)+IF(AND(Projects!$G$31="Yes",0&gt;=Projects!$C$31,0&lt;Projects!$C$31+Projects!$D$31),Projects!$B$31*INDEX(Curves!$B$4:$AR$4,1,0-Projects!$C$31+1),0)+IF(AND(Projects!$G$32="Yes",0&gt;=Projects!$C$32,0&lt;Projects!$C$32+Projects!$D$32),Projects!$B$32*INDEX(Curves!$B$4:$AR$4,1,0-Projects!$C$32+1),0)+IF(AND(Projects!$G$33="Yes",0&gt;=Projects!$C$33,0&lt;Projects!$C$33+Projects!$D$33),Projects!$B$33*INDEX(Curves!$B$4:$AR$4,1,0-Projects!$C$33+1),0)+IF(AND(Projects!$G$34="Yes",0&gt;=Projects!$C$34,0&lt;Projects!$C$34+Projects!$D$34),Projects!$B$34*INDEX(Curves!$B$4:$AR$4,1,0-Projects!$C$34+1),0)+IF(AND(Projects!$G$35="Yes",0&gt;=Projects!$C$35,0&lt;Projects!$C$35+Projects!$D$35),Projects!$B$35*INDEX(Curves!$B$4:$AR$4,1,0-Projects!$C$35+1),0)+IF(AND(Projects!$G$36="Yes",0&gt;=Projects!$C$36,0&lt;Projects!$C$36+Projects!$D$36),Projects!$B$36*INDEX(Curves!$B$4:$AR$4,1,0-Projects!$C$36+1),0)+IF(AND(Projects!$G$37="Yes",0&gt;=Projects!$C$37,0&lt;Projects!$C$37+Projects!$D$37),Projects!$B$37*INDEX(Curves!$B$4:$AR$4,1,0-Projects!$C$37+1),0)+IF(AND(Projects!$G$38="Yes",0&gt;=Projects!$C$38,0&lt;Projects!$C$38+Projects!$D$38),Projects!$B$38*INDEX(Curves!$B$4:$AR$4,1,0-Projects!$C$38+1),0)+IF(AND(Projects!$G$39="Yes",0&gt;=Projects!$C$39,0&lt;Projects!$C$39+Projects!$D$39),Projects!$B$39*INDEX(Curves!$B$4:$AR$4,1,0-Projects!$C$39+1),0)+IF(AND(Projects!$G$40="Yes",0&gt;=Projects!$C$40,0&lt;Projects!$C$40+Projects!$D$40),Projects!$B$40*INDEX(Curves!$B$4:$AR$4,1,0-Projects!$C$40+1),0)+IF(AND(Projects!$G$41="Yes",0&gt;=Projects!$C$41,0&lt;Projects!$C$41+Projects!$D$41),Projects!$B$41*INDEX(Curves!$B$4:$AR$4,1,0-Projects!$C$41+1),0)+IF(AND(Projects!$G$42="Yes",0&gt;=Projects!$C$42,0&lt;Projects!$C$42+Projects!$D$42),Projects!$B$42*INDEX(Curves!$B$4:$AR$4,1,0-Projects!$C$42+1),0)+IF(AND(Projects!$G$43="Yes",0&gt;=Projects!$C$43,0&lt;Projects!$C$43+Projects!$D$43),Projects!$B$43*INDEX(Curves!$B$4:$AR$4,1,0-Projects!$C$43+1),0)+IF(AND(Projects!$G$44="Yes",0&gt;=Projects!$C$44,0&lt;Projects!$C$44+Projects!$D$44),Projects!$B$44*INDEX(Curves!$B$4:$AR$4,1,0-Projects!$C$44+1),0)+IF(AND(Projects!$G$45="Yes",0&gt;=Projects!$C$45,0&lt;Projects!$C$45+Projects!$D$45),Projects!$B$45*INDEX(Curves!$B$4:$AR$4,1,0-Projects!$C$45+1),0)+IF(AND(Projects!$G$46="Yes",0&gt;=Projects!$C$46,0&lt;Projects!$C$46+Projects!$D$46),Projects!$B$46*INDEX(Curves!$B$4:$AR$4,1,0-Projects!$C$46+1),0)</f>
        <v>0</v>
      </c>
      <c r="F96" s="59">
        <f>IF(AND(Projects!$G$17="Yes",1&gt;=Projects!$C$17,1&lt;Projects!$C$17+Projects!$D$17),Projects!$B$17*INDEX(Curves!$B$4:$AR$4,1,1-Projects!$C$17+1),0)+IF(AND(Projects!$G$18="Yes",1&gt;=Projects!$C$18,1&lt;Projects!$C$18+Projects!$D$18),Projects!$B$18*INDEX(Curves!$B$4:$AR$4,1,1-Projects!$C$18+1),0)+IF(AND(Projects!$G$19="Yes",1&gt;=Projects!$C$19,1&lt;Projects!$C$19+Projects!$D$19),Projects!$B$19*INDEX(Curves!$B$4:$AR$4,1,1-Projects!$C$19+1),0)+IF(AND(Projects!$G$20="Yes",1&gt;=Projects!$C$20,1&lt;Projects!$C$20+Projects!$D$20),Projects!$B$20*INDEX(Curves!$B$4:$AR$4,1,1-Projects!$C$20+1),0)+IF(AND(Projects!$G$21="Yes",1&gt;=Projects!$C$21,1&lt;Projects!$C$21+Projects!$D$21),Projects!$B$21*INDEX(Curves!$B$4:$AR$4,1,1-Projects!$C$21+1),0)+IF(AND(Projects!$G$22="Yes",1&gt;=Projects!$C$22,1&lt;Projects!$C$22+Projects!$D$22),Projects!$B$22*INDEX(Curves!$B$4:$AR$4,1,1-Projects!$C$22+1),0)+IF(AND(Projects!$G$23="Yes",1&gt;=Projects!$C$23,1&lt;Projects!$C$23+Projects!$D$23),Projects!$B$23*INDEX(Curves!$B$4:$AR$4,1,1-Projects!$C$23+1),0)+IF(AND(Projects!$G$24="Yes",1&gt;=Projects!$C$24,1&lt;Projects!$C$24+Projects!$D$24),Projects!$B$24*INDEX(Curves!$B$4:$AR$4,1,1-Projects!$C$24+1),0)+IF(AND(Projects!$G$25="Yes",1&gt;=Projects!$C$25,1&lt;Projects!$C$25+Projects!$D$25),Projects!$B$25*INDEX(Curves!$B$4:$AR$4,1,1-Projects!$C$25+1),0)+IF(AND(Projects!$G$26="Yes",1&gt;=Projects!$C$26,1&lt;Projects!$C$26+Projects!$D$26),Projects!$B$26*INDEX(Curves!$B$4:$AR$4,1,1-Projects!$C$26+1),0)+IF(AND(Projects!$G$27="Yes",1&gt;=Projects!$C$27,1&lt;Projects!$C$27+Projects!$D$27),Projects!$B$27*INDEX(Curves!$B$4:$AR$4,1,1-Projects!$C$27+1),0)+IF(AND(Projects!$G$28="Yes",1&gt;=Projects!$C$28,1&lt;Projects!$C$28+Projects!$D$28),Projects!$B$28*INDEX(Curves!$B$4:$AR$4,1,1-Projects!$C$28+1),0)+IF(AND(Projects!$G$29="Yes",1&gt;=Projects!$C$29,1&lt;Projects!$C$29+Projects!$D$29),Projects!$B$29*INDEX(Curves!$B$4:$AR$4,1,1-Projects!$C$29+1),0)+IF(AND(Projects!$G$30="Yes",1&gt;=Projects!$C$30,1&lt;Projects!$C$30+Projects!$D$30),Projects!$B$30*INDEX(Curves!$B$4:$AR$4,1,1-Projects!$C$30+1),0)+IF(AND(Projects!$G$31="Yes",1&gt;=Projects!$C$31,1&lt;Projects!$C$31+Projects!$D$31),Projects!$B$31*INDEX(Curves!$B$4:$AR$4,1,1-Projects!$C$31+1),0)+IF(AND(Projects!$G$32="Yes",1&gt;=Projects!$C$32,1&lt;Projects!$C$32+Projects!$D$32),Projects!$B$32*INDEX(Curves!$B$4:$AR$4,1,1-Projects!$C$32+1),0)+IF(AND(Projects!$G$33="Yes",1&gt;=Projects!$C$33,1&lt;Projects!$C$33+Projects!$D$33),Projects!$B$33*INDEX(Curves!$B$4:$AR$4,1,1-Projects!$C$33+1),0)+IF(AND(Projects!$G$34="Yes",1&gt;=Projects!$C$34,1&lt;Projects!$C$34+Projects!$D$34),Projects!$B$34*INDEX(Curves!$B$4:$AR$4,1,1-Projects!$C$34+1),0)+IF(AND(Projects!$G$35="Yes",1&gt;=Projects!$C$35,1&lt;Projects!$C$35+Projects!$D$35),Projects!$B$35*INDEX(Curves!$B$4:$AR$4,1,1-Projects!$C$35+1),0)+IF(AND(Projects!$G$36="Yes",1&gt;=Projects!$C$36,1&lt;Projects!$C$36+Projects!$D$36),Projects!$B$36*INDEX(Curves!$B$4:$AR$4,1,1-Projects!$C$36+1),0)+IF(AND(Projects!$G$37="Yes",1&gt;=Projects!$C$37,1&lt;Projects!$C$37+Projects!$D$37),Projects!$B$37*INDEX(Curves!$B$4:$AR$4,1,1-Projects!$C$37+1),0)+IF(AND(Projects!$G$38="Yes",1&gt;=Projects!$C$38,1&lt;Projects!$C$38+Projects!$D$38),Projects!$B$38*INDEX(Curves!$B$4:$AR$4,1,1-Projects!$C$38+1),0)+IF(AND(Projects!$G$39="Yes",1&gt;=Projects!$C$39,1&lt;Projects!$C$39+Projects!$D$39),Projects!$B$39*INDEX(Curves!$B$4:$AR$4,1,1-Projects!$C$39+1),0)+IF(AND(Projects!$G$40="Yes",1&gt;=Projects!$C$40,1&lt;Projects!$C$40+Projects!$D$40),Projects!$B$40*INDEX(Curves!$B$4:$AR$4,1,1-Projects!$C$40+1),0)+IF(AND(Projects!$G$41="Yes",1&gt;=Projects!$C$41,1&lt;Projects!$C$41+Projects!$D$41),Projects!$B$41*INDEX(Curves!$B$4:$AR$4,1,1-Projects!$C$41+1),0)+IF(AND(Projects!$G$42="Yes",1&gt;=Projects!$C$42,1&lt;Projects!$C$42+Projects!$D$42),Projects!$B$42*INDEX(Curves!$B$4:$AR$4,1,1-Projects!$C$42+1),0)+IF(AND(Projects!$G$43="Yes",1&gt;=Projects!$C$43,1&lt;Projects!$C$43+Projects!$D$43),Projects!$B$43*INDEX(Curves!$B$4:$AR$4,1,1-Projects!$C$43+1),0)+IF(AND(Projects!$G$44="Yes",1&gt;=Projects!$C$44,1&lt;Projects!$C$44+Projects!$D$44),Projects!$B$44*INDEX(Curves!$B$4:$AR$4,1,1-Projects!$C$44+1),0)+IF(AND(Projects!$G$45="Yes",1&gt;=Projects!$C$45,1&lt;Projects!$C$45+Projects!$D$45),Projects!$B$45*INDEX(Curves!$B$4:$AR$4,1,1-Projects!$C$45+1),0)+IF(AND(Projects!$G$46="Yes",1&gt;=Projects!$C$46,1&lt;Projects!$C$46+Projects!$D$46),Projects!$B$46*INDEX(Curves!$B$4:$AR$4,1,1-Projects!$C$46+1),0)</f>
        <v>0</v>
      </c>
      <c r="G96" s="59">
        <f>IF(AND(Projects!$G$17="Yes",2&gt;=Projects!$C$17,2&lt;Projects!$C$17+Projects!$D$17),Projects!$B$17*INDEX(Curves!$B$4:$AR$4,1,2-Projects!$C$17+1),0)+IF(AND(Projects!$G$18="Yes",2&gt;=Projects!$C$18,2&lt;Projects!$C$18+Projects!$D$18),Projects!$B$18*INDEX(Curves!$B$4:$AR$4,1,2-Projects!$C$18+1),0)+IF(AND(Projects!$G$19="Yes",2&gt;=Projects!$C$19,2&lt;Projects!$C$19+Projects!$D$19),Projects!$B$19*INDEX(Curves!$B$4:$AR$4,1,2-Projects!$C$19+1),0)+IF(AND(Projects!$G$20="Yes",2&gt;=Projects!$C$20,2&lt;Projects!$C$20+Projects!$D$20),Projects!$B$20*INDEX(Curves!$B$4:$AR$4,1,2-Projects!$C$20+1),0)+IF(AND(Projects!$G$21="Yes",2&gt;=Projects!$C$21,2&lt;Projects!$C$21+Projects!$D$21),Projects!$B$21*INDEX(Curves!$B$4:$AR$4,1,2-Projects!$C$21+1),0)+IF(AND(Projects!$G$22="Yes",2&gt;=Projects!$C$22,2&lt;Projects!$C$22+Projects!$D$22),Projects!$B$22*INDEX(Curves!$B$4:$AR$4,1,2-Projects!$C$22+1),0)+IF(AND(Projects!$G$23="Yes",2&gt;=Projects!$C$23,2&lt;Projects!$C$23+Projects!$D$23),Projects!$B$23*INDEX(Curves!$B$4:$AR$4,1,2-Projects!$C$23+1),0)+IF(AND(Projects!$G$24="Yes",2&gt;=Projects!$C$24,2&lt;Projects!$C$24+Projects!$D$24),Projects!$B$24*INDEX(Curves!$B$4:$AR$4,1,2-Projects!$C$24+1),0)+IF(AND(Projects!$G$25="Yes",2&gt;=Projects!$C$25,2&lt;Projects!$C$25+Projects!$D$25),Projects!$B$25*INDEX(Curves!$B$4:$AR$4,1,2-Projects!$C$25+1),0)+IF(AND(Projects!$G$26="Yes",2&gt;=Projects!$C$26,2&lt;Projects!$C$26+Projects!$D$26),Projects!$B$26*INDEX(Curves!$B$4:$AR$4,1,2-Projects!$C$26+1),0)+IF(AND(Projects!$G$27="Yes",2&gt;=Projects!$C$27,2&lt;Projects!$C$27+Projects!$D$27),Projects!$B$27*INDEX(Curves!$B$4:$AR$4,1,2-Projects!$C$27+1),0)+IF(AND(Projects!$G$28="Yes",2&gt;=Projects!$C$28,2&lt;Projects!$C$28+Projects!$D$28),Projects!$B$28*INDEX(Curves!$B$4:$AR$4,1,2-Projects!$C$28+1),0)+IF(AND(Projects!$G$29="Yes",2&gt;=Projects!$C$29,2&lt;Projects!$C$29+Projects!$D$29),Projects!$B$29*INDEX(Curves!$B$4:$AR$4,1,2-Projects!$C$29+1),0)+IF(AND(Projects!$G$30="Yes",2&gt;=Projects!$C$30,2&lt;Projects!$C$30+Projects!$D$30),Projects!$B$30*INDEX(Curves!$B$4:$AR$4,1,2-Projects!$C$30+1),0)+IF(AND(Projects!$G$31="Yes",2&gt;=Projects!$C$31,2&lt;Projects!$C$31+Projects!$D$31),Projects!$B$31*INDEX(Curves!$B$4:$AR$4,1,2-Projects!$C$31+1),0)+IF(AND(Projects!$G$32="Yes",2&gt;=Projects!$C$32,2&lt;Projects!$C$32+Projects!$D$32),Projects!$B$32*INDEX(Curves!$B$4:$AR$4,1,2-Projects!$C$32+1),0)+IF(AND(Projects!$G$33="Yes",2&gt;=Projects!$C$33,2&lt;Projects!$C$33+Projects!$D$33),Projects!$B$33*INDEX(Curves!$B$4:$AR$4,1,2-Projects!$C$33+1),0)+IF(AND(Projects!$G$34="Yes",2&gt;=Projects!$C$34,2&lt;Projects!$C$34+Projects!$D$34),Projects!$B$34*INDEX(Curves!$B$4:$AR$4,1,2-Projects!$C$34+1),0)+IF(AND(Projects!$G$35="Yes",2&gt;=Projects!$C$35,2&lt;Projects!$C$35+Projects!$D$35),Projects!$B$35*INDEX(Curves!$B$4:$AR$4,1,2-Projects!$C$35+1),0)+IF(AND(Projects!$G$36="Yes",2&gt;=Projects!$C$36,2&lt;Projects!$C$36+Projects!$D$36),Projects!$B$36*INDEX(Curves!$B$4:$AR$4,1,2-Projects!$C$36+1),0)+IF(AND(Projects!$G$37="Yes",2&gt;=Projects!$C$37,2&lt;Projects!$C$37+Projects!$D$37),Projects!$B$37*INDEX(Curves!$B$4:$AR$4,1,2-Projects!$C$37+1),0)+IF(AND(Projects!$G$38="Yes",2&gt;=Projects!$C$38,2&lt;Projects!$C$38+Projects!$D$38),Projects!$B$38*INDEX(Curves!$B$4:$AR$4,1,2-Projects!$C$38+1),0)+IF(AND(Projects!$G$39="Yes",2&gt;=Projects!$C$39,2&lt;Projects!$C$39+Projects!$D$39),Projects!$B$39*INDEX(Curves!$B$4:$AR$4,1,2-Projects!$C$39+1),0)+IF(AND(Projects!$G$40="Yes",2&gt;=Projects!$C$40,2&lt;Projects!$C$40+Projects!$D$40),Projects!$B$40*INDEX(Curves!$B$4:$AR$4,1,2-Projects!$C$40+1),0)+IF(AND(Projects!$G$41="Yes",2&gt;=Projects!$C$41,2&lt;Projects!$C$41+Projects!$D$41),Projects!$B$41*INDEX(Curves!$B$4:$AR$4,1,2-Projects!$C$41+1),0)+IF(AND(Projects!$G$42="Yes",2&gt;=Projects!$C$42,2&lt;Projects!$C$42+Projects!$D$42),Projects!$B$42*INDEX(Curves!$B$4:$AR$4,1,2-Projects!$C$42+1),0)+IF(AND(Projects!$G$43="Yes",2&gt;=Projects!$C$43,2&lt;Projects!$C$43+Projects!$D$43),Projects!$B$43*INDEX(Curves!$B$4:$AR$4,1,2-Projects!$C$43+1),0)+IF(AND(Projects!$G$44="Yes",2&gt;=Projects!$C$44,2&lt;Projects!$C$44+Projects!$D$44),Projects!$B$44*INDEX(Curves!$B$4:$AR$4,1,2-Projects!$C$44+1),0)+IF(AND(Projects!$G$45="Yes",2&gt;=Projects!$C$45,2&lt;Projects!$C$45+Projects!$D$45),Projects!$B$45*INDEX(Curves!$B$4:$AR$4,1,2-Projects!$C$45+1),0)+IF(AND(Projects!$G$46="Yes",2&gt;=Projects!$C$46,2&lt;Projects!$C$46+Projects!$D$46),Projects!$B$46*INDEX(Curves!$B$4:$AR$4,1,2-Projects!$C$46+1),0)</f>
        <v>0</v>
      </c>
      <c r="H96" s="59">
        <f>IF(AND(Projects!$G$17="Yes",3&gt;=Projects!$C$17,3&lt;Projects!$C$17+Projects!$D$17),Projects!$B$17*INDEX(Curves!$B$4:$AR$4,1,3-Projects!$C$17+1),0)+IF(AND(Projects!$G$18="Yes",3&gt;=Projects!$C$18,3&lt;Projects!$C$18+Projects!$D$18),Projects!$B$18*INDEX(Curves!$B$4:$AR$4,1,3-Projects!$C$18+1),0)+IF(AND(Projects!$G$19="Yes",3&gt;=Projects!$C$19,3&lt;Projects!$C$19+Projects!$D$19),Projects!$B$19*INDEX(Curves!$B$4:$AR$4,1,3-Projects!$C$19+1),0)+IF(AND(Projects!$G$20="Yes",3&gt;=Projects!$C$20,3&lt;Projects!$C$20+Projects!$D$20),Projects!$B$20*INDEX(Curves!$B$4:$AR$4,1,3-Projects!$C$20+1),0)+IF(AND(Projects!$G$21="Yes",3&gt;=Projects!$C$21,3&lt;Projects!$C$21+Projects!$D$21),Projects!$B$21*INDEX(Curves!$B$4:$AR$4,1,3-Projects!$C$21+1),0)+IF(AND(Projects!$G$22="Yes",3&gt;=Projects!$C$22,3&lt;Projects!$C$22+Projects!$D$22),Projects!$B$22*INDEX(Curves!$B$4:$AR$4,1,3-Projects!$C$22+1),0)+IF(AND(Projects!$G$23="Yes",3&gt;=Projects!$C$23,3&lt;Projects!$C$23+Projects!$D$23),Projects!$B$23*INDEX(Curves!$B$4:$AR$4,1,3-Projects!$C$23+1),0)+IF(AND(Projects!$G$24="Yes",3&gt;=Projects!$C$24,3&lt;Projects!$C$24+Projects!$D$24),Projects!$B$24*INDEX(Curves!$B$4:$AR$4,1,3-Projects!$C$24+1),0)+IF(AND(Projects!$G$25="Yes",3&gt;=Projects!$C$25,3&lt;Projects!$C$25+Projects!$D$25),Projects!$B$25*INDEX(Curves!$B$4:$AR$4,1,3-Projects!$C$25+1),0)+IF(AND(Projects!$G$26="Yes",3&gt;=Projects!$C$26,3&lt;Projects!$C$26+Projects!$D$26),Projects!$B$26*INDEX(Curves!$B$4:$AR$4,1,3-Projects!$C$26+1),0)+IF(AND(Projects!$G$27="Yes",3&gt;=Projects!$C$27,3&lt;Projects!$C$27+Projects!$D$27),Projects!$B$27*INDEX(Curves!$B$4:$AR$4,1,3-Projects!$C$27+1),0)+IF(AND(Projects!$G$28="Yes",3&gt;=Projects!$C$28,3&lt;Projects!$C$28+Projects!$D$28),Projects!$B$28*INDEX(Curves!$B$4:$AR$4,1,3-Projects!$C$28+1),0)+IF(AND(Projects!$G$29="Yes",3&gt;=Projects!$C$29,3&lt;Projects!$C$29+Projects!$D$29),Projects!$B$29*INDEX(Curves!$B$4:$AR$4,1,3-Projects!$C$29+1),0)+IF(AND(Projects!$G$30="Yes",3&gt;=Projects!$C$30,3&lt;Projects!$C$30+Projects!$D$30),Projects!$B$30*INDEX(Curves!$B$4:$AR$4,1,3-Projects!$C$30+1),0)+IF(AND(Projects!$G$31="Yes",3&gt;=Projects!$C$31,3&lt;Projects!$C$31+Projects!$D$31),Projects!$B$31*INDEX(Curves!$B$4:$AR$4,1,3-Projects!$C$31+1),0)+IF(AND(Projects!$G$32="Yes",3&gt;=Projects!$C$32,3&lt;Projects!$C$32+Projects!$D$32),Projects!$B$32*INDEX(Curves!$B$4:$AR$4,1,3-Projects!$C$32+1),0)+IF(AND(Projects!$G$33="Yes",3&gt;=Projects!$C$33,3&lt;Projects!$C$33+Projects!$D$33),Projects!$B$33*INDEX(Curves!$B$4:$AR$4,1,3-Projects!$C$33+1),0)+IF(AND(Projects!$G$34="Yes",3&gt;=Projects!$C$34,3&lt;Projects!$C$34+Projects!$D$34),Projects!$B$34*INDEX(Curves!$B$4:$AR$4,1,3-Projects!$C$34+1),0)+IF(AND(Projects!$G$35="Yes",3&gt;=Projects!$C$35,3&lt;Projects!$C$35+Projects!$D$35),Projects!$B$35*INDEX(Curves!$B$4:$AR$4,1,3-Projects!$C$35+1),0)+IF(AND(Projects!$G$36="Yes",3&gt;=Projects!$C$36,3&lt;Projects!$C$36+Projects!$D$36),Projects!$B$36*INDEX(Curves!$B$4:$AR$4,1,3-Projects!$C$36+1),0)+IF(AND(Projects!$G$37="Yes",3&gt;=Projects!$C$37,3&lt;Projects!$C$37+Projects!$D$37),Projects!$B$37*INDEX(Curves!$B$4:$AR$4,1,3-Projects!$C$37+1),0)+IF(AND(Projects!$G$38="Yes",3&gt;=Projects!$C$38,3&lt;Projects!$C$38+Projects!$D$38),Projects!$B$38*INDEX(Curves!$B$4:$AR$4,1,3-Projects!$C$38+1),0)+IF(AND(Projects!$G$39="Yes",3&gt;=Projects!$C$39,3&lt;Projects!$C$39+Projects!$D$39),Projects!$B$39*INDEX(Curves!$B$4:$AR$4,1,3-Projects!$C$39+1),0)+IF(AND(Projects!$G$40="Yes",3&gt;=Projects!$C$40,3&lt;Projects!$C$40+Projects!$D$40),Projects!$B$40*INDEX(Curves!$B$4:$AR$4,1,3-Projects!$C$40+1),0)+IF(AND(Projects!$G$41="Yes",3&gt;=Projects!$C$41,3&lt;Projects!$C$41+Projects!$D$41),Projects!$B$41*INDEX(Curves!$B$4:$AR$4,1,3-Projects!$C$41+1),0)+IF(AND(Projects!$G$42="Yes",3&gt;=Projects!$C$42,3&lt;Projects!$C$42+Projects!$D$42),Projects!$B$42*INDEX(Curves!$B$4:$AR$4,1,3-Projects!$C$42+1),0)+IF(AND(Projects!$G$43="Yes",3&gt;=Projects!$C$43,3&lt;Projects!$C$43+Projects!$D$43),Projects!$B$43*INDEX(Curves!$B$4:$AR$4,1,3-Projects!$C$43+1),0)+IF(AND(Projects!$G$44="Yes",3&gt;=Projects!$C$44,3&lt;Projects!$C$44+Projects!$D$44),Projects!$B$44*INDEX(Curves!$B$4:$AR$4,1,3-Projects!$C$44+1),0)+IF(AND(Projects!$G$45="Yes",3&gt;=Projects!$C$45,3&lt;Projects!$C$45+Projects!$D$45),Projects!$B$45*INDEX(Curves!$B$4:$AR$4,1,3-Projects!$C$45+1),0)+IF(AND(Projects!$G$46="Yes",3&gt;=Projects!$C$46,3&lt;Projects!$C$46+Projects!$D$46),Projects!$B$46*INDEX(Curves!$B$4:$AR$4,1,3-Projects!$C$46+1),0)</f>
        <v>0</v>
      </c>
      <c r="I96" s="59">
        <f>IF(AND(Projects!$G$17="Yes",4&gt;=Projects!$C$17,4&lt;Projects!$C$17+Projects!$D$17),Projects!$B$17*INDEX(Curves!$B$4:$AR$4,1,4-Projects!$C$17+1),0)+IF(AND(Projects!$G$18="Yes",4&gt;=Projects!$C$18,4&lt;Projects!$C$18+Projects!$D$18),Projects!$B$18*INDEX(Curves!$B$4:$AR$4,1,4-Projects!$C$18+1),0)+IF(AND(Projects!$G$19="Yes",4&gt;=Projects!$C$19,4&lt;Projects!$C$19+Projects!$D$19),Projects!$B$19*INDEX(Curves!$B$4:$AR$4,1,4-Projects!$C$19+1),0)+IF(AND(Projects!$G$20="Yes",4&gt;=Projects!$C$20,4&lt;Projects!$C$20+Projects!$D$20),Projects!$B$20*INDEX(Curves!$B$4:$AR$4,1,4-Projects!$C$20+1),0)+IF(AND(Projects!$G$21="Yes",4&gt;=Projects!$C$21,4&lt;Projects!$C$21+Projects!$D$21),Projects!$B$21*INDEX(Curves!$B$4:$AR$4,1,4-Projects!$C$21+1),0)+IF(AND(Projects!$G$22="Yes",4&gt;=Projects!$C$22,4&lt;Projects!$C$22+Projects!$D$22),Projects!$B$22*INDEX(Curves!$B$4:$AR$4,1,4-Projects!$C$22+1),0)+IF(AND(Projects!$G$23="Yes",4&gt;=Projects!$C$23,4&lt;Projects!$C$23+Projects!$D$23),Projects!$B$23*INDEX(Curves!$B$4:$AR$4,1,4-Projects!$C$23+1),0)+IF(AND(Projects!$G$24="Yes",4&gt;=Projects!$C$24,4&lt;Projects!$C$24+Projects!$D$24),Projects!$B$24*INDEX(Curves!$B$4:$AR$4,1,4-Projects!$C$24+1),0)+IF(AND(Projects!$G$25="Yes",4&gt;=Projects!$C$25,4&lt;Projects!$C$25+Projects!$D$25),Projects!$B$25*INDEX(Curves!$B$4:$AR$4,1,4-Projects!$C$25+1),0)+IF(AND(Projects!$G$26="Yes",4&gt;=Projects!$C$26,4&lt;Projects!$C$26+Projects!$D$26),Projects!$B$26*INDEX(Curves!$B$4:$AR$4,1,4-Projects!$C$26+1),0)+IF(AND(Projects!$G$27="Yes",4&gt;=Projects!$C$27,4&lt;Projects!$C$27+Projects!$D$27),Projects!$B$27*INDEX(Curves!$B$4:$AR$4,1,4-Projects!$C$27+1),0)+IF(AND(Projects!$G$28="Yes",4&gt;=Projects!$C$28,4&lt;Projects!$C$28+Projects!$D$28),Projects!$B$28*INDEX(Curves!$B$4:$AR$4,1,4-Projects!$C$28+1),0)+IF(AND(Projects!$G$29="Yes",4&gt;=Projects!$C$29,4&lt;Projects!$C$29+Projects!$D$29),Projects!$B$29*INDEX(Curves!$B$4:$AR$4,1,4-Projects!$C$29+1),0)+IF(AND(Projects!$G$30="Yes",4&gt;=Projects!$C$30,4&lt;Projects!$C$30+Projects!$D$30),Projects!$B$30*INDEX(Curves!$B$4:$AR$4,1,4-Projects!$C$30+1),0)+IF(AND(Projects!$G$31="Yes",4&gt;=Projects!$C$31,4&lt;Projects!$C$31+Projects!$D$31),Projects!$B$31*INDEX(Curves!$B$4:$AR$4,1,4-Projects!$C$31+1),0)+IF(AND(Projects!$G$32="Yes",4&gt;=Projects!$C$32,4&lt;Projects!$C$32+Projects!$D$32),Projects!$B$32*INDEX(Curves!$B$4:$AR$4,1,4-Projects!$C$32+1),0)+IF(AND(Projects!$G$33="Yes",4&gt;=Projects!$C$33,4&lt;Projects!$C$33+Projects!$D$33),Projects!$B$33*INDEX(Curves!$B$4:$AR$4,1,4-Projects!$C$33+1),0)+IF(AND(Projects!$G$34="Yes",4&gt;=Projects!$C$34,4&lt;Projects!$C$34+Projects!$D$34),Projects!$B$34*INDEX(Curves!$B$4:$AR$4,1,4-Projects!$C$34+1),0)+IF(AND(Projects!$G$35="Yes",4&gt;=Projects!$C$35,4&lt;Projects!$C$35+Projects!$D$35),Projects!$B$35*INDEX(Curves!$B$4:$AR$4,1,4-Projects!$C$35+1),0)+IF(AND(Projects!$G$36="Yes",4&gt;=Projects!$C$36,4&lt;Projects!$C$36+Projects!$D$36),Projects!$B$36*INDEX(Curves!$B$4:$AR$4,1,4-Projects!$C$36+1),0)+IF(AND(Projects!$G$37="Yes",4&gt;=Projects!$C$37,4&lt;Projects!$C$37+Projects!$D$37),Projects!$B$37*INDEX(Curves!$B$4:$AR$4,1,4-Projects!$C$37+1),0)+IF(AND(Projects!$G$38="Yes",4&gt;=Projects!$C$38,4&lt;Projects!$C$38+Projects!$D$38),Projects!$B$38*INDEX(Curves!$B$4:$AR$4,1,4-Projects!$C$38+1),0)+IF(AND(Projects!$G$39="Yes",4&gt;=Projects!$C$39,4&lt;Projects!$C$39+Projects!$D$39),Projects!$B$39*INDEX(Curves!$B$4:$AR$4,1,4-Projects!$C$39+1),0)+IF(AND(Projects!$G$40="Yes",4&gt;=Projects!$C$40,4&lt;Projects!$C$40+Projects!$D$40),Projects!$B$40*INDEX(Curves!$B$4:$AR$4,1,4-Projects!$C$40+1),0)+IF(AND(Projects!$G$41="Yes",4&gt;=Projects!$C$41,4&lt;Projects!$C$41+Projects!$D$41),Projects!$B$41*INDEX(Curves!$B$4:$AR$4,1,4-Projects!$C$41+1),0)+IF(AND(Projects!$G$42="Yes",4&gt;=Projects!$C$42,4&lt;Projects!$C$42+Projects!$D$42),Projects!$B$42*INDEX(Curves!$B$4:$AR$4,1,4-Projects!$C$42+1),0)+IF(AND(Projects!$G$43="Yes",4&gt;=Projects!$C$43,4&lt;Projects!$C$43+Projects!$D$43),Projects!$B$43*INDEX(Curves!$B$4:$AR$4,1,4-Projects!$C$43+1),0)+IF(AND(Projects!$G$44="Yes",4&gt;=Projects!$C$44,4&lt;Projects!$C$44+Projects!$D$44),Projects!$B$44*INDEX(Curves!$B$4:$AR$4,1,4-Projects!$C$44+1),0)+IF(AND(Projects!$G$45="Yes",4&gt;=Projects!$C$45,4&lt;Projects!$C$45+Projects!$D$45),Projects!$B$45*INDEX(Curves!$B$4:$AR$4,1,4-Projects!$C$45+1),0)+IF(AND(Projects!$G$46="Yes",4&gt;=Projects!$C$46,4&lt;Projects!$C$46+Projects!$D$46),Projects!$B$46*INDEX(Curves!$B$4:$AR$4,1,4-Projects!$C$46+1),0)</f>
        <v>0</v>
      </c>
      <c r="J96" s="59">
        <f>IF(AND(Projects!$G$17="Yes",5&gt;=Projects!$C$17,5&lt;Projects!$C$17+Projects!$D$17),Projects!$B$17*INDEX(Curves!$B$4:$AR$4,1,5-Projects!$C$17+1),0)+IF(AND(Projects!$G$18="Yes",5&gt;=Projects!$C$18,5&lt;Projects!$C$18+Projects!$D$18),Projects!$B$18*INDEX(Curves!$B$4:$AR$4,1,5-Projects!$C$18+1),0)+IF(AND(Projects!$G$19="Yes",5&gt;=Projects!$C$19,5&lt;Projects!$C$19+Projects!$D$19),Projects!$B$19*INDEX(Curves!$B$4:$AR$4,1,5-Projects!$C$19+1),0)+IF(AND(Projects!$G$20="Yes",5&gt;=Projects!$C$20,5&lt;Projects!$C$20+Projects!$D$20),Projects!$B$20*INDEX(Curves!$B$4:$AR$4,1,5-Projects!$C$20+1),0)+IF(AND(Projects!$G$21="Yes",5&gt;=Projects!$C$21,5&lt;Projects!$C$21+Projects!$D$21),Projects!$B$21*INDEX(Curves!$B$4:$AR$4,1,5-Projects!$C$21+1),0)+IF(AND(Projects!$G$22="Yes",5&gt;=Projects!$C$22,5&lt;Projects!$C$22+Projects!$D$22),Projects!$B$22*INDEX(Curves!$B$4:$AR$4,1,5-Projects!$C$22+1),0)+IF(AND(Projects!$G$23="Yes",5&gt;=Projects!$C$23,5&lt;Projects!$C$23+Projects!$D$23),Projects!$B$23*INDEX(Curves!$B$4:$AR$4,1,5-Projects!$C$23+1),0)+IF(AND(Projects!$G$24="Yes",5&gt;=Projects!$C$24,5&lt;Projects!$C$24+Projects!$D$24),Projects!$B$24*INDEX(Curves!$B$4:$AR$4,1,5-Projects!$C$24+1),0)+IF(AND(Projects!$G$25="Yes",5&gt;=Projects!$C$25,5&lt;Projects!$C$25+Projects!$D$25),Projects!$B$25*INDEX(Curves!$B$4:$AR$4,1,5-Projects!$C$25+1),0)+IF(AND(Projects!$G$26="Yes",5&gt;=Projects!$C$26,5&lt;Projects!$C$26+Projects!$D$26),Projects!$B$26*INDEX(Curves!$B$4:$AR$4,1,5-Projects!$C$26+1),0)+IF(AND(Projects!$G$27="Yes",5&gt;=Projects!$C$27,5&lt;Projects!$C$27+Projects!$D$27),Projects!$B$27*INDEX(Curves!$B$4:$AR$4,1,5-Projects!$C$27+1),0)+IF(AND(Projects!$G$28="Yes",5&gt;=Projects!$C$28,5&lt;Projects!$C$28+Projects!$D$28),Projects!$B$28*INDEX(Curves!$B$4:$AR$4,1,5-Projects!$C$28+1),0)+IF(AND(Projects!$G$29="Yes",5&gt;=Projects!$C$29,5&lt;Projects!$C$29+Projects!$D$29),Projects!$B$29*INDEX(Curves!$B$4:$AR$4,1,5-Projects!$C$29+1),0)+IF(AND(Projects!$G$30="Yes",5&gt;=Projects!$C$30,5&lt;Projects!$C$30+Projects!$D$30),Projects!$B$30*INDEX(Curves!$B$4:$AR$4,1,5-Projects!$C$30+1),0)+IF(AND(Projects!$G$31="Yes",5&gt;=Projects!$C$31,5&lt;Projects!$C$31+Projects!$D$31),Projects!$B$31*INDEX(Curves!$B$4:$AR$4,1,5-Projects!$C$31+1),0)+IF(AND(Projects!$G$32="Yes",5&gt;=Projects!$C$32,5&lt;Projects!$C$32+Projects!$D$32),Projects!$B$32*INDEX(Curves!$B$4:$AR$4,1,5-Projects!$C$32+1),0)+IF(AND(Projects!$G$33="Yes",5&gt;=Projects!$C$33,5&lt;Projects!$C$33+Projects!$D$33),Projects!$B$33*INDEX(Curves!$B$4:$AR$4,1,5-Projects!$C$33+1),0)+IF(AND(Projects!$G$34="Yes",5&gt;=Projects!$C$34,5&lt;Projects!$C$34+Projects!$D$34),Projects!$B$34*INDEX(Curves!$B$4:$AR$4,1,5-Projects!$C$34+1),0)+IF(AND(Projects!$G$35="Yes",5&gt;=Projects!$C$35,5&lt;Projects!$C$35+Projects!$D$35),Projects!$B$35*INDEX(Curves!$B$4:$AR$4,1,5-Projects!$C$35+1),0)+IF(AND(Projects!$G$36="Yes",5&gt;=Projects!$C$36,5&lt;Projects!$C$36+Projects!$D$36),Projects!$B$36*INDEX(Curves!$B$4:$AR$4,1,5-Projects!$C$36+1),0)+IF(AND(Projects!$G$37="Yes",5&gt;=Projects!$C$37,5&lt;Projects!$C$37+Projects!$D$37),Projects!$B$37*INDEX(Curves!$B$4:$AR$4,1,5-Projects!$C$37+1),0)+IF(AND(Projects!$G$38="Yes",5&gt;=Projects!$C$38,5&lt;Projects!$C$38+Projects!$D$38),Projects!$B$38*INDEX(Curves!$B$4:$AR$4,1,5-Projects!$C$38+1),0)+IF(AND(Projects!$G$39="Yes",5&gt;=Projects!$C$39,5&lt;Projects!$C$39+Projects!$D$39),Projects!$B$39*INDEX(Curves!$B$4:$AR$4,1,5-Projects!$C$39+1),0)+IF(AND(Projects!$G$40="Yes",5&gt;=Projects!$C$40,5&lt;Projects!$C$40+Projects!$D$40),Projects!$B$40*INDEX(Curves!$B$4:$AR$4,1,5-Projects!$C$40+1),0)+IF(AND(Projects!$G$41="Yes",5&gt;=Projects!$C$41,5&lt;Projects!$C$41+Projects!$D$41),Projects!$B$41*INDEX(Curves!$B$4:$AR$4,1,5-Projects!$C$41+1),0)+IF(AND(Projects!$G$42="Yes",5&gt;=Projects!$C$42,5&lt;Projects!$C$42+Projects!$D$42),Projects!$B$42*INDEX(Curves!$B$4:$AR$4,1,5-Projects!$C$42+1),0)+IF(AND(Projects!$G$43="Yes",5&gt;=Projects!$C$43,5&lt;Projects!$C$43+Projects!$D$43),Projects!$B$43*INDEX(Curves!$B$4:$AR$4,1,5-Projects!$C$43+1),0)+IF(AND(Projects!$G$44="Yes",5&gt;=Projects!$C$44,5&lt;Projects!$C$44+Projects!$D$44),Projects!$B$44*INDEX(Curves!$B$4:$AR$4,1,5-Projects!$C$44+1),0)+IF(AND(Projects!$G$45="Yes",5&gt;=Projects!$C$45,5&lt;Projects!$C$45+Projects!$D$45),Projects!$B$45*INDEX(Curves!$B$4:$AR$4,1,5-Projects!$C$45+1),0)+IF(AND(Projects!$G$46="Yes",5&gt;=Projects!$C$46,5&lt;Projects!$C$46+Projects!$D$46),Projects!$B$46*INDEX(Curves!$B$4:$AR$4,1,5-Projects!$C$46+1),0)</f>
        <v>0</v>
      </c>
      <c r="K96" s="59">
        <f>IF(AND(Projects!$G$17="Yes",6&gt;=Projects!$C$17,6&lt;Projects!$C$17+Projects!$D$17),Projects!$B$17*INDEX(Curves!$B$4:$AR$4,1,6-Projects!$C$17+1),0)+IF(AND(Projects!$G$18="Yes",6&gt;=Projects!$C$18,6&lt;Projects!$C$18+Projects!$D$18),Projects!$B$18*INDEX(Curves!$B$4:$AR$4,1,6-Projects!$C$18+1),0)+IF(AND(Projects!$G$19="Yes",6&gt;=Projects!$C$19,6&lt;Projects!$C$19+Projects!$D$19),Projects!$B$19*INDEX(Curves!$B$4:$AR$4,1,6-Projects!$C$19+1),0)+IF(AND(Projects!$G$20="Yes",6&gt;=Projects!$C$20,6&lt;Projects!$C$20+Projects!$D$20),Projects!$B$20*INDEX(Curves!$B$4:$AR$4,1,6-Projects!$C$20+1),0)+IF(AND(Projects!$G$21="Yes",6&gt;=Projects!$C$21,6&lt;Projects!$C$21+Projects!$D$21),Projects!$B$21*INDEX(Curves!$B$4:$AR$4,1,6-Projects!$C$21+1),0)+IF(AND(Projects!$G$22="Yes",6&gt;=Projects!$C$22,6&lt;Projects!$C$22+Projects!$D$22),Projects!$B$22*INDEX(Curves!$B$4:$AR$4,1,6-Projects!$C$22+1),0)+IF(AND(Projects!$G$23="Yes",6&gt;=Projects!$C$23,6&lt;Projects!$C$23+Projects!$D$23),Projects!$B$23*INDEX(Curves!$B$4:$AR$4,1,6-Projects!$C$23+1),0)+IF(AND(Projects!$G$24="Yes",6&gt;=Projects!$C$24,6&lt;Projects!$C$24+Projects!$D$24),Projects!$B$24*INDEX(Curves!$B$4:$AR$4,1,6-Projects!$C$24+1),0)+IF(AND(Projects!$G$25="Yes",6&gt;=Projects!$C$25,6&lt;Projects!$C$25+Projects!$D$25),Projects!$B$25*INDEX(Curves!$B$4:$AR$4,1,6-Projects!$C$25+1),0)+IF(AND(Projects!$G$26="Yes",6&gt;=Projects!$C$26,6&lt;Projects!$C$26+Projects!$D$26),Projects!$B$26*INDEX(Curves!$B$4:$AR$4,1,6-Projects!$C$26+1),0)+IF(AND(Projects!$G$27="Yes",6&gt;=Projects!$C$27,6&lt;Projects!$C$27+Projects!$D$27),Projects!$B$27*INDEX(Curves!$B$4:$AR$4,1,6-Projects!$C$27+1),0)+IF(AND(Projects!$G$28="Yes",6&gt;=Projects!$C$28,6&lt;Projects!$C$28+Projects!$D$28),Projects!$B$28*INDEX(Curves!$B$4:$AR$4,1,6-Projects!$C$28+1),0)+IF(AND(Projects!$G$29="Yes",6&gt;=Projects!$C$29,6&lt;Projects!$C$29+Projects!$D$29),Projects!$B$29*INDEX(Curves!$B$4:$AR$4,1,6-Projects!$C$29+1),0)+IF(AND(Projects!$G$30="Yes",6&gt;=Projects!$C$30,6&lt;Projects!$C$30+Projects!$D$30),Projects!$B$30*INDEX(Curves!$B$4:$AR$4,1,6-Projects!$C$30+1),0)+IF(AND(Projects!$G$31="Yes",6&gt;=Projects!$C$31,6&lt;Projects!$C$31+Projects!$D$31),Projects!$B$31*INDEX(Curves!$B$4:$AR$4,1,6-Projects!$C$31+1),0)+IF(AND(Projects!$G$32="Yes",6&gt;=Projects!$C$32,6&lt;Projects!$C$32+Projects!$D$32),Projects!$B$32*INDEX(Curves!$B$4:$AR$4,1,6-Projects!$C$32+1),0)+IF(AND(Projects!$G$33="Yes",6&gt;=Projects!$C$33,6&lt;Projects!$C$33+Projects!$D$33),Projects!$B$33*INDEX(Curves!$B$4:$AR$4,1,6-Projects!$C$33+1),0)+IF(AND(Projects!$G$34="Yes",6&gt;=Projects!$C$34,6&lt;Projects!$C$34+Projects!$D$34),Projects!$B$34*INDEX(Curves!$B$4:$AR$4,1,6-Projects!$C$34+1),0)+IF(AND(Projects!$G$35="Yes",6&gt;=Projects!$C$35,6&lt;Projects!$C$35+Projects!$D$35),Projects!$B$35*INDEX(Curves!$B$4:$AR$4,1,6-Projects!$C$35+1),0)+IF(AND(Projects!$G$36="Yes",6&gt;=Projects!$C$36,6&lt;Projects!$C$36+Projects!$D$36),Projects!$B$36*INDEX(Curves!$B$4:$AR$4,1,6-Projects!$C$36+1),0)+IF(AND(Projects!$G$37="Yes",6&gt;=Projects!$C$37,6&lt;Projects!$C$37+Projects!$D$37),Projects!$B$37*INDEX(Curves!$B$4:$AR$4,1,6-Projects!$C$37+1),0)+IF(AND(Projects!$G$38="Yes",6&gt;=Projects!$C$38,6&lt;Projects!$C$38+Projects!$D$38),Projects!$B$38*INDEX(Curves!$B$4:$AR$4,1,6-Projects!$C$38+1),0)+IF(AND(Projects!$G$39="Yes",6&gt;=Projects!$C$39,6&lt;Projects!$C$39+Projects!$D$39),Projects!$B$39*INDEX(Curves!$B$4:$AR$4,1,6-Projects!$C$39+1),0)+IF(AND(Projects!$G$40="Yes",6&gt;=Projects!$C$40,6&lt;Projects!$C$40+Projects!$D$40),Projects!$B$40*INDEX(Curves!$B$4:$AR$4,1,6-Projects!$C$40+1),0)+IF(AND(Projects!$G$41="Yes",6&gt;=Projects!$C$41,6&lt;Projects!$C$41+Projects!$D$41),Projects!$B$41*INDEX(Curves!$B$4:$AR$4,1,6-Projects!$C$41+1),0)+IF(AND(Projects!$G$42="Yes",6&gt;=Projects!$C$42,6&lt;Projects!$C$42+Projects!$D$42),Projects!$B$42*INDEX(Curves!$B$4:$AR$4,1,6-Projects!$C$42+1),0)+IF(AND(Projects!$G$43="Yes",6&gt;=Projects!$C$43,6&lt;Projects!$C$43+Projects!$D$43),Projects!$B$43*INDEX(Curves!$B$4:$AR$4,1,6-Projects!$C$43+1),0)+IF(AND(Projects!$G$44="Yes",6&gt;=Projects!$C$44,6&lt;Projects!$C$44+Projects!$D$44),Projects!$B$44*INDEX(Curves!$B$4:$AR$4,1,6-Projects!$C$44+1),0)+IF(AND(Projects!$G$45="Yes",6&gt;=Projects!$C$45,6&lt;Projects!$C$45+Projects!$D$45),Projects!$B$45*INDEX(Curves!$B$4:$AR$4,1,6-Projects!$C$45+1),0)+IF(AND(Projects!$G$46="Yes",6&gt;=Projects!$C$46,6&lt;Projects!$C$46+Projects!$D$46),Projects!$B$46*INDEX(Curves!$B$4:$AR$4,1,6-Projects!$C$46+1),0)</f>
        <v>0</v>
      </c>
      <c r="L96" s="59">
        <f>IF(AND(Projects!$G$17="Yes",7&gt;=Projects!$C$17,7&lt;Projects!$C$17+Projects!$D$17),Projects!$B$17*INDEX(Curves!$B$4:$AR$4,1,7-Projects!$C$17+1),0)+IF(AND(Projects!$G$18="Yes",7&gt;=Projects!$C$18,7&lt;Projects!$C$18+Projects!$D$18),Projects!$B$18*INDEX(Curves!$B$4:$AR$4,1,7-Projects!$C$18+1),0)+IF(AND(Projects!$G$19="Yes",7&gt;=Projects!$C$19,7&lt;Projects!$C$19+Projects!$D$19),Projects!$B$19*INDEX(Curves!$B$4:$AR$4,1,7-Projects!$C$19+1),0)+IF(AND(Projects!$G$20="Yes",7&gt;=Projects!$C$20,7&lt;Projects!$C$20+Projects!$D$20),Projects!$B$20*INDEX(Curves!$B$4:$AR$4,1,7-Projects!$C$20+1),0)+IF(AND(Projects!$G$21="Yes",7&gt;=Projects!$C$21,7&lt;Projects!$C$21+Projects!$D$21),Projects!$B$21*INDEX(Curves!$B$4:$AR$4,1,7-Projects!$C$21+1),0)+IF(AND(Projects!$G$22="Yes",7&gt;=Projects!$C$22,7&lt;Projects!$C$22+Projects!$D$22),Projects!$B$22*INDEX(Curves!$B$4:$AR$4,1,7-Projects!$C$22+1),0)+IF(AND(Projects!$G$23="Yes",7&gt;=Projects!$C$23,7&lt;Projects!$C$23+Projects!$D$23),Projects!$B$23*INDEX(Curves!$B$4:$AR$4,1,7-Projects!$C$23+1),0)+IF(AND(Projects!$G$24="Yes",7&gt;=Projects!$C$24,7&lt;Projects!$C$24+Projects!$D$24),Projects!$B$24*INDEX(Curves!$B$4:$AR$4,1,7-Projects!$C$24+1),0)+IF(AND(Projects!$G$25="Yes",7&gt;=Projects!$C$25,7&lt;Projects!$C$25+Projects!$D$25),Projects!$B$25*INDEX(Curves!$B$4:$AR$4,1,7-Projects!$C$25+1),0)+IF(AND(Projects!$G$26="Yes",7&gt;=Projects!$C$26,7&lt;Projects!$C$26+Projects!$D$26),Projects!$B$26*INDEX(Curves!$B$4:$AR$4,1,7-Projects!$C$26+1),0)+IF(AND(Projects!$G$27="Yes",7&gt;=Projects!$C$27,7&lt;Projects!$C$27+Projects!$D$27),Projects!$B$27*INDEX(Curves!$B$4:$AR$4,1,7-Projects!$C$27+1),0)+IF(AND(Projects!$G$28="Yes",7&gt;=Projects!$C$28,7&lt;Projects!$C$28+Projects!$D$28),Projects!$B$28*INDEX(Curves!$B$4:$AR$4,1,7-Projects!$C$28+1),0)+IF(AND(Projects!$G$29="Yes",7&gt;=Projects!$C$29,7&lt;Projects!$C$29+Projects!$D$29),Projects!$B$29*INDEX(Curves!$B$4:$AR$4,1,7-Projects!$C$29+1),0)+IF(AND(Projects!$G$30="Yes",7&gt;=Projects!$C$30,7&lt;Projects!$C$30+Projects!$D$30),Projects!$B$30*INDEX(Curves!$B$4:$AR$4,1,7-Projects!$C$30+1),0)+IF(AND(Projects!$G$31="Yes",7&gt;=Projects!$C$31,7&lt;Projects!$C$31+Projects!$D$31),Projects!$B$31*INDEX(Curves!$B$4:$AR$4,1,7-Projects!$C$31+1),0)+IF(AND(Projects!$G$32="Yes",7&gt;=Projects!$C$32,7&lt;Projects!$C$32+Projects!$D$32),Projects!$B$32*INDEX(Curves!$B$4:$AR$4,1,7-Projects!$C$32+1),0)+IF(AND(Projects!$G$33="Yes",7&gt;=Projects!$C$33,7&lt;Projects!$C$33+Projects!$D$33),Projects!$B$33*INDEX(Curves!$B$4:$AR$4,1,7-Projects!$C$33+1),0)+IF(AND(Projects!$G$34="Yes",7&gt;=Projects!$C$34,7&lt;Projects!$C$34+Projects!$D$34),Projects!$B$34*INDEX(Curves!$B$4:$AR$4,1,7-Projects!$C$34+1),0)+IF(AND(Projects!$G$35="Yes",7&gt;=Projects!$C$35,7&lt;Projects!$C$35+Projects!$D$35),Projects!$B$35*INDEX(Curves!$B$4:$AR$4,1,7-Projects!$C$35+1),0)+IF(AND(Projects!$G$36="Yes",7&gt;=Projects!$C$36,7&lt;Projects!$C$36+Projects!$D$36),Projects!$B$36*INDEX(Curves!$B$4:$AR$4,1,7-Projects!$C$36+1),0)+IF(AND(Projects!$G$37="Yes",7&gt;=Projects!$C$37,7&lt;Projects!$C$37+Projects!$D$37),Projects!$B$37*INDEX(Curves!$B$4:$AR$4,1,7-Projects!$C$37+1),0)+IF(AND(Projects!$G$38="Yes",7&gt;=Projects!$C$38,7&lt;Projects!$C$38+Projects!$D$38),Projects!$B$38*INDEX(Curves!$B$4:$AR$4,1,7-Projects!$C$38+1),0)+IF(AND(Projects!$G$39="Yes",7&gt;=Projects!$C$39,7&lt;Projects!$C$39+Projects!$D$39),Projects!$B$39*INDEX(Curves!$B$4:$AR$4,1,7-Projects!$C$39+1),0)+IF(AND(Projects!$G$40="Yes",7&gt;=Projects!$C$40,7&lt;Projects!$C$40+Projects!$D$40),Projects!$B$40*INDEX(Curves!$B$4:$AR$4,1,7-Projects!$C$40+1),0)+IF(AND(Projects!$G$41="Yes",7&gt;=Projects!$C$41,7&lt;Projects!$C$41+Projects!$D$41),Projects!$B$41*INDEX(Curves!$B$4:$AR$4,1,7-Projects!$C$41+1),0)+IF(AND(Projects!$G$42="Yes",7&gt;=Projects!$C$42,7&lt;Projects!$C$42+Projects!$D$42),Projects!$B$42*INDEX(Curves!$B$4:$AR$4,1,7-Projects!$C$42+1),0)+IF(AND(Projects!$G$43="Yes",7&gt;=Projects!$C$43,7&lt;Projects!$C$43+Projects!$D$43),Projects!$B$43*INDEX(Curves!$B$4:$AR$4,1,7-Projects!$C$43+1),0)+IF(AND(Projects!$G$44="Yes",7&gt;=Projects!$C$44,7&lt;Projects!$C$44+Projects!$D$44),Projects!$B$44*INDEX(Curves!$B$4:$AR$4,1,7-Projects!$C$44+1),0)+IF(AND(Projects!$G$45="Yes",7&gt;=Projects!$C$45,7&lt;Projects!$C$45+Projects!$D$45),Projects!$B$45*INDEX(Curves!$B$4:$AR$4,1,7-Projects!$C$45+1),0)+IF(AND(Projects!$G$46="Yes",7&gt;=Projects!$C$46,7&lt;Projects!$C$46+Projects!$D$46),Projects!$B$46*INDEX(Curves!$B$4:$AR$4,1,7-Projects!$C$46+1),0)</f>
        <v>0</v>
      </c>
      <c r="M96" s="59">
        <f>IF(AND(Projects!$G$17="Yes",8&gt;=Projects!$C$17,8&lt;Projects!$C$17+Projects!$D$17),Projects!$B$17*INDEX(Curves!$B$4:$AR$4,1,8-Projects!$C$17+1),0)+IF(AND(Projects!$G$18="Yes",8&gt;=Projects!$C$18,8&lt;Projects!$C$18+Projects!$D$18),Projects!$B$18*INDEX(Curves!$B$4:$AR$4,1,8-Projects!$C$18+1),0)+IF(AND(Projects!$G$19="Yes",8&gt;=Projects!$C$19,8&lt;Projects!$C$19+Projects!$D$19),Projects!$B$19*INDEX(Curves!$B$4:$AR$4,1,8-Projects!$C$19+1),0)+IF(AND(Projects!$G$20="Yes",8&gt;=Projects!$C$20,8&lt;Projects!$C$20+Projects!$D$20),Projects!$B$20*INDEX(Curves!$B$4:$AR$4,1,8-Projects!$C$20+1),0)+IF(AND(Projects!$G$21="Yes",8&gt;=Projects!$C$21,8&lt;Projects!$C$21+Projects!$D$21),Projects!$B$21*INDEX(Curves!$B$4:$AR$4,1,8-Projects!$C$21+1),0)+IF(AND(Projects!$G$22="Yes",8&gt;=Projects!$C$22,8&lt;Projects!$C$22+Projects!$D$22),Projects!$B$22*INDEX(Curves!$B$4:$AR$4,1,8-Projects!$C$22+1),0)+IF(AND(Projects!$G$23="Yes",8&gt;=Projects!$C$23,8&lt;Projects!$C$23+Projects!$D$23),Projects!$B$23*INDEX(Curves!$B$4:$AR$4,1,8-Projects!$C$23+1),0)+IF(AND(Projects!$G$24="Yes",8&gt;=Projects!$C$24,8&lt;Projects!$C$24+Projects!$D$24),Projects!$B$24*INDEX(Curves!$B$4:$AR$4,1,8-Projects!$C$24+1),0)+IF(AND(Projects!$G$25="Yes",8&gt;=Projects!$C$25,8&lt;Projects!$C$25+Projects!$D$25),Projects!$B$25*INDEX(Curves!$B$4:$AR$4,1,8-Projects!$C$25+1),0)+IF(AND(Projects!$G$26="Yes",8&gt;=Projects!$C$26,8&lt;Projects!$C$26+Projects!$D$26),Projects!$B$26*INDEX(Curves!$B$4:$AR$4,1,8-Projects!$C$26+1),0)+IF(AND(Projects!$G$27="Yes",8&gt;=Projects!$C$27,8&lt;Projects!$C$27+Projects!$D$27),Projects!$B$27*INDEX(Curves!$B$4:$AR$4,1,8-Projects!$C$27+1),0)+IF(AND(Projects!$G$28="Yes",8&gt;=Projects!$C$28,8&lt;Projects!$C$28+Projects!$D$28),Projects!$B$28*INDEX(Curves!$B$4:$AR$4,1,8-Projects!$C$28+1),0)+IF(AND(Projects!$G$29="Yes",8&gt;=Projects!$C$29,8&lt;Projects!$C$29+Projects!$D$29),Projects!$B$29*INDEX(Curves!$B$4:$AR$4,1,8-Projects!$C$29+1),0)+IF(AND(Projects!$G$30="Yes",8&gt;=Projects!$C$30,8&lt;Projects!$C$30+Projects!$D$30),Projects!$B$30*INDEX(Curves!$B$4:$AR$4,1,8-Projects!$C$30+1),0)+IF(AND(Projects!$G$31="Yes",8&gt;=Projects!$C$31,8&lt;Projects!$C$31+Projects!$D$31),Projects!$B$31*INDEX(Curves!$B$4:$AR$4,1,8-Projects!$C$31+1),0)+IF(AND(Projects!$G$32="Yes",8&gt;=Projects!$C$32,8&lt;Projects!$C$32+Projects!$D$32),Projects!$B$32*INDEX(Curves!$B$4:$AR$4,1,8-Projects!$C$32+1),0)+IF(AND(Projects!$G$33="Yes",8&gt;=Projects!$C$33,8&lt;Projects!$C$33+Projects!$D$33),Projects!$B$33*INDEX(Curves!$B$4:$AR$4,1,8-Projects!$C$33+1),0)+IF(AND(Projects!$G$34="Yes",8&gt;=Projects!$C$34,8&lt;Projects!$C$34+Projects!$D$34),Projects!$B$34*INDEX(Curves!$B$4:$AR$4,1,8-Projects!$C$34+1),0)+IF(AND(Projects!$G$35="Yes",8&gt;=Projects!$C$35,8&lt;Projects!$C$35+Projects!$D$35),Projects!$B$35*INDEX(Curves!$B$4:$AR$4,1,8-Projects!$C$35+1),0)+IF(AND(Projects!$G$36="Yes",8&gt;=Projects!$C$36,8&lt;Projects!$C$36+Projects!$D$36),Projects!$B$36*INDEX(Curves!$B$4:$AR$4,1,8-Projects!$C$36+1),0)+IF(AND(Projects!$G$37="Yes",8&gt;=Projects!$C$37,8&lt;Projects!$C$37+Projects!$D$37),Projects!$B$37*INDEX(Curves!$B$4:$AR$4,1,8-Projects!$C$37+1),0)+IF(AND(Projects!$G$38="Yes",8&gt;=Projects!$C$38,8&lt;Projects!$C$38+Projects!$D$38),Projects!$B$38*INDEX(Curves!$B$4:$AR$4,1,8-Projects!$C$38+1),0)+IF(AND(Projects!$G$39="Yes",8&gt;=Projects!$C$39,8&lt;Projects!$C$39+Projects!$D$39),Projects!$B$39*INDEX(Curves!$B$4:$AR$4,1,8-Projects!$C$39+1),0)+IF(AND(Projects!$G$40="Yes",8&gt;=Projects!$C$40,8&lt;Projects!$C$40+Projects!$D$40),Projects!$B$40*INDEX(Curves!$B$4:$AR$4,1,8-Projects!$C$40+1),0)+IF(AND(Projects!$G$41="Yes",8&gt;=Projects!$C$41,8&lt;Projects!$C$41+Projects!$D$41),Projects!$B$41*INDEX(Curves!$B$4:$AR$4,1,8-Projects!$C$41+1),0)+IF(AND(Projects!$G$42="Yes",8&gt;=Projects!$C$42,8&lt;Projects!$C$42+Projects!$D$42),Projects!$B$42*INDEX(Curves!$B$4:$AR$4,1,8-Projects!$C$42+1),0)+IF(AND(Projects!$G$43="Yes",8&gt;=Projects!$C$43,8&lt;Projects!$C$43+Projects!$D$43),Projects!$B$43*INDEX(Curves!$B$4:$AR$4,1,8-Projects!$C$43+1),0)+IF(AND(Projects!$G$44="Yes",8&gt;=Projects!$C$44,8&lt;Projects!$C$44+Projects!$D$44),Projects!$B$44*INDEX(Curves!$B$4:$AR$4,1,8-Projects!$C$44+1),0)+IF(AND(Projects!$G$45="Yes",8&gt;=Projects!$C$45,8&lt;Projects!$C$45+Projects!$D$45),Projects!$B$45*INDEX(Curves!$B$4:$AR$4,1,8-Projects!$C$45+1),0)+IF(AND(Projects!$G$46="Yes",8&gt;=Projects!$C$46,8&lt;Projects!$C$46+Projects!$D$46),Projects!$B$46*INDEX(Curves!$B$4:$AR$4,1,8-Projects!$C$46+1),0)</f>
        <v>0</v>
      </c>
      <c r="N96" s="59">
        <f>IF(AND(Projects!$G$17="Yes",9&gt;=Projects!$C$17,9&lt;Projects!$C$17+Projects!$D$17),Projects!$B$17*INDEX(Curves!$B$4:$AR$4,1,9-Projects!$C$17+1),0)+IF(AND(Projects!$G$18="Yes",9&gt;=Projects!$C$18,9&lt;Projects!$C$18+Projects!$D$18),Projects!$B$18*INDEX(Curves!$B$4:$AR$4,1,9-Projects!$C$18+1),0)+IF(AND(Projects!$G$19="Yes",9&gt;=Projects!$C$19,9&lt;Projects!$C$19+Projects!$D$19),Projects!$B$19*INDEX(Curves!$B$4:$AR$4,1,9-Projects!$C$19+1),0)+IF(AND(Projects!$G$20="Yes",9&gt;=Projects!$C$20,9&lt;Projects!$C$20+Projects!$D$20),Projects!$B$20*INDEX(Curves!$B$4:$AR$4,1,9-Projects!$C$20+1),0)+IF(AND(Projects!$G$21="Yes",9&gt;=Projects!$C$21,9&lt;Projects!$C$21+Projects!$D$21),Projects!$B$21*INDEX(Curves!$B$4:$AR$4,1,9-Projects!$C$21+1),0)+IF(AND(Projects!$G$22="Yes",9&gt;=Projects!$C$22,9&lt;Projects!$C$22+Projects!$D$22),Projects!$B$22*INDEX(Curves!$B$4:$AR$4,1,9-Projects!$C$22+1),0)+IF(AND(Projects!$G$23="Yes",9&gt;=Projects!$C$23,9&lt;Projects!$C$23+Projects!$D$23),Projects!$B$23*INDEX(Curves!$B$4:$AR$4,1,9-Projects!$C$23+1),0)+IF(AND(Projects!$G$24="Yes",9&gt;=Projects!$C$24,9&lt;Projects!$C$24+Projects!$D$24),Projects!$B$24*INDEX(Curves!$B$4:$AR$4,1,9-Projects!$C$24+1),0)+IF(AND(Projects!$G$25="Yes",9&gt;=Projects!$C$25,9&lt;Projects!$C$25+Projects!$D$25),Projects!$B$25*INDEX(Curves!$B$4:$AR$4,1,9-Projects!$C$25+1),0)+IF(AND(Projects!$G$26="Yes",9&gt;=Projects!$C$26,9&lt;Projects!$C$26+Projects!$D$26),Projects!$B$26*INDEX(Curves!$B$4:$AR$4,1,9-Projects!$C$26+1),0)+IF(AND(Projects!$G$27="Yes",9&gt;=Projects!$C$27,9&lt;Projects!$C$27+Projects!$D$27),Projects!$B$27*INDEX(Curves!$B$4:$AR$4,1,9-Projects!$C$27+1),0)+IF(AND(Projects!$G$28="Yes",9&gt;=Projects!$C$28,9&lt;Projects!$C$28+Projects!$D$28),Projects!$B$28*INDEX(Curves!$B$4:$AR$4,1,9-Projects!$C$28+1),0)+IF(AND(Projects!$G$29="Yes",9&gt;=Projects!$C$29,9&lt;Projects!$C$29+Projects!$D$29),Projects!$B$29*INDEX(Curves!$B$4:$AR$4,1,9-Projects!$C$29+1),0)+IF(AND(Projects!$G$30="Yes",9&gt;=Projects!$C$30,9&lt;Projects!$C$30+Projects!$D$30),Projects!$B$30*INDEX(Curves!$B$4:$AR$4,1,9-Projects!$C$30+1),0)+IF(AND(Projects!$G$31="Yes",9&gt;=Projects!$C$31,9&lt;Projects!$C$31+Projects!$D$31),Projects!$B$31*INDEX(Curves!$B$4:$AR$4,1,9-Projects!$C$31+1),0)+IF(AND(Projects!$G$32="Yes",9&gt;=Projects!$C$32,9&lt;Projects!$C$32+Projects!$D$32),Projects!$B$32*INDEX(Curves!$B$4:$AR$4,1,9-Projects!$C$32+1),0)+IF(AND(Projects!$G$33="Yes",9&gt;=Projects!$C$33,9&lt;Projects!$C$33+Projects!$D$33),Projects!$B$33*INDEX(Curves!$B$4:$AR$4,1,9-Projects!$C$33+1),0)+IF(AND(Projects!$G$34="Yes",9&gt;=Projects!$C$34,9&lt;Projects!$C$34+Projects!$D$34),Projects!$B$34*INDEX(Curves!$B$4:$AR$4,1,9-Projects!$C$34+1),0)+IF(AND(Projects!$G$35="Yes",9&gt;=Projects!$C$35,9&lt;Projects!$C$35+Projects!$D$35),Projects!$B$35*INDEX(Curves!$B$4:$AR$4,1,9-Projects!$C$35+1),0)+IF(AND(Projects!$G$36="Yes",9&gt;=Projects!$C$36,9&lt;Projects!$C$36+Projects!$D$36),Projects!$B$36*INDEX(Curves!$B$4:$AR$4,1,9-Projects!$C$36+1),0)+IF(AND(Projects!$G$37="Yes",9&gt;=Projects!$C$37,9&lt;Projects!$C$37+Projects!$D$37),Projects!$B$37*INDEX(Curves!$B$4:$AR$4,1,9-Projects!$C$37+1),0)+IF(AND(Projects!$G$38="Yes",9&gt;=Projects!$C$38,9&lt;Projects!$C$38+Projects!$D$38),Projects!$B$38*INDEX(Curves!$B$4:$AR$4,1,9-Projects!$C$38+1),0)+IF(AND(Projects!$G$39="Yes",9&gt;=Projects!$C$39,9&lt;Projects!$C$39+Projects!$D$39),Projects!$B$39*INDEX(Curves!$B$4:$AR$4,1,9-Projects!$C$39+1),0)+IF(AND(Projects!$G$40="Yes",9&gt;=Projects!$C$40,9&lt;Projects!$C$40+Projects!$D$40),Projects!$B$40*INDEX(Curves!$B$4:$AR$4,1,9-Projects!$C$40+1),0)+IF(AND(Projects!$G$41="Yes",9&gt;=Projects!$C$41,9&lt;Projects!$C$41+Projects!$D$41),Projects!$B$41*INDEX(Curves!$B$4:$AR$4,1,9-Projects!$C$41+1),0)+IF(AND(Projects!$G$42="Yes",9&gt;=Projects!$C$42,9&lt;Projects!$C$42+Projects!$D$42),Projects!$B$42*INDEX(Curves!$B$4:$AR$4,1,9-Projects!$C$42+1),0)+IF(AND(Projects!$G$43="Yes",9&gt;=Projects!$C$43,9&lt;Projects!$C$43+Projects!$D$43),Projects!$B$43*INDEX(Curves!$B$4:$AR$4,1,9-Projects!$C$43+1),0)+IF(AND(Projects!$G$44="Yes",9&gt;=Projects!$C$44,9&lt;Projects!$C$44+Projects!$D$44),Projects!$B$44*INDEX(Curves!$B$4:$AR$4,1,9-Projects!$C$44+1),0)+IF(AND(Projects!$G$45="Yes",9&gt;=Projects!$C$45,9&lt;Projects!$C$45+Projects!$D$45),Projects!$B$45*INDEX(Curves!$B$4:$AR$4,1,9-Projects!$C$45+1),0)+IF(AND(Projects!$G$46="Yes",9&gt;=Projects!$C$46,9&lt;Projects!$C$46+Projects!$D$46),Projects!$B$46*INDEX(Curves!$B$4:$AR$4,1,9-Projects!$C$46+1),0)</f>
        <v>0</v>
      </c>
      <c r="O96" s="59">
        <f>IF(AND(Projects!$G$17="Yes",10&gt;=Projects!$C$17,10&lt;Projects!$C$17+Projects!$D$17),Projects!$B$17*INDEX(Curves!$B$4:$AR$4,1,10-Projects!$C$17+1),0)+IF(AND(Projects!$G$18="Yes",10&gt;=Projects!$C$18,10&lt;Projects!$C$18+Projects!$D$18),Projects!$B$18*INDEX(Curves!$B$4:$AR$4,1,10-Projects!$C$18+1),0)+IF(AND(Projects!$G$19="Yes",10&gt;=Projects!$C$19,10&lt;Projects!$C$19+Projects!$D$19),Projects!$B$19*INDEX(Curves!$B$4:$AR$4,1,10-Projects!$C$19+1),0)+IF(AND(Projects!$G$20="Yes",10&gt;=Projects!$C$20,10&lt;Projects!$C$20+Projects!$D$20),Projects!$B$20*INDEX(Curves!$B$4:$AR$4,1,10-Projects!$C$20+1),0)+IF(AND(Projects!$G$21="Yes",10&gt;=Projects!$C$21,10&lt;Projects!$C$21+Projects!$D$21),Projects!$B$21*INDEX(Curves!$B$4:$AR$4,1,10-Projects!$C$21+1),0)+IF(AND(Projects!$G$22="Yes",10&gt;=Projects!$C$22,10&lt;Projects!$C$22+Projects!$D$22),Projects!$B$22*INDEX(Curves!$B$4:$AR$4,1,10-Projects!$C$22+1),0)+IF(AND(Projects!$G$23="Yes",10&gt;=Projects!$C$23,10&lt;Projects!$C$23+Projects!$D$23),Projects!$B$23*INDEX(Curves!$B$4:$AR$4,1,10-Projects!$C$23+1),0)+IF(AND(Projects!$G$24="Yes",10&gt;=Projects!$C$24,10&lt;Projects!$C$24+Projects!$D$24),Projects!$B$24*INDEX(Curves!$B$4:$AR$4,1,10-Projects!$C$24+1),0)+IF(AND(Projects!$G$25="Yes",10&gt;=Projects!$C$25,10&lt;Projects!$C$25+Projects!$D$25),Projects!$B$25*INDEX(Curves!$B$4:$AR$4,1,10-Projects!$C$25+1),0)+IF(AND(Projects!$G$26="Yes",10&gt;=Projects!$C$26,10&lt;Projects!$C$26+Projects!$D$26),Projects!$B$26*INDEX(Curves!$B$4:$AR$4,1,10-Projects!$C$26+1),0)+IF(AND(Projects!$G$27="Yes",10&gt;=Projects!$C$27,10&lt;Projects!$C$27+Projects!$D$27),Projects!$B$27*INDEX(Curves!$B$4:$AR$4,1,10-Projects!$C$27+1),0)+IF(AND(Projects!$G$28="Yes",10&gt;=Projects!$C$28,10&lt;Projects!$C$28+Projects!$D$28),Projects!$B$28*INDEX(Curves!$B$4:$AR$4,1,10-Projects!$C$28+1),0)+IF(AND(Projects!$G$29="Yes",10&gt;=Projects!$C$29,10&lt;Projects!$C$29+Projects!$D$29),Projects!$B$29*INDEX(Curves!$B$4:$AR$4,1,10-Projects!$C$29+1),0)+IF(AND(Projects!$G$30="Yes",10&gt;=Projects!$C$30,10&lt;Projects!$C$30+Projects!$D$30),Projects!$B$30*INDEX(Curves!$B$4:$AR$4,1,10-Projects!$C$30+1),0)+IF(AND(Projects!$G$31="Yes",10&gt;=Projects!$C$31,10&lt;Projects!$C$31+Projects!$D$31),Projects!$B$31*INDEX(Curves!$B$4:$AR$4,1,10-Projects!$C$31+1),0)+IF(AND(Projects!$G$32="Yes",10&gt;=Projects!$C$32,10&lt;Projects!$C$32+Projects!$D$32),Projects!$B$32*INDEX(Curves!$B$4:$AR$4,1,10-Projects!$C$32+1),0)+IF(AND(Projects!$G$33="Yes",10&gt;=Projects!$C$33,10&lt;Projects!$C$33+Projects!$D$33),Projects!$B$33*INDEX(Curves!$B$4:$AR$4,1,10-Projects!$C$33+1),0)+IF(AND(Projects!$G$34="Yes",10&gt;=Projects!$C$34,10&lt;Projects!$C$34+Projects!$D$34),Projects!$B$34*INDEX(Curves!$B$4:$AR$4,1,10-Projects!$C$34+1),0)+IF(AND(Projects!$G$35="Yes",10&gt;=Projects!$C$35,10&lt;Projects!$C$35+Projects!$D$35),Projects!$B$35*INDEX(Curves!$B$4:$AR$4,1,10-Projects!$C$35+1),0)+IF(AND(Projects!$G$36="Yes",10&gt;=Projects!$C$36,10&lt;Projects!$C$36+Projects!$D$36),Projects!$B$36*INDEX(Curves!$B$4:$AR$4,1,10-Projects!$C$36+1),0)+IF(AND(Projects!$G$37="Yes",10&gt;=Projects!$C$37,10&lt;Projects!$C$37+Projects!$D$37),Projects!$B$37*INDEX(Curves!$B$4:$AR$4,1,10-Projects!$C$37+1),0)+IF(AND(Projects!$G$38="Yes",10&gt;=Projects!$C$38,10&lt;Projects!$C$38+Projects!$D$38),Projects!$B$38*INDEX(Curves!$B$4:$AR$4,1,10-Projects!$C$38+1),0)+IF(AND(Projects!$G$39="Yes",10&gt;=Projects!$C$39,10&lt;Projects!$C$39+Projects!$D$39),Projects!$B$39*INDEX(Curves!$B$4:$AR$4,1,10-Projects!$C$39+1),0)+IF(AND(Projects!$G$40="Yes",10&gt;=Projects!$C$40,10&lt;Projects!$C$40+Projects!$D$40),Projects!$B$40*INDEX(Curves!$B$4:$AR$4,1,10-Projects!$C$40+1),0)+IF(AND(Projects!$G$41="Yes",10&gt;=Projects!$C$41,10&lt;Projects!$C$41+Projects!$D$41),Projects!$B$41*INDEX(Curves!$B$4:$AR$4,1,10-Projects!$C$41+1),0)+IF(AND(Projects!$G$42="Yes",10&gt;=Projects!$C$42,10&lt;Projects!$C$42+Projects!$D$42),Projects!$B$42*INDEX(Curves!$B$4:$AR$4,1,10-Projects!$C$42+1),0)+IF(AND(Projects!$G$43="Yes",10&gt;=Projects!$C$43,10&lt;Projects!$C$43+Projects!$D$43),Projects!$B$43*INDEX(Curves!$B$4:$AR$4,1,10-Projects!$C$43+1),0)+IF(AND(Projects!$G$44="Yes",10&gt;=Projects!$C$44,10&lt;Projects!$C$44+Projects!$D$44),Projects!$B$44*INDEX(Curves!$B$4:$AR$4,1,10-Projects!$C$44+1),0)+IF(AND(Projects!$G$45="Yes",10&gt;=Projects!$C$45,10&lt;Projects!$C$45+Projects!$D$45),Projects!$B$45*INDEX(Curves!$B$4:$AR$4,1,10-Projects!$C$45+1),0)+IF(AND(Projects!$G$46="Yes",10&gt;=Projects!$C$46,10&lt;Projects!$C$46+Projects!$D$46),Projects!$B$46*INDEX(Curves!$B$4:$AR$4,1,10-Projects!$C$46+1),0)</f>
        <v>0</v>
      </c>
      <c r="P96" s="59">
        <f>IF(AND(Projects!$G$17="Yes",11&gt;=Projects!$C$17,11&lt;Projects!$C$17+Projects!$D$17),Projects!$B$17*INDEX(Curves!$B$4:$AR$4,1,11-Projects!$C$17+1),0)+IF(AND(Projects!$G$18="Yes",11&gt;=Projects!$C$18,11&lt;Projects!$C$18+Projects!$D$18),Projects!$B$18*INDEX(Curves!$B$4:$AR$4,1,11-Projects!$C$18+1),0)+IF(AND(Projects!$G$19="Yes",11&gt;=Projects!$C$19,11&lt;Projects!$C$19+Projects!$D$19),Projects!$B$19*INDEX(Curves!$B$4:$AR$4,1,11-Projects!$C$19+1),0)+IF(AND(Projects!$G$20="Yes",11&gt;=Projects!$C$20,11&lt;Projects!$C$20+Projects!$D$20),Projects!$B$20*INDEX(Curves!$B$4:$AR$4,1,11-Projects!$C$20+1),0)+IF(AND(Projects!$G$21="Yes",11&gt;=Projects!$C$21,11&lt;Projects!$C$21+Projects!$D$21),Projects!$B$21*INDEX(Curves!$B$4:$AR$4,1,11-Projects!$C$21+1),0)+IF(AND(Projects!$G$22="Yes",11&gt;=Projects!$C$22,11&lt;Projects!$C$22+Projects!$D$22),Projects!$B$22*INDEX(Curves!$B$4:$AR$4,1,11-Projects!$C$22+1),0)+IF(AND(Projects!$G$23="Yes",11&gt;=Projects!$C$23,11&lt;Projects!$C$23+Projects!$D$23),Projects!$B$23*INDEX(Curves!$B$4:$AR$4,1,11-Projects!$C$23+1),0)+IF(AND(Projects!$G$24="Yes",11&gt;=Projects!$C$24,11&lt;Projects!$C$24+Projects!$D$24),Projects!$B$24*INDEX(Curves!$B$4:$AR$4,1,11-Projects!$C$24+1),0)+IF(AND(Projects!$G$25="Yes",11&gt;=Projects!$C$25,11&lt;Projects!$C$25+Projects!$D$25),Projects!$B$25*INDEX(Curves!$B$4:$AR$4,1,11-Projects!$C$25+1),0)+IF(AND(Projects!$G$26="Yes",11&gt;=Projects!$C$26,11&lt;Projects!$C$26+Projects!$D$26),Projects!$B$26*INDEX(Curves!$B$4:$AR$4,1,11-Projects!$C$26+1),0)+IF(AND(Projects!$G$27="Yes",11&gt;=Projects!$C$27,11&lt;Projects!$C$27+Projects!$D$27),Projects!$B$27*INDEX(Curves!$B$4:$AR$4,1,11-Projects!$C$27+1),0)+IF(AND(Projects!$G$28="Yes",11&gt;=Projects!$C$28,11&lt;Projects!$C$28+Projects!$D$28),Projects!$B$28*INDEX(Curves!$B$4:$AR$4,1,11-Projects!$C$28+1),0)+IF(AND(Projects!$G$29="Yes",11&gt;=Projects!$C$29,11&lt;Projects!$C$29+Projects!$D$29),Projects!$B$29*INDEX(Curves!$B$4:$AR$4,1,11-Projects!$C$29+1),0)+IF(AND(Projects!$G$30="Yes",11&gt;=Projects!$C$30,11&lt;Projects!$C$30+Projects!$D$30),Projects!$B$30*INDEX(Curves!$B$4:$AR$4,1,11-Projects!$C$30+1),0)+IF(AND(Projects!$G$31="Yes",11&gt;=Projects!$C$31,11&lt;Projects!$C$31+Projects!$D$31),Projects!$B$31*INDEX(Curves!$B$4:$AR$4,1,11-Projects!$C$31+1),0)+IF(AND(Projects!$G$32="Yes",11&gt;=Projects!$C$32,11&lt;Projects!$C$32+Projects!$D$32),Projects!$B$32*INDEX(Curves!$B$4:$AR$4,1,11-Projects!$C$32+1),0)+IF(AND(Projects!$G$33="Yes",11&gt;=Projects!$C$33,11&lt;Projects!$C$33+Projects!$D$33),Projects!$B$33*INDEX(Curves!$B$4:$AR$4,1,11-Projects!$C$33+1),0)+IF(AND(Projects!$G$34="Yes",11&gt;=Projects!$C$34,11&lt;Projects!$C$34+Projects!$D$34),Projects!$B$34*INDEX(Curves!$B$4:$AR$4,1,11-Projects!$C$34+1),0)+IF(AND(Projects!$G$35="Yes",11&gt;=Projects!$C$35,11&lt;Projects!$C$35+Projects!$D$35),Projects!$B$35*INDEX(Curves!$B$4:$AR$4,1,11-Projects!$C$35+1),0)+IF(AND(Projects!$G$36="Yes",11&gt;=Projects!$C$36,11&lt;Projects!$C$36+Projects!$D$36),Projects!$B$36*INDEX(Curves!$B$4:$AR$4,1,11-Projects!$C$36+1),0)+IF(AND(Projects!$G$37="Yes",11&gt;=Projects!$C$37,11&lt;Projects!$C$37+Projects!$D$37),Projects!$B$37*INDEX(Curves!$B$4:$AR$4,1,11-Projects!$C$37+1),0)+IF(AND(Projects!$G$38="Yes",11&gt;=Projects!$C$38,11&lt;Projects!$C$38+Projects!$D$38),Projects!$B$38*INDEX(Curves!$B$4:$AR$4,1,11-Projects!$C$38+1),0)+IF(AND(Projects!$G$39="Yes",11&gt;=Projects!$C$39,11&lt;Projects!$C$39+Projects!$D$39),Projects!$B$39*INDEX(Curves!$B$4:$AR$4,1,11-Projects!$C$39+1),0)+IF(AND(Projects!$G$40="Yes",11&gt;=Projects!$C$40,11&lt;Projects!$C$40+Projects!$D$40),Projects!$B$40*INDEX(Curves!$B$4:$AR$4,1,11-Projects!$C$40+1),0)+IF(AND(Projects!$G$41="Yes",11&gt;=Projects!$C$41,11&lt;Projects!$C$41+Projects!$D$41),Projects!$B$41*INDEX(Curves!$B$4:$AR$4,1,11-Projects!$C$41+1),0)+IF(AND(Projects!$G$42="Yes",11&gt;=Projects!$C$42,11&lt;Projects!$C$42+Projects!$D$42),Projects!$B$42*INDEX(Curves!$B$4:$AR$4,1,11-Projects!$C$42+1),0)+IF(AND(Projects!$G$43="Yes",11&gt;=Projects!$C$43,11&lt;Projects!$C$43+Projects!$D$43),Projects!$B$43*INDEX(Curves!$B$4:$AR$4,1,11-Projects!$C$43+1),0)+IF(AND(Projects!$G$44="Yes",11&gt;=Projects!$C$44,11&lt;Projects!$C$44+Projects!$D$44),Projects!$B$44*INDEX(Curves!$B$4:$AR$4,1,11-Projects!$C$44+1),0)+IF(AND(Projects!$G$45="Yes",11&gt;=Projects!$C$45,11&lt;Projects!$C$45+Projects!$D$45),Projects!$B$45*INDEX(Curves!$B$4:$AR$4,1,11-Projects!$C$45+1),0)+IF(AND(Projects!$G$46="Yes",11&gt;=Projects!$C$46,11&lt;Projects!$C$46+Projects!$D$46),Projects!$B$46*INDEX(Curves!$B$4:$AR$4,1,11-Projects!$C$46+1),0)</f>
        <v>0</v>
      </c>
      <c r="Q96" s="59">
        <f>IF(AND(Projects!$G$17="Yes",12&gt;=Projects!$C$17,12&lt;Projects!$C$17+Projects!$D$17),Projects!$B$17*INDEX(Curves!$B$4:$AR$4,1,12-Projects!$C$17+1),0)+IF(AND(Projects!$G$18="Yes",12&gt;=Projects!$C$18,12&lt;Projects!$C$18+Projects!$D$18),Projects!$B$18*INDEX(Curves!$B$4:$AR$4,1,12-Projects!$C$18+1),0)+IF(AND(Projects!$G$19="Yes",12&gt;=Projects!$C$19,12&lt;Projects!$C$19+Projects!$D$19),Projects!$B$19*INDEX(Curves!$B$4:$AR$4,1,12-Projects!$C$19+1),0)+IF(AND(Projects!$G$20="Yes",12&gt;=Projects!$C$20,12&lt;Projects!$C$20+Projects!$D$20),Projects!$B$20*INDEX(Curves!$B$4:$AR$4,1,12-Projects!$C$20+1),0)+IF(AND(Projects!$G$21="Yes",12&gt;=Projects!$C$21,12&lt;Projects!$C$21+Projects!$D$21),Projects!$B$21*INDEX(Curves!$B$4:$AR$4,1,12-Projects!$C$21+1),0)+IF(AND(Projects!$G$22="Yes",12&gt;=Projects!$C$22,12&lt;Projects!$C$22+Projects!$D$22),Projects!$B$22*INDEX(Curves!$B$4:$AR$4,1,12-Projects!$C$22+1),0)+IF(AND(Projects!$G$23="Yes",12&gt;=Projects!$C$23,12&lt;Projects!$C$23+Projects!$D$23),Projects!$B$23*INDEX(Curves!$B$4:$AR$4,1,12-Projects!$C$23+1),0)+IF(AND(Projects!$G$24="Yes",12&gt;=Projects!$C$24,12&lt;Projects!$C$24+Projects!$D$24),Projects!$B$24*INDEX(Curves!$B$4:$AR$4,1,12-Projects!$C$24+1),0)+IF(AND(Projects!$G$25="Yes",12&gt;=Projects!$C$25,12&lt;Projects!$C$25+Projects!$D$25),Projects!$B$25*INDEX(Curves!$B$4:$AR$4,1,12-Projects!$C$25+1),0)+IF(AND(Projects!$G$26="Yes",12&gt;=Projects!$C$26,12&lt;Projects!$C$26+Projects!$D$26),Projects!$B$26*INDEX(Curves!$B$4:$AR$4,1,12-Projects!$C$26+1),0)+IF(AND(Projects!$G$27="Yes",12&gt;=Projects!$C$27,12&lt;Projects!$C$27+Projects!$D$27),Projects!$B$27*INDEX(Curves!$B$4:$AR$4,1,12-Projects!$C$27+1),0)+IF(AND(Projects!$G$28="Yes",12&gt;=Projects!$C$28,12&lt;Projects!$C$28+Projects!$D$28),Projects!$B$28*INDEX(Curves!$B$4:$AR$4,1,12-Projects!$C$28+1),0)+IF(AND(Projects!$G$29="Yes",12&gt;=Projects!$C$29,12&lt;Projects!$C$29+Projects!$D$29),Projects!$B$29*INDEX(Curves!$B$4:$AR$4,1,12-Projects!$C$29+1),0)+IF(AND(Projects!$G$30="Yes",12&gt;=Projects!$C$30,12&lt;Projects!$C$30+Projects!$D$30),Projects!$B$30*INDEX(Curves!$B$4:$AR$4,1,12-Projects!$C$30+1),0)+IF(AND(Projects!$G$31="Yes",12&gt;=Projects!$C$31,12&lt;Projects!$C$31+Projects!$D$31),Projects!$B$31*INDEX(Curves!$B$4:$AR$4,1,12-Projects!$C$31+1),0)+IF(AND(Projects!$G$32="Yes",12&gt;=Projects!$C$32,12&lt;Projects!$C$32+Projects!$D$32),Projects!$B$32*INDEX(Curves!$B$4:$AR$4,1,12-Projects!$C$32+1),0)+IF(AND(Projects!$G$33="Yes",12&gt;=Projects!$C$33,12&lt;Projects!$C$33+Projects!$D$33),Projects!$B$33*INDEX(Curves!$B$4:$AR$4,1,12-Projects!$C$33+1),0)+IF(AND(Projects!$G$34="Yes",12&gt;=Projects!$C$34,12&lt;Projects!$C$34+Projects!$D$34),Projects!$B$34*INDEX(Curves!$B$4:$AR$4,1,12-Projects!$C$34+1),0)+IF(AND(Projects!$G$35="Yes",12&gt;=Projects!$C$35,12&lt;Projects!$C$35+Projects!$D$35),Projects!$B$35*INDEX(Curves!$B$4:$AR$4,1,12-Projects!$C$35+1),0)+IF(AND(Projects!$G$36="Yes",12&gt;=Projects!$C$36,12&lt;Projects!$C$36+Projects!$D$36),Projects!$B$36*INDEX(Curves!$B$4:$AR$4,1,12-Projects!$C$36+1),0)+IF(AND(Projects!$G$37="Yes",12&gt;=Projects!$C$37,12&lt;Projects!$C$37+Projects!$D$37),Projects!$B$37*INDEX(Curves!$B$4:$AR$4,1,12-Projects!$C$37+1),0)+IF(AND(Projects!$G$38="Yes",12&gt;=Projects!$C$38,12&lt;Projects!$C$38+Projects!$D$38),Projects!$B$38*INDEX(Curves!$B$4:$AR$4,1,12-Projects!$C$38+1),0)+IF(AND(Projects!$G$39="Yes",12&gt;=Projects!$C$39,12&lt;Projects!$C$39+Projects!$D$39),Projects!$B$39*INDEX(Curves!$B$4:$AR$4,1,12-Projects!$C$39+1),0)+IF(AND(Projects!$G$40="Yes",12&gt;=Projects!$C$40,12&lt;Projects!$C$40+Projects!$D$40),Projects!$B$40*INDEX(Curves!$B$4:$AR$4,1,12-Projects!$C$40+1),0)+IF(AND(Projects!$G$41="Yes",12&gt;=Projects!$C$41,12&lt;Projects!$C$41+Projects!$D$41),Projects!$B$41*INDEX(Curves!$B$4:$AR$4,1,12-Projects!$C$41+1),0)+IF(AND(Projects!$G$42="Yes",12&gt;=Projects!$C$42,12&lt;Projects!$C$42+Projects!$D$42),Projects!$B$42*INDEX(Curves!$B$4:$AR$4,1,12-Projects!$C$42+1),0)+IF(AND(Projects!$G$43="Yes",12&gt;=Projects!$C$43,12&lt;Projects!$C$43+Projects!$D$43),Projects!$B$43*INDEX(Curves!$B$4:$AR$4,1,12-Projects!$C$43+1),0)+IF(AND(Projects!$G$44="Yes",12&gt;=Projects!$C$44,12&lt;Projects!$C$44+Projects!$D$44),Projects!$B$44*INDEX(Curves!$B$4:$AR$4,1,12-Projects!$C$44+1),0)+IF(AND(Projects!$G$45="Yes",12&gt;=Projects!$C$45,12&lt;Projects!$C$45+Projects!$D$45),Projects!$B$45*INDEX(Curves!$B$4:$AR$4,1,12-Projects!$C$45+1),0)+IF(AND(Projects!$G$46="Yes",12&gt;=Projects!$C$46,12&lt;Projects!$C$46+Projects!$D$46),Projects!$B$46*INDEX(Curves!$B$4:$AR$4,1,12-Projects!$C$46+1),0)</f>
        <v>0</v>
      </c>
      <c r="R96" s="59">
        <f>IF(AND(Projects!$G$17="Yes",13&gt;=Projects!$C$17,13&lt;Projects!$C$17+Projects!$D$17),Projects!$B$17*INDEX(Curves!$B$4:$AR$4,1,13-Projects!$C$17+1),0)+IF(AND(Projects!$G$18="Yes",13&gt;=Projects!$C$18,13&lt;Projects!$C$18+Projects!$D$18),Projects!$B$18*INDEX(Curves!$B$4:$AR$4,1,13-Projects!$C$18+1),0)+IF(AND(Projects!$G$19="Yes",13&gt;=Projects!$C$19,13&lt;Projects!$C$19+Projects!$D$19),Projects!$B$19*INDEX(Curves!$B$4:$AR$4,1,13-Projects!$C$19+1),0)+IF(AND(Projects!$G$20="Yes",13&gt;=Projects!$C$20,13&lt;Projects!$C$20+Projects!$D$20),Projects!$B$20*INDEX(Curves!$B$4:$AR$4,1,13-Projects!$C$20+1),0)+IF(AND(Projects!$G$21="Yes",13&gt;=Projects!$C$21,13&lt;Projects!$C$21+Projects!$D$21),Projects!$B$21*INDEX(Curves!$B$4:$AR$4,1,13-Projects!$C$21+1),0)+IF(AND(Projects!$G$22="Yes",13&gt;=Projects!$C$22,13&lt;Projects!$C$22+Projects!$D$22),Projects!$B$22*INDEX(Curves!$B$4:$AR$4,1,13-Projects!$C$22+1),0)+IF(AND(Projects!$G$23="Yes",13&gt;=Projects!$C$23,13&lt;Projects!$C$23+Projects!$D$23),Projects!$B$23*INDEX(Curves!$B$4:$AR$4,1,13-Projects!$C$23+1),0)+IF(AND(Projects!$G$24="Yes",13&gt;=Projects!$C$24,13&lt;Projects!$C$24+Projects!$D$24),Projects!$B$24*INDEX(Curves!$B$4:$AR$4,1,13-Projects!$C$24+1),0)+IF(AND(Projects!$G$25="Yes",13&gt;=Projects!$C$25,13&lt;Projects!$C$25+Projects!$D$25),Projects!$B$25*INDEX(Curves!$B$4:$AR$4,1,13-Projects!$C$25+1),0)+IF(AND(Projects!$G$26="Yes",13&gt;=Projects!$C$26,13&lt;Projects!$C$26+Projects!$D$26),Projects!$B$26*INDEX(Curves!$B$4:$AR$4,1,13-Projects!$C$26+1),0)+IF(AND(Projects!$G$27="Yes",13&gt;=Projects!$C$27,13&lt;Projects!$C$27+Projects!$D$27),Projects!$B$27*INDEX(Curves!$B$4:$AR$4,1,13-Projects!$C$27+1),0)+IF(AND(Projects!$G$28="Yes",13&gt;=Projects!$C$28,13&lt;Projects!$C$28+Projects!$D$28),Projects!$B$28*INDEX(Curves!$B$4:$AR$4,1,13-Projects!$C$28+1),0)+IF(AND(Projects!$G$29="Yes",13&gt;=Projects!$C$29,13&lt;Projects!$C$29+Projects!$D$29),Projects!$B$29*INDEX(Curves!$B$4:$AR$4,1,13-Projects!$C$29+1),0)+IF(AND(Projects!$G$30="Yes",13&gt;=Projects!$C$30,13&lt;Projects!$C$30+Projects!$D$30),Projects!$B$30*INDEX(Curves!$B$4:$AR$4,1,13-Projects!$C$30+1),0)+IF(AND(Projects!$G$31="Yes",13&gt;=Projects!$C$31,13&lt;Projects!$C$31+Projects!$D$31),Projects!$B$31*INDEX(Curves!$B$4:$AR$4,1,13-Projects!$C$31+1),0)+IF(AND(Projects!$G$32="Yes",13&gt;=Projects!$C$32,13&lt;Projects!$C$32+Projects!$D$32),Projects!$B$32*INDEX(Curves!$B$4:$AR$4,1,13-Projects!$C$32+1),0)+IF(AND(Projects!$G$33="Yes",13&gt;=Projects!$C$33,13&lt;Projects!$C$33+Projects!$D$33),Projects!$B$33*INDEX(Curves!$B$4:$AR$4,1,13-Projects!$C$33+1),0)+IF(AND(Projects!$G$34="Yes",13&gt;=Projects!$C$34,13&lt;Projects!$C$34+Projects!$D$34),Projects!$B$34*INDEX(Curves!$B$4:$AR$4,1,13-Projects!$C$34+1),0)+IF(AND(Projects!$G$35="Yes",13&gt;=Projects!$C$35,13&lt;Projects!$C$35+Projects!$D$35),Projects!$B$35*INDEX(Curves!$B$4:$AR$4,1,13-Projects!$C$35+1),0)+IF(AND(Projects!$G$36="Yes",13&gt;=Projects!$C$36,13&lt;Projects!$C$36+Projects!$D$36),Projects!$B$36*INDEX(Curves!$B$4:$AR$4,1,13-Projects!$C$36+1),0)+IF(AND(Projects!$G$37="Yes",13&gt;=Projects!$C$37,13&lt;Projects!$C$37+Projects!$D$37),Projects!$B$37*INDEX(Curves!$B$4:$AR$4,1,13-Projects!$C$37+1),0)+IF(AND(Projects!$G$38="Yes",13&gt;=Projects!$C$38,13&lt;Projects!$C$38+Projects!$D$38),Projects!$B$38*INDEX(Curves!$B$4:$AR$4,1,13-Projects!$C$38+1),0)+IF(AND(Projects!$G$39="Yes",13&gt;=Projects!$C$39,13&lt;Projects!$C$39+Projects!$D$39),Projects!$B$39*INDEX(Curves!$B$4:$AR$4,1,13-Projects!$C$39+1),0)+IF(AND(Projects!$G$40="Yes",13&gt;=Projects!$C$40,13&lt;Projects!$C$40+Projects!$D$40),Projects!$B$40*INDEX(Curves!$B$4:$AR$4,1,13-Projects!$C$40+1),0)+IF(AND(Projects!$G$41="Yes",13&gt;=Projects!$C$41,13&lt;Projects!$C$41+Projects!$D$41),Projects!$B$41*INDEX(Curves!$B$4:$AR$4,1,13-Projects!$C$41+1),0)+IF(AND(Projects!$G$42="Yes",13&gt;=Projects!$C$42,13&lt;Projects!$C$42+Projects!$D$42),Projects!$B$42*INDEX(Curves!$B$4:$AR$4,1,13-Projects!$C$42+1),0)+IF(AND(Projects!$G$43="Yes",13&gt;=Projects!$C$43,13&lt;Projects!$C$43+Projects!$D$43),Projects!$B$43*INDEX(Curves!$B$4:$AR$4,1,13-Projects!$C$43+1),0)+IF(AND(Projects!$G$44="Yes",13&gt;=Projects!$C$44,13&lt;Projects!$C$44+Projects!$D$44),Projects!$B$44*INDEX(Curves!$B$4:$AR$4,1,13-Projects!$C$44+1),0)+IF(AND(Projects!$G$45="Yes",13&gt;=Projects!$C$45,13&lt;Projects!$C$45+Projects!$D$45),Projects!$B$45*INDEX(Curves!$B$4:$AR$4,1,13-Projects!$C$45+1),0)+IF(AND(Projects!$G$46="Yes",13&gt;=Projects!$C$46,13&lt;Projects!$C$46+Projects!$D$46),Projects!$B$46*INDEX(Curves!$B$4:$AR$4,1,13-Projects!$C$46+1),0)</f>
        <v>0</v>
      </c>
      <c r="S96" s="59">
        <f>IF(AND(Projects!$G$17="Yes",14&gt;=Projects!$C$17,14&lt;Projects!$C$17+Projects!$D$17),Projects!$B$17*INDEX(Curves!$B$4:$AR$4,1,14-Projects!$C$17+1),0)+IF(AND(Projects!$G$18="Yes",14&gt;=Projects!$C$18,14&lt;Projects!$C$18+Projects!$D$18),Projects!$B$18*INDEX(Curves!$B$4:$AR$4,1,14-Projects!$C$18+1),0)+IF(AND(Projects!$G$19="Yes",14&gt;=Projects!$C$19,14&lt;Projects!$C$19+Projects!$D$19),Projects!$B$19*INDEX(Curves!$B$4:$AR$4,1,14-Projects!$C$19+1),0)+IF(AND(Projects!$G$20="Yes",14&gt;=Projects!$C$20,14&lt;Projects!$C$20+Projects!$D$20),Projects!$B$20*INDEX(Curves!$B$4:$AR$4,1,14-Projects!$C$20+1),0)+IF(AND(Projects!$G$21="Yes",14&gt;=Projects!$C$21,14&lt;Projects!$C$21+Projects!$D$21),Projects!$B$21*INDEX(Curves!$B$4:$AR$4,1,14-Projects!$C$21+1),0)+IF(AND(Projects!$G$22="Yes",14&gt;=Projects!$C$22,14&lt;Projects!$C$22+Projects!$D$22),Projects!$B$22*INDEX(Curves!$B$4:$AR$4,1,14-Projects!$C$22+1),0)+IF(AND(Projects!$G$23="Yes",14&gt;=Projects!$C$23,14&lt;Projects!$C$23+Projects!$D$23),Projects!$B$23*INDEX(Curves!$B$4:$AR$4,1,14-Projects!$C$23+1),0)+IF(AND(Projects!$G$24="Yes",14&gt;=Projects!$C$24,14&lt;Projects!$C$24+Projects!$D$24),Projects!$B$24*INDEX(Curves!$B$4:$AR$4,1,14-Projects!$C$24+1),0)+IF(AND(Projects!$G$25="Yes",14&gt;=Projects!$C$25,14&lt;Projects!$C$25+Projects!$D$25),Projects!$B$25*INDEX(Curves!$B$4:$AR$4,1,14-Projects!$C$25+1),0)+IF(AND(Projects!$G$26="Yes",14&gt;=Projects!$C$26,14&lt;Projects!$C$26+Projects!$D$26),Projects!$B$26*INDEX(Curves!$B$4:$AR$4,1,14-Projects!$C$26+1),0)+IF(AND(Projects!$G$27="Yes",14&gt;=Projects!$C$27,14&lt;Projects!$C$27+Projects!$D$27),Projects!$B$27*INDEX(Curves!$B$4:$AR$4,1,14-Projects!$C$27+1),0)+IF(AND(Projects!$G$28="Yes",14&gt;=Projects!$C$28,14&lt;Projects!$C$28+Projects!$D$28),Projects!$B$28*INDEX(Curves!$B$4:$AR$4,1,14-Projects!$C$28+1),0)+IF(AND(Projects!$G$29="Yes",14&gt;=Projects!$C$29,14&lt;Projects!$C$29+Projects!$D$29),Projects!$B$29*INDEX(Curves!$B$4:$AR$4,1,14-Projects!$C$29+1),0)+IF(AND(Projects!$G$30="Yes",14&gt;=Projects!$C$30,14&lt;Projects!$C$30+Projects!$D$30),Projects!$B$30*INDEX(Curves!$B$4:$AR$4,1,14-Projects!$C$30+1),0)+IF(AND(Projects!$G$31="Yes",14&gt;=Projects!$C$31,14&lt;Projects!$C$31+Projects!$D$31),Projects!$B$31*INDEX(Curves!$B$4:$AR$4,1,14-Projects!$C$31+1),0)+IF(AND(Projects!$G$32="Yes",14&gt;=Projects!$C$32,14&lt;Projects!$C$32+Projects!$D$32),Projects!$B$32*INDEX(Curves!$B$4:$AR$4,1,14-Projects!$C$32+1),0)+IF(AND(Projects!$G$33="Yes",14&gt;=Projects!$C$33,14&lt;Projects!$C$33+Projects!$D$33),Projects!$B$33*INDEX(Curves!$B$4:$AR$4,1,14-Projects!$C$33+1),0)+IF(AND(Projects!$G$34="Yes",14&gt;=Projects!$C$34,14&lt;Projects!$C$34+Projects!$D$34),Projects!$B$34*INDEX(Curves!$B$4:$AR$4,1,14-Projects!$C$34+1),0)+IF(AND(Projects!$G$35="Yes",14&gt;=Projects!$C$35,14&lt;Projects!$C$35+Projects!$D$35),Projects!$B$35*INDEX(Curves!$B$4:$AR$4,1,14-Projects!$C$35+1),0)+IF(AND(Projects!$G$36="Yes",14&gt;=Projects!$C$36,14&lt;Projects!$C$36+Projects!$D$36),Projects!$B$36*INDEX(Curves!$B$4:$AR$4,1,14-Projects!$C$36+1),0)+IF(AND(Projects!$G$37="Yes",14&gt;=Projects!$C$37,14&lt;Projects!$C$37+Projects!$D$37),Projects!$B$37*INDEX(Curves!$B$4:$AR$4,1,14-Projects!$C$37+1),0)+IF(AND(Projects!$G$38="Yes",14&gt;=Projects!$C$38,14&lt;Projects!$C$38+Projects!$D$38),Projects!$B$38*INDEX(Curves!$B$4:$AR$4,1,14-Projects!$C$38+1),0)+IF(AND(Projects!$G$39="Yes",14&gt;=Projects!$C$39,14&lt;Projects!$C$39+Projects!$D$39),Projects!$B$39*INDEX(Curves!$B$4:$AR$4,1,14-Projects!$C$39+1),0)+IF(AND(Projects!$G$40="Yes",14&gt;=Projects!$C$40,14&lt;Projects!$C$40+Projects!$D$40),Projects!$B$40*INDEX(Curves!$B$4:$AR$4,1,14-Projects!$C$40+1),0)+IF(AND(Projects!$G$41="Yes",14&gt;=Projects!$C$41,14&lt;Projects!$C$41+Projects!$D$41),Projects!$B$41*INDEX(Curves!$B$4:$AR$4,1,14-Projects!$C$41+1),0)+IF(AND(Projects!$G$42="Yes",14&gt;=Projects!$C$42,14&lt;Projects!$C$42+Projects!$D$42),Projects!$B$42*INDEX(Curves!$B$4:$AR$4,1,14-Projects!$C$42+1),0)+IF(AND(Projects!$G$43="Yes",14&gt;=Projects!$C$43,14&lt;Projects!$C$43+Projects!$D$43),Projects!$B$43*INDEX(Curves!$B$4:$AR$4,1,14-Projects!$C$43+1),0)+IF(AND(Projects!$G$44="Yes",14&gt;=Projects!$C$44,14&lt;Projects!$C$44+Projects!$D$44),Projects!$B$44*INDEX(Curves!$B$4:$AR$4,1,14-Projects!$C$44+1),0)+IF(AND(Projects!$G$45="Yes",14&gt;=Projects!$C$45,14&lt;Projects!$C$45+Projects!$D$45),Projects!$B$45*INDEX(Curves!$B$4:$AR$4,1,14-Projects!$C$45+1),0)+IF(AND(Projects!$G$46="Yes",14&gt;=Projects!$C$46,14&lt;Projects!$C$46+Projects!$D$46),Projects!$B$46*INDEX(Curves!$B$4:$AR$4,1,14-Projects!$C$46+1),0)</f>
        <v>0</v>
      </c>
      <c r="T96" s="59">
        <f>IF(AND(Projects!$G$17="Yes",15&gt;=Projects!$C$17,15&lt;Projects!$C$17+Projects!$D$17),Projects!$B$17*INDEX(Curves!$B$4:$AR$4,1,15-Projects!$C$17+1),0)+IF(AND(Projects!$G$18="Yes",15&gt;=Projects!$C$18,15&lt;Projects!$C$18+Projects!$D$18),Projects!$B$18*INDEX(Curves!$B$4:$AR$4,1,15-Projects!$C$18+1),0)+IF(AND(Projects!$G$19="Yes",15&gt;=Projects!$C$19,15&lt;Projects!$C$19+Projects!$D$19),Projects!$B$19*INDEX(Curves!$B$4:$AR$4,1,15-Projects!$C$19+1),0)+IF(AND(Projects!$G$20="Yes",15&gt;=Projects!$C$20,15&lt;Projects!$C$20+Projects!$D$20),Projects!$B$20*INDEX(Curves!$B$4:$AR$4,1,15-Projects!$C$20+1),0)+IF(AND(Projects!$G$21="Yes",15&gt;=Projects!$C$21,15&lt;Projects!$C$21+Projects!$D$21),Projects!$B$21*INDEX(Curves!$B$4:$AR$4,1,15-Projects!$C$21+1),0)+IF(AND(Projects!$G$22="Yes",15&gt;=Projects!$C$22,15&lt;Projects!$C$22+Projects!$D$22),Projects!$B$22*INDEX(Curves!$B$4:$AR$4,1,15-Projects!$C$22+1),0)+IF(AND(Projects!$G$23="Yes",15&gt;=Projects!$C$23,15&lt;Projects!$C$23+Projects!$D$23),Projects!$B$23*INDEX(Curves!$B$4:$AR$4,1,15-Projects!$C$23+1),0)+IF(AND(Projects!$G$24="Yes",15&gt;=Projects!$C$24,15&lt;Projects!$C$24+Projects!$D$24),Projects!$B$24*INDEX(Curves!$B$4:$AR$4,1,15-Projects!$C$24+1),0)+IF(AND(Projects!$G$25="Yes",15&gt;=Projects!$C$25,15&lt;Projects!$C$25+Projects!$D$25),Projects!$B$25*INDEX(Curves!$B$4:$AR$4,1,15-Projects!$C$25+1),0)+IF(AND(Projects!$G$26="Yes",15&gt;=Projects!$C$26,15&lt;Projects!$C$26+Projects!$D$26),Projects!$B$26*INDEX(Curves!$B$4:$AR$4,1,15-Projects!$C$26+1),0)+IF(AND(Projects!$G$27="Yes",15&gt;=Projects!$C$27,15&lt;Projects!$C$27+Projects!$D$27),Projects!$B$27*INDEX(Curves!$B$4:$AR$4,1,15-Projects!$C$27+1),0)+IF(AND(Projects!$G$28="Yes",15&gt;=Projects!$C$28,15&lt;Projects!$C$28+Projects!$D$28),Projects!$B$28*INDEX(Curves!$B$4:$AR$4,1,15-Projects!$C$28+1),0)+IF(AND(Projects!$G$29="Yes",15&gt;=Projects!$C$29,15&lt;Projects!$C$29+Projects!$D$29),Projects!$B$29*INDEX(Curves!$B$4:$AR$4,1,15-Projects!$C$29+1),0)+IF(AND(Projects!$G$30="Yes",15&gt;=Projects!$C$30,15&lt;Projects!$C$30+Projects!$D$30),Projects!$B$30*INDEX(Curves!$B$4:$AR$4,1,15-Projects!$C$30+1),0)+IF(AND(Projects!$G$31="Yes",15&gt;=Projects!$C$31,15&lt;Projects!$C$31+Projects!$D$31),Projects!$B$31*INDEX(Curves!$B$4:$AR$4,1,15-Projects!$C$31+1),0)+IF(AND(Projects!$G$32="Yes",15&gt;=Projects!$C$32,15&lt;Projects!$C$32+Projects!$D$32),Projects!$B$32*INDEX(Curves!$B$4:$AR$4,1,15-Projects!$C$32+1),0)+IF(AND(Projects!$G$33="Yes",15&gt;=Projects!$C$33,15&lt;Projects!$C$33+Projects!$D$33),Projects!$B$33*INDEX(Curves!$B$4:$AR$4,1,15-Projects!$C$33+1),0)+IF(AND(Projects!$G$34="Yes",15&gt;=Projects!$C$34,15&lt;Projects!$C$34+Projects!$D$34),Projects!$B$34*INDEX(Curves!$B$4:$AR$4,1,15-Projects!$C$34+1),0)+IF(AND(Projects!$G$35="Yes",15&gt;=Projects!$C$35,15&lt;Projects!$C$35+Projects!$D$35),Projects!$B$35*INDEX(Curves!$B$4:$AR$4,1,15-Projects!$C$35+1),0)+IF(AND(Projects!$G$36="Yes",15&gt;=Projects!$C$36,15&lt;Projects!$C$36+Projects!$D$36),Projects!$B$36*INDEX(Curves!$B$4:$AR$4,1,15-Projects!$C$36+1),0)+IF(AND(Projects!$G$37="Yes",15&gt;=Projects!$C$37,15&lt;Projects!$C$37+Projects!$D$37),Projects!$B$37*INDEX(Curves!$B$4:$AR$4,1,15-Projects!$C$37+1),0)+IF(AND(Projects!$G$38="Yes",15&gt;=Projects!$C$38,15&lt;Projects!$C$38+Projects!$D$38),Projects!$B$38*INDEX(Curves!$B$4:$AR$4,1,15-Projects!$C$38+1),0)+IF(AND(Projects!$G$39="Yes",15&gt;=Projects!$C$39,15&lt;Projects!$C$39+Projects!$D$39),Projects!$B$39*INDEX(Curves!$B$4:$AR$4,1,15-Projects!$C$39+1),0)+IF(AND(Projects!$G$40="Yes",15&gt;=Projects!$C$40,15&lt;Projects!$C$40+Projects!$D$40),Projects!$B$40*INDEX(Curves!$B$4:$AR$4,1,15-Projects!$C$40+1),0)+IF(AND(Projects!$G$41="Yes",15&gt;=Projects!$C$41,15&lt;Projects!$C$41+Projects!$D$41),Projects!$B$41*INDEX(Curves!$B$4:$AR$4,1,15-Projects!$C$41+1),0)+IF(AND(Projects!$G$42="Yes",15&gt;=Projects!$C$42,15&lt;Projects!$C$42+Projects!$D$42),Projects!$B$42*INDEX(Curves!$B$4:$AR$4,1,15-Projects!$C$42+1),0)+IF(AND(Projects!$G$43="Yes",15&gt;=Projects!$C$43,15&lt;Projects!$C$43+Projects!$D$43),Projects!$B$43*INDEX(Curves!$B$4:$AR$4,1,15-Projects!$C$43+1),0)+IF(AND(Projects!$G$44="Yes",15&gt;=Projects!$C$44,15&lt;Projects!$C$44+Projects!$D$44),Projects!$B$44*INDEX(Curves!$B$4:$AR$4,1,15-Projects!$C$44+1),0)+IF(AND(Projects!$G$45="Yes",15&gt;=Projects!$C$45,15&lt;Projects!$C$45+Projects!$D$45),Projects!$B$45*INDEX(Curves!$B$4:$AR$4,1,15-Projects!$C$45+1),0)+IF(AND(Projects!$G$46="Yes",15&gt;=Projects!$C$46,15&lt;Projects!$C$46+Projects!$D$46),Projects!$B$46*INDEX(Curves!$B$4:$AR$4,1,15-Projects!$C$46+1),0)</f>
        <v>0</v>
      </c>
      <c r="U96" s="59">
        <f>IF(AND(Projects!$G$17="Yes",16&gt;=Projects!$C$17,16&lt;Projects!$C$17+Projects!$D$17),Projects!$B$17*INDEX(Curves!$B$4:$AR$4,1,16-Projects!$C$17+1),0)+IF(AND(Projects!$G$18="Yes",16&gt;=Projects!$C$18,16&lt;Projects!$C$18+Projects!$D$18),Projects!$B$18*INDEX(Curves!$B$4:$AR$4,1,16-Projects!$C$18+1),0)+IF(AND(Projects!$G$19="Yes",16&gt;=Projects!$C$19,16&lt;Projects!$C$19+Projects!$D$19),Projects!$B$19*INDEX(Curves!$B$4:$AR$4,1,16-Projects!$C$19+1),0)+IF(AND(Projects!$G$20="Yes",16&gt;=Projects!$C$20,16&lt;Projects!$C$20+Projects!$D$20),Projects!$B$20*INDEX(Curves!$B$4:$AR$4,1,16-Projects!$C$20+1),0)+IF(AND(Projects!$G$21="Yes",16&gt;=Projects!$C$21,16&lt;Projects!$C$21+Projects!$D$21),Projects!$B$21*INDEX(Curves!$B$4:$AR$4,1,16-Projects!$C$21+1),0)+IF(AND(Projects!$G$22="Yes",16&gt;=Projects!$C$22,16&lt;Projects!$C$22+Projects!$D$22),Projects!$B$22*INDEX(Curves!$B$4:$AR$4,1,16-Projects!$C$22+1),0)+IF(AND(Projects!$G$23="Yes",16&gt;=Projects!$C$23,16&lt;Projects!$C$23+Projects!$D$23),Projects!$B$23*INDEX(Curves!$B$4:$AR$4,1,16-Projects!$C$23+1),0)+IF(AND(Projects!$G$24="Yes",16&gt;=Projects!$C$24,16&lt;Projects!$C$24+Projects!$D$24),Projects!$B$24*INDEX(Curves!$B$4:$AR$4,1,16-Projects!$C$24+1),0)+IF(AND(Projects!$G$25="Yes",16&gt;=Projects!$C$25,16&lt;Projects!$C$25+Projects!$D$25),Projects!$B$25*INDEX(Curves!$B$4:$AR$4,1,16-Projects!$C$25+1),0)+IF(AND(Projects!$G$26="Yes",16&gt;=Projects!$C$26,16&lt;Projects!$C$26+Projects!$D$26),Projects!$B$26*INDEX(Curves!$B$4:$AR$4,1,16-Projects!$C$26+1),0)+IF(AND(Projects!$G$27="Yes",16&gt;=Projects!$C$27,16&lt;Projects!$C$27+Projects!$D$27),Projects!$B$27*INDEX(Curves!$B$4:$AR$4,1,16-Projects!$C$27+1),0)+IF(AND(Projects!$G$28="Yes",16&gt;=Projects!$C$28,16&lt;Projects!$C$28+Projects!$D$28),Projects!$B$28*INDEX(Curves!$B$4:$AR$4,1,16-Projects!$C$28+1),0)+IF(AND(Projects!$G$29="Yes",16&gt;=Projects!$C$29,16&lt;Projects!$C$29+Projects!$D$29),Projects!$B$29*INDEX(Curves!$B$4:$AR$4,1,16-Projects!$C$29+1),0)+IF(AND(Projects!$G$30="Yes",16&gt;=Projects!$C$30,16&lt;Projects!$C$30+Projects!$D$30),Projects!$B$30*INDEX(Curves!$B$4:$AR$4,1,16-Projects!$C$30+1),0)+IF(AND(Projects!$G$31="Yes",16&gt;=Projects!$C$31,16&lt;Projects!$C$31+Projects!$D$31),Projects!$B$31*INDEX(Curves!$B$4:$AR$4,1,16-Projects!$C$31+1),0)+IF(AND(Projects!$G$32="Yes",16&gt;=Projects!$C$32,16&lt;Projects!$C$32+Projects!$D$32),Projects!$B$32*INDEX(Curves!$B$4:$AR$4,1,16-Projects!$C$32+1),0)+IF(AND(Projects!$G$33="Yes",16&gt;=Projects!$C$33,16&lt;Projects!$C$33+Projects!$D$33),Projects!$B$33*INDEX(Curves!$B$4:$AR$4,1,16-Projects!$C$33+1),0)+IF(AND(Projects!$G$34="Yes",16&gt;=Projects!$C$34,16&lt;Projects!$C$34+Projects!$D$34),Projects!$B$34*INDEX(Curves!$B$4:$AR$4,1,16-Projects!$C$34+1),0)+IF(AND(Projects!$G$35="Yes",16&gt;=Projects!$C$35,16&lt;Projects!$C$35+Projects!$D$35),Projects!$B$35*INDEX(Curves!$B$4:$AR$4,1,16-Projects!$C$35+1),0)+IF(AND(Projects!$G$36="Yes",16&gt;=Projects!$C$36,16&lt;Projects!$C$36+Projects!$D$36),Projects!$B$36*INDEX(Curves!$B$4:$AR$4,1,16-Projects!$C$36+1),0)+IF(AND(Projects!$G$37="Yes",16&gt;=Projects!$C$37,16&lt;Projects!$C$37+Projects!$D$37),Projects!$B$37*INDEX(Curves!$B$4:$AR$4,1,16-Projects!$C$37+1),0)+IF(AND(Projects!$G$38="Yes",16&gt;=Projects!$C$38,16&lt;Projects!$C$38+Projects!$D$38),Projects!$B$38*INDEX(Curves!$B$4:$AR$4,1,16-Projects!$C$38+1),0)+IF(AND(Projects!$G$39="Yes",16&gt;=Projects!$C$39,16&lt;Projects!$C$39+Projects!$D$39),Projects!$B$39*INDEX(Curves!$B$4:$AR$4,1,16-Projects!$C$39+1),0)+IF(AND(Projects!$G$40="Yes",16&gt;=Projects!$C$40,16&lt;Projects!$C$40+Projects!$D$40),Projects!$B$40*INDEX(Curves!$B$4:$AR$4,1,16-Projects!$C$40+1),0)+IF(AND(Projects!$G$41="Yes",16&gt;=Projects!$C$41,16&lt;Projects!$C$41+Projects!$D$41),Projects!$B$41*INDEX(Curves!$B$4:$AR$4,1,16-Projects!$C$41+1),0)+IF(AND(Projects!$G$42="Yes",16&gt;=Projects!$C$42,16&lt;Projects!$C$42+Projects!$D$42),Projects!$B$42*INDEX(Curves!$B$4:$AR$4,1,16-Projects!$C$42+1),0)+IF(AND(Projects!$G$43="Yes",16&gt;=Projects!$C$43,16&lt;Projects!$C$43+Projects!$D$43),Projects!$B$43*INDEX(Curves!$B$4:$AR$4,1,16-Projects!$C$43+1),0)+IF(AND(Projects!$G$44="Yes",16&gt;=Projects!$C$44,16&lt;Projects!$C$44+Projects!$D$44),Projects!$B$44*INDEX(Curves!$B$4:$AR$4,1,16-Projects!$C$44+1),0)+IF(AND(Projects!$G$45="Yes",16&gt;=Projects!$C$45,16&lt;Projects!$C$45+Projects!$D$45),Projects!$B$45*INDEX(Curves!$B$4:$AR$4,1,16-Projects!$C$45+1),0)+IF(AND(Projects!$G$46="Yes",16&gt;=Projects!$C$46,16&lt;Projects!$C$46+Projects!$D$46),Projects!$B$46*INDEX(Curves!$B$4:$AR$4,1,16-Projects!$C$46+1),0)</f>
        <v>0</v>
      </c>
      <c r="V96" s="59">
        <f>IF(AND(Projects!$G$17="Yes",17&gt;=Projects!$C$17,17&lt;Projects!$C$17+Projects!$D$17),Projects!$B$17*INDEX(Curves!$B$4:$AR$4,1,17-Projects!$C$17+1),0)+IF(AND(Projects!$G$18="Yes",17&gt;=Projects!$C$18,17&lt;Projects!$C$18+Projects!$D$18),Projects!$B$18*INDEX(Curves!$B$4:$AR$4,1,17-Projects!$C$18+1),0)+IF(AND(Projects!$G$19="Yes",17&gt;=Projects!$C$19,17&lt;Projects!$C$19+Projects!$D$19),Projects!$B$19*INDEX(Curves!$B$4:$AR$4,1,17-Projects!$C$19+1),0)+IF(AND(Projects!$G$20="Yes",17&gt;=Projects!$C$20,17&lt;Projects!$C$20+Projects!$D$20),Projects!$B$20*INDEX(Curves!$B$4:$AR$4,1,17-Projects!$C$20+1),0)+IF(AND(Projects!$G$21="Yes",17&gt;=Projects!$C$21,17&lt;Projects!$C$21+Projects!$D$21),Projects!$B$21*INDEX(Curves!$B$4:$AR$4,1,17-Projects!$C$21+1),0)+IF(AND(Projects!$G$22="Yes",17&gt;=Projects!$C$22,17&lt;Projects!$C$22+Projects!$D$22),Projects!$B$22*INDEX(Curves!$B$4:$AR$4,1,17-Projects!$C$22+1),0)+IF(AND(Projects!$G$23="Yes",17&gt;=Projects!$C$23,17&lt;Projects!$C$23+Projects!$D$23),Projects!$B$23*INDEX(Curves!$B$4:$AR$4,1,17-Projects!$C$23+1),0)+IF(AND(Projects!$G$24="Yes",17&gt;=Projects!$C$24,17&lt;Projects!$C$24+Projects!$D$24),Projects!$B$24*INDEX(Curves!$B$4:$AR$4,1,17-Projects!$C$24+1),0)+IF(AND(Projects!$G$25="Yes",17&gt;=Projects!$C$25,17&lt;Projects!$C$25+Projects!$D$25),Projects!$B$25*INDEX(Curves!$B$4:$AR$4,1,17-Projects!$C$25+1),0)+IF(AND(Projects!$G$26="Yes",17&gt;=Projects!$C$26,17&lt;Projects!$C$26+Projects!$D$26),Projects!$B$26*INDEX(Curves!$B$4:$AR$4,1,17-Projects!$C$26+1),0)+IF(AND(Projects!$G$27="Yes",17&gt;=Projects!$C$27,17&lt;Projects!$C$27+Projects!$D$27),Projects!$B$27*INDEX(Curves!$B$4:$AR$4,1,17-Projects!$C$27+1),0)+IF(AND(Projects!$G$28="Yes",17&gt;=Projects!$C$28,17&lt;Projects!$C$28+Projects!$D$28),Projects!$B$28*INDEX(Curves!$B$4:$AR$4,1,17-Projects!$C$28+1),0)+IF(AND(Projects!$G$29="Yes",17&gt;=Projects!$C$29,17&lt;Projects!$C$29+Projects!$D$29),Projects!$B$29*INDEX(Curves!$B$4:$AR$4,1,17-Projects!$C$29+1),0)+IF(AND(Projects!$G$30="Yes",17&gt;=Projects!$C$30,17&lt;Projects!$C$30+Projects!$D$30),Projects!$B$30*INDEX(Curves!$B$4:$AR$4,1,17-Projects!$C$30+1),0)+IF(AND(Projects!$G$31="Yes",17&gt;=Projects!$C$31,17&lt;Projects!$C$31+Projects!$D$31),Projects!$B$31*INDEX(Curves!$B$4:$AR$4,1,17-Projects!$C$31+1),0)+IF(AND(Projects!$G$32="Yes",17&gt;=Projects!$C$32,17&lt;Projects!$C$32+Projects!$D$32),Projects!$B$32*INDEX(Curves!$B$4:$AR$4,1,17-Projects!$C$32+1),0)+IF(AND(Projects!$G$33="Yes",17&gt;=Projects!$C$33,17&lt;Projects!$C$33+Projects!$D$33),Projects!$B$33*INDEX(Curves!$B$4:$AR$4,1,17-Projects!$C$33+1),0)+IF(AND(Projects!$G$34="Yes",17&gt;=Projects!$C$34,17&lt;Projects!$C$34+Projects!$D$34),Projects!$B$34*INDEX(Curves!$B$4:$AR$4,1,17-Projects!$C$34+1),0)+IF(AND(Projects!$G$35="Yes",17&gt;=Projects!$C$35,17&lt;Projects!$C$35+Projects!$D$35),Projects!$B$35*INDEX(Curves!$B$4:$AR$4,1,17-Projects!$C$35+1),0)+IF(AND(Projects!$G$36="Yes",17&gt;=Projects!$C$36,17&lt;Projects!$C$36+Projects!$D$36),Projects!$B$36*INDEX(Curves!$B$4:$AR$4,1,17-Projects!$C$36+1),0)+IF(AND(Projects!$G$37="Yes",17&gt;=Projects!$C$37,17&lt;Projects!$C$37+Projects!$D$37),Projects!$B$37*INDEX(Curves!$B$4:$AR$4,1,17-Projects!$C$37+1),0)+IF(AND(Projects!$G$38="Yes",17&gt;=Projects!$C$38,17&lt;Projects!$C$38+Projects!$D$38),Projects!$B$38*INDEX(Curves!$B$4:$AR$4,1,17-Projects!$C$38+1),0)+IF(AND(Projects!$G$39="Yes",17&gt;=Projects!$C$39,17&lt;Projects!$C$39+Projects!$D$39),Projects!$B$39*INDEX(Curves!$B$4:$AR$4,1,17-Projects!$C$39+1),0)+IF(AND(Projects!$G$40="Yes",17&gt;=Projects!$C$40,17&lt;Projects!$C$40+Projects!$D$40),Projects!$B$40*INDEX(Curves!$B$4:$AR$4,1,17-Projects!$C$40+1),0)+IF(AND(Projects!$G$41="Yes",17&gt;=Projects!$C$41,17&lt;Projects!$C$41+Projects!$D$41),Projects!$B$41*INDEX(Curves!$B$4:$AR$4,1,17-Projects!$C$41+1),0)+IF(AND(Projects!$G$42="Yes",17&gt;=Projects!$C$42,17&lt;Projects!$C$42+Projects!$D$42),Projects!$B$42*INDEX(Curves!$B$4:$AR$4,1,17-Projects!$C$42+1),0)+IF(AND(Projects!$G$43="Yes",17&gt;=Projects!$C$43,17&lt;Projects!$C$43+Projects!$D$43),Projects!$B$43*INDEX(Curves!$B$4:$AR$4,1,17-Projects!$C$43+1),0)+IF(AND(Projects!$G$44="Yes",17&gt;=Projects!$C$44,17&lt;Projects!$C$44+Projects!$D$44),Projects!$B$44*INDEX(Curves!$B$4:$AR$4,1,17-Projects!$C$44+1),0)+IF(AND(Projects!$G$45="Yes",17&gt;=Projects!$C$45,17&lt;Projects!$C$45+Projects!$D$45),Projects!$B$45*INDEX(Curves!$B$4:$AR$4,1,17-Projects!$C$45+1),0)+IF(AND(Projects!$G$46="Yes",17&gt;=Projects!$C$46,17&lt;Projects!$C$46+Projects!$D$46),Projects!$B$46*INDEX(Curves!$B$4:$AR$4,1,17-Projects!$C$46+1),0)</f>
        <v>0</v>
      </c>
      <c r="W96" s="59">
        <f>IF(AND(Projects!$G$17="Yes",18&gt;=Projects!$C$17,18&lt;Projects!$C$17+Projects!$D$17),Projects!$B$17*INDEX(Curves!$B$4:$AR$4,1,18-Projects!$C$17+1),0)+IF(AND(Projects!$G$18="Yes",18&gt;=Projects!$C$18,18&lt;Projects!$C$18+Projects!$D$18),Projects!$B$18*INDEX(Curves!$B$4:$AR$4,1,18-Projects!$C$18+1),0)+IF(AND(Projects!$G$19="Yes",18&gt;=Projects!$C$19,18&lt;Projects!$C$19+Projects!$D$19),Projects!$B$19*INDEX(Curves!$B$4:$AR$4,1,18-Projects!$C$19+1),0)+IF(AND(Projects!$G$20="Yes",18&gt;=Projects!$C$20,18&lt;Projects!$C$20+Projects!$D$20),Projects!$B$20*INDEX(Curves!$B$4:$AR$4,1,18-Projects!$C$20+1),0)+IF(AND(Projects!$G$21="Yes",18&gt;=Projects!$C$21,18&lt;Projects!$C$21+Projects!$D$21),Projects!$B$21*INDEX(Curves!$B$4:$AR$4,1,18-Projects!$C$21+1),0)+IF(AND(Projects!$G$22="Yes",18&gt;=Projects!$C$22,18&lt;Projects!$C$22+Projects!$D$22),Projects!$B$22*INDEX(Curves!$B$4:$AR$4,1,18-Projects!$C$22+1),0)+IF(AND(Projects!$G$23="Yes",18&gt;=Projects!$C$23,18&lt;Projects!$C$23+Projects!$D$23),Projects!$B$23*INDEX(Curves!$B$4:$AR$4,1,18-Projects!$C$23+1),0)+IF(AND(Projects!$G$24="Yes",18&gt;=Projects!$C$24,18&lt;Projects!$C$24+Projects!$D$24),Projects!$B$24*INDEX(Curves!$B$4:$AR$4,1,18-Projects!$C$24+1),0)+IF(AND(Projects!$G$25="Yes",18&gt;=Projects!$C$25,18&lt;Projects!$C$25+Projects!$D$25),Projects!$B$25*INDEX(Curves!$B$4:$AR$4,1,18-Projects!$C$25+1),0)+IF(AND(Projects!$G$26="Yes",18&gt;=Projects!$C$26,18&lt;Projects!$C$26+Projects!$D$26),Projects!$B$26*INDEX(Curves!$B$4:$AR$4,1,18-Projects!$C$26+1),0)+IF(AND(Projects!$G$27="Yes",18&gt;=Projects!$C$27,18&lt;Projects!$C$27+Projects!$D$27),Projects!$B$27*INDEX(Curves!$B$4:$AR$4,1,18-Projects!$C$27+1),0)+IF(AND(Projects!$G$28="Yes",18&gt;=Projects!$C$28,18&lt;Projects!$C$28+Projects!$D$28),Projects!$B$28*INDEX(Curves!$B$4:$AR$4,1,18-Projects!$C$28+1),0)+IF(AND(Projects!$G$29="Yes",18&gt;=Projects!$C$29,18&lt;Projects!$C$29+Projects!$D$29),Projects!$B$29*INDEX(Curves!$B$4:$AR$4,1,18-Projects!$C$29+1),0)+IF(AND(Projects!$G$30="Yes",18&gt;=Projects!$C$30,18&lt;Projects!$C$30+Projects!$D$30),Projects!$B$30*INDEX(Curves!$B$4:$AR$4,1,18-Projects!$C$30+1),0)+IF(AND(Projects!$G$31="Yes",18&gt;=Projects!$C$31,18&lt;Projects!$C$31+Projects!$D$31),Projects!$B$31*INDEX(Curves!$B$4:$AR$4,1,18-Projects!$C$31+1),0)+IF(AND(Projects!$G$32="Yes",18&gt;=Projects!$C$32,18&lt;Projects!$C$32+Projects!$D$32),Projects!$B$32*INDEX(Curves!$B$4:$AR$4,1,18-Projects!$C$32+1),0)+IF(AND(Projects!$G$33="Yes",18&gt;=Projects!$C$33,18&lt;Projects!$C$33+Projects!$D$33),Projects!$B$33*INDEX(Curves!$B$4:$AR$4,1,18-Projects!$C$33+1),0)+IF(AND(Projects!$G$34="Yes",18&gt;=Projects!$C$34,18&lt;Projects!$C$34+Projects!$D$34),Projects!$B$34*INDEX(Curves!$B$4:$AR$4,1,18-Projects!$C$34+1),0)+IF(AND(Projects!$G$35="Yes",18&gt;=Projects!$C$35,18&lt;Projects!$C$35+Projects!$D$35),Projects!$B$35*INDEX(Curves!$B$4:$AR$4,1,18-Projects!$C$35+1),0)+IF(AND(Projects!$G$36="Yes",18&gt;=Projects!$C$36,18&lt;Projects!$C$36+Projects!$D$36),Projects!$B$36*INDEX(Curves!$B$4:$AR$4,1,18-Projects!$C$36+1),0)+IF(AND(Projects!$G$37="Yes",18&gt;=Projects!$C$37,18&lt;Projects!$C$37+Projects!$D$37),Projects!$B$37*INDEX(Curves!$B$4:$AR$4,1,18-Projects!$C$37+1),0)+IF(AND(Projects!$G$38="Yes",18&gt;=Projects!$C$38,18&lt;Projects!$C$38+Projects!$D$38),Projects!$B$38*INDEX(Curves!$B$4:$AR$4,1,18-Projects!$C$38+1),0)+IF(AND(Projects!$G$39="Yes",18&gt;=Projects!$C$39,18&lt;Projects!$C$39+Projects!$D$39),Projects!$B$39*INDEX(Curves!$B$4:$AR$4,1,18-Projects!$C$39+1),0)+IF(AND(Projects!$G$40="Yes",18&gt;=Projects!$C$40,18&lt;Projects!$C$40+Projects!$D$40),Projects!$B$40*INDEX(Curves!$B$4:$AR$4,1,18-Projects!$C$40+1),0)+IF(AND(Projects!$G$41="Yes",18&gt;=Projects!$C$41,18&lt;Projects!$C$41+Projects!$D$41),Projects!$B$41*INDEX(Curves!$B$4:$AR$4,1,18-Projects!$C$41+1),0)+IF(AND(Projects!$G$42="Yes",18&gt;=Projects!$C$42,18&lt;Projects!$C$42+Projects!$D$42),Projects!$B$42*INDEX(Curves!$B$4:$AR$4,1,18-Projects!$C$42+1),0)+IF(AND(Projects!$G$43="Yes",18&gt;=Projects!$C$43,18&lt;Projects!$C$43+Projects!$D$43),Projects!$B$43*INDEX(Curves!$B$4:$AR$4,1,18-Projects!$C$43+1),0)+IF(AND(Projects!$G$44="Yes",18&gt;=Projects!$C$44,18&lt;Projects!$C$44+Projects!$D$44),Projects!$B$44*INDEX(Curves!$B$4:$AR$4,1,18-Projects!$C$44+1),0)+IF(AND(Projects!$G$45="Yes",18&gt;=Projects!$C$45,18&lt;Projects!$C$45+Projects!$D$45),Projects!$B$45*INDEX(Curves!$B$4:$AR$4,1,18-Projects!$C$45+1),0)+IF(AND(Projects!$G$46="Yes",18&gt;=Projects!$C$46,18&lt;Projects!$C$46+Projects!$D$46),Projects!$B$46*INDEX(Curves!$B$4:$AR$4,1,18-Projects!$C$46+1),0)</f>
        <v>0</v>
      </c>
      <c r="X96" s="59">
        <f>IF(AND(Projects!$G$17="Yes",19&gt;=Projects!$C$17,19&lt;Projects!$C$17+Projects!$D$17),Projects!$B$17*INDEX(Curves!$B$4:$AR$4,1,19-Projects!$C$17+1),0)+IF(AND(Projects!$G$18="Yes",19&gt;=Projects!$C$18,19&lt;Projects!$C$18+Projects!$D$18),Projects!$B$18*INDEX(Curves!$B$4:$AR$4,1,19-Projects!$C$18+1),0)+IF(AND(Projects!$G$19="Yes",19&gt;=Projects!$C$19,19&lt;Projects!$C$19+Projects!$D$19),Projects!$B$19*INDEX(Curves!$B$4:$AR$4,1,19-Projects!$C$19+1),0)+IF(AND(Projects!$G$20="Yes",19&gt;=Projects!$C$20,19&lt;Projects!$C$20+Projects!$D$20),Projects!$B$20*INDEX(Curves!$B$4:$AR$4,1,19-Projects!$C$20+1),0)+IF(AND(Projects!$G$21="Yes",19&gt;=Projects!$C$21,19&lt;Projects!$C$21+Projects!$D$21),Projects!$B$21*INDEX(Curves!$B$4:$AR$4,1,19-Projects!$C$21+1),0)+IF(AND(Projects!$G$22="Yes",19&gt;=Projects!$C$22,19&lt;Projects!$C$22+Projects!$D$22),Projects!$B$22*INDEX(Curves!$B$4:$AR$4,1,19-Projects!$C$22+1),0)+IF(AND(Projects!$G$23="Yes",19&gt;=Projects!$C$23,19&lt;Projects!$C$23+Projects!$D$23),Projects!$B$23*INDEX(Curves!$B$4:$AR$4,1,19-Projects!$C$23+1),0)+IF(AND(Projects!$G$24="Yes",19&gt;=Projects!$C$24,19&lt;Projects!$C$24+Projects!$D$24),Projects!$B$24*INDEX(Curves!$B$4:$AR$4,1,19-Projects!$C$24+1),0)+IF(AND(Projects!$G$25="Yes",19&gt;=Projects!$C$25,19&lt;Projects!$C$25+Projects!$D$25),Projects!$B$25*INDEX(Curves!$B$4:$AR$4,1,19-Projects!$C$25+1),0)+IF(AND(Projects!$G$26="Yes",19&gt;=Projects!$C$26,19&lt;Projects!$C$26+Projects!$D$26),Projects!$B$26*INDEX(Curves!$B$4:$AR$4,1,19-Projects!$C$26+1),0)+IF(AND(Projects!$G$27="Yes",19&gt;=Projects!$C$27,19&lt;Projects!$C$27+Projects!$D$27),Projects!$B$27*INDEX(Curves!$B$4:$AR$4,1,19-Projects!$C$27+1),0)+IF(AND(Projects!$G$28="Yes",19&gt;=Projects!$C$28,19&lt;Projects!$C$28+Projects!$D$28),Projects!$B$28*INDEX(Curves!$B$4:$AR$4,1,19-Projects!$C$28+1),0)+IF(AND(Projects!$G$29="Yes",19&gt;=Projects!$C$29,19&lt;Projects!$C$29+Projects!$D$29),Projects!$B$29*INDEX(Curves!$B$4:$AR$4,1,19-Projects!$C$29+1),0)+IF(AND(Projects!$G$30="Yes",19&gt;=Projects!$C$30,19&lt;Projects!$C$30+Projects!$D$30),Projects!$B$30*INDEX(Curves!$B$4:$AR$4,1,19-Projects!$C$30+1),0)+IF(AND(Projects!$G$31="Yes",19&gt;=Projects!$C$31,19&lt;Projects!$C$31+Projects!$D$31),Projects!$B$31*INDEX(Curves!$B$4:$AR$4,1,19-Projects!$C$31+1),0)+IF(AND(Projects!$G$32="Yes",19&gt;=Projects!$C$32,19&lt;Projects!$C$32+Projects!$D$32),Projects!$B$32*INDEX(Curves!$B$4:$AR$4,1,19-Projects!$C$32+1),0)+IF(AND(Projects!$G$33="Yes",19&gt;=Projects!$C$33,19&lt;Projects!$C$33+Projects!$D$33),Projects!$B$33*INDEX(Curves!$B$4:$AR$4,1,19-Projects!$C$33+1),0)+IF(AND(Projects!$G$34="Yes",19&gt;=Projects!$C$34,19&lt;Projects!$C$34+Projects!$D$34),Projects!$B$34*INDEX(Curves!$B$4:$AR$4,1,19-Projects!$C$34+1),0)+IF(AND(Projects!$G$35="Yes",19&gt;=Projects!$C$35,19&lt;Projects!$C$35+Projects!$D$35),Projects!$B$35*INDEX(Curves!$B$4:$AR$4,1,19-Projects!$C$35+1),0)+IF(AND(Projects!$G$36="Yes",19&gt;=Projects!$C$36,19&lt;Projects!$C$36+Projects!$D$36),Projects!$B$36*INDEX(Curves!$B$4:$AR$4,1,19-Projects!$C$36+1),0)+IF(AND(Projects!$G$37="Yes",19&gt;=Projects!$C$37,19&lt;Projects!$C$37+Projects!$D$37),Projects!$B$37*INDEX(Curves!$B$4:$AR$4,1,19-Projects!$C$37+1),0)+IF(AND(Projects!$G$38="Yes",19&gt;=Projects!$C$38,19&lt;Projects!$C$38+Projects!$D$38),Projects!$B$38*INDEX(Curves!$B$4:$AR$4,1,19-Projects!$C$38+1),0)+IF(AND(Projects!$G$39="Yes",19&gt;=Projects!$C$39,19&lt;Projects!$C$39+Projects!$D$39),Projects!$B$39*INDEX(Curves!$B$4:$AR$4,1,19-Projects!$C$39+1),0)+IF(AND(Projects!$G$40="Yes",19&gt;=Projects!$C$40,19&lt;Projects!$C$40+Projects!$D$40),Projects!$B$40*INDEX(Curves!$B$4:$AR$4,1,19-Projects!$C$40+1),0)+IF(AND(Projects!$G$41="Yes",19&gt;=Projects!$C$41,19&lt;Projects!$C$41+Projects!$D$41),Projects!$B$41*INDEX(Curves!$B$4:$AR$4,1,19-Projects!$C$41+1),0)+IF(AND(Projects!$G$42="Yes",19&gt;=Projects!$C$42,19&lt;Projects!$C$42+Projects!$D$42),Projects!$B$42*INDEX(Curves!$B$4:$AR$4,1,19-Projects!$C$42+1),0)+IF(AND(Projects!$G$43="Yes",19&gt;=Projects!$C$43,19&lt;Projects!$C$43+Projects!$D$43),Projects!$B$43*INDEX(Curves!$B$4:$AR$4,1,19-Projects!$C$43+1),0)+IF(AND(Projects!$G$44="Yes",19&gt;=Projects!$C$44,19&lt;Projects!$C$44+Projects!$D$44),Projects!$B$44*INDEX(Curves!$B$4:$AR$4,1,19-Projects!$C$44+1),0)+IF(AND(Projects!$G$45="Yes",19&gt;=Projects!$C$45,19&lt;Projects!$C$45+Projects!$D$45),Projects!$B$45*INDEX(Curves!$B$4:$AR$4,1,19-Projects!$C$45+1),0)+IF(AND(Projects!$G$46="Yes",19&gt;=Projects!$C$46,19&lt;Projects!$C$46+Projects!$D$46),Projects!$B$46*INDEX(Curves!$B$4:$AR$4,1,19-Projects!$C$46+1),0)</f>
        <v>0</v>
      </c>
      <c r="Y96" s="59">
        <f>IF(AND(Projects!$G$17="Yes",20&gt;=Projects!$C$17,20&lt;Projects!$C$17+Projects!$D$17),Projects!$B$17*INDEX(Curves!$B$4:$AR$4,1,20-Projects!$C$17+1),0)+IF(AND(Projects!$G$18="Yes",20&gt;=Projects!$C$18,20&lt;Projects!$C$18+Projects!$D$18),Projects!$B$18*INDEX(Curves!$B$4:$AR$4,1,20-Projects!$C$18+1),0)+IF(AND(Projects!$G$19="Yes",20&gt;=Projects!$C$19,20&lt;Projects!$C$19+Projects!$D$19),Projects!$B$19*INDEX(Curves!$B$4:$AR$4,1,20-Projects!$C$19+1),0)+IF(AND(Projects!$G$20="Yes",20&gt;=Projects!$C$20,20&lt;Projects!$C$20+Projects!$D$20),Projects!$B$20*INDEX(Curves!$B$4:$AR$4,1,20-Projects!$C$20+1),0)+IF(AND(Projects!$G$21="Yes",20&gt;=Projects!$C$21,20&lt;Projects!$C$21+Projects!$D$21),Projects!$B$21*INDEX(Curves!$B$4:$AR$4,1,20-Projects!$C$21+1),0)+IF(AND(Projects!$G$22="Yes",20&gt;=Projects!$C$22,20&lt;Projects!$C$22+Projects!$D$22),Projects!$B$22*INDEX(Curves!$B$4:$AR$4,1,20-Projects!$C$22+1),0)+IF(AND(Projects!$G$23="Yes",20&gt;=Projects!$C$23,20&lt;Projects!$C$23+Projects!$D$23),Projects!$B$23*INDEX(Curves!$B$4:$AR$4,1,20-Projects!$C$23+1),0)+IF(AND(Projects!$G$24="Yes",20&gt;=Projects!$C$24,20&lt;Projects!$C$24+Projects!$D$24),Projects!$B$24*INDEX(Curves!$B$4:$AR$4,1,20-Projects!$C$24+1),0)+IF(AND(Projects!$G$25="Yes",20&gt;=Projects!$C$25,20&lt;Projects!$C$25+Projects!$D$25),Projects!$B$25*INDEX(Curves!$B$4:$AR$4,1,20-Projects!$C$25+1),0)+IF(AND(Projects!$G$26="Yes",20&gt;=Projects!$C$26,20&lt;Projects!$C$26+Projects!$D$26),Projects!$B$26*INDEX(Curves!$B$4:$AR$4,1,20-Projects!$C$26+1),0)+IF(AND(Projects!$G$27="Yes",20&gt;=Projects!$C$27,20&lt;Projects!$C$27+Projects!$D$27),Projects!$B$27*INDEX(Curves!$B$4:$AR$4,1,20-Projects!$C$27+1),0)+IF(AND(Projects!$G$28="Yes",20&gt;=Projects!$C$28,20&lt;Projects!$C$28+Projects!$D$28),Projects!$B$28*INDEX(Curves!$B$4:$AR$4,1,20-Projects!$C$28+1),0)+IF(AND(Projects!$G$29="Yes",20&gt;=Projects!$C$29,20&lt;Projects!$C$29+Projects!$D$29),Projects!$B$29*INDEX(Curves!$B$4:$AR$4,1,20-Projects!$C$29+1),0)+IF(AND(Projects!$G$30="Yes",20&gt;=Projects!$C$30,20&lt;Projects!$C$30+Projects!$D$30),Projects!$B$30*INDEX(Curves!$B$4:$AR$4,1,20-Projects!$C$30+1),0)+IF(AND(Projects!$G$31="Yes",20&gt;=Projects!$C$31,20&lt;Projects!$C$31+Projects!$D$31),Projects!$B$31*INDEX(Curves!$B$4:$AR$4,1,20-Projects!$C$31+1),0)+IF(AND(Projects!$G$32="Yes",20&gt;=Projects!$C$32,20&lt;Projects!$C$32+Projects!$D$32),Projects!$B$32*INDEX(Curves!$B$4:$AR$4,1,20-Projects!$C$32+1),0)+IF(AND(Projects!$G$33="Yes",20&gt;=Projects!$C$33,20&lt;Projects!$C$33+Projects!$D$33),Projects!$B$33*INDEX(Curves!$B$4:$AR$4,1,20-Projects!$C$33+1),0)+IF(AND(Projects!$G$34="Yes",20&gt;=Projects!$C$34,20&lt;Projects!$C$34+Projects!$D$34),Projects!$B$34*INDEX(Curves!$B$4:$AR$4,1,20-Projects!$C$34+1),0)+IF(AND(Projects!$G$35="Yes",20&gt;=Projects!$C$35,20&lt;Projects!$C$35+Projects!$D$35),Projects!$B$35*INDEX(Curves!$B$4:$AR$4,1,20-Projects!$C$35+1),0)+IF(AND(Projects!$G$36="Yes",20&gt;=Projects!$C$36,20&lt;Projects!$C$36+Projects!$D$36),Projects!$B$36*INDEX(Curves!$B$4:$AR$4,1,20-Projects!$C$36+1),0)+IF(AND(Projects!$G$37="Yes",20&gt;=Projects!$C$37,20&lt;Projects!$C$37+Projects!$D$37),Projects!$B$37*INDEX(Curves!$B$4:$AR$4,1,20-Projects!$C$37+1),0)+IF(AND(Projects!$G$38="Yes",20&gt;=Projects!$C$38,20&lt;Projects!$C$38+Projects!$D$38),Projects!$B$38*INDEX(Curves!$B$4:$AR$4,1,20-Projects!$C$38+1),0)+IF(AND(Projects!$G$39="Yes",20&gt;=Projects!$C$39,20&lt;Projects!$C$39+Projects!$D$39),Projects!$B$39*INDEX(Curves!$B$4:$AR$4,1,20-Projects!$C$39+1),0)+IF(AND(Projects!$G$40="Yes",20&gt;=Projects!$C$40,20&lt;Projects!$C$40+Projects!$D$40),Projects!$B$40*INDEX(Curves!$B$4:$AR$4,1,20-Projects!$C$40+1),0)+IF(AND(Projects!$G$41="Yes",20&gt;=Projects!$C$41,20&lt;Projects!$C$41+Projects!$D$41),Projects!$B$41*INDEX(Curves!$B$4:$AR$4,1,20-Projects!$C$41+1),0)+IF(AND(Projects!$G$42="Yes",20&gt;=Projects!$C$42,20&lt;Projects!$C$42+Projects!$D$42),Projects!$B$42*INDEX(Curves!$B$4:$AR$4,1,20-Projects!$C$42+1),0)+IF(AND(Projects!$G$43="Yes",20&gt;=Projects!$C$43,20&lt;Projects!$C$43+Projects!$D$43),Projects!$B$43*INDEX(Curves!$B$4:$AR$4,1,20-Projects!$C$43+1),0)+IF(AND(Projects!$G$44="Yes",20&gt;=Projects!$C$44,20&lt;Projects!$C$44+Projects!$D$44),Projects!$B$44*INDEX(Curves!$B$4:$AR$4,1,20-Projects!$C$44+1),0)+IF(AND(Projects!$G$45="Yes",20&gt;=Projects!$C$45,20&lt;Projects!$C$45+Projects!$D$45),Projects!$B$45*INDEX(Curves!$B$4:$AR$4,1,20-Projects!$C$45+1),0)+IF(AND(Projects!$G$46="Yes",20&gt;=Projects!$C$46,20&lt;Projects!$C$46+Projects!$D$46),Projects!$B$46*INDEX(Curves!$B$4:$AR$4,1,20-Projects!$C$46+1),0)</f>
        <v>0</v>
      </c>
      <c r="Z96" s="59">
        <f>IF(AND(Projects!$G$17="Yes",21&gt;=Projects!$C$17,21&lt;Projects!$C$17+Projects!$D$17),Projects!$B$17*INDEX(Curves!$B$4:$AR$4,1,21-Projects!$C$17+1),0)+IF(AND(Projects!$G$18="Yes",21&gt;=Projects!$C$18,21&lt;Projects!$C$18+Projects!$D$18),Projects!$B$18*INDEX(Curves!$B$4:$AR$4,1,21-Projects!$C$18+1),0)+IF(AND(Projects!$G$19="Yes",21&gt;=Projects!$C$19,21&lt;Projects!$C$19+Projects!$D$19),Projects!$B$19*INDEX(Curves!$B$4:$AR$4,1,21-Projects!$C$19+1),0)+IF(AND(Projects!$G$20="Yes",21&gt;=Projects!$C$20,21&lt;Projects!$C$20+Projects!$D$20),Projects!$B$20*INDEX(Curves!$B$4:$AR$4,1,21-Projects!$C$20+1),0)+IF(AND(Projects!$G$21="Yes",21&gt;=Projects!$C$21,21&lt;Projects!$C$21+Projects!$D$21),Projects!$B$21*INDEX(Curves!$B$4:$AR$4,1,21-Projects!$C$21+1),0)+IF(AND(Projects!$G$22="Yes",21&gt;=Projects!$C$22,21&lt;Projects!$C$22+Projects!$D$22),Projects!$B$22*INDEX(Curves!$B$4:$AR$4,1,21-Projects!$C$22+1),0)+IF(AND(Projects!$G$23="Yes",21&gt;=Projects!$C$23,21&lt;Projects!$C$23+Projects!$D$23),Projects!$B$23*INDEX(Curves!$B$4:$AR$4,1,21-Projects!$C$23+1),0)+IF(AND(Projects!$G$24="Yes",21&gt;=Projects!$C$24,21&lt;Projects!$C$24+Projects!$D$24),Projects!$B$24*INDEX(Curves!$B$4:$AR$4,1,21-Projects!$C$24+1),0)+IF(AND(Projects!$G$25="Yes",21&gt;=Projects!$C$25,21&lt;Projects!$C$25+Projects!$D$25),Projects!$B$25*INDEX(Curves!$B$4:$AR$4,1,21-Projects!$C$25+1),0)+IF(AND(Projects!$G$26="Yes",21&gt;=Projects!$C$26,21&lt;Projects!$C$26+Projects!$D$26),Projects!$B$26*INDEX(Curves!$B$4:$AR$4,1,21-Projects!$C$26+1),0)+IF(AND(Projects!$G$27="Yes",21&gt;=Projects!$C$27,21&lt;Projects!$C$27+Projects!$D$27),Projects!$B$27*INDEX(Curves!$B$4:$AR$4,1,21-Projects!$C$27+1),0)+IF(AND(Projects!$G$28="Yes",21&gt;=Projects!$C$28,21&lt;Projects!$C$28+Projects!$D$28),Projects!$B$28*INDEX(Curves!$B$4:$AR$4,1,21-Projects!$C$28+1),0)+IF(AND(Projects!$G$29="Yes",21&gt;=Projects!$C$29,21&lt;Projects!$C$29+Projects!$D$29),Projects!$B$29*INDEX(Curves!$B$4:$AR$4,1,21-Projects!$C$29+1),0)+IF(AND(Projects!$G$30="Yes",21&gt;=Projects!$C$30,21&lt;Projects!$C$30+Projects!$D$30),Projects!$B$30*INDEX(Curves!$B$4:$AR$4,1,21-Projects!$C$30+1),0)+IF(AND(Projects!$G$31="Yes",21&gt;=Projects!$C$31,21&lt;Projects!$C$31+Projects!$D$31),Projects!$B$31*INDEX(Curves!$B$4:$AR$4,1,21-Projects!$C$31+1),0)+IF(AND(Projects!$G$32="Yes",21&gt;=Projects!$C$32,21&lt;Projects!$C$32+Projects!$D$32),Projects!$B$32*INDEX(Curves!$B$4:$AR$4,1,21-Projects!$C$32+1),0)+IF(AND(Projects!$G$33="Yes",21&gt;=Projects!$C$33,21&lt;Projects!$C$33+Projects!$D$33),Projects!$B$33*INDEX(Curves!$B$4:$AR$4,1,21-Projects!$C$33+1),0)+IF(AND(Projects!$G$34="Yes",21&gt;=Projects!$C$34,21&lt;Projects!$C$34+Projects!$D$34),Projects!$B$34*INDEX(Curves!$B$4:$AR$4,1,21-Projects!$C$34+1),0)+IF(AND(Projects!$G$35="Yes",21&gt;=Projects!$C$35,21&lt;Projects!$C$35+Projects!$D$35),Projects!$B$35*INDEX(Curves!$B$4:$AR$4,1,21-Projects!$C$35+1),0)+IF(AND(Projects!$G$36="Yes",21&gt;=Projects!$C$36,21&lt;Projects!$C$36+Projects!$D$36),Projects!$B$36*INDEX(Curves!$B$4:$AR$4,1,21-Projects!$C$36+1),0)+IF(AND(Projects!$G$37="Yes",21&gt;=Projects!$C$37,21&lt;Projects!$C$37+Projects!$D$37),Projects!$B$37*INDEX(Curves!$B$4:$AR$4,1,21-Projects!$C$37+1),0)+IF(AND(Projects!$G$38="Yes",21&gt;=Projects!$C$38,21&lt;Projects!$C$38+Projects!$D$38),Projects!$B$38*INDEX(Curves!$B$4:$AR$4,1,21-Projects!$C$38+1),0)+IF(AND(Projects!$G$39="Yes",21&gt;=Projects!$C$39,21&lt;Projects!$C$39+Projects!$D$39),Projects!$B$39*INDEX(Curves!$B$4:$AR$4,1,21-Projects!$C$39+1),0)+IF(AND(Projects!$G$40="Yes",21&gt;=Projects!$C$40,21&lt;Projects!$C$40+Projects!$D$40),Projects!$B$40*INDEX(Curves!$B$4:$AR$4,1,21-Projects!$C$40+1),0)+IF(AND(Projects!$G$41="Yes",21&gt;=Projects!$C$41,21&lt;Projects!$C$41+Projects!$D$41),Projects!$B$41*INDEX(Curves!$B$4:$AR$4,1,21-Projects!$C$41+1),0)+IF(AND(Projects!$G$42="Yes",21&gt;=Projects!$C$42,21&lt;Projects!$C$42+Projects!$D$42),Projects!$B$42*INDEX(Curves!$B$4:$AR$4,1,21-Projects!$C$42+1),0)+IF(AND(Projects!$G$43="Yes",21&gt;=Projects!$C$43,21&lt;Projects!$C$43+Projects!$D$43),Projects!$B$43*INDEX(Curves!$B$4:$AR$4,1,21-Projects!$C$43+1),0)+IF(AND(Projects!$G$44="Yes",21&gt;=Projects!$C$44,21&lt;Projects!$C$44+Projects!$D$44),Projects!$B$44*INDEX(Curves!$B$4:$AR$4,1,21-Projects!$C$44+1),0)+IF(AND(Projects!$G$45="Yes",21&gt;=Projects!$C$45,21&lt;Projects!$C$45+Projects!$D$45),Projects!$B$45*INDEX(Curves!$B$4:$AR$4,1,21-Projects!$C$45+1),0)+IF(AND(Projects!$G$46="Yes",21&gt;=Projects!$C$46,21&lt;Projects!$C$46+Projects!$D$46),Projects!$B$46*INDEX(Curves!$B$4:$AR$4,1,21-Projects!$C$46+1),0)</f>
        <v>0</v>
      </c>
      <c r="AA96" s="59">
        <f>IF(AND(Projects!$G$17="Yes",22&gt;=Projects!$C$17,22&lt;Projects!$C$17+Projects!$D$17),Projects!$B$17*INDEX(Curves!$B$4:$AR$4,1,22-Projects!$C$17+1),0)+IF(AND(Projects!$G$18="Yes",22&gt;=Projects!$C$18,22&lt;Projects!$C$18+Projects!$D$18),Projects!$B$18*INDEX(Curves!$B$4:$AR$4,1,22-Projects!$C$18+1),0)+IF(AND(Projects!$G$19="Yes",22&gt;=Projects!$C$19,22&lt;Projects!$C$19+Projects!$D$19),Projects!$B$19*INDEX(Curves!$B$4:$AR$4,1,22-Projects!$C$19+1),0)+IF(AND(Projects!$G$20="Yes",22&gt;=Projects!$C$20,22&lt;Projects!$C$20+Projects!$D$20),Projects!$B$20*INDEX(Curves!$B$4:$AR$4,1,22-Projects!$C$20+1),0)+IF(AND(Projects!$G$21="Yes",22&gt;=Projects!$C$21,22&lt;Projects!$C$21+Projects!$D$21),Projects!$B$21*INDEX(Curves!$B$4:$AR$4,1,22-Projects!$C$21+1),0)+IF(AND(Projects!$G$22="Yes",22&gt;=Projects!$C$22,22&lt;Projects!$C$22+Projects!$D$22),Projects!$B$22*INDEX(Curves!$B$4:$AR$4,1,22-Projects!$C$22+1),0)+IF(AND(Projects!$G$23="Yes",22&gt;=Projects!$C$23,22&lt;Projects!$C$23+Projects!$D$23),Projects!$B$23*INDEX(Curves!$B$4:$AR$4,1,22-Projects!$C$23+1),0)+IF(AND(Projects!$G$24="Yes",22&gt;=Projects!$C$24,22&lt;Projects!$C$24+Projects!$D$24),Projects!$B$24*INDEX(Curves!$B$4:$AR$4,1,22-Projects!$C$24+1),0)+IF(AND(Projects!$G$25="Yes",22&gt;=Projects!$C$25,22&lt;Projects!$C$25+Projects!$D$25),Projects!$B$25*INDEX(Curves!$B$4:$AR$4,1,22-Projects!$C$25+1),0)+IF(AND(Projects!$G$26="Yes",22&gt;=Projects!$C$26,22&lt;Projects!$C$26+Projects!$D$26),Projects!$B$26*INDEX(Curves!$B$4:$AR$4,1,22-Projects!$C$26+1),0)+IF(AND(Projects!$G$27="Yes",22&gt;=Projects!$C$27,22&lt;Projects!$C$27+Projects!$D$27),Projects!$B$27*INDEX(Curves!$B$4:$AR$4,1,22-Projects!$C$27+1),0)+IF(AND(Projects!$G$28="Yes",22&gt;=Projects!$C$28,22&lt;Projects!$C$28+Projects!$D$28),Projects!$B$28*INDEX(Curves!$B$4:$AR$4,1,22-Projects!$C$28+1),0)+IF(AND(Projects!$G$29="Yes",22&gt;=Projects!$C$29,22&lt;Projects!$C$29+Projects!$D$29),Projects!$B$29*INDEX(Curves!$B$4:$AR$4,1,22-Projects!$C$29+1),0)+IF(AND(Projects!$G$30="Yes",22&gt;=Projects!$C$30,22&lt;Projects!$C$30+Projects!$D$30),Projects!$B$30*INDEX(Curves!$B$4:$AR$4,1,22-Projects!$C$30+1),0)+IF(AND(Projects!$G$31="Yes",22&gt;=Projects!$C$31,22&lt;Projects!$C$31+Projects!$D$31),Projects!$B$31*INDEX(Curves!$B$4:$AR$4,1,22-Projects!$C$31+1),0)+IF(AND(Projects!$G$32="Yes",22&gt;=Projects!$C$32,22&lt;Projects!$C$32+Projects!$D$32),Projects!$B$32*INDEX(Curves!$B$4:$AR$4,1,22-Projects!$C$32+1),0)+IF(AND(Projects!$G$33="Yes",22&gt;=Projects!$C$33,22&lt;Projects!$C$33+Projects!$D$33),Projects!$B$33*INDEX(Curves!$B$4:$AR$4,1,22-Projects!$C$33+1),0)+IF(AND(Projects!$G$34="Yes",22&gt;=Projects!$C$34,22&lt;Projects!$C$34+Projects!$D$34),Projects!$B$34*INDEX(Curves!$B$4:$AR$4,1,22-Projects!$C$34+1),0)+IF(AND(Projects!$G$35="Yes",22&gt;=Projects!$C$35,22&lt;Projects!$C$35+Projects!$D$35),Projects!$B$35*INDEX(Curves!$B$4:$AR$4,1,22-Projects!$C$35+1),0)+IF(AND(Projects!$G$36="Yes",22&gt;=Projects!$C$36,22&lt;Projects!$C$36+Projects!$D$36),Projects!$B$36*INDEX(Curves!$B$4:$AR$4,1,22-Projects!$C$36+1),0)+IF(AND(Projects!$G$37="Yes",22&gt;=Projects!$C$37,22&lt;Projects!$C$37+Projects!$D$37),Projects!$B$37*INDEX(Curves!$B$4:$AR$4,1,22-Projects!$C$37+1),0)+IF(AND(Projects!$G$38="Yes",22&gt;=Projects!$C$38,22&lt;Projects!$C$38+Projects!$D$38),Projects!$B$38*INDEX(Curves!$B$4:$AR$4,1,22-Projects!$C$38+1),0)+IF(AND(Projects!$G$39="Yes",22&gt;=Projects!$C$39,22&lt;Projects!$C$39+Projects!$D$39),Projects!$B$39*INDEX(Curves!$B$4:$AR$4,1,22-Projects!$C$39+1),0)+IF(AND(Projects!$G$40="Yes",22&gt;=Projects!$C$40,22&lt;Projects!$C$40+Projects!$D$40),Projects!$B$40*INDEX(Curves!$B$4:$AR$4,1,22-Projects!$C$40+1),0)+IF(AND(Projects!$G$41="Yes",22&gt;=Projects!$C$41,22&lt;Projects!$C$41+Projects!$D$41),Projects!$B$41*INDEX(Curves!$B$4:$AR$4,1,22-Projects!$C$41+1),0)+IF(AND(Projects!$G$42="Yes",22&gt;=Projects!$C$42,22&lt;Projects!$C$42+Projects!$D$42),Projects!$B$42*INDEX(Curves!$B$4:$AR$4,1,22-Projects!$C$42+1),0)+IF(AND(Projects!$G$43="Yes",22&gt;=Projects!$C$43,22&lt;Projects!$C$43+Projects!$D$43),Projects!$B$43*INDEX(Curves!$B$4:$AR$4,1,22-Projects!$C$43+1),0)+IF(AND(Projects!$G$44="Yes",22&gt;=Projects!$C$44,22&lt;Projects!$C$44+Projects!$D$44),Projects!$B$44*INDEX(Curves!$B$4:$AR$4,1,22-Projects!$C$44+1),0)+IF(AND(Projects!$G$45="Yes",22&gt;=Projects!$C$45,22&lt;Projects!$C$45+Projects!$D$45),Projects!$B$45*INDEX(Curves!$B$4:$AR$4,1,22-Projects!$C$45+1),0)+IF(AND(Projects!$G$46="Yes",22&gt;=Projects!$C$46,22&lt;Projects!$C$46+Projects!$D$46),Projects!$B$46*INDEX(Curves!$B$4:$AR$4,1,22-Projects!$C$46+1),0)</f>
        <v>0</v>
      </c>
      <c r="AB96" s="59">
        <f>IF(AND(Projects!$G$17="Yes",23&gt;=Projects!$C$17,23&lt;Projects!$C$17+Projects!$D$17),Projects!$B$17*INDEX(Curves!$B$4:$AR$4,1,23-Projects!$C$17+1),0)+IF(AND(Projects!$G$18="Yes",23&gt;=Projects!$C$18,23&lt;Projects!$C$18+Projects!$D$18),Projects!$B$18*INDEX(Curves!$B$4:$AR$4,1,23-Projects!$C$18+1),0)+IF(AND(Projects!$G$19="Yes",23&gt;=Projects!$C$19,23&lt;Projects!$C$19+Projects!$D$19),Projects!$B$19*INDEX(Curves!$B$4:$AR$4,1,23-Projects!$C$19+1),0)+IF(AND(Projects!$G$20="Yes",23&gt;=Projects!$C$20,23&lt;Projects!$C$20+Projects!$D$20),Projects!$B$20*INDEX(Curves!$B$4:$AR$4,1,23-Projects!$C$20+1),0)+IF(AND(Projects!$G$21="Yes",23&gt;=Projects!$C$21,23&lt;Projects!$C$21+Projects!$D$21),Projects!$B$21*INDEX(Curves!$B$4:$AR$4,1,23-Projects!$C$21+1),0)+IF(AND(Projects!$G$22="Yes",23&gt;=Projects!$C$22,23&lt;Projects!$C$22+Projects!$D$22),Projects!$B$22*INDEX(Curves!$B$4:$AR$4,1,23-Projects!$C$22+1),0)+IF(AND(Projects!$G$23="Yes",23&gt;=Projects!$C$23,23&lt;Projects!$C$23+Projects!$D$23),Projects!$B$23*INDEX(Curves!$B$4:$AR$4,1,23-Projects!$C$23+1),0)+IF(AND(Projects!$G$24="Yes",23&gt;=Projects!$C$24,23&lt;Projects!$C$24+Projects!$D$24),Projects!$B$24*INDEX(Curves!$B$4:$AR$4,1,23-Projects!$C$24+1),0)+IF(AND(Projects!$G$25="Yes",23&gt;=Projects!$C$25,23&lt;Projects!$C$25+Projects!$D$25),Projects!$B$25*INDEX(Curves!$B$4:$AR$4,1,23-Projects!$C$25+1),0)+IF(AND(Projects!$G$26="Yes",23&gt;=Projects!$C$26,23&lt;Projects!$C$26+Projects!$D$26),Projects!$B$26*INDEX(Curves!$B$4:$AR$4,1,23-Projects!$C$26+1),0)+IF(AND(Projects!$G$27="Yes",23&gt;=Projects!$C$27,23&lt;Projects!$C$27+Projects!$D$27),Projects!$B$27*INDEX(Curves!$B$4:$AR$4,1,23-Projects!$C$27+1),0)+IF(AND(Projects!$G$28="Yes",23&gt;=Projects!$C$28,23&lt;Projects!$C$28+Projects!$D$28),Projects!$B$28*INDEX(Curves!$B$4:$AR$4,1,23-Projects!$C$28+1),0)+IF(AND(Projects!$G$29="Yes",23&gt;=Projects!$C$29,23&lt;Projects!$C$29+Projects!$D$29),Projects!$B$29*INDEX(Curves!$B$4:$AR$4,1,23-Projects!$C$29+1),0)+IF(AND(Projects!$G$30="Yes",23&gt;=Projects!$C$30,23&lt;Projects!$C$30+Projects!$D$30),Projects!$B$30*INDEX(Curves!$B$4:$AR$4,1,23-Projects!$C$30+1),0)+IF(AND(Projects!$G$31="Yes",23&gt;=Projects!$C$31,23&lt;Projects!$C$31+Projects!$D$31),Projects!$B$31*INDEX(Curves!$B$4:$AR$4,1,23-Projects!$C$31+1),0)+IF(AND(Projects!$G$32="Yes",23&gt;=Projects!$C$32,23&lt;Projects!$C$32+Projects!$D$32),Projects!$B$32*INDEX(Curves!$B$4:$AR$4,1,23-Projects!$C$32+1),0)+IF(AND(Projects!$G$33="Yes",23&gt;=Projects!$C$33,23&lt;Projects!$C$33+Projects!$D$33),Projects!$B$33*INDEX(Curves!$B$4:$AR$4,1,23-Projects!$C$33+1),0)+IF(AND(Projects!$G$34="Yes",23&gt;=Projects!$C$34,23&lt;Projects!$C$34+Projects!$D$34),Projects!$B$34*INDEX(Curves!$B$4:$AR$4,1,23-Projects!$C$34+1),0)+IF(AND(Projects!$G$35="Yes",23&gt;=Projects!$C$35,23&lt;Projects!$C$35+Projects!$D$35),Projects!$B$35*INDEX(Curves!$B$4:$AR$4,1,23-Projects!$C$35+1),0)+IF(AND(Projects!$G$36="Yes",23&gt;=Projects!$C$36,23&lt;Projects!$C$36+Projects!$D$36),Projects!$B$36*INDEX(Curves!$B$4:$AR$4,1,23-Projects!$C$36+1),0)+IF(AND(Projects!$G$37="Yes",23&gt;=Projects!$C$37,23&lt;Projects!$C$37+Projects!$D$37),Projects!$B$37*INDEX(Curves!$B$4:$AR$4,1,23-Projects!$C$37+1),0)+IF(AND(Projects!$G$38="Yes",23&gt;=Projects!$C$38,23&lt;Projects!$C$38+Projects!$D$38),Projects!$B$38*INDEX(Curves!$B$4:$AR$4,1,23-Projects!$C$38+1),0)+IF(AND(Projects!$G$39="Yes",23&gt;=Projects!$C$39,23&lt;Projects!$C$39+Projects!$D$39),Projects!$B$39*INDEX(Curves!$B$4:$AR$4,1,23-Projects!$C$39+1),0)+IF(AND(Projects!$G$40="Yes",23&gt;=Projects!$C$40,23&lt;Projects!$C$40+Projects!$D$40),Projects!$B$40*INDEX(Curves!$B$4:$AR$4,1,23-Projects!$C$40+1),0)+IF(AND(Projects!$G$41="Yes",23&gt;=Projects!$C$41,23&lt;Projects!$C$41+Projects!$D$41),Projects!$B$41*INDEX(Curves!$B$4:$AR$4,1,23-Projects!$C$41+1),0)+IF(AND(Projects!$G$42="Yes",23&gt;=Projects!$C$42,23&lt;Projects!$C$42+Projects!$D$42),Projects!$B$42*INDEX(Curves!$B$4:$AR$4,1,23-Projects!$C$42+1),0)+IF(AND(Projects!$G$43="Yes",23&gt;=Projects!$C$43,23&lt;Projects!$C$43+Projects!$D$43),Projects!$B$43*INDEX(Curves!$B$4:$AR$4,1,23-Projects!$C$43+1),0)+IF(AND(Projects!$G$44="Yes",23&gt;=Projects!$C$44,23&lt;Projects!$C$44+Projects!$D$44),Projects!$B$44*INDEX(Curves!$B$4:$AR$4,1,23-Projects!$C$44+1),0)+IF(AND(Projects!$G$45="Yes",23&gt;=Projects!$C$45,23&lt;Projects!$C$45+Projects!$D$45),Projects!$B$45*INDEX(Curves!$B$4:$AR$4,1,23-Projects!$C$45+1),0)+IF(AND(Projects!$G$46="Yes",23&gt;=Projects!$C$46,23&lt;Projects!$C$46+Projects!$D$46),Projects!$B$46*INDEX(Curves!$B$4:$AR$4,1,23-Projects!$C$46+1),0)</f>
        <v>0</v>
      </c>
      <c r="AC96" s="59">
        <f>IF(AND(Projects!$G$17="Yes",24&gt;=Projects!$C$17,24&lt;Projects!$C$17+Projects!$D$17),Projects!$B$17*INDEX(Curves!$B$4:$AR$4,1,24-Projects!$C$17+1),0)+IF(AND(Projects!$G$18="Yes",24&gt;=Projects!$C$18,24&lt;Projects!$C$18+Projects!$D$18),Projects!$B$18*INDEX(Curves!$B$4:$AR$4,1,24-Projects!$C$18+1),0)+IF(AND(Projects!$G$19="Yes",24&gt;=Projects!$C$19,24&lt;Projects!$C$19+Projects!$D$19),Projects!$B$19*INDEX(Curves!$B$4:$AR$4,1,24-Projects!$C$19+1),0)+IF(AND(Projects!$G$20="Yes",24&gt;=Projects!$C$20,24&lt;Projects!$C$20+Projects!$D$20),Projects!$B$20*INDEX(Curves!$B$4:$AR$4,1,24-Projects!$C$20+1),0)+IF(AND(Projects!$G$21="Yes",24&gt;=Projects!$C$21,24&lt;Projects!$C$21+Projects!$D$21),Projects!$B$21*INDEX(Curves!$B$4:$AR$4,1,24-Projects!$C$21+1),0)+IF(AND(Projects!$G$22="Yes",24&gt;=Projects!$C$22,24&lt;Projects!$C$22+Projects!$D$22),Projects!$B$22*INDEX(Curves!$B$4:$AR$4,1,24-Projects!$C$22+1),0)+IF(AND(Projects!$G$23="Yes",24&gt;=Projects!$C$23,24&lt;Projects!$C$23+Projects!$D$23),Projects!$B$23*INDEX(Curves!$B$4:$AR$4,1,24-Projects!$C$23+1),0)+IF(AND(Projects!$G$24="Yes",24&gt;=Projects!$C$24,24&lt;Projects!$C$24+Projects!$D$24),Projects!$B$24*INDEX(Curves!$B$4:$AR$4,1,24-Projects!$C$24+1),0)+IF(AND(Projects!$G$25="Yes",24&gt;=Projects!$C$25,24&lt;Projects!$C$25+Projects!$D$25),Projects!$B$25*INDEX(Curves!$B$4:$AR$4,1,24-Projects!$C$25+1),0)+IF(AND(Projects!$G$26="Yes",24&gt;=Projects!$C$26,24&lt;Projects!$C$26+Projects!$D$26),Projects!$B$26*INDEX(Curves!$B$4:$AR$4,1,24-Projects!$C$26+1),0)+IF(AND(Projects!$G$27="Yes",24&gt;=Projects!$C$27,24&lt;Projects!$C$27+Projects!$D$27),Projects!$B$27*INDEX(Curves!$B$4:$AR$4,1,24-Projects!$C$27+1),0)+IF(AND(Projects!$G$28="Yes",24&gt;=Projects!$C$28,24&lt;Projects!$C$28+Projects!$D$28),Projects!$B$28*INDEX(Curves!$B$4:$AR$4,1,24-Projects!$C$28+1),0)+IF(AND(Projects!$G$29="Yes",24&gt;=Projects!$C$29,24&lt;Projects!$C$29+Projects!$D$29),Projects!$B$29*INDEX(Curves!$B$4:$AR$4,1,24-Projects!$C$29+1),0)+IF(AND(Projects!$G$30="Yes",24&gt;=Projects!$C$30,24&lt;Projects!$C$30+Projects!$D$30),Projects!$B$30*INDEX(Curves!$B$4:$AR$4,1,24-Projects!$C$30+1),0)+IF(AND(Projects!$G$31="Yes",24&gt;=Projects!$C$31,24&lt;Projects!$C$31+Projects!$D$31),Projects!$B$31*INDEX(Curves!$B$4:$AR$4,1,24-Projects!$C$31+1),0)+IF(AND(Projects!$G$32="Yes",24&gt;=Projects!$C$32,24&lt;Projects!$C$32+Projects!$D$32),Projects!$B$32*INDEX(Curves!$B$4:$AR$4,1,24-Projects!$C$32+1),0)+IF(AND(Projects!$G$33="Yes",24&gt;=Projects!$C$33,24&lt;Projects!$C$33+Projects!$D$33),Projects!$B$33*INDEX(Curves!$B$4:$AR$4,1,24-Projects!$C$33+1),0)+IF(AND(Projects!$G$34="Yes",24&gt;=Projects!$C$34,24&lt;Projects!$C$34+Projects!$D$34),Projects!$B$34*INDEX(Curves!$B$4:$AR$4,1,24-Projects!$C$34+1),0)+IF(AND(Projects!$G$35="Yes",24&gt;=Projects!$C$35,24&lt;Projects!$C$35+Projects!$D$35),Projects!$B$35*INDEX(Curves!$B$4:$AR$4,1,24-Projects!$C$35+1),0)+IF(AND(Projects!$G$36="Yes",24&gt;=Projects!$C$36,24&lt;Projects!$C$36+Projects!$D$36),Projects!$B$36*INDEX(Curves!$B$4:$AR$4,1,24-Projects!$C$36+1),0)+IF(AND(Projects!$G$37="Yes",24&gt;=Projects!$C$37,24&lt;Projects!$C$37+Projects!$D$37),Projects!$B$37*INDEX(Curves!$B$4:$AR$4,1,24-Projects!$C$37+1),0)+IF(AND(Projects!$G$38="Yes",24&gt;=Projects!$C$38,24&lt;Projects!$C$38+Projects!$D$38),Projects!$B$38*INDEX(Curves!$B$4:$AR$4,1,24-Projects!$C$38+1),0)+IF(AND(Projects!$G$39="Yes",24&gt;=Projects!$C$39,24&lt;Projects!$C$39+Projects!$D$39),Projects!$B$39*INDEX(Curves!$B$4:$AR$4,1,24-Projects!$C$39+1),0)+IF(AND(Projects!$G$40="Yes",24&gt;=Projects!$C$40,24&lt;Projects!$C$40+Projects!$D$40),Projects!$B$40*INDEX(Curves!$B$4:$AR$4,1,24-Projects!$C$40+1),0)+IF(AND(Projects!$G$41="Yes",24&gt;=Projects!$C$41,24&lt;Projects!$C$41+Projects!$D$41),Projects!$B$41*INDEX(Curves!$B$4:$AR$4,1,24-Projects!$C$41+1),0)+IF(AND(Projects!$G$42="Yes",24&gt;=Projects!$C$42,24&lt;Projects!$C$42+Projects!$D$42),Projects!$B$42*INDEX(Curves!$B$4:$AR$4,1,24-Projects!$C$42+1),0)+IF(AND(Projects!$G$43="Yes",24&gt;=Projects!$C$43,24&lt;Projects!$C$43+Projects!$D$43),Projects!$B$43*INDEX(Curves!$B$4:$AR$4,1,24-Projects!$C$43+1),0)+IF(AND(Projects!$G$44="Yes",24&gt;=Projects!$C$44,24&lt;Projects!$C$44+Projects!$D$44),Projects!$B$44*INDEX(Curves!$B$4:$AR$4,1,24-Projects!$C$44+1),0)+IF(AND(Projects!$G$45="Yes",24&gt;=Projects!$C$45,24&lt;Projects!$C$45+Projects!$D$45),Projects!$B$45*INDEX(Curves!$B$4:$AR$4,1,24-Projects!$C$45+1),0)+IF(AND(Projects!$G$46="Yes",24&gt;=Projects!$C$46,24&lt;Projects!$C$46+Projects!$D$46),Projects!$B$46*INDEX(Curves!$B$4:$AR$4,1,24-Projects!$C$46+1),0)</f>
        <v>0</v>
      </c>
      <c r="AD96" s="59">
        <f>IF(AND(Projects!$G$17="Yes",25&gt;=Projects!$C$17,25&lt;Projects!$C$17+Projects!$D$17),Projects!$B$17*INDEX(Curves!$B$4:$AR$4,1,25-Projects!$C$17+1),0)+IF(AND(Projects!$G$18="Yes",25&gt;=Projects!$C$18,25&lt;Projects!$C$18+Projects!$D$18),Projects!$B$18*INDEX(Curves!$B$4:$AR$4,1,25-Projects!$C$18+1),0)+IF(AND(Projects!$G$19="Yes",25&gt;=Projects!$C$19,25&lt;Projects!$C$19+Projects!$D$19),Projects!$B$19*INDEX(Curves!$B$4:$AR$4,1,25-Projects!$C$19+1),0)+IF(AND(Projects!$G$20="Yes",25&gt;=Projects!$C$20,25&lt;Projects!$C$20+Projects!$D$20),Projects!$B$20*INDEX(Curves!$B$4:$AR$4,1,25-Projects!$C$20+1),0)+IF(AND(Projects!$G$21="Yes",25&gt;=Projects!$C$21,25&lt;Projects!$C$21+Projects!$D$21),Projects!$B$21*INDEX(Curves!$B$4:$AR$4,1,25-Projects!$C$21+1),0)+IF(AND(Projects!$G$22="Yes",25&gt;=Projects!$C$22,25&lt;Projects!$C$22+Projects!$D$22),Projects!$B$22*INDEX(Curves!$B$4:$AR$4,1,25-Projects!$C$22+1),0)+IF(AND(Projects!$G$23="Yes",25&gt;=Projects!$C$23,25&lt;Projects!$C$23+Projects!$D$23),Projects!$B$23*INDEX(Curves!$B$4:$AR$4,1,25-Projects!$C$23+1),0)+IF(AND(Projects!$G$24="Yes",25&gt;=Projects!$C$24,25&lt;Projects!$C$24+Projects!$D$24),Projects!$B$24*INDEX(Curves!$B$4:$AR$4,1,25-Projects!$C$24+1),0)+IF(AND(Projects!$G$25="Yes",25&gt;=Projects!$C$25,25&lt;Projects!$C$25+Projects!$D$25),Projects!$B$25*INDEX(Curves!$B$4:$AR$4,1,25-Projects!$C$25+1),0)+IF(AND(Projects!$G$26="Yes",25&gt;=Projects!$C$26,25&lt;Projects!$C$26+Projects!$D$26),Projects!$B$26*INDEX(Curves!$B$4:$AR$4,1,25-Projects!$C$26+1),0)+IF(AND(Projects!$G$27="Yes",25&gt;=Projects!$C$27,25&lt;Projects!$C$27+Projects!$D$27),Projects!$B$27*INDEX(Curves!$B$4:$AR$4,1,25-Projects!$C$27+1),0)+IF(AND(Projects!$G$28="Yes",25&gt;=Projects!$C$28,25&lt;Projects!$C$28+Projects!$D$28),Projects!$B$28*INDEX(Curves!$B$4:$AR$4,1,25-Projects!$C$28+1),0)+IF(AND(Projects!$G$29="Yes",25&gt;=Projects!$C$29,25&lt;Projects!$C$29+Projects!$D$29),Projects!$B$29*INDEX(Curves!$B$4:$AR$4,1,25-Projects!$C$29+1),0)+IF(AND(Projects!$G$30="Yes",25&gt;=Projects!$C$30,25&lt;Projects!$C$30+Projects!$D$30),Projects!$B$30*INDEX(Curves!$B$4:$AR$4,1,25-Projects!$C$30+1),0)+IF(AND(Projects!$G$31="Yes",25&gt;=Projects!$C$31,25&lt;Projects!$C$31+Projects!$D$31),Projects!$B$31*INDEX(Curves!$B$4:$AR$4,1,25-Projects!$C$31+1),0)+IF(AND(Projects!$G$32="Yes",25&gt;=Projects!$C$32,25&lt;Projects!$C$32+Projects!$D$32),Projects!$B$32*INDEX(Curves!$B$4:$AR$4,1,25-Projects!$C$32+1),0)+IF(AND(Projects!$G$33="Yes",25&gt;=Projects!$C$33,25&lt;Projects!$C$33+Projects!$D$33),Projects!$B$33*INDEX(Curves!$B$4:$AR$4,1,25-Projects!$C$33+1),0)+IF(AND(Projects!$G$34="Yes",25&gt;=Projects!$C$34,25&lt;Projects!$C$34+Projects!$D$34),Projects!$B$34*INDEX(Curves!$B$4:$AR$4,1,25-Projects!$C$34+1),0)+IF(AND(Projects!$G$35="Yes",25&gt;=Projects!$C$35,25&lt;Projects!$C$35+Projects!$D$35),Projects!$B$35*INDEX(Curves!$B$4:$AR$4,1,25-Projects!$C$35+1),0)+IF(AND(Projects!$G$36="Yes",25&gt;=Projects!$C$36,25&lt;Projects!$C$36+Projects!$D$36),Projects!$B$36*INDEX(Curves!$B$4:$AR$4,1,25-Projects!$C$36+1),0)+IF(AND(Projects!$G$37="Yes",25&gt;=Projects!$C$37,25&lt;Projects!$C$37+Projects!$D$37),Projects!$B$37*INDEX(Curves!$B$4:$AR$4,1,25-Projects!$C$37+1),0)+IF(AND(Projects!$G$38="Yes",25&gt;=Projects!$C$38,25&lt;Projects!$C$38+Projects!$D$38),Projects!$B$38*INDEX(Curves!$B$4:$AR$4,1,25-Projects!$C$38+1),0)+IF(AND(Projects!$G$39="Yes",25&gt;=Projects!$C$39,25&lt;Projects!$C$39+Projects!$D$39),Projects!$B$39*INDEX(Curves!$B$4:$AR$4,1,25-Projects!$C$39+1),0)+IF(AND(Projects!$G$40="Yes",25&gt;=Projects!$C$40,25&lt;Projects!$C$40+Projects!$D$40),Projects!$B$40*INDEX(Curves!$B$4:$AR$4,1,25-Projects!$C$40+1),0)+IF(AND(Projects!$G$41="Yes",25&gt;=Projects!$C$41,25&lt;Projects!$C$41+Projects!$D$41),Projects!$B$41*INDEX(Curves!$B$4:$AR$4,1,25-Projects!$C$41+1),0)+IF(AND(Projects!$G$42="Yes",25&gt;=Projects!$C$42,25&lt;Projects!$C$42+Projects!$D$42),Projects!$B$42*INDEX(Curves!$B$4:$AR$4,1,25-Projects!$C$42+1),0)+IF(AND(Projects!$G$43="Yes",25&gt;=Projects!$C$43,25&lt;Projects!$C$43+Projects!$D$43),Projects!$B$43*INDEX(Curves!$B$4:$AR$4,1,25-Projects!$C$43+1),0)+IF(AND(Projects!$G$44="Yes",25&gt;=Projects!$C$44,25&lt;Projects!$C$44+Projects!$D$44),Projects!$B$44*INDEX(Curves!$B$4:$AR$4,1,25-Projects!$C$44+1),0)+IF(AND(Projects!$G$45="Yes",25&gt;=Projects!$C$45,25&lt;Projects!$C$45+Projects!$D$45),Projects!$B$45*INDEX(Curves!$B$4:$AR$4,1,25-Projects!$C$45+1),0)+IF(AND(Projects!$G$46="Yes",25&gt;=Projects!$C$46,25&lt;Projects!$C$46+Projects!$D$46),Projects!$B$46*INDEX(Curves!$B$4:$AR$4,1,25-Projects!$C$46+1),0)</f>
        <v>0</v>
      </c>
      <c r="AE96" s="59">
        <f>IF(AND(Projects!$G$17="Yes",26&gt;=Projects!$C$17,26&lt;Projects!$C$17+Projects!$D$17),Projects!$B$17*INDEX(Curves!$B$4:$AR$4,1,26-Projects!$C$17+1),0)+IF(AND(Projects!$G$18="Yes",26&gt;=Projects!$C$18,26&lt;Projects!$C$18+Projects!$D$18),Projects!$B$18*INDEX(Curves!$B$4:$AR$4,1,26-Projects!$C$18+1),0)+IF(AND(Projects!$G$19="Yes",26&gt;=Projects!$C$19,26&lt;Projects!$C$19+Projects!$D$19),Projects!$B$19*INDEX(Curves!$B$4:$AR$4,1,26-Projects!$C$19+1),0)+IF(AND(Projects!$G$20="Yes",26&gt;=Projects!$C$20,26&lt;Projects!$C$20+Projects!$D$20),Projects!$B$20*INDEX(Curves!$B$4:$AR$4,1,26-Projects!$C$20+1),0)+IF(AND(Projects!$G$21="Yes",26&gt;=Projects!$C$21,26&lt;Projects!$C$21+Projects!$D$21),Projects!$B$21*INDEX(Curves!$B$4:$AR$4,1,26-Projects!$C$21+1),0)+IF(AND(Projects!$G$22="Yes",26&gt;=Projects!$C$22,26&lt;Projects!$C$22+Projects!$D$22),Projects!$B$22*INDEX(Curves!$B$4:$AR$4,1,26-Projects!$C$22+1),0)+IF(AND(Projects!$G$23="Yes",26&gt;=Projects!$C$23,26&lt;Projects!$C$23+Projects!$D$23),Projects!$B$23*INDEX(Curves!$B$4:$AR$4,1,26-Projects!$C$23+1),0)+IF(AND(Projects!$G$24="Yes",26&gt;=Projects!$C$24,26&lt;Projects!$C$24+Projects!$D$24),Projects!$B$24*INDEX(Curves!$B$4:$AR$4,1,26-Projects!$C$24+1),0)+IF(AND(Projects!$G$25="Yes",26&gt;=Projects!$C$25,26&lt;Projects!$C$25+Projects!$D$25),Projects!$B$25*INDEX(Curves!$B$4:$AR$4,1,26-Projects!$C$25+1),0)+IF(AND(Projects!$G$26="Yes",26&gt;=Projects!$C$26,26&lt;Projects!$C$26+Projects!$D$26),Projects!$B$26*INDEX(Curves!$B$4:$AR$4,1,26-Projects!$C$26+1),0)+IF(AND(Projects!$G$27="Yes",26&gt;=Projects!$C$27,26&lt;Projects!$C$27+Projects!$D$27),Projects!$B$27*INDEX(Curves!$B$4:$AR$4,1,26-Projects!$C$27+1),0)+IF(AND(Projects!$G$28="Yes",26&gt;=Projects!$C$28,26&lt;Projects!$C$28+Projects!$D$28),Projects!$B$28*INDEX(Curves!$B$4:$AR$4,1,26-Projects!$C$28+1),0)+IF(AND(Projects!$G$29="Yes",26&gt;=Projects!$C$29,26&lt;Projects!$C$29+Projects!$D$29),Projects!$B$29*INDEX(Curves!$B$4:$AR$4,1,26-Projects!$C$29+1),0)+IF(AND(Projects!$G$30="Yes",26&gt;=Projects!$C$30,26&lt;Projects!$C$30+Projects!$D$30),Projects!$B$30*INDEX(Curves!$B$4:$AR$4,1,26-Projects!$C$30+1),0)+IF(AND(Projects!$G$31="Yes",26&gt;=Projects!$C$31,26&lt;Projects!$C$31+Projects!$D$31),Projects!$B$31*INDEX(Curves!$B$4:$AR$4,1,26-Projects!$C$31+1),0)+IF(AND(Projects!$G$32="Yes",26&gt;=Projects!$C$32,26&lt;Projects!$C$32+Projects!$D$32),Projects!$B$32*INDEX(Curves!$B$4:$AR$4,1,26-Projects!$C$32+1),0)+IF(AND(Projects!$G$33="Yes",26&gt;=Projects!$C$33,26&lt;Projects!$C$33+Projects!$D$33),Projects!$B$33*INDEX(Curves!$B$4:$AR$4,1,26-Projects!$C$33+1),0)+IF(AND(Projects!$G$34="Yes",26&gt;=Projects!$C$34,26&lt;Projects!$C$34+Projects!$D$34),Projects!$B$34*INDEX(Curves!$B$4:$AR$4,1,26-Projects!$C$34+1),0)+IF(AND(Projects!$G$35="Yes",26&gt;=Projects!$C$35,26&lt;Projects!$C$35+Projects!$D$35),Projects!$B$35*INDEX(Curves!$B$4:$AR$4,1,26-Projects!$C$35+1),0)+IF(AND(Projects!$G$36="Yes",26&gt;=Projects!$C$36,26&lt;Projects!$C$36+Projects!$D$36),Projects!$B$36*INDEX(Curves!$B$4:$AR$4,1,26-Projects!$C$36+1),0)+IF(AND(Projects!$G$37="Yes",26&gt;=Projects!$C$37,26&lt;Projects!$C$37+Projects!$D$37),Projects!$B$37*INDEX(Curves!$B$4:$AR$4,1,26-Projects!$C$37+1),0)+IF(AND(Projects!$G$38="Yes",26&gt;=Projects!$C$38,26&lt;Projects!$C$38+Projects!$D$38),Projects!$B$38*INDEX(Curves!$B$4:$AR$4,1,26-Projects!$C$38+1),0)+IF(AND(Projects!$G$39="Yes",26&gt;=Projects!$C$39,26&lt;Projects!$C$39+Projects!$D$39),Projects!$B$39*INDEX(Curves!$B$4:$AR$4,1,26-Projects!$C$39+1),0)+IF(AND(Projects!$G$40="Yes",26&gt;=Projects!$C$40,26&lt;Projects!$C$40+Projects!$D$40),Projects!$B$40*INDEX(Curves!$B$4:$AR$4,1,26-Projects!$C$40+1),0)+IF(AND(Projects!$G$41="Yes",26&gt;=Projects!$C$41,26&lt;Projects!$C$41+Projects!$D$41),Projects!$B$41*INDEX(Curves!$B$4:$AR$4,1,26-Projects!$C$41+1),0)+IF(AND(Projects!$G$42="Yes",26&gt;=Projects!$C$42,26&lt;Projects!$C$42+Projects!$D$42),Projects!$B$42*INDEX(Curves!$B$4:$AR$4,1,26-Projects!$C$42+1),0)+IF(AND(Projects!$G$43="Yes",26&gt;=Projects!$C$43,26&lt;Projects!$C$43+Projects!$D$43),Projects!$B$43*INDEX(Curves!$B$4:$AR$4,1,26-Projects!$C$43+1),0)+IF(AND(Projects!$G$44="Yes",26&gt;=Projects!$C$44,26&lt;Projects!$C$44+Projects!$D$44),Projects!$B$44*INDEX(Curves!$B$4:$AR$4,1,26-Projects!$C$44+1),0)+IF(AND(Projects!$G$45="Yes",26&gt;=Projects!$C$45,26&lt;Projects!$C$45+Projects!$D$45),Projects!$B$45*INDEX(Curves!$B$4:$AR$4,1,26-Projects!$C$45+1),0)+IF(AND(Projects!$G$46="Yes",26&gt;=Projects!$C$46,26&lt;Projects!$C$46+Projects!$D$46),Projects!$B$46*INDEX(Curves!$B$4:$AR$4,1,26-Projects!$C$46+1),0)</f>
        <v>0</v>
      </c>
      <c r="AF96" s="59">
        <f>IF(AND(Projects!$G$17="Yes",27&gt;=Projects!$C$17,27&lt;Projects!$C$17+Projects!$D$17),Projects!$B$17*INDEX(Curves!$B$4:$AR$4,1,27-Projects!$C$17+1),0)+IF(AND(Projects!$G$18="Yes",27&gt;=Projects!$C$18,27&lt;Projects!$C$18+Projects!$D$18),Projects!$B$18*INDEX(Curves!$B$4:$AR$4,1,27-Projects!$C$18+1),0)+IF(AND(Projects!$G$19="Yes",27&gt;=Projects!$C$19,27&lt;Projects!$C$19+Projects!$D$19),Projects!$B$19*INDEX(Curves!$B$4:$AR$4,1,27-Projects!$C$19+1),0)+IF(AND(Projects!$G$20="Yes",27&gt;=Projects!$C$20,27&lt;Projects!$C$20+Projects!$D$20),Projects!$B$20*INDEX(Curves!$B$4:$AR$4,1,27-Projects!$C$20+1),0)+IF(AND(Projects!$G$21="Yes",27&gt;=Projects!$C$21,27&lt;Projects!$C$21+Projects!$D$21),Projects!$B$21*INDEX(Curves!$B$4:$AR$4,1,27-Projects!$C$21+1),0)+IF(AND(Projects!$G$22="Yes",27&gt;=Projects!$C$22,27&lt;Projects!$C$22+Projects!$D$22),Projects!$B$22*INDEX(Curves!$B$4:$AR$4,1,27-Projects!$C$22+1),0)+IF(AND(Projects!$G$23="Yes",27&gt;=Projects!$C$23,27&lt;Projects!$C$23+Projects!$D$23),Projects!$B$23*INDEX(Curves!$B$4:$AR$4,1,27-Projects!$C$23+1),0)+IF(AND(Projects!$G$24="Yes",27&gt;=Projects!$C$24,27&lt;Projects!$C$24+Projects!$D$24),Projects!$B$24*INDEX(Curves!$B$4:$AR$4,1,27-Projects!$C$24+1),0)+IF(AND(Projects!$G$25="Yes",27&gt;=Projects!$C$25,27&lt;Projects!$C$25+Projects!$D$25),Projects!$B$25*INDEX(Curves!$B$4:$AR$4,1,27-Projects!$C$25+1),0)+IF(AND(Projects!$G$26="Yes",27&gt;=Projects!$C$26,27&lt;Projects!$C$26+Projects!$D$26),Projects!$B$26*INDEX(Curves!$B$4:$AR$4,1,27-Projects!$C$26+1),0)+IF(AND(Projects!$G$27="Yes",27&gt;=Projects!$C$27,27&lt;Projects!$C$27+Projects!$D$27),Projects!$B$27*INDEX(Curves!$B$4:$AR$4,1,27-Projects!$C$27+1),0)+IF(AND(Projects!$G$28="Yes",27&gt;=Projects!$C$28,27&lt;Projects!$C$28+Projects!$D$28),Projects!$B$28*INDEX(Curves!$B$4:$AR$4,1,27-Projects!$C$28+1),0)+IF(AND(Projects!$G$29="Yes",27&gt;=Projects!$C$29,27&lt;Projects!$C$29+Projects!$D$29),Projects!$B$29*INDEX(Curves!$B$4:$AR$4,1,27-Projects!$C$29+1),0)+IF(AND(Projects!$G$30="Yes",27&gt;=Projects!$C$30,27&lt;Projects!$C$30+Projects!$D$30),Projects!$B$30*INDEX(Curves!$B$4:$AR$4,1,27-Projects!$C$30+1),0)+IF(AND(Projects!$G$31="Yes",27&gt;=Projects!$C$31,27&lt;Projects!$C$31+Projects!$D$31),Projects!$B$31*INDEX(Curves!$B$4:$AR$4,1,27-Projects!$C$31+1),0)+IF(AND(Projects!$G$32="Yes",27&gt;=Projects!$C$32,27&lt;Projects!$C$32+Projects!$D$32),Projects!$B$32*INDEX(Curves!$B$4:$AR$4,1,27-Projects!$C$32+1),0)+IF(AND(Projects!$G$33="Yes",27&gt;=Projects!$C$33,27&lt;Projects!$C$33+Projects!$D$33),Projects!$B$33*INDEX(Curves!$B$4:$AR$4,1,27-Projects!$C$33+1),0)+IF(AND(Projects!$G$34="Yes",27&gt;=Projects!$C$34,27&lt;Projects!$C$34+Projects!$D$34),Projects!$B$34*INDEX(Curves!$B$4:$AR$4,1,27-Projects!$C$34+1),0)+IF(AND(Projects!$G$35="Yes",27&gt;=Projects!$C$35,27&lt;Projects!$C$35+Projects!$D$35),Projects!$B$35*INDEX(Curves!$B$4:$AR$4,1,27-Projects!$C$35+1),0)+IF(AND(Projects!$G$36="Yes",27&gt;=Projects!$C$36,27&lt;Projects!$C$36+Projects!$D$36),Projects!$B$36*INDEX(Curves!$B$4:$AR$4,1,27-Projects!$C$36+1),0)+IF(AND(Projects!$G$37="Yes",27&gt;=Projects!$C$37,27&lt;Projects!$C$37+Projects!$D$37),Projects!$B$37*INDEX(Curves!$B$4:$AR$4,1,27-Projects!$C$37+1),0)+IF(AND(Projects!$G$38="Yes",27&gt;=Projects!$C$38,27&lt;Projects!$C$38+Projects!$D$38),Projects!$B$38*INDEX(Curves!$B$4:$AR$4,1,27-Projects!$C$38+1),0)+IF(AND(Projects!$G$39="Yes",27&gt;=Projects!$C$39,27&lt;Projects!$C$39+Projects!$D$39),Projects!$B$39*INDEX(Curves!$B$4:$AR$4,1,27-Projects!$C$39+1),0)+IF(AND(Projects!$G$40="Yes",27&gt;=Projects!$C$40,27&lt;Projects!$C$40+Projects!$D$40),Projects!$B$40*INDEX(Curves!$B$4:$AR$4,1,27-Projects!$C$40+1),0)+IF(AND(Projects!$G$41="Yes",27&gt;=Projects!$C$41,27&lt;Projects!$C$41+Projects!$D$41),Projects!$B$41*INDEX(Curves!$B$4:$AR$4,1,27-Projects!$C$41+1),0)+IF(AND(Projects!$G$42="Yes",27&gt;=Projects!$C$42,27&lt;Projects!$C$42+Projects!$D$42),Projects!$B$42*INDEX(Curves!$B$4:$AR$4,1,27-Projects!$C$42+1),0)+IF(AND(Projects!$G$43="Yes",27&gt;=Projects!$C$43,27&lt;Projects!$C$43+Projects!$D$43),Projects!$B$43*INDEX(Curves!$B$4:$AR$4,1,27-Projects!$C$43+1),0)+IF(AND(Projects!$G$44="Yes",27&gt;=Projects!$C$44,27&lt;Projects!$C$44+Projects!$D$44),Projects!$B$44*INDEX(Curves!$B$4:$AR$4,1,27-Projects!$C$44+1),0)+IF(AND(Projects!$G$45="Yes",27&gt;=Projects!$C$45,27&lt;Projects!$C$45+Projects!$D$45),Projects!$B$45*INDEX(Curves!$B$4:$AR$4,1,27-Projects!$C$45+1),0)+IF(AND(Projects!$G$46="Yes",27&gt;=Projects!$C$46,27&lt;Projects!$C$46+Projects!$D$46),Projects!$B$46*INDEX(Curves!$B$4:$AR$4,1,27-Projects!$C$46+1),0)</f>
        <v>0</v>
      </c>
      <c r="AG96" s="59">
        <f>IF(AND(Projects!$G$17="Yes",28&gt;=Projects!$C$17,28&lt;Projects!$C$17+Projects!$D$17),Projects!$B$17*INDEX(Curves!$B$4:$AR$4,1,28-Projects!$C$17+1),0)+IF(AND(Projects!$G$18="Yes",28&gt;=Projects!$C$18,28&lt;Projects!$C$18+Projects!$D$18),Projects!$B$18*INDEX(Curves!$B$4:$AR$4,1,28-Projects!$C$18+1),0)+IF(AND(Projects!$G$19="Yes",28&gt;=Projects!$C$19,28&lt;Projects!$C$19+Projects!$D$19),Projects!$B$19*INDEX(Curves!$B$4:$AR$4,1,28-Projects!$C$19+1),0)+IF(AND(Projects!$G$20="Yes",28&gt;=Projects!$C$20,28&lt;Projects!$C$20+Projects!$D$20),Projects!$B$20*INDEX(Curves!$B$4:$AR$4,1,28-Projects!$C$20+1),0)+IF(AND(Projects!$G$21="Yes",28&gt;=Projects!$C$21,28&lt;Projects!$C$21+Projects!$D$21),Projects!$B$21*INDEX(Curves!$B$4:$AR$4,1,28-Projects!$C$21+1),0)+IF(AND(Projects!$G$22="Yes",28&gt;=Projects!$C$22,28&lt;Projects!$C$22+Projects!$D$22),Projects!$B$22*INDEX(Curves!$B$4:$AR$4,1,28-Projects!$C$22+1),0)+IF(AND(Projects!$G$23="Yes",28&gt;=Projects!$C$23,28&lt;Projects!$C$23+Projects!$D$23),Projects!$B$23*INDEX(Curves!$B$4:$AR$4,1,28-Projects!$C$23+1),0)+IF(AND(Projects!$G$24="Yes",28&gt;=Projects!$C$24,28&lt;Projects!$C$24+Projects!$D$24),Projects!$B$24*INDEX(Curves!$B$4:$AR$4,1,28-Projects!$C$24+1),0)+IF(AND(Projects!$G$25="Yes",28&gt;=Projects!$C$25,28&lt;Projects!$C$25+Projects!$D$25),Projects!$B$25*INDEX(Curves!$B$4:$AR$4,1,28-Projects!$C$25+1),0)+IF(AND(Projects!$G$26="Yes",28&gt;=Projects!$C$26,28&lt;Projects!$C$26+Projects!$D$26),Projects!$B$26*INDEX(Curves!$B$4:$AR$4,1,28-Projects!$C$26+1),0)+IF(AND(Projects!$G$27="Yes",28&gt;=Projects!$C$27,28&lt;Projects!$C$27+Projects!$D$27),Projects!$B$27*INDEX(Curves!$B$4:$AR$4,1,28-Projects!$C$27+1),0)+IF(AND(Projects!$G$28="Yes",28&gt;=Projects!$C$28,28&lt;Projects!$C$28+Projects!$D$28),Projects!$B$28*INDEX(Curves!$B$4:$AR$4,1,28-Projects!$C$28+1),0)+IF(AND(Projects!$G$29="Yes",28&gt;=Projects!$C$29,28&lt;Projects!$C$29+Projects!$D$29),Projects!$B$29*INDEX(Curves!$B$4:$AR$4,1,28-Projects!$C$29+1),0)+IF(AND(Projects!$G$30="Yes",28&gt;=Projects!$C$30,28&lt;Projects!$C$30+Projects!$D$30),Projects!$B$30*INDEX(Curves!$B$4:$AR$4,1,28-Projects!$C$30+1),0)+IF(AND(Projects!$G$31="Yes",28&gt;=Projects!$C$31,28&lt;Projects!$C$31+Projects!$D$31),Projects!$B$31*INDEX(Curves!$B$4:$AR$4,1,28-Projects!$C$31+1),0)+IF(AND(Projects!$G$32="Yes",28&gt;=Projects!$C$32,28&lt;Projects!$C$32+Projects!$D$32),Projects!$B$32*INDEX(Curves!$B$4:$AR$4,1,28-Projects!$C$32+1),0)+IF(AND(Projects!$G$33="Yes",28&gt;=Projects!$C$33,28&lt;Projects!$C$33+Projects!$D$33),Projects!$B$33*INDEX(Curves!$B$4:$AR$4,1,28-Projects!$C$33+1),0)+IF(AND(Projects!$G$34="Yes",28&gt;=Projects!$C$34,28&lt;Projects!$C$34+Projects!$D$34),Projects!$B$34*INDEX(Curves!$B$4:$AR$4,1,28-Projects!$C$34+1),0)+IF(AND(Projects!$G$35="Yes",28&gt;=Projects!$C$35,28&lt;Projects!$C$35+Projects!$D$35),Projects!$B$35*INDEX(Curves!$B$4:$AR$4,1,28-Projects!$C$35+1),0)+IF(AND(Projects!$G$36="Yes",28&gt;=Projects!$C$36,28&lt;Projects!$C$36+Projects!$D$36),Projects!$B$36*INDEX(Curves!$B$4:$AR$4,1,28-Projects!$C$36+1),0)+IF(AND(Projects!$G$37="Yes",28&gt;=Projects!$C$37,28&lt;Projects!$C$37+Projects!$D$37),Projects!$B$37*INDEX(Curves!$B$4:$AR$4,1,28-Projects!$C$37+1),0)+IF(AND(Projects!$G$38="Yes",28&gt;=Projects!$C$38,28&lt;Projects!$C$38+Projects!$D$38),Projects!$B$38*INDEX(Curves!$B$4:$AR$4,1,28-Projects!$C$38+1),0)+IF(AND(Projects!$G$39="Yes",28&gt;=Projects!$C$39,28&lt;Projects!$C$39+Projects!$D$39),Projects!$B$39*INDEX(Curves!$B$4:$AR$4,1,28-Projects!$C$39+1),0)+IF(AND(Projects!$G$40="Yes",28&gt;=Projects!$C$40,28&lt;Projects!$C$40+Projects!$D$40),Projects!$B$40*INDEX(Curves!$B$4:$AR$4,1,28-Projects!$C$40+1),0)+IF(AND(Projects!$G$41="Yes",28&gt;=Projects!$C$41,28&lt;Projects!$C$41+Projects!$D$41),Projects!$B$41*INDEX(Curves!$B$4:$AR$4,1,28-Projects!$C$41+1),0)+IF(AND(Projects!$G$42="Yes",28&gt;=Projects!$C$42,28&lt;Projects!$C$42+Projects!$D$42),Projects!$B$42*INDEX(Curves!$B$4:$AR$4,1,28-Projects!$C$42+1),0)+IF(AND(Projects!$G$43="Yes",28&gt;=Projects!$C$43,28&lt;Projects!$C$43+Projects!$D$43),Projects!$B$43*INDEX(Curves!$B$4:$AR$4,1,28-Projects!$C$43+1),0)+IF(AND(Projects!$G$44="Yes",28&gt;=Projects!$C$44,28&lt;Projects!$C$44+Projects!$D$44),Projects!$B$44*INDEX(Curves!$B$4:$AR$4,1,28-Projects!$C$44+1),0)+IF(AND(Projects!$G$45="Yes",28&gt;=Projects!$C$45,28&lt;Projects!$C$45+Projects!$D$45),Projects!$B$45*INDEX(Curves!$B$4:$AR$4,1,28-Projects!$C$45+1),0)+IF(AND(Projects!$G$46="Yes",28&gt;=Projects!$C$46,28&lt;Projects!$C$46+Projects!$D$46),Projects!$B$46*INDEX(Curves!$B$4:$AR$4,1,28-Projects!$C$46+1),0)</f>
        <v>0</v>
      </c>
      <c r="AH96" s="59">
        <f>IF(AND(Projects!$G$17="Yes",29&gt;=Projects!$C$17,29&lt;Projects!$C$17+Projects!$D$17),Projects!$B$17*INDEX(Curves!$B$4:$AR$4,1,29-Projects!$C$17+1),0)+IF(AND(Projects!$G$18="Yes",29&gt;=Projects!$C$18,29&lt;Projects!$C$18+Projects!$D$18),Projects!$B$18*INDEX(Curves!$B$4:$AR$4,1,29-Projects!$C$18+1),0)+IF(AND(Projects!$G$19="Yes",29&gt;=Projects!$C$19,29&lt;Projects!$C$19+Projects!$D$19),Projects!$B$19*INDEX(Curves!$B$4:$AR$4,1,29-Projects!$C$19+1),0)+IF(AND(Projects!$G$20="Yes",29&gt;=Projects!$C$20,29&lt;Projects!$C$20+Projects!$D$20),Projects!$B$20*INDEX(Curves!$B$4:$AR$4,1,29-Projects!$C$20+1),0)+IF(AND(Projects!$G$21="Yes",29&gt;=Projects!$C$21,29&lt;Projects!$C$21+Projects!$D$21),Projects!$B$21*INDEX(Curves!$B$4:$AR$4,1,29-Projects!$C$21+1),0)+IF(AND(Projects!$G$22="Yes",29&gt;=Projects!$C$22,29&lt;Projects!$C$22+Projects!$D$22),Projects!$B$22*INDEX(Curves!$B$4:$AR$4,1,29-Projects!$C$22+1),0)+IF(AND(Projects!$G$23="Yes",29&gt;=Projects!$C$23,29&lt;Projects!$C$23+Projects!$D$23),Projects!$B$23*INDEX(Curves!$B$4:$AR$4,1,29-Projects!$C$23+1),0)+IF(AND(Projects!$G$24="Yes",29&gt;=Projects!$C$24,29&lt;Projects!$C$24+Projects!$D$24),Projects!$B$24*INDEX(Curves!$B$4:$AR$4,1,29-Projects!$C$24+1),0)+IF(AND(Projects!$G$25="Yes",29&gt;=Projects!$C$25,29&lt;Projects!$C$25+Projects!$D$25),Projects!$B$25*INDEX(Curves!$B$4:$AR$4,1,29-Projects!$C$25+1),0)+IF(AND(Projects!$G$26="Yes",29&gt;=Projects!$C$26,29&lt;Projects!$C$26+Projects!$D$26),Projects!$B$26*INDEX(Curves!$B$4:$AR$4,1,29-Projects!$C$26+1),0)+IF(AND(Projects!$G$27="Yes",29&gt;=Projects!$C$27,29&lt;Projects!$C$27+Projects!$D$27),Projects!$B$27*INDEX(Curves!$B$4:$AR$4,1,29-Projects!$C$27+1),0)+IF(AND(Projects!$G$28="Yes",29&gt;=Projects!$C$28,29&lt;Projects!$C$28+Projects!$D$28),Projects!$B$28*INDEX(Curves!$B$4:$AR$4,1,29-Projects!$C$28+1),0)+IF(AND(Projects!$G$29="Yes",29&gt;=Projects!$C$29,29&lt;Projects!$C$29+Projects!$D$29),Projects!$B$29*INDEX(Curves!$B$4:$AR$4,1,29-Projects!$C$29+1),0)+IF(AND(Projects!$G$30="Yes",29&gt;=Projects!$C$30,29&lt;Projects!$C$30+Projects!$D$30),Projects!$B$30*INDEX(Curves!$B$4:$AR$4,1,29-Projects!$C$30+1),0)+IF(AND(Projects!$G$31="Yes",29&gt;=Projects!$C$31,29&lt;Projects!$C$31+Projects!$D$31),Projects!$B$31*INDEX(Curves!$B$4:$AR$4,1,29-Projects!$C$31+1),0)+IF(AND(Projects!$G$32="Yes",29&gt;=Projects!$C$32,29&lt;Projects!$C$32+Projects!$D$32),Projects!$B$32*INDEX(Curves!$B$4:$AR$4,1,29-Projects!$C$32+1),0)+IF(AND(Projects!$G$33="Yes",29&gt;=Projects!$C$33,29&lt;Projects!$C$33+Projects!$D$33),Projects!$B$33*INDEX(Curves!$B$4:$AR$4,1,29-Projects!$C$33+1),0)+IF(AND(Projects!$G$34="Yes",29&gt;=Projects!$C$34,29&lt;Projects!$C$34+Projects!$D$34),Projects!$B$34*INDEX(Curves!$B$4:$AR$4,1,29-Projects!$C$34+1),0)+IF(AND(Projects!$G$35="Yes",29&gt;=Projects!$C$35,29&lt;Projects!$C$35+Projects!$D$35),Projects!$B$35*INDEX(Curves!$B$4:$AR$4,1,29-Projects!$C$35+1),0)+IF(AND(Projects!$G$36="Yes",29&gt;=Projects!$C$36,29&lt;Projects!$C$36+Projects!$D$36),Projects!$B$36*INDEX(Curves!$B$4:$AR$4,1,29-Projects!$C$36+1),0)+IF(AND(Projects!$G$37="Yes",29&gt;=Projects!$C$37,29&lt;Projects!$C$37+Projects!$D$37),Projects!$B$37*INDEX(Curves!$B$4:$AR$4,1,29-Projects!$C$37+1),0)+IF(AND(Projects!$G$38="Yes",29&gt;=Projects!$C$38,29&lt;Projects!$C$38+Projects!$D$38),Projects!$B$38*INDEX(Curves!$B$4:$AR$4,1,29-Projects!$C$38+1),0)+IF(AND(Projects!$G$39="Yes",29&gt;=Projects!$C$39,29&lt;Projects!$C$39+Projects!$D$39),Projects!$B$39*INDEX(Curves!$B$4:$AR$4,1,29-Projects!$C$39+1),0)+IF(AND(Projects!$G$40="Yes",29&gt;=Projects!$C$40,29&lt;Projects!$C$40+Projects!$D$40),Projects!$B$40*INDEX(Curves!$B$4:$AR$4,1,29-Projects!$C$40+1),0)+IF(AND(Projects!$G$41="Yes",29&gt;=Projects!$C$41,29&lt;Projects!$C$41+Projects!$D$41),Projects!$B$41*INDEX(Curves!$B$4:$AR$4,1,29-Projects!$C$41+1),0)+IF(AND(Projects!$G$42="Yes",29&gt;=Projects!$C$42,29&lt;Projects!$C$42+Projects!$D$42),Projects!$B$42*INDEX(Curves!$B$4:$AR$4,1,29-Projects!$C$42+1),0)+IF(AND(Projects!$G$43="Yes",29&gt;=Projects!$C$43,29&lt;Projects!$C$43+Projects!$D$43),Projects!$B$43*INDEX(Curves!$B$4:$AR$4,1,29-Projects!$C$43+1),0)+IF(AND(Projects!$G$44="Yes",29&gt;=Projects!$C$44,29&lt;Projects!$C$44+Projects!$D$44),Projects!$B$44*INDEX(Curves!$B$4:$AR$4,1,29-Projects!$C$44+1),0)+IF(AND(Projects!$G$45="Yes",29&gt;=Projects!$C$45,29&lt;Projects!$C$45+Projects!$D$45),Projects!$B$45*INDEX(Curves!$B$4:$AR$4,1,29-Projects!$C$45+1),0)+IF(AND(Projects!$G$46="Yes",29&gt;=Projects!$C$46,29&lt;Projects!$C$46+Projects!$D$46),Projects!$B$46*INDEX(Curves!$B$4:$AR$4,1,29-Projects!$C$46+1),0)</f>
        <v>0</v>
      </c>
      <c r="AI96" s="59">
        <f>IF(AND(Projects!$G$17="Yes",30&gt;=Projects!$C$17,30&lt;Projects!$C$17+Projects!$D$17),Projects!$B$17*INDEX(Curves!$B$4:$AR$4,1,30-Projects!$C$17+1),0)+IF(AND(Projects!$G$18="Yes",30&gt;=Projects!$C$18,30&lt;Projects!$C$18+Projects!$D$18),Projects!$B$18*INDEX(Curves!$B$4:$AR$4,1,30-Projects!$C$18+1),0)+IF(AND(Projects!$G$19="Yes",30&gt;=Projects!$C$19,30&lt;Projects!$C$19+Projects!$D$19),Projects!$B$19*INDEX(Curves!$B$4:$AR$4,1,30-Projects!$C$19+1),0)+IF(AND(Projects!$G$20="Yes",30&gt;=Projects!$C$20,30&lt;Projects!$C$20+Projects!$D$20),Projects!$B$20*INDEX(Curves!$B$4:$AR$4,1,30-Projects!$C$20+1),0)+IF(AND(Projects!$G$21="Yes",30&gt;=Projects!$C$21,30&lt;Projects!$C$21+Projects!$D$21),Projects!$B$21*INDEX(Curves!$B$4:$AR$4,1,30-Projects!$C$21+1),0)+IF(AND(Projects!$G$22="Yes",30&gt;=Projects!$C$22,30&lt;Projects!$C$22+Projects!$D$22),Projects!$B$22*INDEX(Curves!$B$4:$AR$4,1,30-Projects!$C$22+1),0)+IF(AND(Projects!$G$23="Yes",30&gt;=Projects!$C$23,30&lt;Projects!$C$23+Projects!$D$23),Projects!$B$23*INDEX(Curves!$B$4:$AR$4,1,30-Projects!$C$23+1),0)+IF(AND(Projects!$G$24="Yes",30&gt;=Projects!$C$24,30&lt;Projects!$C$24+Projects!$D$24),Projects!$B$24*INDEX(Curves!$B$4:$AR$4,1,30-Projects!$C$24+1),0)+IF(AND(Projects!$G$25="Yes",30&gt;=Projects!$C$25,30&lt;Projects!$C$25+Projects!$D$25),Projects!$B$25*INDEX(Curves!$B$4:$AR$4,1,30-Projects!$C$25+1),0)+IF(AND(Projects!$G$26="Yes",30&gt;=Projects!$C$26,30&lt;Projects!$C$26+Projects!$D$26),Projects!$B$26*INDEX(Curves!$B$4:$AR$4,1,30-Projects!$C$26+1),0)+IF(AND(Projects!$G$27="Yes",30&gt;=Projects!$C$27,30&lt;Projects!$C$27+Projects!$D$27),Projects!$B$27*INDEX(Curves!$B$4:$AR$4,1,30-Projects!$C$27+1),0)+IF(AND(Projects!$G$28="Yes",30&gt;=Projects!$C$28,30&lt;Projects!$C$28+Projects!$D$28),Projects!$B$28*INDEX(Curves!$B$4:$AR$4,1,30-Projects!$C$28+1),0)+IF(AND(Projects!$G$29="Yes",30&gt;=Projects!$C$29,30&lt;Projects!$C$29+Projects!$D$29),Projects!$B$29*INDEX(Curves!$B$4:$AR$4,1,30-Projects!$C$29+1),0)+IF(AND(Projects!$G$30="Yes",30&gt;=Projects!$C$30,30&lt;Projects!$C$30+Projects!$D$30),Projects!$B$30*INDEX(Curves!$B$4:$AR$4,1,30-Projects!$C$30+1),0)+IF(AND(Projects!$G$31="Yes",30&gt;=Projects!$C$31,30&lt;Projects!$C$31+Projects!$D$31),Projects!$B$31*INDEX(Curves!$B$4:$AR$4,1,30-Projects!$C$31+1),0)+IF(AND(Projects!$G$32="Yes",30&gt;=Projects!$C$32,30&lt;Projects!$C$32+Projects!$D$32),Projects!$B$32*INDEX(Curves!$B$4:$AR$4,1,30-Projects!$C$32+1),0)+IF(AND(Projects!$G$33="Yes",30&gt;=Projects!$C$33,30&lt;Projects!$C$33+Projects!$D$33),Projects!$B$33*INDEX(Curves!$B$4:$AR$4,1,30-Projects!$C$33+1),0)+IF(AND(Projects!$G$34="Yes",30&gt;=Projects!$C$34,30&lt;Projects!$C$34+Projects!$D$34),Projects!$B$34*INDEX(Curves!$B$4:$AR$4,1,30-Projects!$C$34+1),0)+IF(AND(Projects!$G$35="Yes",30&gt;=Projects!$C$35,30&lt;Projects!$C$35+Projects!$D$35),Projects!$B$35*INDEX(Curves!$B$4:$AR$4,1,30-Projects!$C$35+1),0)+IF(AND(Projects!$G$36="Yes",30&gt;=Projects!$C$36,30&lt;Projects!$C$36+Projects!$D$36),Projects!$B$36*INDEX(Curves!$B$4:$AR$4,1,30-Projects!$C$36+1),0)+IF(AND(Projects!$G$37="Yes",30&gt;=Projects!$C$37,30&lt;Projects!$C$37+Projects!$D$37),Projects!$B$37*INDEX(Curves!$B$4:$AR$4,1,30-Projects!$C$37+1),0)+IF(AND(Projects!$G$38="Yes",30&gt;=Projects!$C$38,30&lt;Projects!$C$38+Projects!$D$38),Projects!$B$38*INDEX(Curves!$B$4:$AR$4,1,30-Projects!$C$38+1),0)+IF(AND(Projects!$G$39="Yes",30&gt;=Projects!$C$39,30&lt;Projects!$C$39+Projects!$D$39),Projects!$B$39*INDEX(Curves!$B$4:$AR$4,1,30-Projects!$C$39+1),0)+IF(AND(Projects!$G$40="Yes",30&gt;=Projects!$C$40,30&lt;Projects!$C$40+Projects!$D$40),Projects!$B$40*INDEX(Curves!$B$4:$AR$4,1,30-Projects!$C$40+1),0)+IF(AND(Projects!$G$41="Yes",30&gt;=Projects!$C$41,30&lt;Projects!$C$41+Projects!$D$41),Projects!$B$41*INDEX(Curves!$B$4:$AR$4,1,30-Projects!$C$41+1),0)+IF(AND(Projects!$G$42="Yes",30&gt;=Projects!$C$42,30&lt;Projects!$C$42+Projects!$D$42),Projects!$B$42*INDEX(Curves!$B$4:$AR$4,1,30-Projects!$C$42+1),0)+IF(AND(Projects!$G$43="Yes",30&gt;=Projects!$C$43,30&lt;Projects!$C$43+Projects!$D$43),Projects!$B$43*INDEX(Curves!$B$4:$AR$4,1,30-Projects!$C$43+1),0)+IF(AND(Projects!$G$44="Yes",30&gt;=Projects!$C$44,30&lt;Projects!$C$44+Projects!$D$44),Projects!$B$44*INDEX(Curves!$B$4:$AR$4,1,30-Projects!$C$44+1),0)+IF(AND(Projects!$G$45="Yes",30&gt;=Projects!$C$45,30&lt;Projects!$C$45+Projects!$D$45),Projects!$B$45*INDEX(Curves!$B$4:$AR$4,1,30-Projects!$C$45+1),0)+IF(AND(Projects!$G$46="Yes",30&gt;=Projects!$C$46,30&lt;Projects!$C$46+Projects!$D$46),Projects!$B$46*INDEX(Curves!$B$4:$AR$4,1,30-Projects!$C$46+1),0)</f>
        <v>0</v>
      </c>
      <c r="AJ96" s="59">
        <f>IF(AND(Projects!$G$17="Yes",31&gt;=Projects!$C$17,31&lt;Projects!$C$17+Projects!$D$17),Projects!$B$17*INDEX(Curves!$B$4:$AR$4,1,31-Projects!$C$17+1),0)+IF(AND(Projects!$G$18="Yes",31&gt;=Projects!$C$18,31&lt;Projects!$C$18+Projects!$D$18),Projects!$B$18*INDEX(Curves!$B$4:$AR$4,1,31-Projects!$C$18+1),0)+IF(AND(Projects!$G$19="Yes",31&gt;=Projects!$C$19,31&lt;Projects!$C$19+Projects!$D$19),Projects!$B$19*INDEX(Curves!$B$4:$AR$4,1,31-Projects!$C$19+1),0)+IF(AND(Projects!$G$20="Yes",31&gt;=Projects!$C$20,31&lt;Projects!$C$20+Projects!$D$20),Projects!$B$20*INDEX(Curves!$B$4:$AR$4,1,31-Projects!$C$20+1),0)+IF(AND(Projects!$G$21="Yes",31&gt;=Projects!$C$21,31&lt;Projects!$C$21+Projects!$D$21),Projects!$B$21*INDEX(Curves!$B$4:$AR$4,1,31-Projects!$C$21+1),0)+IF(AND(Projects!$G$22="Yes",31&gt;=Projects!$C$22,31&lt;Projects!$C$22+Projects!$D$22),Projects!$B$22*INDEX(Curves!$B$4:$AR$4,1,31-Projects!$C$22+1),0)+IF(AND(Projects!$G$23="Yes",31&gt;=Projects!$C$23,31&lt;Projects!$C$23+Projects!$D$23),Projects!$B$23*INDEX(Curves!$B$4:$AR$4,1,31-Projects!$C$23+1),0)+IF(AND(Projects!$G$24="Yes",31&gt;=Projects!$C$24,31&lt;Projects!$C$24+Projects!$D$24),Projects!$B$24*INDEX(Curves!$B$4:$AR$4,1,31-Projects!$C$24+1),0)+IF(AND(Projects!$G$25="Yes",31&gt;=Projects!$C$25,31&lt;Projects!$C$25+Projects!$D$25),Projects!$B$25*INDEX(Curves!$B$4:$AR$4,1,31-Projects!$C$25+1),0)+IF(AND(Projects!$G$26="Yes",31&gt;=Projects!$C$26,31&lt;Projects!$C$26+Projects!$D$26),Projects!$B$26*INDEX(Curves!$B$4:$AR$4,1,31-Projects!$C$26+1),0)+IF(AND(Projects!$G$27="Yes",31&gt;=Projects!$C$27,31&lt;Projects!$C$27+Projects!$D$27),Projects!$B$27*INDEX(Curves!$B$4:$AR$4,1,31-Projects!$C$27+1),0)+IF(AND(Projects!$G$28="Yes",31&gt;=Projects!$C$28,31&lt;Projects!$C$28+Projects!$D$28),Projects!$B$28*INDEX(Curves!$B$4:$AR$4,1,31-Projects!$C$28+1),0)+IF(AND(Projects!$G$29="Yes",31&gt;=Projects!$C$29,31&lt;Projects!$C$29+Projects!$D$29),Projects!$B$29*INDEX(Curves!$B$4:$AR$4,1,31-Projects!$C$29+1),0)+IF(AND(Projects!$G$30="Yes",31&gt;=Projects!$C$30,31&lt;Projects!$C$30+Projects!$D$30),Projects!$B$30*INDEX(Curves!$B$4:$AR$4,1,31-Projects!$C$30+1),0)+IF(AND(Projects!$G$31="Yes",31&gt;=Projects!$C$31,31&lt;Projects!$C$31+Projects!$D$31),Projects!$B$31*INDEX(Curves!$B$4:$AR$4,1,31-Projects!$C$31+1),0)+IF(AND(Projects!$G$32="Yes",31&gt;=Projects!$C$32,31&lt;Projects!$C$32+Projects!$D$32),Projects!$B$32*INDEX(Curves!$B$4:$AR$4,1,31-Projects!$C$32+1),0)+IF(AND(Projects!$G$33="Yes",31&gt;=Projects!$C$33,31&lt;Projects!$C$33+Projects!$D$33),Projects!$B$33*INDEX(Curves!$B$4:$AR$4,1,31-Projects!$C$33+1),0)+IF(AND(Projects!$G$34="Yes",31&gt;=Projects!$C$34,31&lt;Projects!$C$34+Projects!$D$34),Projects!$B$34*INDEX(Curves!$B$4:$AR$4,1,31-Projects!$C$34+1),0)+IF(AND(Projects!$G$35="Yes",31&gt;=Projects!$C$35,31&lt;Projects!$C$35+Projects!$D$35),Projects!$B$35*INDEX(Curves!$B$4:$AR$4,1,31-Projects!$C$35+1),0)+IF(AND(Projects!$G$36="Yes",31&gt;=Projects!$C$36,31&lt;Projects!$C$36+Projects!$D$36),Projects!$B$36*INDEX(Curves!$B$4:$AR$4,1,31-Projects!$C$36+1),0)+IF(AND(Projects!$G$37="Yes",31&gt;=Projects!$C$37,31&lt;Projects!$C$37+Projects!$D$37),Projects!$B$37*INDEX(Curves!$B$4:$AR$4,1,31-Projects!$C$37+1),0)+IF(AND(Projects!$G$38="Yes",31&gt;=Projects!$C$38,31&lt;Projects!$C$38+Projects!$D$38),Projects!$B$38*INDEX(Curves!$B$4:$AR$4,1,31-Projects!$C$38+1),0)+IF(AND(Projects!$G$39="Yes",31&gt;=Projects!$C$39,31&lt;Projects!$C$39+Projects!$D$39),Projects!$B$39*INDEX(Curves!$B$4:$AR$4,1,31-Projects!$C$39+1),0)+IF(AND(Projects!$G$40="Yes",31&gt;=Projects!$C$40,31&lt;Projects!$C$40+Projects!$D$40),Projects!$B$40*INDEX(Curves!$B$4:$AR$4,1,31-Projects!$C$40+1),0)+IF(AND(Projects!$G$41="Yes",31&gt;=Projects!$C$41,31&lt;Projects!$C$41+Projects!$D$41),Projects!$B$41*INDEX(Curves!$B$4:$AR$4,1,31-Projects!$C$41+1),0)+IF(AND(Projects!$G$42="Yes",31&gt;=Projects!$C$42,31&lt;Projects!$C$42+Projects!$D$42),Projects!$B$42*INDEX(Curves!$B$4:$AR$4,1,31-Projects!$C$42+1),0)+IF(AND(Projects!$G$43="Yes",31&gt;=Projects!$C$43,31&lt;Projects!$C$43+Projects!$D$43),Projects!$B$43*INDEX(Curves!$B$4:$AR$4,1,31-Projects!$C$43+1),0)+IF(AND(Projects!$G$44="Yes",31&gt;=Projects!$C$44,31&lt;Projects!$C$44+Projects!$D$44),Projects!$B$44*INDEX(Curves!$B$4:$AR$4,1,31-Projects!$C$44+1),0)+IF(AND(Projects!$G$45="Yes",31&gt;=Projects!$C$45,31&lt;Projects!$C$45+Projects!$D$45),Projects!$B$45*INDEX(Curves!$B$4:$AR$4,1,31-Projects!$C$45+1),0)+IF(AND(Projects!$G$46="Yes",31&gt;=Projects!$C$46,31&lt;Projects!$C$46+Projects!$D$46),Projects!$B$46*INDEX(Curves!$B$4:$AR$4,1,31-Projects!$C$46+1),0)</f>
        <v>397755</v>
      </c>
      <c r="AK96" s="59">
        <f>IF(AND(Projects!$G$17="Yes",32&gt;=Projects!$C$17,32&lt;Projects!$C$17+Projects!$D$17),Projects!$B$17*INDEX(Curves!$B$4:$AR$4,1,32-Projects!$C$17+1),0)+IF(AND(Projects!$G$18="Yes",32&gt;=Projects!$C$18,32&lt;Projects!$C$18+Projects!$D$18),Projects!$B$18*INDEX(Curves!$B$4:$AR$4,1,32-Projects!$C$18+1),0)+IF(AND(Projects!$G$19="Yes",32&gt;=Projects!$C$19,32&lt;Projects!$C$19+Projects!$D$19),Projects!$B$19*INDEX(Curves!$B$4:$AR$4,1,32-Projects!$C$19+1),0)+IF(AND(Projects!$G$20="Yes",32&gt;=Projects!$C$20,32&lt;Projects!$C$20+Projects!$D$20),Projects!$B$20*INDEX(Curves!$B$4:$AR$4,1,32-Projects!$C$20+1),0)+IF(AND(Projects!$G$21="Yes",32&gt;=Projects!$C$21,32&lt;Projects!$C$21+Projects!$D$21),Projects!$B$21*INDEX(Curves!$B$4:$AR$4,1,32-Projects!$C$21+1),0)+IF(AND(Projects!$G$22="Yes",32&gt;=Projects!$C$22,32&lt;Projects!$C$22+Projects!$D$22),Projects!$B$22*INDEX(Curves!$B$4:$AR$4,1,32-Projects!$C$22+1),0)+IF(AND(Projects!$G$23="Yes",32&gt;=Projects!$C$23,32&lt;Projects!$C$23+Projects!$D$23),Projects!$B$23*INDEX(Curves!$B$4:$AR$4,1,32-Projects!$C$23+1),0)+IF(AND(Projects!$G$24="Yes",32&gt;=Projects!$C$24,32&lt;Projects!$C$24+Projects!$D$24),Projects!$B$24*INDEX(Curves!$B$4:$AR$4,1,32-Projects!$C$24+1),0)+IF(AND(Projects!$G$25="Yes",32&gt;=Projects!$C$25,32&lt;Projects!$C$25+Projects!$D$25),Projects!$B$25*INDEX(Curves!$B$4:$AR$4,1,32-Projects!$C$25+1),0)+IF(AND(Projects!$G$26="Yes",32&gt;=Projects!$C$26,32&lt;Projects!$C$26+Projects!$D$26),Projects!$B$26*INDEX(Curves!$B$4:$AR$4,1,32-Projects!$C$26+1),0)+IF(AND(Projects!$G$27="Yes",32&gt;=Projects!$C$27,32&lt;Projects!$C$27+Projects!$D$27),Projects!$B$27*INDEX(Curves!$B$4:$AR$4,1,32-Projects!$C$27+1),0)+IF(AND(Projects!$G$28="Yes",32&gt;=Projects!$C$28,32&lt;Projects!$C$28+Projects!$D$28),Projects!$B$28*INDEX(Curves!$B$4:$AR$4,1,32-Projects!$C$28+1),0)+IF(AND(Projects!$G$29="Yes",32&gt;=Projects!$C$29,32&lt;Projects!$C$29+Projects!$D$29),Projects!$B$29*INDEX(Curves!$B$4:$AR$4,1,32-Projects!$C$29+1),0)+IF(AND(Projects!$G$30="Yes",32&gt;=Projects!$C$30,32&lt;Projects!$C$30+Projects!$D$30),Projects!$B$30*INDEX(Curves!$B$4:$AR$4,1,32-Projects!$C$30+1),0)+IF(AND(Projects!$G$31="Yes",32&gt;=Projects!$C$31,32&lt;Projects!$C$31+Projects!$D$31),Projects!$B$31*INDEX(Curves!$B$4:$AR$4,1,32-Projects!$C$31+1),0)+IF(AND(Projects!$G$32="Yes",32&gt;=Projects!$C$32,32&lt;Projects!$C$32+Projects!$D$32),Projects!$B$32*INDEX(Curves!$B$4:$AR$4,1,32-Projects!$C$32+1),0)+IF(AND(Projects!$G$33="Yes",32&gt;=Projects!$C$33,32&lt;Projects!$C$33+Projects!$D$33),Projects!$B$33*INDEX(Curves!$B$4:$AR$4,1,32-Projects!$C$33+1),0)+IF(AND(Projects!$G$34="Yes",32&gt;=Projects!$C$34,32&lt;Projects!$C$34+Projects!$D$34),Projects!$B$34*INDEX(Curves!$B$4:$AR$4,1,32-Projects!$C$34+1),0)+IF(AND(Projects!$G$35="Yes",32&gt;=Projects!$C$35,32&lt;Projects!$C$35+Projects!$D$35),Projects!$B$35*INDEX(Curves!$B$4:$AR$4,1,32-Projects!$C$35+1),0)+IF(AND(Projects!$G$36="Yes",32&gt;=Projects!$C$36,32&lt;Projects!$C$36+Projects!$D$36),Projects!$B$36*INDEX(Curves!$B$4:$AR$4,1,32-Projects!$C$36+1),0)+IF(AND(Projects!$G$37="Yes",32&gt;=Projects!$C$37,32&lt;Projects!$C$37+Projects!$D$37),Projects!$B$37*INDEX(Curves!$B$4:$AR$4,1,32-Projects!$C$37+1),0)+IF(AND(Projects!$G$38="Yes",32&gt;=Projects!$C$38,32&lt;Projects!$C$38+Projects!$D$38),Projects!$B$38*INDEX(Curves!$B$4:$AR$4,1,32-Projects!$C$38+1),0)+IF(AND(Projects!$G$39="Yes",32&gt;=Projects!$C$39,32&lt;Projects!$C$39+Projects!$D$39),Projects!$B$39*INDEX(Curves!$B$4:$AR$4,1,32-Projects!$C$39+1),0)+IF(AND(Projects!$G$40="Yes",32&gt;=Projects!$C$40,32&lt;Projects!$C$40+Projects!$D$40),Projects!$B$40*INDEX(Curves!$B$4:$AR$4,1,32-Projects!$C$40+1),0)+IF(AND(Projects!$G$41="Yes",32&gt;=Projects!$C$41,32&lt;Projects!$C$41+Projects!$D$41),Projects!$B$41*INDEX(Curves!$B$4:$AR$4,1,32-Projects!$C$41+1),0)+IF(AND(Projects!$G$42="Yes",32&gt;=Projects!$C$42,32&lt;Projects!$C$42+Projects!$D$42),Projects!$B$42*INDEX(Curves!$B$4:$AR$4,1,32-Projects!$C$42+1),0)+IF(AND(Projects!$G$43="Yes",32&gt;=Projects!$C$43,32&lt;Projects!$C$43+Projects!$D$43),Projects!$B$43*INDEX(Curves!$B$4:$AR$4,1,32-Projects!$C$43+1),0)+IF(AND(Projects!$G$44="Yes",32&gt;=Projects!$C$44,32&lt;Projects!$C$44+Projects!$D$44),Projects!$B$44*INDEX(Curves!$B$4:$AR$4,1,32-Projects!$C$44+1),0)+IF(AND(Projects!$G$45="Yes",32&gt;=Projects!$C$45,32&lt;Projects!$C$45+Projects!$D$45),Projects!$B$45*INDEX(Curves!$B$4:$AR$4,1,32-Projects!$C$45+1),0)+IF(AND(Projects!$G$46="Yes",32&gt;=Projects!$C$46,32&lt;Projects!$C$46+Projects!$D$46),Projects!$B$46*INDEX(Curves!$B$4:$AR$4,1,32-Projects!$C$46+1),0)</f>
        <v>491415</v>
      </c>
      <c r="AL96" s="59">
        <f>IF(AND(Projects!$G$17="Yes",33&gt;=Projects!$C$17,33&lt;Projects!$C$17+Projects!$D$17),Projects!$B$17*INDEX(Curves!$B$4:$AR$4,1,33-Projects!$C$17+1),0)+IF(AND(Projects!$G$18="Yes",33&gt;=Projects!$C$18,33&lt;Projects!$C$18+Projects!$D$18),Projects!$B$18*INDEX(Curves!$B$4:$AR$4,1,33-Projects!$C$18+1),0)+IF(AND(Projects!$G$19="Yes",33&gt;=Projects!$C$19,33&lt;Projects!$C$19+Projects!$D$19),Projects!$B$19*INDEX(Curves!$B$4:$AR$4,1,33-Projects!$C$19+1),0)+IF(AND(Projects!$G$20="Yes",33&gt;=Projects!$C$20,33&lt;Projects!$C$20+Projects!$D$20),Projects!$B$20*INDEX(Curves!$B$4:$AR$4,1,33-Projects!$C$20+1),0)+IF(AND(Projects!$G$21="Yes",33&gt;=Projects!$C$21,33&lt;Projects!$C$21+Projects!$D$21),Projects!$B$21*INDEX(Curves!$B$4:$AR$4,1,33-Projects!$C$21+1),0)+IF(AND(Projects!$G$22="Yes",33&gt;=Projects!$C$22,33&lt;Projects!$C$22+Projects!$D$22),Projects!$B$22*INDEX(Curves!$B$4:$AR$4,1,33-Projects!$C$22+1),0)+IF(AND(Projects!$G$23="Yes",33&gt;=Projects!$C$23,33&lt;Projects!$C$23+Projects!$D$23),Projects!$B$23*INDEX(Curves!$B$4:$AR$4,1,33-Projects!$C$23+1),0)+IF(AND(Projects!$G$24="Yes",33&gt;=Projects!$C$24,33&lt;Projects!$C$24+Projects!$D$24),Projects!$B$24*INDEX(Curves!$B$4:$AR$4,1,33-Projects!$C$24+1),0)+IF(AND(Projects!$G$25="Yes",33&gt;=Projects!$C$25,33&lt;Projects!$C$25+Projects!$D$25),Projects!$B$25*INDEX(Curves!$B$4:$AR$4,1,33-Projects!$C$25+1),0)+IF(AND(Projects!$G$26="Yes",33&gt;=Projects!$C$26,33&lt;Projects!$C$26+Projects!$D$26),Projects!$B$26*INDEX(Curves!$B$4:$AR$4,1,33-Projects!$C$26+1),0)+IF(AND(Projects!$G$27="Yes",33&gt;=Projects!$C$27,33&lt;Projects!$C$27+Projects!$D$27),Projects!$B$27*INDEX(Curves!$B$4:$AR$4,1,33-Projects!$C$27+1),0)+IF(AND(Projects!$G$28="Yes",33&gt;=Projects!$C$28,33&lt;Projects!$C$28+Projects!$D$28),Projects!$B$28*INDEX(Curves!$B$4:$AR$4,1,33-Projects!$C$28+1),0)+IF(AND(Projects!$G$29="Yes",33&gt;=Projects!$C$29,33&lt;Projects!$C$29+Projects!$D$29),Projects!$B$29*INDEX(Curves!$B$4:$AR$4,1,33-Projects!$C$29+1),0)+IF(AND(Projects!$G$30="Yes",33&gt;=Projects!$C$30,33&lt;Projects!$C$30+Projects!$D$30),Projects!$B$30*INDEX(Curves!$B$4:$AR$4,1,33-Projects!$C$30+1),0)+IF(AND(Projects!$G$31="Yes",33&gt;=Projects!$C$31,33&lt;Projects!$C$31+Projects!$D$31),Projects!$B$31*INDEX(Curves!$B$4:$AR$4,1,33-Projects!$C$31+1),0)+IF(AND(Projects!$G$32="Yes",33&gt;=Projects!$C$32,33&lt;Projects!$C$32+Projects!$D$32),Projects!$B$32*INDEX(Curves!$B$4:$AR$4,1,33-Projects!$C$32+1),0)+IF(AND(Projects!$G$33="Yes",33&gt;=Projects!$C$33,33&lt;Projects!$C$33+Projects!$D$33),Projects!$B$33*INDEX(Curves!$B$4:$AR$4,1,33-Projects!$C$33+1),0)+IF(AND(Projects!$G$34="Yes",33&gt;=Projects!$C$34,33&lt;Projects!$C$34+Projects!$D$34),Projects!$B$34*INDEX(Curves!$B$4:$AR$4,1,33-Projects!$C$34+1),0)+IF(AND(Projects!$G$35="Yes",33&gt;=Projects!$C$35,33&lt;Projects!$C$35+Projects!$D$35),Projects!$B$35*INDEX(Curves!$B$4:$AR$4,1,33-Projects!$C$35+1),0)+IF(AND(Projects!$G$36="Yes",33&gt;=Projects!$C$36,33&lt;Projects!$C$36+Projects!$D$36),Projects!$B$36*INDEX(Curves!$B$4:$AR$4,1,33-Projects!$C$36+1),0)+IF(AND(Projects!$G$37="Yes",33&gt;=Projects!$C$37,33&lt;Projects!$C$37+Projects!$D$37),Projects!$B$37*INDEX(Curves!$B$4:$AR$4,1,33-Projects!$C$37+1),0)+IF(AND(Projects!$G$38="Yes",33&gt;=Projects!$C$38,33&lt;Projects!$C$38+Projects!$D$38),Projects!$B$38*INDEX(Curves!$B$4:$AR$4,1,33-Projects!$C$38+1),0)+IF(AND(Projects!$G$39="Yes",33&gt;=Projects!$C$39,33&lt;Projects!$C$39+Projects!$D$39),Projects!$B$39*INDEX(Curves!$B$4:$AR$4,1,33-Projects!$C$39+1),0)+IF(AND(Projects!$G$40="Yes",33&gt;=Projects!$C$40,33&lt;Projects!$C$40+Projects!$D$40),Projects!$B$40*INDEX(Curves!$B$4:$AR$4,1,33-Projects!$C$40+1),0)+IF(AND(Projects!$G$41="Yes",33&gt;=Projects!$C$41,33&lt;Projects!$C$41+Projects!$D$41),Projects!$B$41*INDEX(Curves!$B$4:$AR$4,1,33-Projects!$C$41+1),0)+IF(AND(Projects!$G$42="Yes",33&gt;=Projects!$C$42,33&lt;Projects!$C$42+Projects!$D$42),Projects!$B$42*INDEX(Curves!$B$4:$AR$4,1,33-Projects!$C$42+1),0)+IF(AND(Projects!$G$43="Yes",33&gt;=Projects!$C$43,33&lt;Projects!$C$43+Projects!$D$43),Projects!$B$43*INDEX(Curves!$B$4:$AR$4,1,33-Projects!$C$43+1),0)+IF(AND(Projects!$G$44="Yes",33&gt;=Projects!$C$44,33&lt;Projects!$C$44+Projects!$D$44),Projects!$B$44*INDEX(Curves!$B$4:$AR$4,1,33-Projects!$C$44+1),0)+IF(AND(Projects!$G$45="Yes",33&gt;=Projects!$C$45,33&lt;Projects!$C$45+Projects!$D$45),Projects!$B$45*INDEX(Curves!$B$4:$AR$4,1,33-Projects!$C$45+1),0)+IF(AND(Projects!$G$46="Yes",33&gt;=Projects!$C$46,33&lt;Projects!$C$46+Projects!$D$46),Projects!$B$46*INDEX(Curves!$B$4:$AR$4,1,33-Projects!$C$46+1),0)</f>
        <v>592230</v>
      </c>
      <c r="AM96" s="59">
        <f>IF(AND(Projects!$G$17="Yes",34&gt;=Projects!$C$17,34&lt;Projects!$C$17+Projects!$D$17),Projects!$B$17*INDEX(Curves!$B$4:$AR$4,1,34-Projects!$C$17+1),0)+IF(AND(Projects!$G$18="Yes",34&gt;=Projects!$C$18,34&lt;Projects!$C$18+Projects!$D$18),Projects!$B$18*INDEX(Curves!$B$4:$AR$4,1,34-Projects!$C$18+1),0)+IF(AND(Projects!$G$19="Yes",34&gt;=Projects!$C$19,34&lt;Projects!$C$19+Projects!$D$19),Projects!$B$19*INDEX(Curves!$B$4:$AR$4,1,34-Projects!$C$19+1),0)+IF(AND(Projects!$G$20="Yes",34&gt;=Projects!$C$20,34&lt;Projects!$C$20+Projects!$D$20),Projects!$B$20*INDEX(Curves!$B$4:$AR$4,1,34-Projects!$C$20+1),0)+IF(AND(Projects!$G$21="Yes",34&gt;=Projects!$C$21,34&lt;Projects!$C$21+Projects!$D$21),Projects!$B$21*INDEX(Curves!$B$4:$AR$4,1,34-Projects!$C$21+1),0)+IF(AND(Projects!$G$22="Yes",34&gt;=Projects!$C$22,34&lt;Projects!$C$22+Projects!$D$22),Projects!$B$22*INDEX(Curves!$B$4:$AR$4,1,34-Projects!$C$22+1),0)+IF(AND(Projects!$G$23="Yes",34&gt;=Projects!$C$23,34&lt;Projects!$C$23+Projects!$D$23),Projects!$B$23*INDEX(Curves!$B$4:$AR$4,1,34-Projects!$C$23+1),0)+IF(AND(Projects!$G$24="Yes",34&gt;=Projects!$C$24,34&lt;Projects!$C$24+Projects!$D$24),Projects!$B$24*INDEX(Curves!$B$4:$AR$4,1,34-Projects!$C$24+1),0)+IF(AND(Projects!$G$25="Yes",34&gt;=Projects!$C$25,34&lt;Projects!$C$25+Projects!$D$25),Projects!$B$25*INDEX(Curves!$B$4:$AR$4,1,34-Projects!$C$25+1),0)+IF(AND(Projects!$G$26="Yes",34&gt;=Projects!$C$26,34&lt;Projects!$C$26+Projects!$D$26),Projects!$B$26*INDEX(Curves!$B$4:$AR$4,1,34-Projects!$C$26+1),0)+IF(AND(Projects!$G$27="Yes",34&gt;=Projects!$C$27,34&lt;Projects!$C$27+Projects!$D$27),Projects!$B$27*INDEX(Curves!$B$4:$AR$4,1,34-Projects!$C$27+1),0)+IF(AND(Projects!$G$28="Yes",34&gt;=Projects!$C$28,34&lt;Projects!$C$28+Projects!$D$28),Projects!$B$28*INDEX(Curves!$B$4:$AR$4,1,34-Projects!$C$28+1),0)+IF(AND(Projects!$G$29="Yes",34&gt;=Projects!$C$29,34&lt;Projects!$C$29+Projects!$D$29),Projects!$B$29*INDEX(Curves!$B$4:$AR$4,1,34-Projects!$C$29+1),0)+IF(AND(Projects!$G$30="Yes",34&gt;=Projects!$C$30,34&lt;Projects!$C$30+Projects!$D$30),Projects!$B$30*INDEX(Curves!$B$4:$AR$4,1,34-Projects!$C$30+1),0)+IF(AND(Projects!$G$31="Yes",34&gt;=Projects!$C$31,34&lt;Projects!$C$31+Projects!$D$31),Projects!$B$31*INDEX(Curves!$B$4:$AR$4,1,34-Projects!$C$31+1),0)+IF(AND(Projects!$G$32="Yes",34&gt;=Projects!$C$32,34&lt;Projects!$C$32+Projects!$D$32),Projects!$B$32*INDEX(Curves!$B$4:$AR$4,1,34-Projects!$C$32+1),0)+IF(AND(Projects!$G$33="Yes",34&gt;=Projects!$C$33,34&lt;Projects!$C$33+Projects!$D$33),Projects!$B$33*INDEX(Curves!$B$4:$AR$4,1,34-Projects!$C$33+1),0)+IF(AND(Projects!$G$34="Yes",34&gt;=Projects!$C$34,34&lt;Projects!$C$34+Projects!$D$34),Projects!$B$34*INDEX(Curves!$B$4:$AR$4,1,34-Projects!$C$34+1),0)+IF(AND(Projects!$G$35="Yes",34&gt;=Projects!$C$35,34&lt;Projects!$C$35+Projects!$D$35),Projects!$B$35*INDEX(Curves!$B$4:$AR$4,1,34-Projects!$C$35+1),0)+IF(AND(Projects!$G$36="Yes",34&gt;=Projects!$C$36,34&lt;Projects!$C$36+Projects!$D$36),Projects!$B$36*INDEX(Curves!$B$4:$AR$4,1,34-Projects!$C$36+1),0)+IF(AND(Projects!$G$37="Yes",34&gt;=Projects!$C$37,34&lt;Projects!$C$37+Projects!$D$37),Projects!$B$37*INDEX(Curves!$B$4:$AR$4,1,34-Projects!$C$37+1),0)+IF(AND(Projects!$G$38="Yes",34&gt;=Projects!$C$38,34&lt;Projects!$C$38+Projects!$D$38),Projects!$B$38*INDEX(Curves!$B$4:$AR$4,1,34-Projects!$C$38+1),0)+IF(AND(Projects!$G$39="Yes",34&gt;=Projects!$C$39,34&lt;Projects!$C$39+Projects!$D$39),Projects!$B$39*INDEX(Curves!$B$4:$AR$4,1,34-Projects!$C$39+1),0)+IF(AND(Projects!$G$40="Yes",34&gt;=Projects!$C$40,34&lt;Projects!$C$40+Projects!$D$40),Projects!$B$40*INDEX(Curves!$B$4:$AR$4,1,34-Projects!$C$40+1),0)+IF(AND(Projects!$G$41="Yes",34&gt;=Projects!$C$41,34&lt;Projects!$C$41+Projects!$D$41),Projects!$B$41*INDEX(Curves!$B$4:$AR$4,1,34-Projects!$C$41+1),0)+IF(AND(Projects!$G$42="Yes",34&gt;=Projects!$C$42,34&lt;Projects!$C$42+Projects!$D$42),Projects!$B$42*INDEX(Curves!$B$4:$AR$4,1,34-Projects!$C$42+1),0)+IF(AND(Projects!$G$43="Yes",34&gt;=Projects!$C$43,34&lt;Projects!$C$43+Projects!$D$43),Projects!$B$43*INDEX(Curves!$B$4:$AR$4,1,34-Projects!$C$43+1),0)+IF(AND(Projects!$G$44="Yes",34&gt;=Projects!$C$44,34&lt;Projects!$C$44+Projects!$D$44),Projects!$B$44*INDEX(Curves!$B$4:$AR$4,1,34-Projects!$C$44+1),0)+IF(AND(Projects!$G$45="Yes",34&gt;=Projects!$C$45,34&lt;Projects!$C$45+Projects!$D$45),Projects!$B$45*INDEX(Curves!$B$4:$AR$4,1,34-Projects!$C$45+1),0)+IF(AND(Projects!$G$46="Yes",34&gt;=Projects!$C$46,34&lt;Projects!$C$46+Projects!$D$46),Projects!$B$46*INDEX(Curves!$B$4:$AR$4,1,34-Projects!$C$46+1),0)</f>
        <v>1093935</v>
      </c>
      <c r="AN96" s="59">
        <f>IF(AND(Projects!$G$17="Yes",35&gt;=Projects!$C$17,35&lt;Projects!$C$17+Projects!$D$17),Projects!$B$17*INDEX(Curves!$B$4:$AR$4,1,35-Projects!$C$17+1),0)+IF(AND(Projects!$G$18="Yes",35&gt;=Projects!$C$18,35&lt;Projects!$C$18+Projects!$D$18),Projects!$B$18*INDEX(Curves!$B$4:$AR$4,1,35-Projects!$C$18+1),0)+IF(AND(Projects!$G$19="Yes",35&gt;=Projects!$C$19,35&lt;Projects!$C$19+Projects!$D$19),Projects!$B$19*INDEX(Curves!$B$4:$AR$4,1,35-Projects!$C$19+1),0)+IF(AND(Projects!$G$20="Yes",35&gt;=Projects!$C$20,35&lt;Projects!$C$20+Projects!$D$20),Projects!$B$20*INDEX(Curves!$B$4:$AR$4,1,35-Projects!$C$20+1),0)+IF(AND(Projects!$G$21="Yes",35&gt;=Projects!$C$21,35&lt;Projects!$C$21+Projects!$D$21),Projects!$B$21*INDEX(Curves!$B$4:$AR$4,1,35-Projects!$C$21+1),0)+IF(AND(Projects!$G$22="Yes",35&gt;=Projects!$C$22,35&lt;Projects!$C$22+Projects!$D$22),Projects!$B$22*INDEX(Curves!$B$4:$AR$4,1,35-Projects!$C$22+1),0)+IF(AND(Projects!$G$23="Yes",35&gt;=Projects!$C$23,35&lt;Projects!$C$23+Projects!$D$23),Projects!$B$23*INDEX(Curves!$B$4:$AR$4,1,35-Projects!$C$23+1),0)+IF(AND(Projects!$G$24="Yes",35&gt;=Projects!$C$24,35&lt;Projects!$C$24+Projects!$D$24),Projects!$B$24*INDEX(Curves!$B$4:$AR$4,1,35-Projects!$C$24+1),0)+IF(AND(Projects!$G$25="Yes",35&gt;=Projects!$C$25,35&lt;Projects!$C$25+Projects!$D$25),Projects!$B$25*INDEX(Curves!$B$4:$AR$4,1,35-Projects!$C$25+1),0)+IF(AND(Projects!$G$26="Yes",35&gt;=Projects!$C$26,35&lt;Projects!$C$26+Projects!$D$26),Projects!$B$26*INDEX(Curves!$B$4:$AR$4,1,35-Projects!$C$26+1),0)+IF(AND(Projects!$G$27="Yes",35&gt;=Projects!$C$27,35&lt;Projects!$C$27+Projects!$D$27),Projects!$B$27*INDEX(Curves!$B$4:$AR$4,1,35-Projects!$C$27+1),0)+IF(AND(Projects!$G$28="Yes",35&gt;=Projects!$C$28,35&lt;Projects!$C$28+Projects!$D$28),Projects!$B$28*INDEX(Curves!$B$4:$AR$4,1,35-Projects!$C$28+1),0)+IF(AND(Projects!$G$29="Yes",35&gt;=Projects!$C$29,35&lt;Projects!$C$29+Projects!$D$29),Projects!$B$29*INDEX(Curves!$B$4:$AR$4,1,35-Projects!$C$29+1),0)+IF(AND(Projects!$G$30="Yes",35&gt;=Projects!$C$30,35&lt;Projects!$C$30+Projects!$D$30),Projects!$B$30*INDEX(Curves!$B$4:$AR$4,1,35-Projects!$C$30+1),0)+IF(AND(Projects!$G$31="Yes",35&gt;=Projects!$C$31,35&lt;Projects!$C$31+Projects!$D$31),Projects!$B$31*INDEX(Curves!$B$4:$AR$4,1,35-Projects!$C$31+1),0)+IF(AND(Projects!$G$32="Yes",35&gt;=Projects!$C$32,35&lt;Projects!$C$32+Projects!$D$32),Projects!$B$32*INDEX(Curves!$B$4:$AR$4,1,35-Projects!$C$32+1),0)+IF(AND(Projects!$G$33="Yes",35&gt;=Projects!$C$33,35&lt;Projects!$C$33+Projects!$D$33),Projects!$B$33*INDEX(Curves!$B$4:$AR$4,1,35-Projects!$C$33+1),0)+IF(AND(Projects!$G$34="Yes",35&gt;=Projects!$C$34,35&lt;Projects!$C$34+Projects!$D$34),Projects!$B$34*INDEX(Curves!$B$4:$AR$4,1,35-Projects!$C$34+1),0)+IF(AND(Projects!$G$35="Yes",35&gt;=Projects!$C$35,35&lt;Projects!$C$35+Projects!$D$35),Projects!$B$35*INDEX(Curves!$B$4:$AR$4,1,35-Projects!$C$35+1),0)+IF(AND(Projects!$G$36="Yes",35&gt;=Projects!$C$36,35&lt;Projects!$C$36+Projects!$D$36),Projects!$B$36*INDEX(Curves!$B$4:$AR$4,1,35-Projects!$C$36+1),0)+IF(AND(Projects!$G$37="Yes",35&gt;=Projects!$C$37,35&lt;Projects!$C$37+Projects!$D$37),Projects!$B$37*INDEX(Curves!$B$4:$AR$4,1,35-Projects!$C$37+1),0)+IF(AND(Projects!$G$38="Yes",35&gt;=Projects!$C$38,35&lt;Projects!$C$38+Projects!$D$38),Projects!$B$38*INDEX(Curves!$B$4:$AR$4,1,35-Projects!$C$38+1),0)+IF(AND(Projects!$G$39="Yes",35&gt;=Projects!$C$39,35&lt;Projects!$C$39+Projects!$D$39),Projects!$B$39*INDEX(Curves!$B$4:$AR$4,1,35-Projects!$C$39+1),0)+IF(AND(Projects!$G$40="Yes",35&gt;=Projects!$C$40,35&lt;Projects!$C$40+Projects!$D$40),Projects!$B$40*INDEX(Curves!$B$4:$AR$4,1,35-Projects!$C$40+1),0)+IF(AND(Projects!$G$41="Yes",35&gt;=Projects!$C$41,35&lt;Projects!$C$41+Projects!$D$41),Projects!$B$41*INDEX(Curves!$B$4:$AR$4,1,35-Projects!$C$41+1),0)+IF(AND(Projects!$G$42="Yes",35&gt;=Projects!$C$42,35&lt;Projects!$C$42+Projects!$D$42),Projects!$B$42*INDEX(Curves!$B$4:$AR$4,1,35-Projects!$C$42+1),0)+IF(AND(Projects!$G$43="Yes",35&gt;=Projects!$C$43,35&lt;Projects!$C$43+Projects!$D$43),Projects!$B$43*INDEX(Curves!$B$4:$AR$4,1,35-Projects!$C$43+1),0)+IF(AND(Projects!$G$44="Yes",35&gt;=Projects!$C$44,35&lt;Projects!$C$44+Projects!$D$44),Projects!$B$44*INDEX(Curves!$B$4:$AR$4,1,35-Projects!$C$44+1),0)+IF(AND(Projects!$G$45="Yes",35&gt;=Projects!$C$45,35&lt;Projects!$C$45+Projects!$D$45),Projects!$B$45*INDEX(Curves!$B$4:$AR$4,1,35-Projects!$C$45+1),0)+IF(AND(Projects!$G$46="Yes",35&gt;=Projects!$C$46,35&lt;Projects!$C$46+Projects!$D$46),Projects!$B$46*INDEX(Curves!$B$4:$AR$4,1,35-Projects!$C$46+1),0)</f>
        <v>1289685</v>
      </c>
      <c r="AO96" s="59">
        <f>IF(AND(Projects!$G$17="Yes",36&gt;=Projects!$C$17,36&lt;Projects!$C$17+Projects!$D$17),Projects!$B$17*INDEX(Curves!$B$4:$AR$4,1,36-Projects!$C$17+1),0)+IF(AND(Projects!$G$18="Yes",36&gt;=Projects!$C$18,36&lt;Projects!$C$18+Projects!$D$18),Projects!$B$18*INDEX(Curves!$B$4:$AR$4,1,36-Projects!$C$18+1),0)+IF(AND(Projects!$G$19="Yes",36&gt;=Projects!$C$19,36&lt;Projects!$C$19+Projects!$D$19),Projects!$B$19*INDEX(Curves!$B$4:$AR$4,1,36-Projects!$C$19+1),0)+IF(AND(Projects!$G$20="Yes",36&gt;=Projects!$C$20,36&lt;Projects!$C$20+Projects!$D$20),Projects!$B$20*INDEX(Curves!$B$4:$AR$4,1,36-Projects!$C$20+1),0)+IF(AND(Projects!$G$21="Yes",36&gt;=Projects!$C$21,36&lt;Projects!$C$21+Projects!$D$21),Projects!$B$21*INDEX(Curves!$B$4:$AR$4,1,36-Projects!$C$21+1),0)+IF(AND(Projects!$G$22="Yes",36&gt;=Projects!$C$22,36&lt;Projects!$C$22+Projects!$D$22),Projects!$B$22*INDEX(Curves!$B$4:$AR$4,1,36-Projects!$C$22+1),0)+IF(AND(Projects!$G$23="Yes",36&gt;=Projects!$C$23,36&lt;Projects!$C$23+Projects!$D$23),Projects!$B$23*INDEX(Curves!$B$4:$AR$4,1,36-Projects!$C$23+1),0)+IF(AND(Projects!$G$24="Yes",36&gt;=Projects!$C$24,36&lt;Projects!$C$24+Projects!$D$24),Projects!$B$24*INDEX(Curves!$B$4:$AR$4,1,36-Projects!$C$24+1),0)+IF(AND(Projects!$G$25="Yes",36&gt;=Projects!$C$25,36&lt;Projects!$C$25+Projects!$D$25),Projects!$B$25*INDEX(Curves!$B$4:$AR$4,1,36-Projects!$C$25+1),0)+IF(AND(Projects!$G$26="Yes",36&gt;=Projects!$C$26,36&lt;Projects!$C$26+Projects!$D$26),Projects!$B$26*INDEX(Curves!$B$4:$AR$4,1,36-Projects!$C$26+1),0)+IF(AND(Projects!$G$27="Yes",36&gt;=Projects!$C$27,36&lt;Projects!$C$27+Projects!$D$27),Projects!$B$27*INDEX(Curves!$B$4:$AR$4,1,36-Projects!$C$27+1),0)+IF(AND(Projects!$G$28="Yes",36&gt;=Projects!$C$28,36&lt;Projects!$C$28+Projects!$D$28),Projects!$B$28*INDEX(Curves!$B$4:$AR$4,1,36-Projects!$C$28+1),0)+IF(AND(Projects!$G$29="Yes",36&gt;=Projects!$C$29,36&lt;Projects!$C$29+Projects!$D$29),Projects!$B$29*INDEX(Curves!$B$4:$AR$4,1,36-Projects!$C$29+1),0)+IF(AND(Projects!$G$30="Yes",36&gt;=Projects!$C$30,36&lt;Projects!$C$30+Projects!$D$30),Projects!$B$30*INDEX(Curves!$B$4:$AR$4,1,36-Projects!$C$30+1),0)+IF(AND(Projects!$G$31="Yes",36&gt;=Projects!$C$31,36&lt;Projects!$C$31+Projects!$D$31),Projects!$B$31*INDEX(Curves!$B$4:$AR$4,1,36-Projects!$C$31+1),0)+IF(AND(Projects!$G$32="Yes",36&gt;=Projects!$C$32,36&lt;Projects!$C$32+Projects!$D$32),Projects!$B$32*INDEX(Curves!$B$4:$AR$4,1,36-Projects!$C$32+1),0)+IF(AND(Projects!$G$33="Yes",36&gt;=Projects!$C$33,36&lt;Projects!$C$33+Projects!$D$33),Projects!$B$33*INDEX(Curves!$B$4:$AR$4,1,36-Projects!$C$33+1),0)+IF(AND(Projects!$G$34="Yes",36&gt;=Projects!$C$34,36&lt;Projects!$C$34+Projects!$D$34),Projects!$B$34*INDEX(Curves!$B$4:$AR$4,1,36-Projects!$C$34+1),0)+IF(AND(Projects!$G$35="Yes",36&gt;=Projects!$C$35,36&lt;Projects!$C$35+Projects!$D$35),Projects!$B$35*INDEX(Curves!$B$4:$AR$4,1,36-Projects!$C$35+1),0)+IF(AND(Projects!$G$36="Yes",36&gt;=Projects!$C$36,36&lt;Projects!$C$36+Projects!$D$36),Projects!$B$36*INDEX(Curves!$B$4:$AR$4,1,36-Projects!$C$36+1),0)+IF(AND(Projects!$G$37="Yes",36&gt;=Projects!$C$37,36&lt;Projects!$C$37+Projects!$D$37),Projects!$B$37*INDEX(Curves!$B$4:$AR$4,1,36-Projects!$C$37+1),0)+IF(AND(Projects!$G$38="Yes",36&gt;=Projects!$C$38,36&lt;Projects!$C$38+Projects!$D$38),Projects!$B$38*INDEX(Curves!$B$4:$AR$4,1,36-Projects!$C$38+1),0)+IF(AND(Projects!$G$39="Yes",36&gt;=Projects!$C$39,36&lt;Projects!$C$39+Projects!$D$39),Projects!$B$39*INDEX(Curves!$B$4:$AR$4,1,36-Projects!$C$39+1),0)+IF(AND(Projects!$G$40="Yes",36&gt;=Projects!$C$40,36&lt;Projects!$C$40+Projects!$D$40),Projects!$B$40*INDEX(Curves!$B$4:$AR$4,1,36-Projects!$C$40+1),0)+IF(AND(Projects!$G$41="Yes",36&gt;=Projects!$C$41,36&lt;Projects!$C$41+Projects!$D$41),Projects!$B$41*INDEX(Curves!$B$4:$AR$4,1,36-Projects!$C$41+1),0)+IF(AND(Projects!$G$42="Yes",36&gt;=Projects!$C$42,36&lt;Projects!$C$42+Projects!$D$42),Projects!$B$42*INDEX(Curves!$B$4:$AR$4,1,36-Projects!$C$42+1),0)+IF(AND(Projects!$G$43="Yes",36&gt;=Projects!$C$43,36&lt;Projects!$C$43+Projects!$D$43),Projects!$B$43*INDEX(Curves!$B$4:$AR$4,1,36-Projects!$C$43+1),0)+IF(AND(Projects!$G$44="Yes",36&gt;=Projects!$C$44,36&lt;Projects!$C$44+Projects!$D$44),Projects!$B$44*INDEX(Curves!$B$4:$AR$4,1,36-Projects!$C$44+1),0)+IF(AND(Projects!$G$45="Yes",36&gt;=Projects!$C$45,36&lt;Projects!$C$45+Projects!$D$45),Projects!$B$45*INDEX(Curves!$B$4:$AR$4,1,36-Projects!$C$45+1),0)+IF(AND(Projects!$G$46="Yes",36&gt;=Projects!$C$46,36&lt;Projects!$C$46+Projects!$D$46),Projects!$B$46*INDEX(Curves!$B$4:$AR$4,1,36-Projects!$C$46+1),0)</f>
        <v>1485060</v>
      </c>
      <c r="AP96" s="59">
        <f>IF(AND(Projects!$G$17="Yes",37&gt;=Projects!$C$17,37&lt;Projects!$C$17+Projects!$D$17),Projects!$B$17*INDEX(Curves!$B$4:$AR$4,1,37-Projects!$C$17+1),0)+IF(AND(Projects!$G$18="Yes",37&gt;=Projects!$C$18,37&lt;Projects!$C$18+Projects!$D$18),Projects!$B$18*INDEX(Curves!$B$4:$AR$4,1,37-Projects!$C$18+1),0)+IF(AND(Projects!$G$19="Yes",37&gt;=Projects!$C$19,37&lt;Projects!$C$19+Projects!$D$19),Projects!$B$19*INDEX(Curves!$B$4:$AR$4,1,37-Projects!$C$19+1),0)+IF(AND(Projects!$G$20="Yes",37&gt;=Projects!$C$20,37&lt;Projects!$C$20+Projects!$D$20),Projects!$B$20*INDEX(Curves!$B$4:$AR$4,1,37-Projects!$C$20+1),0)+IF(AND(Projects!$G$21="Yes",37&gt;=Projects!$C$21,37&lt;Projects!$C$21+Projects!$D$21),Projects!$B$21*INDEX(Curves!$B$4:$AR$4,1,37-Projects!$C$21+1),0)+IF(AND(Projects!$G$22="Yes",37&gt;=Projects!$C$22,37&lt;Projects!$C$22+Projects!$D$22),Projects!$B$22*INDEX(Curves!$B$4:$AR$4,1,37-Projects!$C$22+1),0)+IF(AND(Projects!$G$23="Yes",37&gt;=Projects!$C$23,37&lt;Projects!$C$23+Projects!$D$23),Projects!$B$23*INDEX(Curves!$B$4:$AR$4,1,37-Projects!$C$23+1),0)+IF(AND(Projects!$G$24="Yes",37&gt;=Projects!$C$24,37&lt;Projects!$C$24+Projects!$D$24),Projects!$B$24*INDEX(Curves!$B$4:$AR$4,1,37-Projects!$C$24+1),0)+IF(AND(Projects!$G$25="Yes",37&gt;=Projects!$C$25,37&lt;Projects!$C$25+Projects!$D$25),Projects!$B$25*INDEX(Curves!$B$4:$AR$4,1,37-Projects!$C$25+1),0)+IF(AND(Projects!$G$26="Yes",37&gt;=Projects!$C$26,37&lt;Projects!$C$26+Projects!$D$26),Projects!$B$26*INDEX(Curves!$B$4:$AR$4,1,37-Projects!$C$26+1),0)+IF(AND(Projects!$G$27="Yes",37&gt;=Projects!$C$27,37&lt;Projects!$C$27+Projects!$D$27),Projects!$B$27*INDEX(Curves!$B$4:$AR$4,1,37-Projects!$C$27+1),0)+IF(AND(Projects!$G$28="Yes",37&gt;=Projects!$C$28,37&lt;Projects!$C$28+Projects!$D$28),Projects!$B$28*INDEX(Curves!$B$4:$AR$4,1,37-Projects!$C$28+1),0)+IF(AND(Projects!$G$29="Yes",37&gt;=Projects!$C$29,37&lt;Projects!$C$29+Projects!$D$29),Projects!$B$29*INDEX(Curves!$B$4:$AR$4,1,37-Projects!$C$29+1),0)+IF(AND(Projects!$G$30="Yes",37&gt;=Projects!$C$30,37&lt;Projects!$C$30+Projects!$D$30),Projects!$B$30*INDEX(Curves!$B$4:$AR$4,1,37-Projects!$C$30+1),0)+IF(AND(Projects!$G$31="Yes",37&gt;=Projects!$C$31,37&lt;Projects!$C$31+Projects!$D$31),Projects!$B$31*INDEX(Curves!$B$4:$AR$4,1,37-Projects!$C$31+1),0)+IF(AND(Projects!$G$32="Yes",37&gt;=Projects!$C$32,37&lt;Projects!$C$32+Projects!$D$32),Projects!$B$32*INDEX(Curves!$B$4:$AR$4,1,37-Projects!$C$32+1),0)+IF(AND(Projects!$G$33="Yes",37&gt;=Projects!$C$33,37&lt;Projects!$C$33+Projects!$D$33),Projects!$B$33*INDEX(Curves!$B$4:$AR$4,1,37-Projects!$C$33+1),0)+IF(AND(Projects!$G$34="Yes",37&gt;=Projects!$C$34,37&lt;Projects!$C$34+Projects!$D$34),Projects!$B$34*INDEX(Curves!$B$4:$AR$4,1,37-Projects!$C$34+1),0)+IF(AND(Projects!$G$35="Yes",37&gt;=Projects!$C$35,37&lt;Projects!$C$35+Projects!$D$35),Projects!$B$35*INDEX(Curves!$B$4:$AR$4,1,37-Projects!$C$35+1),0)+IF(AND(Projects!$G$36="Yes",37&gt;=Projects!$C$36,37&lt;Projects!$C$36+Projects!$D$36),Projects!$B$36*INDEX(Curves!$B$4:$AR$4,1,37-Projects!$C$36+1),0)+IF(AND(Projects!$G$37="Yes",37&gt;=Projects!$C$37,37&lt;Projects!$C$37+Projects!$D$37),Projects!$B$37*INDEX(Curves!$B$4:$AR$4,1,37-Projects!$C$37+1),0)+IF(AND(Projects!$G$38="Yes",37&gt;=Projects!$C$38,37&lt;Projects!$C$38+Projects!$D$38),Projects!$B$38*INDEX(Curves!$B$4:$AR$4,1,37-Projects!$C$38+1),0)+IF(AND(Projects!$G$39="Yes",37&gt;=Projects!$C$39,37&lt;Projects!$C$39+Projects!$D$39),Projects!$B$39*INDEX(Curves!$B$4:$AR$4,1,37-Projects!$C$39+1),0)+IF(AND(Projects!$G$40="Yes",37&gt;=Projects!$C$40,37&lt;Projects!$C$40+Projects!$D$40),Projects!$B$40*INDEX(Curves!$B$4:$AR$4,1,37-Projects!$C$40+1),0)+IF(AND(Projects!$G$41="Yes",37&gt;=Projects!$C$41,37&lt;Projects!$C$41+Projects!$D$41),Projects!$B$41*INDEX(Curves!$B$4:$AR$4,1,37-Projects!$C$41+1),0)+IF(AND(Projects!$G$42="Yes",37&gt;=Projects!$C$42,37&lt;Projects!$C$42+Projects!$D$42),Projects!$B$42*INDEX(Curves!$B$4:$AR$4,1,37-Projects!$C$42+1),0)+IF(AND(Projects!$G$43="Yes",37&gt;=Projects!$C$43,37&lt;Projects!$C$43+Projects!$D$43),Projects!$B$43*INDEX(Curves!$B$4:$AR$4,1,37-Projects!$C$43+1),0)+IF(AND(Projects!$G$44="Yes",37&gt;=Projects!$C$44,37&lt;Projects!$C$44+Projects!$D$44),Projects!$B$44*INDEX(Curves!$B$4:$AR$4,1,37-Projects!$C$44+1),0)+IF(AND(Projects!$G$45="Yes",37&gt;=Projects!$C$45,37&lt;Projects!$C$45+Projects!$D$45),Projects!$B$45*INDEX(Curves!$B$4:$AR$4,1,37-Projects!$C$45+1),0)+IF(AND(Projects!$G$46="Yes",37&gt;=Projects!$C$46,37&lt;Projects!$C$46+Projects!$D$46),Projects!$B$46*INDEX(Curves!$B$4:$AR$4,1,37-Projects!$C$46+1),0)</f>
        <v>2147541</v>
      </c>
      <c r="AQ96" s="59">
        <f>IF(AND(Projects!$G$17="Yes",38&gt;=Projects!$C$17,38&lt;Projects!$C$17+Projects!$D$17),Projects!$B$17*INDEX(Curves!$B$4:$AR$4,1,38-Projects!$C$17+1),0)+IF(AND(Projects!$G$18="Yes",38&gt;=Projects!$C$18,38&lt;Projects!$C$18+Projects!$D$18),Projects!$B$18*INDEX(Curves!$B$4:$AR$4,1,38-Projects!$C$18+1),0)+IF(AND(Projects!$G$19="Yes",38&gt;=Projects!$C$19,38&lt;Projects!$C$19+Projects!$D$19),Projects!$B$19*INDEX(Curves!$B$4:$AR$4,1,38-Projects!$C$19+1),0)+IF(AND(Projects!$G$20="Yes",38&gt;=Projects!$C$20,38&lt;Projects!$C$20+Projects!$D$20),Projects!$B$20*INDEX(Curves!$B$4:$AR$4,1,38-Projects!$C$20+1),0)+IF(AND(Projects!$G$21="Yes",38&gt;=Projects!$C$21,38&lt;Projects!$C$21+Projects!$D$21),Projects!$B$21*INDEX(Curves!$B$4:$AR$4,1,38-Projects!$C$21+1),0)+IF(AND(Projects!$G$22="Yes",38&gt;=Projects!$C$22,38&lt;Projects!$C$22+Projects!$D$22),Projects!$B$22*INDEX(Curves!$B$4:$AR$4,1,38-Projects!$C$22+1),0)+IF(AND(Projects!$G$23="Yes",38&gt;=Projects!$C$23,38&lt;Projects!$C$23+Projects!$D$23),Projects!$B$23*INDEX(Curves!$B$4:$AR$4,1,38-Projects!$C$23+1),0)+IF(AND(Projects!$G$24="Yes",38&gt;=Projects!$C$24,38&lt;Projects!$C$24+Projects!$D$24),Projects!$B$24*INDEX(Curves!$B$4:$AR$4,1,38-Projects!$C$24+1),0)+IF(AND(Projects!$G$25="Yes",38&gt;=Projects!$C$25,38&lt;Projects!$C$25+Projects!$D$25),Projects!$B$25*INDEX(Curves!$B$4:$AR$4,1,38-Projects!$C$25+1),0)+IF(AND(Projects!$G$26="Yes",38&gt;=Projects!$C$26,38&lt;Projects!$C$26+Projects!$D$26),Projects!$B$26*INDEX(Curves!$B$4:$AR$4,1,38-Projects!$C$26+1),0)+IF(AND(Projects!$G$27="Yes",38&gt;=Projects!$C$27,38&lt;Projects!$C$27+Projects!$D$27),Projects!$B$27*INDEX(Curves!$B$4:$AR$4,1,38-Projects!$C$27+1),0)+IF(AND(Projects!$G$28="Yes",38&gt;=Projects!$C$28,38&lt;Projects!$C$28+Projects!$D$28),Projects!$B$28*INDEX(Curves!$B$4:$AR$4,1,38-Projects!$C$28+1),0)+IF(AND(Projects!$G$29="Yes",38&gt;=Projects!$C$29,38&lt;Projects!$C$29+Projects!$D$29),Projects!$B$29*INDEX(Curves!$B$4:$AR$4,1,38-Projects!$C$29+1),0)+IF(AND(Projects!$G$30="Yes",38&gt;=Projects!$C$30,38&lt;Projects!$C$30+Projects!$D$30),Projects!$B$30*INDEX(Curves!$B$4:$AR$4,1,38-Projects!$C$30+1),0)+IF(AND(Projects!$G$31="Yes",38&gt;=Projects!$C$31,38&lt;Projects!$C$31+Projects!$D$31),Projects!$B$31*INDEX(Curves!$B$4:$AR$4,1,38-Projects!$C$31+1),0)+IF(AND(Projects!$G$32="Yes",38&gt;=Projects!$C$32,38&lt;Projects!$C$32+Projects!$D$32),Projects!$B$32*INDEX(Curves!$B$4:$AR$4,1,38-Projects!$C$32+1),0)+IF(AND(Projects!$G$33="Yes",38&gt;=Projects!$C$33,38&lt;Projects!$C$33+Projects!$D$33),Projects!$B$33*INDEX(Curves!$B$4:$AR$4,1,38-Projects!$C$33+1),0)+IF(AND(Projects!$G$34="Yes",38&gt;=Projects!$C$34,38&lt;Projects!$C$34+Projects!$D$34),Projects!$B$34*INDEX(Curves!$B$4:$AR$4,1,38-Projects!$C$34+1),0)+IF(AND(Projects!$G$35="Yes",38&gt;=Projects!$C$35,38&lt;Projects!$C$35+Projects!$D$35),Projects!$B$35*INDEX(Curves!$B$4:$AR$4,1,38-Projects!$C$35+1),0)+IF(AND(Projects!$G$36="Yes",38&gt;=Projects!$C$36,38&lt;Projects!$C$36+Projects!$D$36),Projects!$B$36*INDEX(Curves!$B$4:$AR$4,1,38-Projects!$C$36+1),0)+IF(AND(Projects!$G$37="Yes",38&gt;=Projects!$C$37,38&lt;Projects!$C$37+Projects!$D$37),Projects!$B$37*INDEX(Curves!$B$4:$AR$4,1,38-Projects!$C$37+1),0)+IF(AND(Projects!$G$38="Yes",38&gt;=Projects!$C$38,38&lt;Projects!$C$38+Projects!$D$38),Projects!$B$38*INDEX(Curves!$B$4:$AR$4,1,38-Projects!$C$38+1),0)+IF(AND(Projects!$G$39="Yes",38&gt;=Projects!$C$39,38&lt;Projects!$C$39+Projects!$D$39),Projects!$B$39*INDEX(Curves!$B$4:$AR$4,1,38-Projects!$C$39+1),0)+IF(AND(Projects!$G$40="Yes",38&gt;=Projects!$C$40,38&lt;Projects!$C$40+Projects!$D$40),Projects!$B$40*INDEX(Curves!$B$4:$AR$4,1,38-Projects!$C$40+1),0)+IF(AND(Projects!$G$41="Yes",38&gt;=Projects!$C$41,38&lt;Projects!$C$41+Projects!$D$41),Projects!$B$41*INDEX(Curves!$B$4:$AR$4,1,38-Projects!$C$41+1),0)+IF(AND(Projects!$G$42="Yes",38&gt;=Projects!$C$42,38&lt;Projects!$C$42+Projects!$D$42),Projects!$B$42*INDEX(Curves!$B$4:$AR$4,1,38-Projects!$C$42+1),0)+IF(AND(Projects!$G$43="Yes",38&gt;=Projects!$C$43,38&lt;Projects!$C$43+Projects!$D$43),Projects!$B$43*INDEX(Curves!$B$4:$AR$4,1,38-Projects!$C$43+1),0)+IF(AND(Projects!$G$44="Yes",38&gt;=Projects!$C$44,38&lt;Projects!$C$44+Projects!$D$44),Projects!$B$44*INDEX(Curves!$B$4:$AR$4,1,38-Projects!$C$44+1),0)+IF(AND(Projects!$G$45="Yes",38&gt;=Projects!$C$45,38&lt;Projects!$C$45+Projects!$D$45),Projects!$B$45*INDEX(Curves!$B$4:$AR$4,1,38-Projects!$C$45+1),0)+IF(AND(Projects!$G$46="Yes",38&gt;=Projects!$C$46,38&lt;Projects!$C$46+Projects!$D$46),Projects!$B$46*INDEX(Curves!$B$4:$AR$4,1,38-Projects!$C$46+1),0)</f>
        <v>2424528</v>
      </c>
      <c r="AR96" s="59">
        <f>IF(AND(Projects!$G$17="Yes",39&gt;=Projects!$C$17,39&lt;Projects!$C$17+Projects!$D$17),Projects!$B$17*INDEX(Curves!$B$4:$AR$4,1,39-Projects!$C$17+1),0)+IF(AND(Projects!$G$18="Yes",39&gt;=Projects!$C$18,39&lt;Projects!$C$18+Projects!$D$18),Projects!$B$18*INDEX(Curves!$B$4:$AR$4,1,39-Projects!$C$18+1),0)+IF(AND(Projects!$G$19="Yes",39&gt;=Projects!$C$19,39&lt;Projects!$C$19+Projects!$D$19),Projects!$B$19*INDEX(Curves!$B$4:$AR$4,1,39-Projects!$C$19+1),0)+IF(AND(Projects!$G$20="Yes",39&gt;=Projects!$C$20,39&lt;Projects!$C$20+Projects!$D$20),Projects!$B$20*INDEX(Curves!$B$4:$AR$4,1,39-Projects!$C$20+1),0)+IF(AND(Projects!$G$21="Yes",39&gt;=Projects!$C$21,39&lt;Projects!$C$21+Projects!$D$21),Projects!$B$21*INDEX(Curves!$B$4:$AR$4,1,39-Projects!$C$21+1),0)+IF(AND(Projects!$G$22="Yes",39&gt;=Projects!$C$22,39&lt;Projects!$C$22+Projects!$D$22),Projects!$B$22*INDEX(Curves!$B$4:$AR$4,1,39-Projects!$C$22+1),0)+IF(AND(Projects!$G$23="Yes",39&gt;=Projects!$C$23,39&lt;Projects!$C$23+Projects!$D$23),Projects!$B$23*INDEX(Curves!$B$4:$AR$4,1,39-Projects!$C$23+1),0)+IF(AND(Projects!$G$24="Yes",39&gt;=Projects!$C$24,39&lt;Projects!$C$24+Projects!$D$24),Projects!$B$24*INDEX(Curves!$B$4:$AR$4,1,39-Projects!$C$24+1),0)+IF(AND(Projects!$G$25="Yes",39&gt;=Projects!$C$25,39&lt;Projects!$C$25+Projects!$D$25),Projects!$B$25*INDEX(Curves!$B$4:$AR$4,1,39-Projects!$C$25+1),0)+IF(AND(Projects!$G$26="Yes",39&gt;=Projects!$C$26,39&lt;Projects!$C$26+Projects!$D$26),Projects!$B$26*INDEX(Curves!$B$4:$AR$4,1,39-Projects!$C$26+1),0)+IF(AND(Projects!$G$27="Yes",39&gt;=Projects!$C$27,39&lt;Projects!$C$27+Projects!$D$27),Projects!$B$27*INDEX(Curves!$B$4:$AR$4,1,39-Projects!$C$27+1),0)+IF(AND(Projects!$G$28="Yes",39&gt;=Projects!$C$28,39&lt;Projects!$C$28+Projects!$D$28),Projects!$B$28*INDEX(Curves!$B$4:$AR$4,1,39-Projects!$C$28+1),0)+IF(AND(Projects!$G$29="Yes",39&gt;=Projects!$C$29,39&lt;Projects!$C$29+Projects!$D$29),Projects!$B$29*INDEX(Curves!$B$4:$AR$4,1,39-Projects!$C$29+1),0)+IF(AND(Projects!$G$30="Yes",39&gt;=Projects!$C$30,39&lt;Projects!$C$30+Projects!$D$30),Projects!$B$30*INDEX(Curves!$B$4:$AR$4,1,39-Projects!$C$30+1),0)+IF(AND(Projects!$G$31="Yes",39&gt;=Projects!$C$31,39&lt;Projects!$C$31+Projects!$D$31),Projects!$B$31*INDEX(Curves!$B$4:$AR$4,1,39-Projects!$C$31+1),0)+IF(AND(Projects!$G$32="Yes",39&gt;=Projects!$C$32,39&lt;Projects!$C$32+Projects!$D$32),Projects!$B$32*INDEX(Curves!$B$4:$AR$4,1,39-Projects!$C$32+1),0)+IF(AND(Projects!$G$33="Yes",39&gt;=Projects!$C$33,39&lt;Projects!$C$33+Projects!$D$33),Projects!$B$33*INDEX(Curves!$B$4:$AR$4,1,39-Projects!$C$33+1),0)+IF(AND(Projects!$G$34="Yes",39&gt;=Projects!$C$34,39&lt;Projects!$C$34+Projects!$D$34),Projects!$B$34*INDEX(Curves!$B$4:$AR$4,1,39-Projects!$C$34+1),0)+IF(AND(Projects!$G$35="Yes",39&gt;=Projects!$C$35,39&lt;Projects!$C$35+Projects!$D$35),Projects!$B$35*INDEX(Curves!$B$4:$AR$4,1,39-Projects!$C$35+1),0)+IF(AND(Projects!$G$36="Yes",39&gt;=Projects!$C$36,39&lt;Projects!$C$36+Projects!$D$36),Projects!$B$36*INDEX(Curves!$B$4:$AR$4,1,39-Projects!$C$36+1),0)+IF(AND(Projects!$G$37="Yes",39&gt;=Projects!$C$37,39&lt;Projects!$C$37+Projects!$D$37),Projects!$B$37*INDEX(Curves!$B$4:$AR$4,1,39-Projects!$C$37+1),0)+IF(AND(Projects!$G$38="Yes",39&gt;=Projects!$C$38,39&lt;Projects!$C$38+Projects!$D$38),Projects!$B$38*INDEX(Curves!$B$4:$AR$4,1,39-Projects!$C$38+1),0)+IF(AND(Projects!$G$39="Yes",39&gt;=Projects!$C$39,39&lt;Projects!$C$39+Projects!$D$39),Projects!$B$39*INDEX(Curves!$B$4:$AR$4,1,39-Projects!$C$39+1),0)+IF(AND(Projects!$G$40="Yes",39&gt;=Projects!$C$40,39&lt;Projects!$C$40+Projects!$D$40),Projects!$B$40*INDEX(Curves!$B$4:$AR$4,1,39-Projects!$C$40+1),0)+IF(AND(Projects!$G$41="Yes",39&gt;=Projects!$C$41,39&lt;Projects!$C$41+Projects!$D$41),Projects!$B$41*INDEX(Curves!$B$4:$AR$4,1,39-Projects!$C$41+1),0)+IF(AND(Projects!$G$42="Yes",39&gt;=Projects!$C$42,39&lt;Projects!$C$42+Projects!$D$42),Projects!$B$42*INDEX(Curves!$B$4:$AR$4,1,39-Projects!$C$42+1),0)+IF(AND(Projects!$G$43="Yes",39&gt;=Projects!$C$43,39&lt;Projects!$C$43+Projects!$D$43),Projects!$B$43*INDEX(Curves!$B$4:$AR$4,1,39-Projects!$C$43+1),0)+IF(AND(Projects!$G$44="Yes",39&gt;=Projects!$C$44,39&lt;Projects!$C$44+Projects!$D$44),Projects!$B$44*INDEX(Curves!$B$4:$AR$4,1,39-Projects!$C$44+1),0)+IF(AND(Projects!$G$45="Yes",39&gt;=Projects!$C$45,39&lt;Projects!$C$45+Projects!$D$45),Projects!$B$45*INDEX(Curves!$B$4:$AR$4,1,39-Projects!$C$45+1),0)+IF(AND(Projects!$G$46="Yes",39&gt;=Projects!$C$46,39&lt;Projects!$C$46+Projects!$D$46),Projects!$B$46*INDEX(Curves!$B$4:$AR$4,1,39-Projects!$C$46+1),0)</f>
        <v>2679486</v>
      </c>
      <c r="AS96" s="59">
        <f>IF(AND(Projects!$G$17="Yes",40&gt;=Projects!$C$17,40&lt;Projects!$C$17+Projects!$D$17),Projects!$B$17*INDEX(Curves!$B$4:$AR$4,1,40-Projects!$C$17+1),0)+IF(AND(Projects!$G$18="Yes",40&gt;=Projects!$C$18,40&lt;Projects!$C$18+Projects!$D$18),Projects!$B$18*INDEX(Curves!$B$4:$AR$4,1,40-Projects!$C$18+1),0)+IF(AND(Projects!$G$19="Yes",40&gt;=Projects!$C$19,40&lt;Projects!$C$19+Projects!$D$19),Projects!$B$19*INDEX(Curves!$B$4:$AR$4,1,40-Projects!$C$19+1),0)+IF(AND(Projects!$G$20="Yes",40&gt;=Projects!$C$20,40&lt;Projects!$C$20+Projects!$D$20),Projects!$B$20*INDEX(Curves!$B$4:$AR$4,1,40-Projects!$C$20+1),0)+IF(AND(Projects!$G$21="Yes",40&gt;=Projects!$C$21,40&lt;Projects!$C$21+Projects!$D$21),Projects!$B$21*INDEX(Curves!$B$4:$AR$4,1,40-Projects!$C$21+1),0)+IF(AND(Projects!$G$22="Yes",40&gt;=Projects!$C$22,40&lt;Projects!$C$22+Projects!$D$22),Projects!$B$22*INDEX(Curves!$B$4:$AR$4,1,40-Projects!$C$22+1),0)+IF(AND(Projects!$G$23="Yes",40&gt;=Projects!$C$23,40&lt;Projects!$C$23+Projects!$D$23),Projects!$B$23*INDEX(Curves!$B$4:$AR$4,1,40-Projects!$C$23+1),0)+IF(AND(Projects!$G$24="Yes",40&gt;=Projects!$C$24,40&lt;Projects!$C$24+Projects!$D$24),Projects!$B$24*INDEX(Curves!$B$4:$AR$4,1,40-Projects!$C$24+1),0)+IF(AND(Projects!$G$25="Yes",40&gt;=Projects!$C$25,40&lt;Projects!$C$25+Projects!$D$25),Projects!$B$25*INDEX(Curves!$B$4:$AR$4,1,40-Projects!$C$25+1),0)+IF(AND(Projects!$G$26="Yes",40&gt;=Projects!$C$26,40&lt;Projects!$C$26+Projects!$D$26),Projects!$B$26*INDEX(Curves!$B$4:$AR$4,1,40-Projects!$C$26+1),0)+IF(AND(Projects!$G$27="Yes",40&gt;=Projects!$C$27,40&lt;Projects!$C$27+Projects!$D$27),Projects!$B$27*INDEX(Curves!$B$4:$AR$4,1,40-Projects!$C$27+1),0)+IF(AND(Projects!$G$28="Yes",40&gt;=Projects!$C$28,40&lt;Projects!$C$28+Projects!$D$28),Projects!$B$28*INDEX(Curves!$B$4:$AR$4,1,40-Projects!$C$28+1),0)+IF(AND(Projects!$G$29="Yes",40&gt;=Projects!$C$29,40&lt;Projects!$C$29+Projects!$D$29),Projects!$B$29*INDEX(Curves!$B$4:$AR$4,1,40-Projects!$C$29+1),0)+IF(AND(Projects!$G$30="Yes",40&gt;=Projects!$C$30,40&lt;Projects!$C$30+Projects!$D$30),Projects!$B$30*INDEX(Curves!$B$4:$AR$4,1,40-Projects!$C$30+1),0)+IF(AND(Projects!$G$31="Yes",40&gt;=Projects!$C$31,40&lt;Projects!$C$31+Projects!$D$31),Projects!$B$31*INDEX(Curves!$B$4:$AR$4,1,40-Projects!$C$31+1),0)+IF(AND(Projects!$G$32="Yes",40&gt;=Projects!$C$32,40&lt;Projects!$C$32+Projects!$D$32),Projects!$B$32*INDEX(Curves!$B$4:$AR$4,1,40-Projects!$C$32+1),0)+IF(AND(Projects!$G$33="Yes",40&gt;=Projects!$C$33,40&lt;Projects!$C$33+Projects!$D$33),Projects!$B$33*INDEX(Curves!$B$4:$AR$4,1,40-Projects!$C$33+1),0)+IF(AND(Projects!$G$34="Yes",40&gt;=Projects!$C$34,40&lt;Projects!$C$34+Projects!$D$34),Projects!$B$34*INDEX(Curves!$B$4:$AR$4,1,40-Projects!$C$34+1),0)+IF(AND(Projects!$G$35="Yes",40&gt;=Projects!$C$35,40&lt;Projects!$C$35+Projects!$D$35),Projects!$B$35*INDEX(Curves!$B$4:$AR$4,1,40-Projects!$C$35+1),0)+IF(AND(Projects!$G$36="Yes",40&gt;=Projects!$C$36,40&lt;Projects!$C$36+Projects!$D$36),Projects!$B$36*INDEX(Curves!$B$4:$AR$4,1,40-Projects!$C$36+1),0)+IF(AND(Projects!$G$37="Yes",40&gt;=Projects!$C$37,40&lt;Projects!$C$37+Projects!$D$37),Projects!$B$37*INDEX(Curves!$B$4:$AR$4,1,40-Projects!$C$37+1),0)+IF(AND(Projects!$G$38="Yes",40&gt;=Projects!$C$38,40&lt;Projects!$C$38+Projects!$D$38),Projects!$B$38*INDEX(Curves!$B$4:$AR$4,1,40-Projects!$C$38+1),0)+IF(AND(Projects!$G$39="Yes",40&gt;=Projects!$C$39,40&lt;Projects!$C$39+Projects!$D$39),Projects!$B$39*INDEX(Curves!$B$4:$AR$4,1,40-Projects!$C$39+1),0)+IF(AND(Projects!$G$40="Yes",40&gt;=Projects!$C$40,40&lt;Projects!$C$40+Projects!$D$40),Projects!$B$40*INDEX(Curves!$B$4:$AR$4,1,40-Projects!$C$40+1),0)+IF(AND(Projects!$G$41="Yes",40&gt;=Projects!$C$41,40&lt;Projects!$C$41+Projects!$D$41),Projects!$B$41*INDEX(Curves!$B$4:$AR$4,1,40-Projects!$C$41+1),0)+IF(AND(Projects!$G$42="Yes",40&gt;=Projects!$C$42,40&lt;Projects!$C$42+Projects!$D$42),Projects!$B$42*INDEX(Curves!$B$4:$AR$4,1,40-Projects!$C$42+1),0)+IF(AND(Projects!$G$43="Yes",40&gt;=Projects!$C$43,40&lt;Projects!$C$43+Projects!$D$43),Projects!$B$43*INDEX(Curves!$B$4:$AR$4,1,40-Projects!$C$43+1),0)+IF(AND(Projects!$G$44="Yes",40&gt;=Projects!$C$44,40&lt;Projects!$C$44+Projects!$D$44),Projects!$B$44*INDEX(Curves!$B$4:$AR$4,1,40-Projects!$C$44+1),0)+IF(AND(Projects!$G$45="Yes",40&gt;=Projects!$C$45,40&lt;Projects!$C$45+Projects!$D$45),Projects!$B$45*INDEX(Curves!$B$4:$AR$4,1,40-Projects!$C$45+1),0)+IF(AND(Projects!$G$46="Yes",40&gt;=Projects!$C$46,40&lt;Projects!$C$46+Projects!$D$46),Projects!$B$46*INDEX(Curves!$B$4:$AR$4,1,40-Projects!$C$46+1),0)</f>
        <v>3376227</v>
      </c>
      <c r="AT96" s="59">
        <f>IF(AND(Projects!$G$17="Yes",41&gt;=Projects!$C$17,41&lt;Projects!$C$17+Projects!$D$17),Projects!$B$17*INDEX(Curves!$B$4:$AR$4,1,41-Projects!$C$17+1),0)+IF(AND(Projects!$G$18="Yes",41&gt;=Projects!$C$18,41&lt;Projects!$C$18+Projects!$D$18),Projects!$B$18*INDEX(Curves!$B$4:$AR$4,1,41-Projects!$C$18+1),0)+IF(AND(Projects!$G$19="Yes",41&gt;=Projects!$C$19,41&lt;Projects!$C$19+Projects!$D$19),Projects!$B$19*INDEX(Curves!$B$4:$AR$4,1,41-Projects!$C$19+1),0)+IF(AND(Projects!$G$20="Yes",41&gt;=Projects!$C$20,41&lt;Projects!$C$20+Projects!$D$20),Projects!$B$20*INDEX(Curves!$B$4:$AR$4,1,41-Projects!$C$20+1),0)+IF(AND(Projects!$G$21="Yes",41&gt;=Projects!$C$21,41&lt;Projects!$C$21+Projects!$D$21),Projects!$B$21*INDEX(Curves!$B$4:$AR$4,1,41-Projects!$C$21+1),0)+IF(AND(Projects!$G$22="Yes",41&gt;=Projects!$C$22,41&lt;Projects!$C$22+Projects!$D$22),Projects!$B$22*INDEX(Curves!$B$4:$AR$4,1,41-Projects!$C$22+1),0)+IF(AND(Projects!$G$23="Yes",41&gt;=Projects!$C$23,41&lt;Projects!$C$23+Projects!$D$23),Projects!$B$23*INDEX(Curves!$B$4:$AR$4,1,41-Projects!$C$23+1),0)+IF(AND(Projects!$G$24="Yes",41&gt;=Projects!$C$24,41&lt;Projects!$C$24+Projects!$D$24),Projects!$B$24*INDEX(Curves!$B$4:$AR$4,1,41-Projects!$C$24+1),0)+IF(AND(Projects!$G$25="Yes",41&gt;=Projects!$C$25,41&lt;Projects!$C$25+Projects!$D$25),Projects!$B$25*INDEX(Curves!$B$4:$AR$4,1,41-Projects!$C$25+1),0)+IF(AND(Projects!$G$26="Yes",41&gt;=Projects!$C$26,41&lt;Projects!$C$26+Projects!$D$26),Projects!$B$26*INDEX(Curves!$B$4:$AR$4,1,41-Projects!$C$26+1),0)+IF(AND(Projects!$G$27="Yes",41&gt;=Projects!$C$27,41&lt;Projects!$C$27+Projects!$D$27),Projects!$B$27*INDEX(Curves!$B$4:$AR$4,1,41-Projects!$C$27+1),0)+IF(AND(Projects!$G$28="Yes",41&gt;=Projects!$C$28,41&lt;Projects!$C$28+Projects!$D$28),Projects!$B$28*INDEX(Curves!$B$4:$AR$4,1,41-Projects!$C$28+1),0)+IF(AND(Projects!$G$29="Yes",41&gt;=Projects!$C$29,41&lt;Projects!$C$29+Projects!$D$29),Projects!$B$29*INDEX(Curves!$B$4:$AR$4,1,41-Projects!$C$29+1),0)+IF(AND(Projects!$G$30="Yes",41&gt;=Projects!$C$30,41&lt;Projects!$C$30+Projects!$D$30),Projects!$B$30*INDEX(Curves!$B$4:$AR$4,1,41-Projects!$C$30+1),0)+IF(AND(Projects!$G$31="Yes",41&gt;=Projects!$C$31,41&lt;Projects!$C$31+Projects!$D$31),Projects!$B$31*INDEX(Curves!$B$4:$AR$4,1,41-Projects!$C$31+1),0)+IF(AND(Projects!$G$32="Yes",41&gt;=Projects!$C$32,41&lt;Projects!$C$32+Projects!$D$32),Projects!$B$32*INDEX(Curves!$B$4:$AR$4,1,41-Projects!$C$32+1),0)+IF(AND(Projects!$G$33="Yes",41&gt;=Projects!$C$33,41&lt;Projects!$C$33+Projects!$D$33),Projects!$B$33*INDEX(Curves!$B$4:$AR$4,1,41-Projects!$C$33+1),0)+IF(AND(Projects!$G$34="Yes",41&gt;=Projects!$C$34,41&lt;Projects!$C$34+Projects!$D$34),Projects!$B$34*INDEX(Curves!$B$4:$AR$4,1,41-Projects!$C$34+1),0)+IF(AND(Projects!$G$35="Yes",41&gt;=Projects!$C$35,41&lt;Projects!$C$35+Projects!$D$35),Projects!$B$35*INDEX(Curves!$B$4:$AR$4,1,41-Projects!$C$35+1),0)+IF(AND(Projects!$G$36="Yes",41&gt;=Projects!$C$36,41&lt;Projects!$C$36+Projects!$D$36),Projects!$B$36*INDEX(Curves!$B$4:$AR$4,1,41-Projects!$C$36+1),0)+IF(AND(Projects!$G$37="Yes",41&gt;=Projects!$C$37,41&lt;Projects!$C$37+Projects!$D$37),Projects!$B$37*INDEX(Curves!$B$4:$AR$4,1,41-Projects!$C$37+1),0)+IF(AND(Projects!$G$38="Yes",41&gt;=Projects!$C$38,41&lt;Projects!$C$38+Projects!$D$38),Projects!$B$38*INDEX(Curves!$B$4:$AR$4,1,41-Projects!$C$38+1),0)+IF(AND(Projects!$G$39="Yes",41&gt;=Projects!$C$39,41&lt;Projects!$C$39+Projects!$D$39),Projects!$B$39*INDEX(Curves!$B$4:$AR$4,1,41-Projects!$C$39+1),0)+IF(AND(Projects!$G$40="Yes",41&gt;=Projects!$C$40,41&lt;Projects!$C$40+Projects!$D$40),Projects!$B$40*INDEX(Curves!$B$4:$AR$4,1,41-Projects!$C$40+1),0)+IF(AND(Projects!$G$41="Yes",41&gt;=Projects!$C$41,41&lt;Projects!$C$41+Projects!$D$41),Projects!$B$41*INDEX(Curves!$B$4:$AR$4,1,41-Projects!$C$41+1),0)+IF(AND(Projects!$G$42="Yes",41&gt;=Projects!$C$42,41&lt;Projects!$C$42+Projects!$D$42),Projects!$B$42*INDEX(Curves!$B$4:$AR$4,1,41-Projects!$C$42+1),0)+IF(AND(Projects!$G$43="Yes",41&gt;=Projects!$C$43,41&lt;Projects!$C$43+Projects!$D$43),Projects!$B$43*INDEX(Curves!$B$4:$AR$4,1,41-Projects!$C$43+1),0)+IF(AND(Projects!$G$44="Yes",41&gt;=Projects!$C$44,41&lt;Projects!$C$44+Projects!$D$44),Projects!$B$44*INDEX(Curves!$B$4:$AR$4,1,41-Projects!$C$44+1),0)+IF(AND(Projects!$G$45="Yes",41&gt;=Projects!$C$45,41&lt;Projects!$C$45+Projects!$D$45),Projects!$B$45*INDEX(Curves!$B$4:$AR$4,1,41-Projects!$C$45+1),0)+IF(AND(Projects!$G$46="Yes",41&gt;=Projects!$C$46,41&lt;Projects!$C$46+Projects!$D$46),Projects!$B$46*INDEX(Curves!$B$4:$AR$4,1,41-Projects!$C$46+1),0)</f>
        <v>3660162</v>
      </c>
      <c r="AU96" s="59">
        <f>IF(AND(Projects!$G$17="Yes",42&gt;=Projects!$C$17,42&lt;Projects!$C$17+Projects!$D$17),Projects!$B$17*INDEX(Curves!$B$4:$AR$4,1,42-Projects!$C$17+1),0)+IF(AND(Projects!$G$18="Yes",42&gt;=Projects!$C$18,42&lt;Projects!$C$18+Projects!$D$18),Projects!$B$18*INDEX(Curves!$B$4:$AR$4,1,42-Projects!$C$18+1),0)+IF(AND(Projects!$G$19="Yes",42&gt;=Projects!$C$19,42&lt;Projects!$C$19+Projects!$D$19),Projects!$B$19*INDEX(Curves!$B$4:$AR$4,1,42-Projects!$C$19+1),0)+IF(AND(Projects!$G$20="Yes",42&gt;=Projects!$C$20,42&lt;Projects!$C$20+Projects!$D$20),Projects!$B$20*INDEX(Curves!$B$4:$AR$4,1,42-Projects!$C$20+1),0)+IF(AND(Projects!$G$21="Yes",42&gt;=Projects!$C$21,42&lt;Projects!$C$21+Projects!$D$21),Projects!$B$21*INDEX(Curves!$B$4:$AR$4,1,42-Projects!$C$21+1),0)+IF(AND(Projects!$G$22="Yes",42&gt;=Projects!$C$22,42&lt;Projects!$C$22+Projects!$D$22),Projects!$B$22*INDEX(Curves!$B$4:$AR$4,1,42-Projects!$C$22+1),0)+IF(AND(Projects!$G$23="Yes",42&gt;=Projects!$C$23,42&lt;Projects!$C$23+Projects!$D$23),Projects!$B$23*INDEX(Curves!$B$4:$AR$4,1,42-Projects!$C$23+1),0)+IF(AND(Projects!$G$24="Yes",42&gt;=Projects!$C$24,42&lt;Projects!$C$24+Projects!$D$24),Projects!$B$24*INDEX(Curves!$B$4:$AR$4,1,42-Projects!$C$24+1),0)+IF(AND(Projects!$G$25="Yes",42&gt;=Projects!$C$25,42&lt;Projects!$C$25+Projects!$D$25),Projects!$B$25*INDEX(Curves!$B$4:$AR$4,1,42-Projects!$C$25+1),0)+IF(AND(Projects!$G$26="Yes",42&gt;=Projects!$C$26,42&lt;Projects!$C$26+Projects!$D$26),Projects!$B$26*INDEX(Curves!$B$4:$AR$4,1,42-Projects!$C$26+1),0)+IF(AND(Projects!$G$27="Yes",42&gt;=Projects!$C$27,42&lt;Projects!$C$27+Projects!$D$27),Projects!$B$27*INDEX(Curves!$B$4:$AR$4,1,42-Projects!$C$27+1),0)+IF(AND(Projects!$G$28="Yes",42&gt;=Projects!$C$28,42&lt;Projects!$C$28+Projects!$D$28),Projects!$B$28*INDEX(Curves!$B$4:$AR$4,1,42-Projects!$C$28+1),0)+IF(AND(Projects!$G$29="Yes",42&gt;=Projects!$C$29,42&lt;Projects!$C$29+Projects!$D$29),Projects!$B$29*INDEX(Curves!$B$4:$AR$4,1,42-Projects!$C$29+1),0)+IF(AND(Projects!$G$30="Yes",42&gt;=Projects!$C$30,42&lt;Projects!$C$30+Projects!$D$30),Projects!$B$30*INDEX(Curves!$B$4:$AR$4,1,42-Projects!$C$30+1),0)+IF(AND(Projects!$G$31="Yes",42&gt;=Projects!$C$31,42&lt;Projects!$C$31+Projects!$D$31),Projects!$B$31*INDEX(Curves!$B$4:$AR$4,1,42-Projects!$C$31+1),0)+IF(AND(Projects!$G$32="Yes",42&gt;=Projects!$C$32,42&lt;Projects!$C$32+Projects!$D$32),Projects!$B$32*INDEX(Curves!$B$4:$AR$4,1,42-Projects!$C$32+1),0)+IF(AND(Projects!$G$33="Yes",42&gt;=Projects!$C$33,42&lt;Projects!$C$33+Projects!$D$33),Projects!$B$33*INDEX(Curves!$B$4:$AR$4,1,42-Projects!$C$33+1),0)+IF(AND(Projects!$G$34="Yes",42&gt;=Projects!$C$34,42&lt;Projects!$C$34+Projects!$D$34),Projects!$B$34*INDEX(Curves!$B$4:$AR$4,1,42-Projects!$C$34+1),0)+IF(AND(Projects!$G$35="Yes",42&gt;=Projects!$C$35,42&lt;Projects!$C$35+Projects!$D$35),Projects!$B$35*INDEX(Curves!$B$4:$AR$4,1,42-Projects!$C$35+1),0)+IF(AND(Projects!$G$36="Yes",42&gt;=Projects!$C$36,42&lt;Projects!$C$36+Projects!$D$36),Projects!$B$36*INDEX(Curves!$B$4:$AR$4,1,42-Projects!$C$36+1),0)+IF(AND(Projects!$G$37="Yes",42&gt;=Projects!$C$37,42&lt;Projects!$C$37+Projects!$D$37),Projects!$B$37*INDEX(Curves!$B$4:$AR$4,1,42-Projects!$C$37+1),0)+IF(AND(Projects!$G$38="Yes",42&gt;=Projects!$C$38,42&lt;Projects!$C$38+Projects!$D$38),Projects!$B$38*INDEX(Curves!$B$4:$AR$4,1,42-Projects!$C$38+1),0)+IF(AND(Projects!$G$39="Yes",42&gt;=Projects!$C$39,42&lt;Projects!$C$39+Projects!$D$39),Projects!$B$39*INDEX(Curves!$B$4:$AR$4,1,42-Projects!$C$39+1),0)+IF(AND(Projects!$G$40="Yes",42&gt;=Projects!$C$40,42&lt;Projects!$C$40+Projects!$D$40),Projects!$B$40*INDEX(Curves!$B$4:$AR$4,1,42-Projects!$C$40+1),0)+IF(AND(Projects!$G$41="Yes",42&gt;=Projects!$C$41,42&lt;Projects!$C$41+Projects!$D$41),Projects!$B$41*INDEX(Curves!$B$4:$AR$4,1,42-Projects!$C$41+1),0)+IF(AND(Projects!$G$42="Yes",42&gt;=Projects!$C$42,42&lt;Projects!$C$42+Projects!$D$42),Projects!$B$42*INDEX(Curves!$B$4:$AR$4,1,42-Projects!$C$42+1),0)+IF(AND(Projects!$G$43="Yes",42&gt;=Projects!$C$43,42&lt;Projects!$C$43+Projects!$D$43),Projects!$B$43*INDEX(Curves!$B$4:$AR$4,1,42-Projects!$C$43+1),0)+IF(AND(Projects!$G$44="Yes",42&gt;=Projects!$C$44,42&lt;Projects!$C$44+Projects!$D$44),Projects!$B$44*INDEX(Curves!$B$4:$AR$4,1,42-Projects!$C$44+1),0)+IF(AND(Projects!$G$45="Yes",42&gt;=Projects!$C$45,42&lt;Projects!$C$45+Projects!$D$45),Projects!$B$45*INDEX(Curves!$B$4:$AR$4,1,42-Projects!$C$45+1),0)+IF(AND(Projects!$G$46="Yes",42&gt;=Projects!$C$46,42&lt;Projects!$C$46+Projects!$D$46),Projects!$B$46*INDEX(Curves!$B$4:$AR$4,1,42-Projects!$C$46+1),0)</f>
        <v>3894612</v>
      </c>
      <c r="AV96" s="59">
        <f>IF(AND(Projects!$G$17="Yes",43&gt;=Projects!$C$17,43&lt;Projects!$C$17+Projects!$D$17),Projects!$B$17*INDEX(Curves!$B$4:$AR$4,1,43-Projects!$C$17+1),0)+IF(AND(Projects!$G$18="Yes",43&gt;=Projects!$C$18,43&lt;Projects!$C$18+Projects!$D$18),Projects!$B$18*INDEX(Curves!$B$4:$AR$4,1,43-Projects!$C$18+1),0)+IF(AND(Projects!$G$19="Yes",43&gt;=Projects!$C$19,43&lt;Projects!$C$19+Projects!$D$19),Projects!$B$19*INDEX(Curves!$B$4:$AR$4,1,43-Projects!$C$19+1),0)+IF(AND(Projects!$G$20="Yes",43&gt;=Projects!$C$20,43&lt;Projects!$C$20+Projects!$D$20),Projects!$B$20*INDEX(Curves!$B$4:$AR$4,1,43-Projects!$C$20+1),0)+IF(AND(Projects!$G$21="Yes",43&gt;=Projects!$C$21,43&lt;Projects!$C$21+Projects!$D$21),Projects!$B$21*INDEX(Curves!$B$4:$AR$4,1,43-Projects!$C$21+1),0)+IF(AND(Projects!$G$22="Yes",43&gt;=Projects!$C$22,43&lt;Projects!$C$22+Projects!$D$22),Projects!$B$22*INDEX(Curves!$B$4:$AR$4,1,43-Projects!$C$22+1),0)+IF(AND(Projects!$G$23="Yes",43&gt;=Projects!$C$23,43&lt;Projects!$C$23+Projects!$D$23),Projects!$B$23*INDEX(Curves!$B$4:$AR$4,1,43-Projects!$C$23+1),0)+IF(AND(Projects!$G$24="Yes",43&gt;=Projects!$C$24,43&lt;Projects!$C$24+Projects!$D$24),Projects!$B$24*INDEX(Curves!$B$4:$AR$4,1,43-Projects!$C$24+1),0)+IF(AND(Projects!$G$25="Yes",43&gt;=Projects!$C$25,43&lt;Projects!$C$25+Projects!$D$25),Projects!$B$25*INDEX(Curves!$B$4:$AR$4,1,43-Projects!$C$25+1),0)+IF(AND(Projects!$G$26="Yes",43&gt;=Projects!$C$26,43&lt;Projects!$C$26+Projects!$D$26),Projects!$B$26*INDEX(Curves!$B$4:$AR$4,1,43-Projects!$C$26+1),0)+IF(AND(Projects!$G$27="Yes",43&gt;=Projects!$C$27,43&lt;Projects!$C$27+Projects!$D$27),Projects!$B$27*INDEX(Curves!$B$4:$AR$4,1,43-Projects!$C$27+1),0)+IF(AND(Projects!$G$28="Yes",43&gt;=Projects!$C$28,43&lt;Projects!$C$28+Projects!$D$28),Projects!$B$28*INDEX(Curves!$B$4:$AR$4,1,43-Projects!$C$28+1),0)+IF(AND(Projects!$G$29="Yes",43&gt;=Projects!$C$29,43&lt;Projects!$C$29+Projects!$D$29),Projects!$B$29*INDEX(Curves!$B$4:$AR$4,1,43-Projects!$C$29+1),0)+IF(AND(Projects!$G$30="Yes",43&gt;=Projects!$C$30,43&lt;Projects!$C$30+Projects!$D$30),Projects!$B$30*INDEX(Curves!$B$4:$AR$4,1,43-Projects!$C$30+1),0)+IF(AND(Projects!$G$31="Yes",43&gt;=Projects!$C$31,43&lt;Projects!$C$31+Projects!$D$31),Projects!$B$31*INDEX(Curves!$B$4:$AR$4,1,43-Projects!$C$31+1),0)+IF(AND(Projects!$G$32="Yes",43&gt;=Projects!$C$32,43&lt;Projects!$C$32+Projects!$D$32),Projects!$B$32*INDEX(Curves!$B$4:$AR$4,1,43-Projects!$C$32+1),0)+IF(AND(Projects!$G$33="Yes",43&gt;=Projects!$C$33,43&lt;Projects!$C$33+Projects!$D$33),Projects!$B$33*INDEX(Curves!$B$4:$AR$4,1,43-Projects!$C$33+1),0)+IF(AND(Projects!$G$34="Yes",43&gt;=Projects!$C$34,43&lt;Projects!$C$34+Projects!$D$34),Projects!$B$34*INDEX(Curves!$B$4:$AR$4,1,43-Projects!$C$34+1),0)+IF(AND(Projects!$G$35="Yes",43&gt;=Projects!$C$35,43&lt;Projects!$C$35+Projects!$D$35),Projects!$B$35*INDEX(Curves!$B$4:$AR$4,1,43-Projects!$C$35+1),0)+IF(AND(Projects!$G$36="Yes",43&gt;=Projects!$C$36,43&lt;Projects!$C$36+Projects!$D$36),Projects!$B$36*INDEX(Curves!$B$4:$AR$4,1,43-Projects!$C$36+1),0)+IF(AND(Projects!$G$37="Yes",43&gt;=Projects!$C$37,43&lt;Projects!$C$37+Projects!$D$37),Projects!$B$37*INDEX(Curves!$B$4:$AR$4,1,43-Projects!$C$37+1),0)+IF(AND(Projects!$G$38="Yes",43&gt;=Projects!$C$38,43&lt;Projects!$C$38+Projects!$D$38),Projects!$B$38*INDEX(Curves!$B$4:$AR$4,1,43-Projects!$C$38+1),0)+IF(AND(Projects!$G$39="Yes",43&gt;=Projects!$C$39,43&lt;Projects!$C$39+Projects!$D$39),Projects!$B$39*INDEX(Curves!$B$4:$AR$4,1,43-Projects!$C$39+1),0)+IF(AND(Projects!$G$40="Yes",43&gt;=Projects!$C$40,43&lt;Projects!$C$40+Projects!$D$40),Projects!$B$40*INDEX(Curves!$B$4:$AR$4,1,43-Projects!$C$40+1),0)+IF(AND(Projects!$G$41="Yes",43&gt;=Projects!$C$41,43&lt;Projects!$C$41+Projects!$D$41),Projects!$B$41*INDEX(Curves!$B$4:$AR$4,1,43-Projects!$C$41+1),0)+IF(AND(Projects!$G$42="Yes",43&gt;=Projects!$C$42,43&lt;Projects!$C$42+Projects!$D$42),Projects!$B$42*INDEX(Curves!$B$4:$AR$4,1,43-Projects!$C$42+1),0)+IF(AND(Projects!$G$43="Yes",43&gt;=Projects!$C$43,43&lt;Projects!$C$43+Projects!$D$43),Projects!$B$43*INDEX(Curves!$B$4:$AR$4,1,43-Projects!$C$43+1),0)+IF(AND(Projects!$G$44="Yes",43&gt;=Projects!$C$44,43&lt;Projects!$C$44+Projects!$D$44),Projects!$B$44*INDEX(Curves!$B$4:$AR$4,1,43-Projects!$C$44+1),0)+IF(AND(Projects!$G$45="Yes",43&gt;=Projects!$C$45,43&lt;Projects!$C$45+Projects!$D$45),Projects!$B$45*INDEX(Curves!$B$4:$AR$4,1,43-Projects!$C$45+1),0)+IF(AND(Projects!$G$46="Yes",43&gt;=Projects!$C$46,43&lt;Projects!$C$46+Projects!$D$46),Projects!$B$46*INDEX(Curves!$B$4:$AR$4,1,43-Projects!$C$46+1),0)</f>
        <v>4067787</v>
      </c>
      <c r="AW96" s="59">
        <f>IF(AND(Projects!$G$17="Yes",44&gt;=Projects!$C$17,44&lt;Projects!$C$17+Projects!$D$17),Projects!$B$17*INDEX(Curves!$B$4:$AR$4,1,44-Projects!$C$17+1),0)+IF(AND(Projects!$G$18="Yes",44&gt;=Projects!$C$18,44&lt;Projects!$C$18+Projects!$D$18),Projects!$B$18*INDEX(Curves!$B$4:$AR$4,1,44-Projects!$C$18+1),0)+IF(AND(Projects!$G$19="Yes",44&gt;=Projects!$C$19,44&lt;Projects!$C$19+Projects!$D$19),Projects!$B$19*INDEX(Curves!$B$4:$AR$4,1,44-Projects!$C$19+1),0)+IF(AND(Projects!$G$20="Yes",44&gt;=Projects!$C$20,44&lt;Projects!$C$20+Projects!$D$20),Projects!$B$20*INDEX(Curves!$B$4:$AR$4,1,44-Projects!$C$20+1),0)+IF(AND(Projects!$G$21="Yes",44&gt;=Projects!$C$21,44&lt;Projects!$C$21+Projects!$D$21),Projects!$B$21*INDEX(Curves!$B$4:$AR$4,1,44-Projects!$C$21+1),0)+IF(AND(Projects!$G$22="Yes",44&gt;=Projects!$C$22,44&lt;Projects!$C$22+Projects!$D$22),Projects!$B$22*INDEX(Curves!$B$4:$AR$4,1,44-Projects!$C$22+1),0)+IF(AND(Projects!$G$23="Yes",44&gt;=Projects!$C$23,44&lt;Projects!$C$23+Projects!$D$23),Projects!$B$23*INDEX(Curves!$B$4:$AR$4,1,44-Projects!$C$23+1),0)+IF(AND(Projects!$G$24="Yes",44&gt;=Projects!$C$24,44&lt;Projects!$C$24+Projects!$D$24),Projects!$B$24*INDEX(Curves!$B$4:$AR$4,1,44-Projects!$C$24+1),0)+IF(AND(Projects!$G$25="Yes",44&gt;=Projects!$C$25,44&lt;Projects!$C$25+Projects!$D$25),Projects!$B$25*INDEX(Curves!$B$4:$AR$4,1,44-Projects!$C$25+1),0)+IF(AND(Projects!$G$26="Yes",44&gt;=Projects!$C$26,44&lt;Projects!$C$26+Projects!$D$26),Projects!$B$26*INDEX(Curves!$B$4:$AR$4,1,44-Projects!$C$26+1),0)+IF(AND(Projects!$G$27="Yes",44&gt;=Projects!$C$27,44&lt;Projects!$C$27+Projects!$D$27),Projects!$B$27*INDEX(Curves!$B$4:$AR$4,1,44-Projects!$C$27+1),0)+IF(AND(Projects!$G$28="Yes",44&gt;=Projects!$C$28,44&lt;Projects!$C$28+Projects!$D$28),Projects!$B$28*INDEX(Curves!$B$4:$AR$4,1,44-Projects!$C$28+1),0)+IF(AND(Projects!$G$29="Yes",44&gt;=Projects!$C$29,44&lt;Projects!$C$29+Projects!$D$29),Projects!$B$29*INDEX(Curves!$B$4:$AR$4,1,44-Projects!$C$29+1),0)+IF(AND(Projects!$G$30="Yes",44&gt;=Projects!$C$30,44&lt;Projects!$C$30+Projects!$D$30),Projects!$B$30*INDEX(Curves!$B$4:$AR$4,1,44-Projects!$C$30+1),0)+IF(AND(Projects!$G$31="Yes",44&gt;=Projects!$C$31,44&lt;Projects!$C$31+Projects!$D$31),Projects!$B$31*INDEX(Curves!$B$4:$AR$4,1,44-Projects!$C$31+1),0)+IF(AND(Projects!$G$32="Yes",44&gt;=Projects!$C$32,44&lt;Projects!$C$32+Projects!$D$32),Projects!$B$32*INDEX(Curves!$B$4:$AR$4,1,44-Projects!$C$32+1),0)+IF(AND(Projects!$G$33="Yes",44&gt;=Projects!$C$33,44&lt;Projects!$C$33+Projects!$D$33),Projects!$B$33*INDEX(Curves!$B$4:$AR$4,1,44-Projects!$C$33+1),0)+IF(AND(Projects!$G$34="Yes",44&gt;=Projects!$C$34,44&lt;Projects!$C$34+Projects!$D$34),Projects!$B$34*INDEX(Curves!$B$4:$AR$4,1,44-Projects!$C$34+1),0)+IF(AND(Projects!$G$35="Yes",44&gt;=Projects!$C$35,44&lt;Projects!$C$35+Projects!$D$35),Projects!$B$35*INDEX(Curves!$B$4:$AR$4,1,44-Projects!$C$35+1),0)+IF(AND(Projects!$G$36="Yes",44&gt;=Projects!$C$36,44&lt;Projects!$C$36+Projects!$D$36),Projects!$B$36*INDEX(Curves!$B$4:$AR$4,1,44-Projects!$C$36+1),0)+IF(AND(Projects!$G$37="Yes",44&gt;=Projects!$C$37,44&lt;Projects!$C$37+Projects!$D$37),Projects!$B$37*INDEX(Curves!$B$4:$AR$4,1,44-Projects!$C$37+1),0)+IF(AND(Projects!$G$38="Yes",44&gt;=Projects!$C$38,44&lt;Projects!$C$38+Projects!$D$38),Projects!$B$38*INDEX(Curves!$B$4:$AR$4,1,44-Projects!$C$38+1),0)+IF(AND(Projects!$G$39="Yes",44&gt;=Projects!$C$39,44&lt;Projects!$C$39+Projects!$D$39),Projects!$B$39*INDEX(Curves!$B$4:$AR$4,1,44-Projects!$C$39+1),0)+IF(AND(Projects!$G$40="Yes",44&gt;=Projects!$C$40,44&lt;Projects!$C$40+Projects!$D$40),Projects!$B$40*INDEX(Curves!$B$4:$AR$4,1,44-Projects!$C$40+1),0)+IF(AND(Projects!$G$41="Yes",44&gt;=Projects!$C$41,44&lt;Projects!$C$41+Projects!$D$41),Projects!$B$41*INDEX(Curves!$B$4:$AR$4,1,44-Projects!$C$41+1),0)+IF(AND(Projects!$G$42="Yes",44&gt;=Projects!$C$42,44&lt;Projects!$C$42+Projects!$D$42),Projects!$B$42*INDEX(Curves!$B$4:$AR$4,1,44-Projects!$C$42+1),0)+IF(AND(Projects!$G$43="Yes",44&gt;=Projects!$C$43,44&lt;Projects!$C$43+Projects!$D$43),Projects!$B$43*INDEX(Curves!$B$4:$AR$4,1,44-Projects!$C$43+1),0)+IF(AND(Projects!$G$44="Yes",44&gt;=Projects!$C$44,44&lt;Projects!$C$44+Projects!$D$44),Projects!$B$44*INDEX(Curves!$B$4:$AR$4,1,44-Projects!$C$44+1),0)+IF(AND(Projects!$G$45="Yes",44&gt;=Projects!$C$45,44&lt;Projects!$C$45+Projects!$D$45),Projects!$B$45*INDEX(Curves!$B$4:$AR$4,1,44-Projects!$C$45+1),0)+IF(AND(Projects!$G$46="Yes",44&gt;=Projects!$C$46,44&lt;Projects!$C$46+Projects!$D$46),Projects!$B$46*INDEX(Curves!$B$4:$AR$4,1,44-Projects!$C$46+1),0)</f>
        <v>4170606</v>
      </c>
      <c r="AX96" s="59">
        <f>IF(AND(Projects!$G$17="Yes",45&gt;=Projects!$C$17,45&lt;Projects!$C$17+Projects!$D$17),Projects!$B$17*INDEX(Curves!$B$4:$AR$4,1,45-Projects!$C$17+1),0)+IF(AND(Projects!$G$18="Yes",45&gt;=Projects!$C$18,45&lt;Projects!$C$18+Projects!$D$18),Projects!$B$18*INDEX(Curves!$B$4:$AR$4,1,45-Projects!$C$18+1),0)+IF(AND(Projects!$G$19="Yes",45&gt;=Projects!$C$19,45&lt;Projects!$C$19+Projects!$D$19),Projects!$B$19*INDEX(Curves!$B$4:$AR$4,1,45-Projects!$C$19+1),0)+IF(AND(Projects!$G$20="Yes",45&gt;=Projects!$C$20,45&lt;Projects!$C$20+Projects!$D$20),Projects!$B$20*INDEX(Curves!$B$4:$AR$4,1,45-Projects!$C$20+1),0)+IF(AND(Projects!$G$21="Yes",45&gt;=Projects!$C$21,45&lt;Projects!$C$21+Projects!$D$21),Projects!$B$21*INDEX(Curves!$B$4:$AR$4,1,45-Projects!$C$21+1),0)+IF(AND(Projects!$G$22="Yes",45&gt;=Projects!$C$22,45&lt;Projects!$C$22+Projects!$D$22),Projects!$B$22*INDEX(Curves!$B$4:$AR$4,1,45-Projects!$C$22+1),0)+IF(AND(Projects!$G$23="Yes",45&gt;=Projects!$C$23,45&lt;Projects!$C$23+Projects!$D$23),Projects!$B$23*INDEX(Curves!$B$4:$AR$4,1,45-Projects!$C$23+1),0)+IF(AND(Projects!$G$24="Yes",45&gt;=Projects!$C$24,45&lt;Projects!$C$24+Projects!$D$24),Projects!$B$24*INDEX(Curves!$B$4:$AR$4,1,45-Projects!$C$24+1),0)+IF(AND(Projects!$G$25="Yes",45&gt;=Projects!$C$25,45&lt;Projects!$C$25+Projects!$D$25),Projects!$B$25*INDEX(Curves!$B$4:$AR$4,1,45-Projects!$C$25+1),0)+IF(AND(Projects!$G$26="Yes",45&gt;=Projects!$C$26,45&lt;Projects!$C$26+Projects!$D$26),Projects!$B$26*INDEX(Curves!$B$4:$AR$4,1,45-Projects!$C$26+1),0)+IF(AND(Projects!$G$27="Yes",45&gt;=Projects!$C$27,45&lt;Projects!$C$27+Projects!$D$27),Projects!$B$27*INDEX(Curves!$B$4:$AR$4,1,45-Projects!$C$27+1),0)+IF(AND(Projects!$G$28="Yes",45&gt;=Projects!$C$28,45&lt;Projects!$C$28+Projects!$D$28),Projects!$B$28*INDEX(Curves!$B$4:$AR$4,1,45-Projects!$C$28+1),0)+IF(AND(Projects!$G$29="Yes",45&gt;=Projects!$C$29,45&lt;Projects!$C$29+Projects!$D$29),Projects!$B$29*INDEX(Curves!$B$4:$AR$4,1,45-Projects!$C$29+1),0)+IF(AND(Projects!$G$30="Yes",45&gt;=Projects!$C$30,45&lt;Projects!$C$30+Projects!$D$30),Projects!$B$30*INDEX(Curves!$B$4:$AR$4,1,45-Projects!$C$30+1),0)+IF(AND(Projects!$G$31="Yes",45&gt;=Projects!$C$31,45&lt;Projects!$C$31+Projects!$D$31),Projects!$B$31*INDEX(Curves!$B$4:$AR$4,1,45-Projects!$C$31+1),0)+IF(AND(Projects!$G$32="Yes",45&gt;=Projects!$C$32,45&lt;Projects!$C$32+Projects!$D$32),Projects!$B$32*INDEX(Curves!$B$4:$AR$4,1,45-Projects!$C$32+1),0)+IF(AND(Projects!$G$33="Yes",45&gt;=Projects!$C$33,45&lt;Projects!$C$33+Projects!$D$33),Projects!$B$33*INDEX(Curves!$B$4:$AR$4,1,45-Projects!$C$33+1),0)+IF(AND(Projects!$G$34="Yes",45&gt;=Projects!$C$34,45&lt;Projects!$C$34+Projects!$D$34),Projects!$B$34*INDEX(Curves!$B$4:$AR$4,1,45-Projects!$C$34+1),0)+IF(AND(Projects!$G$35="Yes",45&gt;=Projects!$C$35,45&lt;Projects!$C$35+Projects!$D$35),Projects!$B$35*INDEX(Curves!$B$4:$AR$4,1,45-Projects!$C$35+1),0)+IF(AND(Projects!$G$36="Yes",45&gt;=Projects!$C$36,45&lt;Projects!$C$36+Projects!$D$36),Projects!$B$36*INDEX(Curves!$B$4:$AR$4,1,45-Projects!$C$36+1),0)+IF(AND(Projects!$G$37="Yes",45&gt;=Projects!$C$37,45&lt;Projects!$C$37+Projects!$D$37),Projects!$B$37*INDEX(Curves!$B$4:$AR$4,1,45-Projects!$C$37+1),0)+IF(AND(Projects!$G$38="Yes",45&gt;=Projects!$C$38,45&lt;Projects!$C$38+Projects!$D$38),Projects!$B$38*INDEX(Curves!$B$4:$AR$4,1,45-Projects!$C$38+1),0)+IF(AND(Projects!$G$39="Yes",45&gt;=Projects!$C$39,45&lt;Projects!$C$39+Projects!$D$39),Projects!$B$39*INDEX(Curves!$B$4:$AR$4,1,45-Projects!$C$39+1),0)+IF(AND(Projects!$G$40="Yes",45&gt;=Projects!$C$40,45&lt;Projects!$C$40+Projects!$D$40),Projects!$B$40*INDEX(Curves!$B$4:$AR$4,1,45-Projects!$C$40+1),0)+IF(AND(Projects!$G$41="Yes",45&gt;=Projects!$C$41,45&lt;Projects!$C$41+Projects!$D$41),Projects!$B$41*INDEX(Curves!$B$4:$AR$4,1,45-Projects!$C$41+1),0)+IF(AND(Projects!$G$42="Yes",45&gt;=Projects!$C$42,45&lt;Projects!$C$42+Projects!$D$42),Projects!$B$42*INDEX(Curves!$B$4:$AR$4,1,45-Projects!$C$42+1),0)+IF(AND(Projects!$G$43="Yes",45&gt;=Projects!$C$43,45&lt;Projects!$C$43+Projects!$D$43),Projects!$B$43*INDEX(Curves!$B$4:$AR$4,1,45-Projects!$C$43+1),0)+IF(AND(Projects!$G$44="Yes",45&gt;=Projects!$C$44,45&lt;Projects!$C$44+Projects!$D$44),Projects!$B$44*INDEX(Curves!$B$4:$AR$4,1,45-Projects!$C$44+1),0)+IF(AND(Projects!$G$45="Yes",45&gt;=Projects!$C$45,45&lt;Projects!$C$45+Projects!$D$45),Projects!$B$45*INDEX(Curves!$B$4:$AR$4,1,45-Projects!$C$45+1),0)+IF(AND(Projects!$G$46="Yes",45&gt;=Projects!$C$46,45&lt;Projects!$C$46+Projects!$D$46),Projects!$B$46*INDEX(Curves!$B$4:$AR$4,1,45-Projects!$C$46+1),0)</f>
        <v>4197402</v>
      </c>
      <c r="AY96" s="59">
        <f>IF(AND(Projects!$G$17="Yes",46&gt;=Projects!$C$17,46&lt;Projects!$C$17+Projects!$D$17),Projects!$B$17*INDEX(Curves!$B$4:$AR$4,1,46-Projects!$C$17+1),0)+IF(AND(Projects!$G$18="Yes",46&gt;=Projects!$C$18,46&lt;Projects!$C$18+Projects!$D$18),Projects!$B$18*INDEX(Curves!$B$4:$AR$4,1,46-Projects!$C$18+1),0)+IF(AND(Projects!$G$19="Yes",46&gt;=Projects!$C$19,46&lt;Projects!$C$19+Projects!$D$19),Projects!$B$19*INDEX(Curves!$B$4:$AR$4,1,46-Projects!$C$19+1),0)+IF(AND(Projects!$G$20="Yes",46&gt;=Projects!$C$20,46&lt;Projects!$C$20+Projects!$D$20),Projects!$B$20*INDEX(Curves!$B$4:$AR$4,1,46-Projects!$C$20+1),0)+IF(AND(Projects!$G$21="Yes",46&gt;=Projects!$C$21,46&lt;Projects!$C$21+Projects!$D$21),Projects!$B$21*INDEX(Curves!$B$4:$AR$4,1,46-Projects!$C$21+1),0)+IF(AND(Projects!$G$22="Yes",46&gt;=Projects!$C$22,46&lt;Projects!$C$22+Projects!$D$22),Projects!$B$22*INDEX(Curves!$B$4:$AR$4,1,46-Projects!$C$22+1),0)+IF(AND(Projects!$G$23="Yes",46&gt;=Projects!$C$23,46&lt;Projects!$C$23+Projects!$D$23),Projects!$B$23*INDEX(Curves!$B$4:$AR$4,1,46-Projects!$C$23+1),0)+IF(AND(Projects!$G$24="Yes",46&gt;=Projects!$C$24,46&lt;Projects!$C$24+Projects!$D$24),Projects!$B$24*INDEX(Curves!$B$4:$AR$4,1,46-Projects!$C$24+1),0)+IF(AND(Projects!$G$25="Yes",46&gt;=Projects!$C$25,46&lt;Projects!$C$25+Projects!$D$25),Projects!$B$25*INDEX(Curves!$B$4:$AR$4,1,46-Projects!$C$25+1),0)+IF(AND(Projects!$G$26="Yes",46&gt;=Projects!$C$26,46&lt;Projects!$C$26+Projects!$D$26),Projects!$B$26*INDEX(Curves!$B$4:$AR$4,1,46-Projects!$C$26+1),0)+IF(AND(Projects!$G$27="Yes",46&gt;=Projects!$C$27,46&lt;Projects!$C$27+Projects!$D$27),Projects!$B$27*INDEX(Curves!$B$4:$AR$4,1,46-Projects!$C$27+1),0)+IF(AND(Projects!$G$28="Yes",46&gt;=Projects!$C$28,46&lt;Projects!$C$28+Projects!$D$28),Projects!$B$28*INDEX(Curves!$B$4:$AR$4,1,46-Projects!$C$28+1),0)+IF(AND(Projects!$G$29="Yes",46&gt;=Projects!$C$29,46&lt;Projects!$C$29+Projects!$D$29),Projects!$B$29*INDEX(Curves!$B$4:$AR$4,1,46-Projects!$C$29+1),0)+IF(AND(Projects!$G$30="Yes",46&gt;=Projects!$C$30,46&lt;Projects!$C$30+Projects!$D$30),Projects!$B$30*INDEX(Curves!$B$4:$AR$4,1,46-Projects!$C$30+1),0)+IF(AND(Projects!$G$31="Yes",46&gt;=Projects!$C$31,46&lt;Projects!$C$31+Projects!$D$31),Projects!$B$31*INDEX(Curves!$B$4:$AR$4,1,46-Projects!$C$31+1),0)+IF(AND(Projects!$G$32="Yes",46&gt;=Projects!$C$32,46&lt;Projects!$C$32+Projects!$D$32),Projects!$B$32*INDEX(Curves!$B$4:$AR$4,1,46-Projects!$C$32+1),0)+IF(AND(Projects!$G$33="Yes",46&gt;=Projects!$C$33,46&lt;Projects!$C$33+Projects!$D$33),Projects!$B$33*INDEX(Curves!$B$4:$AR$4,1,46-Projects!$C$33+1),0)+IF(AND(Projects!$G$34="Yes",46&gt;=Projects!$C$34,46&lt;Projects!$C$34+Projects!$D$34),Projects!$B$34*INDEX(Curves!$B$4:$AR$4,1,46-Projects!$C$34+1),0)+IF(AND(Projects!$G$35="Yes",46&gt;=Projects!$C$35,46&lt;Projects!$C$35+Projects!$D$35),Projects!$B$35*INDEX(Curves!$B$4:$AR$4,1,46-Projects!$C$35+1),0)+IF(AND(Projects!$G$36="Yes",46&gt;=Projects!$C$36,46&lt;Projects!$C$36+Projects!$D$36),Projects!$B$36*INDEX(Curves!$B$4:$AR$4,1,46-Projects!$C$36+1),0)+IF(AND(Projects!$G$37="Yes",46&gt;=Projects!$C$37,46&lt;Projects!$C$37+Projects!$D$37),Projects!$B$37*INDEX(Curves!$B$4:$AR$4,1,46-Projects!$C$37+1),0)+IF(AND(Projects!$G$38="Yes",46&gt;=Projects!$C$38,46&lt;Projects!$C$38+Projects!$D$38),Projects!$B$38*INDEX(Curves!$B$4:$AR$4,1,46-Projects!$C$38+1),0)+IF(AND(Projects!$G$39="Yes",46&gt;=Projects!$C$39,46&lt;Projects!$C$39+Projects!$D$39),Projects!$B$39*INDEX(Curves!$B$4:$AR$4,1,46-Projects!$C$39+1),0)+IF(AND(Projects!$G$40="Yes",46&gt;=Projects!$C$40,46&lt;Projects!$C$40+Projects!$D$40),Projects!$B$40*INDEX(Curves!$B$4:$AR$4,1,46-Projects!$C$40+1),0)+IF(AND(Projects!$G$41="Yes",46&gt;=Projects!$C$41,46&lt;Projects!$C$41+Projects!$D$41),Projects!$B$41*INDEX(Curves!$B$4:$AR$4,1,46-Projects!$C$41+1),0)+IF(AND(Projects!$G$42="Yes",46&gt;=Projects!$C$42,46&lt;Projects!$C$42+Projects!$D$42),Projects!$B$42*INDEX(Curves!$B$4:$AR$4,1,46-Projects!$C$42+1),0)+IF(AND(Projects!$G$43="Yes",46&gt;=Projects!$C$43,46&lt;Projects!$C$43+Projects!$D$43),Projects!$B$43*INDEX(Curves!$B$4:$AR$4,1,46-Projects!$C$43+1),0)+IF(AND(Projects!$G$44="Yes",46&gt;=Projects!$C$44,46&lt;Projects!$C$44+Projects!$D$44),Projects!$B$44*INDEX(Curves!$B$4:$AR$4,1,46-Projects!$C$44+1),0)+IF(AND(Projects!$G$45="Yes",46&gt;=Projects!$C$45,46&lt;Projects!$C$45+Projects!$D$45),Projects!$B$45*INDEX(Curves!$B$4:$AR$4,1,46-Projects!$C$45+1),0)+IF(AND(Projects!$G$46="Yes",46&gt;=Projects!$C$46,46&lt;Projects!$C$46+Projects!$D$46),Projects!$B$46*INDEX(Curves!$B$4:$AR$4,1,46-Projects!$C$46+1),0)</f>
        <v>4146441</v>
      </c>
      <c r="AZ96" s="59">
        <f>IF(AND(Projects!$G$17="Yes",47&gt;=Projects!$C$17,47&lt;Projects!$C$17+Projects!$D$17),Projects!$B$17*INDEX(Curves!$B$4:$AR$4,1,47-Projects!$C$17+1),0)+IF(AND(Projects!$G$18="Yes",47&gt;=Projects!$C$18,47&lt;Projects!$C$18+Projects!$D$18),Projects!$B$18*INDEX(Curves!$B$4:$AR$4,1,47-Projects!$C$18+1),0)+IF(AND(Projects!$G$19="Yes",47&gt;=Projects!$C$19,47&lt;Projects!$C$19+Projects!$D$19),Projects!$B$19*INDEX(Curves!$B$4:$AR$4,1,47-Projects!$C$19+1),0)+IF(AND(Projects!$G$20="Yes",47&gt;=Projects!$C$20,47&lt;Projects!$C$20+Projects!$D$20),Projects!$B$20*INDEX(Curves!$B$4:$AR$4,1,47-Projects!$C$20+1),0)+IF(AND(Projects!$G$21="Yes",47&gt;=Projects!$C$21,47&lt;Projects!$C$21+Projects!$D$21),Projects!$B$21*INDEX(Curves!$B$4:$AR$4,1,47-Projects!$C$21+1),0)+IF(AND(Projects!$G$22="Yes",47&gt;=Projects!$C$22,47&lt;Projects!$C$22+Projects!$D$22),Projects!$B$22*INDEX(Curves!$B$4:$AR$4,1,47-Projects!$C$22+1),0)+IF(AND(Projects!$G$23="Yes",47&gt;=Projects!$C$23,47&lt;Projects!$C$23+Projects!$D$23),Projects!$B$23*INDEX(Curves!$B$4:$AR$4,1,47-Projects!$C$23+1),0)+IF(AND(Projects!$G$24="Yes",47&gt;=Projects!$C$24,47&lt;Projects!$C$24+Projects!$D$24),Projects!$B$24*INDEX(Curves!$B$4:$AR$4,1,47-Projects!$C$24+1),0)+IF(AND(Projects!$G$25="Yes",47&gt;=Projects!$C$25,47&lt;Projects!$C$25+Projects!$D$25),Projects!$B$25*INDEX(Curves!$B$4:$AR$4,1,47-Projects!$C$25+1),0)+IF(AND(Projects!$G$26="Yes",47&gt;=Projects!$C$26,47&lt;Projects!$C$26+Projects!$D$26),Projects!$B$26*INDEX(Curves!$B$4:$AR$4,1,47-Projects!$C$26+1),0)+IF(AND(Projects!$G$27="Yes",47&gt;=Projects!$C$27,47&lt;Projects!$C$27+Projects!$D$27),Projects!$B$27*INDEX(Curves!$B$4:$AR$4,1,47-Projects!$C$27+1),0)+IF(AND(Projects!$G$28="Yes",47&gt;=Projects!$C$28,47&lt;Projects!$C$28+Projects!$D$28),Projects!$B$28*INDEX(Curves!$B$4:$AR$4,1,47-Projects!$C$28+1),0)+IF(AND(Projects!$G$29="Yes",47&gt;=Projects!$C$29,47&lt;Projects!$C$29+Projects!$D$29),Projects!$B$29*INDEX(Curves!$B$4:$AR$4,1,47-Projects!$C$29+1),0)+IF(AND(Projects!$G$30="Yes",47&gt;=Projects!$C$30,47&lt;Projects!$C$30+Projects!$D$30),Projects!$B$30*INDEX(Curves!$B$4:$AR$4,1,47-Projects!$C$30+1),0)+IF(AND(Projects!$G$31="Yes",47&gt;=Projects!$C$31,47&lt;Projects!$C$31+Projects!$D$31),Projects!$B$31*INDEX(Curves!$B$4:$AR$4,1,47-Projects!$C$31+1),0)+IF(AND(Projects!$G$32="Yes",47&gt;=Projects!$C$32,47&lt;Projects!$C$32+Projects!$D$32),Projects!$B$32*INDEX(Curves!$B$4:$AR$4,1,47-Projects!$C$32+1),0)+IF(AND(Projects!$G$33="Yes",47&gt;=Projects!$C$33,47&lt;Projects!$C$33+Projects!$D$33),Projects!$B$33*INDEX(Curves!$B$4:$AR$4,1,47-Projects!$C$33+1),0)+IF(AND(Projects!$G$34="Yes",47&gt;=Projects!$C$34,47&lt;Projects!$C$34+Projects!$D$34),Projects!$B$34*INDEX(Curves!$B$4:$AR$4,1,47-Projects!$C$34+1),0)+IF(AND(Projects!$G$35="Yes",47&gt;=Projects!$C$35,47&lt;Projects!$C$35+Projects!$D$35),Projects!$B$35*INDEX(Curves!$B$4:$AR$4,1,47-Projects!$C$35+1),0)+IF(AND(Projects!$G$36="Yes",47&gt;=Projects!$C$36,47&lt;Projects!$C$36+Projects!$D$36),Projects!$B$36*INDEX(Curves!$B$4:$AR$4,1,47-Projects!$C$36+1),0)+IF(AND(Projects!$G$37="Yes",47&gt;=Projects!$C$37,47&lt;Projects!$C$37+Projects!$D$37),Projects!$B$37*INDEX(Curves!$B$4:$AR$4,1,47-Projects!$C$37+1),0)+IF(AND(Projects!$G$38="Yes",47&gt;=Projects!$C$38,47&lt;Projects!$C$38+Projects!$D$38),Projects!$B$38*INDEX(Curves!$B$4:$AR$4,1,47-Projects!$C$38+1),0)+IF(AND(Projects!$G$39="Yes",47&gt;=Projects!$C$39,47&lt;Projects!$C$39+Projects!$D$39),Projects!$B$39*INDEX(Curves!$B$4:$AR$4,1,47-Projects!$C$39+1),0)+IF(AND(Projects!$G$40="Yes",47&gt;=Projects!$C$40,47&lt;Projects!$C$40+Projects!$D$40),Projects!$B$40*INDEX(Curves!$B$4:$AR$4,1,47-Projects!$C$40+1),0)+IF(AND(Projects!$G$41="Yes",47&gt;=Projects!$C$41,47&lt;Projects!$C$41+Projects!$D$41),Projects!$B$41*INDEX(Curves!$B$4:$AR$4,1,47-Projects!$C$41+1),0)+IF(AND(Projects!$G$42="Yes",47&gt;=Projects!$C$42,47&lt;Projects!$C$42+Projects!$D$42),Projects!$B$42*INDEX(Curves!$B$4:$AR$4,1,47-Projects!$C$42+1),0)+IF(AND(Projects!$G$43="Yes",47&gt;=Projects!$C$43,47&lt;Projects!$C$43+Projects!$D$43),Projects!$B$43*INDEX(Curves!$B$4:$AR$4,1,47-Projects!$C$43+1),0)+IF(AND(Projects!$G$44="Yes",47&gt;=Projects!$C$44,47&lt;Projects!$C$44+Projects!$D$44),Projects!$B$44*INDEX(Curves!$B$4:$AR$4,1,47-Projects!$C$44+1),0)+IF(AND(Projects!$G$45="Yes",47&gt;=Projects!$C$45,47&lt;Projects!$C$45+Projects!$D$45),Projects!$B$45*INDEX(Curves!$B$4:$AR$4,1,47-Projects!$C$45+1),0)+IF(AND(Projects!$G$46="Yes",47&gt;=Projects!$C$46,47&lt;Projects!$C$46+Projects!$D$46),Projects!$B$46*INDEX(Curves!$B$4:$AR$4,1,47-Projects!$C$46+1),0)</f>
        <v>4020108</v>
      </c>
      <c r="BA96" s="59">
        <f>IF(AND(Projects!$G$17="Yes",48&gt;=Projects!$C$17,48&lt;Projects!$C$17+Projects!$D$17),Projects!$B$17*INDEX(Curves!$B$4:$AR$4,1,48-Projects!$C$17+1),0)+IF(AND(Projects!$G$18="Yes",48&gt;=Projects!$C$18,48&lt;Projects!$C$18+Projects!$D$18),Projects!$B$18*INDEX(Curves!$B$4:$AR$4,1,48-Projects!$C$18+1),0)+IF(AND(Projects!$G$19="Yes",48&gt;=Projects!$C$19,48&lt;Projects!$C$19+Projects!$D$19),Projects!$B$19*INDEX(Curves!$B$4:$AR$4,1,48-Projects!$C$19+1),0)+IF(AND(Projects!$G$20="Yes",48&gt;=Projects!$C$20,48&lt;Projects!$C$20+Projects!$D$20),Projects!$B$20*INDEX(Curves!$B$4:$AR$4,1,48-Projects!$C$20+1),0)+IF(AND(Projects!$G$21="Yes",48&gt;=Projects!$C$21,48&lt;Projects!$C$21+Projects!$D$21),Projects!$B$21*INDEX(Curves!$B$4:$AR$4,1,48-Projects!$C$21+1),0)+IF(AND(Projects!$G$22="Yes",48&gt;=Projects!$C$22,48&lt;Projects!$C$22+Projects!$D$22),Projects!$B$22*INDEX(Curves!$B$4:$AR$4,1,48-Projects!$C$22+1),0)+IF(AND(Projects!$G$23="Yes",48&gt;=Projects!$C$23,48&lt;Projects!$C$23+Projects!$D$23),Projects!$B$23*INDEX(Curves!$B$4:$AR$4,1,48-Projects!$C$23+1),0)+IF(AND(Projects!$G$24="Yes",48&gt;=Projects!$C$24,48&lt;Projects!$C$24+Projects!$D$24),Projects!$B$24*INDEX(Curves!$B$4:$AR$4,1,48-Projects!$C$24+1),0)+IF(AND(Projects!$G$25="Yes",48&gt;=Projects!$C$25,48&lt;Projects!$C$25+Projects!$D$25),Projects!$B$25*INDEX(Curves!$B$4:$AR$4,1,48-Projects!$C$25+1),0)+IF(AND(Projects!$G$26="Yes",48&gt;=Projects!$C$26,48&lt;Projects!$C$26+Projects!$D$26),Projects!$B$26*INDEX(Curves!$B$4:$AR$4,1,48-Projects!$C$26+1),0)+IF(AND(Projects!$G$27="Yes",48&gt;=Projects!$C$27,48&lt;Projects!$C$27+Projects!$D$27),Projects!$B$27*INDEX(Curves!$B$4:$AR$4,1,48-Projects!$C$27+1),0)+IF(AND(Projects!$G$28="Yes",48&gt;=Projects!$C$28,48&lt;Projects!$C$28+Projects!$D$28),Projects!$B$28*INDEX(Curves!$B$4:$AR$4,1,48-Projects!$C$28+1),0)+IF(AND(Projects!$G$29="Yes",48&gt;=Projects!$C$29,48&lt;Projects!$C$29+Projects!$D$29),Projects!$B$29*INDEX(Curves!$B$4:$AR$4,1,48-Projects!$C$29+1),0)+IF(AND(Projects!$G$30="Yes",48&gt;=Projects!$C$30,48&lt;Projects!$C$30+Projects!$D$30),Projects!$B$30*INDEX(Curves!$B$4:$AR$4,1,48-Projects!$C$30+1),0)+IF(AND(Projects!$G$31="Yes",48&gt;=Projects!$C$31,48&lt;Projects!$C$31+Projects!$D$31),Projects!$B$31*INDEX(Curves!$B$4:$AR$4,1,48-Projects!$C$31+1),0)+IF(AND(Projects!$G$32="Yes",48&gt;=Projects!$C$32,48&lt;Projects!$C$32+Projects!$D$32),Projects!$B$32*INDEX(Curves!$B$4:$AR$4,1,48-Projects!$C$32+1),0)+IF(AND(Projects!$G$33="Yes",48&gt;=Projects!$C$33,48&lt;Projects!$C$33+Projects!$D$33),Projects!$B$33*INDEX(Curves!$B$4:$AR$4,1,48-Projects!$C$33+1),0)+IF(AND(Projects!$G$34="Yes",48&gt;=Projects!$C$34,48&lt;Projects!$C$34+Projects!$D$34),Projects!$B$34*INDEX(Curves!$B$4:$AR$4,1,48-Projects!$C$34+1),0)+IF(AND(Projects!$G$35="Yes",48&gt;=Projects!$C$35,48&lt;Projects!$C$35+Projects!$D$35),Projects!$B$35*INDEX(Curves!$B$4:$AR$4,1,48-Projects!$C$35+1),0)+IF(AND(Projects!$G$36="Yes",48&gt;=Projects!$C$36,48&lt;Projects!$C$36+Projects!$D$36),Projects!$B$36*INDEX(Curves!$B$4:$AR$4,1,48-Projects!$C$36+1),0)+IF(AND(Projects!$G$37="Yes",48&gt;=Projects!$C$37,48&lt;Projects!$C$37+Projects!$D$37),Projects!$B$37*INDEX(Curves!$B$4:$AR$4,1,48-Projects!$C$37+1),0)+IF(AND(Projects!$G$38="Yes",48&gt;=Projects!$C$38,48&lt;Projects!$C$38+Projects!$D$38),Projects!$B$38*INDEX(Curves!$B$4:$AR$4,1,48-Projects!$C$38+1),0)+IF(AND(Projects!$G$39="Yes",48&gt;=Projects!$C$39,48&lt;Projects!$C$39+Projects!$D$39),Projects!$B$39*INDEX(Curves!$B$4:$AR$4,1,48-Projects!$C$39+1),0)+IF(AND(Projects!$G$40="Yes",48&gt;=Projects!$C$40,48&lt;Projects!$C$40+Projects!$D$40),Projects!$B$40*INDEX(Curves!$B$4:$AR$4,1,48-Projects!$C$40+1),0)+IF(AND(Projects!$G$41="Yes",48&gt;=Projects!$C$41,48&lt;Projects!$C$41+Projects!$D$41),Projects!$B$41*INDEX(Curves!$B$4:$AR$4,1,48-Projects!$C$41+1),0)+IF(AND(Projects!$G$42="Yes",48&gt;=Projects!$C$42,48&lt;Projects!$C$42+Projects!$D$42),Projects!$B$42*INDEX(Curves!$B$4:$AR$4,1,48-Projects!$C$42+1),0)+IF(AND(Projects!$G$43="Yes",48&gt;=Projects!$C$43,48&lt;Projects!$C$43+Projects!$D$43),Projects!$B$43*INDEX(Curves!$B$4:$AR$4,1,48-Projects!$C$43+1),0)+IF(AND(Projects!$G$44="Yes",48&gt;=Projects!$C$44,48&lt;Projects!$C$44+Projects!$D$44),Projects!$B$44*INDEX(Curves!$B$4:$AR$4,1,48-Projects!$C$44+1),0)+IF(AND(Projects!$G$45="Yes",48&gt;=Projects!$C$45,48&lt;Projects!$C$45+Projects!$D$45),Projects!$B$45*INDEX(Curves!$B$4:$AR$4,1,48-Projects!$C$45+1),0)+IF(AND(Projects!$G$46="Yes",48&gt;=Projects!$C$46,48&lt;Projects!$C$46+Projects!$D$46),Projects!$B$46*INDEX(Curves!$B$4:$AR$4,1,48-Projects!$C$46+1),0)</f>
        <v>4222488</v>
      </c>
      <c r="BB96" s="59">
        <f>IF(AND(Projects!$G$17="Yes",49&gt;=Projects!$C$17,49&lt;Projects!$C$17+Projects!$D$17),Projects!$B$17*INDEX(Curves!$B$4:$AR$4,1,49-Projects!$C$17+1),0)+IF(AND(Projects!$G$18="Yes",49&gt;=Projects!$C$18,49&lt;Projects!$C$18+Projects!$D$18),Projects!$B$18*INDEX(Curves!$B$4:$AR$4,1,49-Projects!$C$18+1),0)+IF(AND(Projects!$G$19="Yes",49&gt;=Projects!$C$19,49&lt;Projects!$C$19+Projects!$D$19),Projects!$B$19*INDEX(Curves!$B$4:$AR$4,1,49-Projects!$C$19+1),0)+IF(AND(Projects!$G$20="Yes",49&gt;=Projects!$C$20,49&lt;Projects!$C$20+Projects!$D$20),Projects!$B$20*INDEX(Curves!$B$4:$AR$4,1,49-Projects!$C$20+1),0)+IF(AND(Projects!$G$21="Yes",49&gt;=Projects!$C$21,49&lt;Projects!$C$21+Projects!$D$21),Projects!$B$21*INDEX(Curves!$B$4:$AR$4,1,49-Projects!$C$21+1),0)+IF(AND(Projects!$G$22="Yes",49&gt;=Projects!$C$22,49&lt;Projects!$C$22+Projects!$D$22),Projects!$B$22*INDEX(Curves!$B$4:$AR$4,1,49-Projects!$C$22+1),0)+IF(AND(Projects!$G$23="Yes",49&gt;=Projects!$C$23,49&lt;Projects!$C$23+Projects!$D$23),Projects!$B$23*INDEX(Curves!$B$4:$AR$4,1,49-Projects!$C$23+1),0)+IF(AND(Projects!$G$24="Yes",49&gt;=Projects!$C$24,49&lt;Projects!$C$24+Projects!$D$24),Projects!$B$24*INDEX(Curves!$B$4:$AR$4,1,49-Projects!$C$24+1),0)+IF(AND(Projects!$G$25="Yes",49&gt;=Projects!$C$25,49&lt;Projects!$C$25+Projects!$D$25),Projects!$B$25*INDEX(Curves!$B$4:$AR$4,1,49-Projects!$C$25+1),0)+IF(AND(Projects!$G$26="Yes",49&gt;=Projects!$C$26,49&lt;Projects!$C$26+Projects!$D$26),Projects!$B$26*INDEX(Curves!$B$4:$AR$4,1,49-Projects!$C$26+1),0)+IF(AND(Projects!$G$27="Yes",49&gt;=Projects!$C$27,49&lt;Projects!$C$27+Projects!$D$27),Projects!$B$27*INDEX(Curves!$B$4:$AR$4,1,49-Projects!$C$27+1),0)+IF(AND(Projects!$G$28="Yes",49&gt;=Projects!$C$28,49&lt;Projects!$C$28+Projects!$D$28),Projects!$B$28*INDEX(Curves!$B$4:$AR$4,1,49-Projects!$C$28+1),0)+IF(AND(Projects!$G$29="Yes",49&gt;=Projects!$C$29,49&lt;Projects!$C$29+Projects!$D$29),Projects!$B$29*INDEX(Curves!$B$4:$AR$4,1,49-Projects!$C$29+1),0)+IF(AND(Projects!$G$30="Yes",49&gt;=Projects!$C$30,49&lt;Projects!$C$30+Projects!$D$30),Projects!$B$30*INDEX(Curves!$B$4:$AR$4,1,49-Projects!$C$30+1),0)+IF(AND(Projects!$G$31="Yes",49&gt;=Projects!$C$31,49&lt;Projects!$C$31+Projects!$D$31),Projects!$B$31*INDEX(Curves!$B$4:$AR$4,1,49-Projects!$C$31+1),0)+IF(AND(Projects!$G$32="Yes",49&gt;=Projects!$C$32,49&lt;Projects!$C$32+Projects!$D$32),Projects!$B$32*INDEX(Curves!$B$4:$AR$4,1,49-Projects!$C$32+1),0)+IF(AND(Projects!$G$33="Yes",49&gt;=Projects!$C$33,49&lt;Projects!$C$33+Projects!$D$33),Projects!$B$33*INDEX(Curves!$B$4:$AR$4,1,49-Projects!$C$33+1),0)+IF(AND(Projects!$G$34="Yes",49&gt;=Projects!$C$34,49&lt;Projects!$C$34+Projects!$D$34),Projects!$B$34*INDEX(Curves!$B$4:$AR$4,1,49-Projects!$C$34+1),0)+IF(AND(Projects!$G$35="Yes",49&gt;=Projects!$C$35,49&lt;Projects!$C$35+Projects!$D$35),Projects!$B$35*INDEX(Curves!$B$4:$AR$4,1,49-Projects!$C$35+1),0)+IF(AND(Projects!$G$36="Yes",49&gt;=Projects!$C$36,49&lt;Projects!$C$36+Projects!$D$36),Projects!$B$36*INDEX(Curves!$B$4:$AR$4,1,49-Projects!$C$36+1),0)+IF(AND(Projects!$G$37="Yes",49&gt;=Projects!$C$37,49&lt;Projects!$C$37+Projects!$D$37),Projects!$B$37*INDEX(Curves!$B$4:$AR$4,1,49-Projects!$C$37+1),0)+IF(AND(Projects!$G$38="Yes",49&gt;=Projects!$C$38,49&lt;Projects!$C$38+Projects!$D$38),Projects!$B$38*INDEX(Curves!$B$4:$AR$4,1,49-Projects!$C$38+1),0)+IF(AND(Projects!$G$39="Yes",49&gt;=Projects!$C$39,49&lt;Projects!$C$39+Projects!$D$39),Projects!$B$39*INDEX(Curves!$B$4:$AR$4,1,49-Projects!$C$39+1),0)+IF(AND(Projects!$G$40="Yes",49&gt;=Projects!$C$40,49&lt;Projects!$C$40+Projects!$D$40),Projects!$B$40*INDEX(Curves!$B$4:$AR$4,1,49-Projects!$C$40+1),0)+IF(AND(Projects!$G$41="Yes",49&gt;=Projects!$C$41,49&lt;Projects!$C$41+Projects!$D$41),Projects!$B$41*INDEX(Curves!$B$4:$AR$4,1,49-Projects!$C$41+1),0)+IF(AND(Projects!$G$42="Yes",49&gt;=Projects!$C$42,49&lt;Projects!$C$42+Projects!$D$42),Projects!$B$42*INDEX(Curves!$B$4:$AR$4,1,49-Projects!$C$42+1),0)+IF(AND(Projects!$G$43="Yes",49&gt;=Projects!$C$43,49&lt;Projects!$C$43+Projects!$D$43),Projects!$B$43*INDEX(Curves!$B$4:$AR$4,1,49-Projects!$C$43+1),0)+IF(AND(Projects!$G$44="Yes",49&gt;=Projects!$C$44,49&lt;Projects!$C$44+Projects!$D$44),Projects!$B$44*INDEX(Curves!$B$4:$AR$4,1,49-Projects!$C$44+1),0)+IF(AND(Projects!$G$45="Yes",49&gt;=Projects!$C$45,49&lt;Projects!$C$45+Projects!$D$45),Projects!$B$45*INDEX(Curves!$B$4:$AR$4,1,49-Projects!$C$45+1),0)+IF(AND(Projects!$G$46="Yes",49&gt;=Projects!$C$46,49&lt;Projects!$C$46+Projects!$D$46),Projects!$B$46*INDEX(Curves!$B$4:$AR$4,1,49-Projects!$C$46+1),0)</f>
        <v>4061556</v>
      </c>
      <c r="BC96" s="59">
        <f>IF(AND(Projects!$G$17="Yes",50&gt;=Projects!$C$17,50&lt;Projects!$C$17+Projects!$D$17),Projects!$B$17*INDEX(Curves!$B$4:$AR$4,1,50-Projects!$C$17+1),0)+IF(AND(Projects!$G$18="Yes",50&gt;=Projects!$C$18,50&lt;Projects!$C$18+Projects!$D$18),Projects!$B$18*INDEX(Curves!$B$4:$AR$4,1,50-Projects!$C$18+1),0)+IF(AND(Projects!$G$19="Yes",50&gt;=Projects!$C$19,50&lt;Projects!$C$19+Projects!$D$19),Projects!$B$19*INDEX(Curves!$B$4:$AR$4,1,50-Projects!$C$19+1),0)+IF(AND(Projects!$G$20="Yes",50&gt;=Projects!$C$20,50&lt;Projects!$C$20+Projects!$D$20),Projects!$B$20*INDEX(Curves!$B$4:$AR$4,1,50-Projects!$C$20+1),0)+IF(AND(Projects!$G$21="Yes",50&gt;=Projects!$C$21,50&lt;Projects!$C$21+Projects!$D$21),Projects!$B$21*INDEX(Curves!$B$4:$AR$4,1,50-Projects!$C$21+1),0)+IF(AND(Projects!$G$22="Yes",50&gt;=Projects!$C$22,50&lt;Projects!$C$22+Projects!$D$22),Projects!$B$22*INDEX(Curves!$B$4:$AR$4,1,50-Projects!$C$22+1),0)+IF(AND(Projects!$G$23="Yes",50&gt;=Projects!$C$23,50&lt;Projects!$C$23+Projects!$D$23),Projects!$B$23*INDEX(Curves!$B$4:$AR$4,1,50-Projects!$C$23+1),0)+IF(AND(Projects!$G$24="Yes",50&gt;=Projects!$C$24,50&lt;Projects!$C$24+Projects!$D$24),Projects!$B$24*INDEX(Curves!$B$4:$AR$4,1,50-Projects!$C$24+1),0)+IF(AND(Projects!$G$25="Yes",50&gt;=Projects!$C$25,50&lt;Projects!$C$25+Projects!$D$25),Projects!$B$25*INDEX(Curves!$B$4:$AR$4,1,50-Projects!$C$25+1),0)+IF(AND(Projects!$G$26="Yes",50&gt;=Projects!$C$26,50&lt;Projects!$C$26+Projects!$D$26),Projects!$B$26*INDEX(Curves!$B$4:$AR$4,1,50-Projects!$C$26+1),0)+IF(AND(Projects!$G$27="Yes",50&gt;=Projects!$C$27,50&lt;Projects!$C$27+Projects!$D$27),Projects!$B$27*INDEX(Curves!$B$4:$AR$4,1,50-Projects!$C$27+1),0)+IF(AND(Projects!$G$28="Yes",50&gt;=Projects!$C$28,50&lt;Projects!$C$28+Projects!$D$28),Projects!$B$28*INDEX(Curves!$B$4:$AR$4,1,50-Projects!$C$28+1),0)+IF(AND(Projects!$G$29="Yes",50&gt;=Projects!$C$29,50&lt;Projects!$C$29+Projects!$D$29),Projects!$B$29*INDEX(Curves!$B$4:$AR$4,1,50-Projects!$C$29+1),0)+IF(AND(Projects!$G$30="Yes",50&gt;=Projects!$C$30,50&lt;Projects!$C$30+Projects!$D$30),Projects!$B$30*INDEX(Curves!$B$4:$AR$4,1,50-Projects!$C$30+1),0)+IF(AND(Projects!$G$31="Yes",50&gt;=Projects!$C$31,50&lt;Projects!$C$31+Projects!$D$31),Projects!$B$31*INDEX(Curves!$B$4:$AR$4,1,50-Projects!$C$31+1),0)+IF(AND(Projects!$G$32="Yes",50&gt;=Projects!$C$32,50&lt;Projects!$C$32+Projects!$D$32),Projects!$B$32*INDEX(Curves!$B$4:$AR$4,1,50-Projects!$C$32+1),0)+IF(AND(Projects!$G$33="Yes",50&gt;=Projects!$C$33,50&lt;Projects!$C$33+Projects!$D$33),Projects!$B$33*INDEX(Curves!$B$4:$AR$4,1,50-Projects!$C$33+1),0)+IF(AND(Projects!$G$34="Yes",50&gt;=Projects!$C$34,50&lt;Projects!$C$34+Projects!$D$34),Projects!$B$34*INDEX(Curves!$B$4:$AR$4,1,50-Projects!$C$34+1),0)+IF(AND(Projects!$G$35="Yes",50&gt;=Projects!$C$35,50&lt;Projects!$C$35+Projects!$D$35),Projects!$B$35*INDEX(Curves!$B$4:$AR$4,1,50-Projects!$C$35+1),0)+IF(AND(Projects!$G$36="Yes",50&gt;=Projects!$C$36,50&lt;Projects!$C$36+Projects!$D$36),Projects!$B$36*INDEX(Curves!$B$4:$AR$4,1,50-Projects!$C$36+1),0)+IF(AND(Projects!$G$37="Yes",50&gt;=Projects!$C$37,50&lt;Projects!$C$37+Projects!$D$37),Projects!$B$37*INDEX(Curves!$B$4:$AR$4,1,50-Projects!$C$37+1),0)+IF(AND(Projects!$G$38="Yes",50&gt;=Projects!$C$38,50&lt;Projects!$C$38+Projects!$D$38),Projects!$B$38*INDEX(Curves!$B$4:$AR$4,1,50-Projects!$C$38+1),0)+IF(AND(Projects!$G$39="Yes",50&gt;=Projects!$C$39,50&lt;Projects!$C$39+Projects!$D$39),Projects!$B$39*INDEX(Curves!$B$4:$AR$4,1,50-Projects!$C$39+1),0)+IF(AND(Projects!$G$40="Yes",50&gt;=Projects!$C$40,50&lt;Projects!$C$40+Projects!$D$40),Projects!$B$40*INDEX(Curves!$B$4:$AR$4,1,50-Projects!$C$40+1),0)+IF(AND(Projects!$G$41="Yes",50&gt;=Projects!$C$41,50&lt;Projects!$C$41+Projects!$D$41),Projects!$B$41*INDEX(Curves!$B$4:$AR$4,1,50-Projects!$C$41+1),0)+IF(AND(Projects!$G$42="Yes",50&gt;=Projects!$C$42,50&lt;Projects!$C$42+Projects!$D$42),Projects!$B$42*INDEX(Curves!$B$4:$AR$4,1,50-Projects!$C$42+1),0)+IF(AND(Projects!$G$43="Yes",50&gt;=Projects!$C$43,50&lt;Projects!$C$43+Projects!$D$43),Projects!$B$43*INDEX(Curves!$B$4:$AR$4,1,50-Projects!$C$43+1),0)+IF(AND(Projects!$G$44="Yes",50&gt;=Projects!$C$44,50&lt;Projects!$C$44+Projects!$D$44),Projects!$B$44*INDEX(Curves!$B$4:$AR$4,1,50-Projects!$C$44+1),0)+IF(AND(Projects!$G$45="Yes",50&gt;=Projects!$C$45,50&lt;Projects!$C$45+Projects!$D$45),Projects!$B$45*INDEX(Curves!$B$4:$AR$4,1,50-Projects!$C$45+1),0)+IF(AND(Projects!$G$46="Yes",50&gt;=Projects!$C$46,50&lt;Projects!$C$46+Projects!$D$46),Projects!$B$46*INDEX(Curves!$B$4:$AR$4,1,50-Projects!$C$46+1),0)</f>
        <v>3547032</v>
      </c>
      <c r="BD96" s="59">
        <f>IF(AND(Projects!$G$17="Yes",51&gt;=Projects!$C$17,51&lt;Projects!$C$17+Projects!$D$17),Projects!$B$17*INDEX(Curves!$B$4:$AR$4,1,51-Projects!$C$17+1),0)+IF(AND(Projects!$G$18="Yes",51&gt;=Projects!$C$18,51&lt;Projects!$C$18+Projects!$D$18),Projects!$B$18*INDEX(Curves!$B$4:$AR$4,1,51-Projects!$C$18+1),0)+IF(AND(Projects!$G$19="Yes",51&gt;=Projects!$C$19,51&lt;Projects!$C$19+Projects!$D$19),Projects!$B$19*INDEX(Curves!$B$4:$AR$4,1,51-Projects!$C$19+1),0)+IF(AND(Projects!$G$20="Yes",51&gt;=Projects!$C$20,51&lt;Projects!$C$20+Projects!$D$20),Projects!$B$20*INDEX(Curves!$B$4:$AR$4,1,51-Projects!$C$20+1),0)+IF(AND(Projects!$G$21="Yes",51&gt;=Projects!$C$21,51&lt;Projects!$C$21+Projects!$D$21),Projects!$B$21*INDEX(Curves!$B$4:$AR$4,1,51-Projects!$C$21+1),0)+IF(AND(Projects!$G$22="Yes",51&gt;=Projects!$C$22,51&lt;Projects!$C$22+Projects!$D$22),Projects!$B$22*INDEX(Curves!$B$4:$AR$4,1,51-Projects!$C$22+1),0)+IF(AND(Projects!$G$23="Yes",51&gt;=Projects!$C$23,51&lt;Projects!$C$23+Projects!$D$23),Projects!$B$23*INDEX(Curves!$B$4:$AR$4,1,51-Projects!$C$23+1),0)+IF(AND(Projects!$G$24="Yes",51&gt;=Projects!$C$24,51&lt;Projects!$C$24+Projects!$D$24),Projects!$B$24*INDEX(Curves!$B$4:$AR$4,1,51-Projects!$C$24+1),0)+IF(AND(Projects!$G$25="Yes",51&gt;=Projects!$C$25,51&lt;Projects!$C$25+Projects!$D$25),Projects!$B$25*INDEX(Curves!$B$4:$AR$4,1,51-Projects!$C$25+1),0)+IF(AND(Projects!$G$26="Yes",51&gt;=Projects!$C$26,51&lt;Projects!$C$26+Projects!$D$26),Projects!$B$26*INDEX(Curves!$B$4:$AR$4,1,51-Projects!$C$26+1),0)+IF(AND(Projects!$G$27="Yes",51&gt;=Projects!$C$27,51&lt;Projects!$C$27+Projects!$D$27),Projects!$B$27*INDEX(Curves!$B$4:$AR$4,1,51-Projects!$C$27+1),0)+IF(AND(Projects!$G$28="Yes",51&gt;=Projects!$C$28,51&lt;Projects!$C$28+Projects!$D$28),Projects!$B$28*INDEX(Curves!$B$4:$AR$4,1,51-Projects!$C$28+1),0)+IF(AND(Projects!$G$29="Yes",51&gt;=Projects!$C$29,51&lt;Projects!$C$29+Projects!$D$29),Projects!$B$29*INDEX(Curves!$B$4:$AR$4,1,51-Projects!$C$29+1),0)+IF(AND(Projects!$G$30="Yes",51&gt;=Projects!$C$30,51&lt;Projects!$C$30+Projects!$D$30),Projects!$B$30*INDEX(Curves!$B$4:$AR$4,1,51-Projects!$C$30+1),0)+IF(AND(Projects!$G$31="Yes",51&gt;=Projects!$C$31,51&lt;Projects!$C$31+Projects!$D$31),Projects!$B$31*INDEX(Curves!$B$4:$AR$4,1,51-Projects!$C$31+1),0)+IF(AND(Projects!$G$32="Yes",51&gt;=Projects!$C$32,51&lt;Projects!$C$32+Projects!$D$32),Projects!$B$32*INDEX(Curves!$B$4:$AR$4,1,51-Projects!$C$32+1),0)+IF(AND(Projects!$G$33="Yes",51&gt;=Projects!$C$33,51&lt;Projects!$C$33+Projects!$D$33),Projects!$B$33*INDEX(Curves!$B$4:$AR$4,1,51-Projects!$C$33+1),0)+IF(AND(Projects!$G$34="Yes",51&gt;=Projects!$C$34,51&lt;Projects!$C$34+Projects!$D$34),Projects!$B$34*INDEX(Curves!$B$4:$AR$4,1,51-Projects!$C$34+1),0)+IF(AND(Projects!$G$35="Yes",51&gt;=Projects!$C$35,51&lt;Projects!$C$35+Projects!$D$35),Projects!$B$35*INDEX(Curves!$B$4:$AR$4,1,51-Projects!$C$35+1),0)+IF(AND(Projects!$G$36="Yes",51&gt;=Projects!$C$36,51&lt;Projects!$C$36+Projects!$D$36),Projects!$B$36*INDEX(Curves!$B$4:$AR$4,1,51-Projects!$C$36+1),0)+IF(AND(Projects!$G$37="Yes",51&gt;=Projects!$C$37,51&lt;Projects!$C$37+Projects!$D$37),Projects!$B$37*INDEX(Curves!$B$4:$AR$4,1,51-Projects!$C$37+1),0)+IF(AND(Projects!$G$38="Yes",51&gt;=Projects!$C$38,51&lt;Projects!$C$38+Projects!$D$38),Projects!$B$38*INDEX(Curves!$B$4:$AR$4,1,51-Projects!$C$38+1),0)+IF(AND(Projects!$G$39="Yes",51&gt;=Projects!$C$39,51&lt;Projects!$C$39+Projects!$D$39),Projects!$B$39*INDEX(Curves!$B$4:$AR$4,1,51-Projects!$C$39+1),0)+IF(AND(Projects!$G$40="Yes",51&gt;=Projects!$C$40,51&lt;Projects!$C$40+Projects!$D$40),Projects!$B$40*INDEX(Curves!$B$4:$AR$4,1,51-Projects!$C$40+1),0)+IF(AND(Projects!$G$41="Yes",51&gt;=Projects!$C$41,51&lt;Projects!$C$41+Projects!$D$41),Projects!$B$41*INDEX(Curves!$B$4:$AR$4,1,51-Projects!$C$41+1),0)+IF(AND(Projects!$G$42="Yes",51&gt;=Projects!$C$42,51&lt;Projects!$C$42+Projects!$D$42),Projects!$B$42*INDEX(Curves!$B$4:$AR$4,1,51-Projects!$C$42+1),0)+IF(AND(Projects!$G$43="Yes",51&gt;=Projects!$C$43,51&lt;Projects!$C$43+Projects!$D$43),Projects!$B$43*INDEX(Curves!$B$4:$AR$4,1,51-Projects!$C$43+1),0)+IF(AND(Projects!$G$44="Yes",51&gt;=Projects!$C$44,51&lt;Projects!$C$44+Projects!$D$44),Projects!$B$44*INDEX(Curves!$B$4:$AR$4,1,51-Projects!$C$44+1),0)+IF(AND(Projects!$G$45="Yes",51&gt;=Projects!$C$45,51&lt;Projects!$C$45+Projects!$D$45),Projects!$B$45*INDEX(Curves!$B$4:$AR$4,1,51-Projects!$C$45+1),0)+IF(AND(Projects!$G$46="Yes",51&gt;=Projects!$C$46,51&lt;Projects!$C$46+Projects!$D$46),Projects!$B$46*INDEX(Curves!$B$4:$AR$4,1,51-Projects!$C$46+1),0)</f>
        <v>3389391</v>
      </c>
      <c r="BE96" s="59">
        <f>IF(AND(Projects!$G$17="Yes",52&gt;=Projects!$C$17,52&lt;Projects!$C$17+Projects!$D$17),Projects!$B$17*INDEX(Curves!$B$4:$AR$4,1,52-Projects!$C$17+1),0)+IF(AND(Projects!$G$18="Yes",52&gt;=Projects!$C$18,52&lt;Projects!$C$18+Projects!$D$18),Projects!$B$18*INDEX(Curves!$B$4:$AR$4,1,52-Projects!$C$18+1),0)+IF(AND(Projects!$G$19="Yes",52&gt;=Projects!$C$19,52&lt;Projects!$C$19+Projects!$D$19),Projects!$B$19*INDEX(Curves!$B$4:$AR$4,1,52-Projects!$C$19+1),0)+IF(AND(Projects!$G$20="Yes",52&gt;=Projects!$C$20,52&lt;Projects!$C$20+Projects!$D$20),Projects!$B$20*INDEX(Curves!$B$4:$AR$4,1,52-Projects!$C$20+1),0)+IF(AND(Projects!$G$21="Yes",52&gt;=Projects!$C$21,52&lt;Projects!$C$21+Projects!$D$21),Projects!$B$21*INDEX(Curves!$B$4:$AR$4,1,52-Projects!$C$21+1),0)+IF(AND(Projects!$G$22="Yes",52&gt;=Projects!$C$22,52&lt;Projects!$C$22+Projects!$D$22),Projects!$B$22*INDEX(Curves!$B$4:$AR$4,1,52-Projects!$C$22+1),0)+IF(AND(Projects!$G$23="Yes",52&gt;=Projects!$C$23,52&lt;Projects!$C$23+Projects!$D$23),Projects!$B$23*INDEX(Curves!$B$4:$AR$4,1,52-Projects!$C$23+1),0)+IF(AND(Projects!$G$24="Yes",52&gt;=Projects!$C$24,52&lt;Projects!$C$24+Projects!$D$24),Projects!$B$24*INDEX(Curves!$B$4:$AR$4,1,52-Projects!$C$24+1),0)+IF(AND(Projects!$G$25="Yes",52&gt;=Projects!$C$25,52&lt;Projects!$C$25+Projects!$D$25),Projects!$B$25*INDEX(Curves!$B$4:$AR$4,1,52-Projects!$C$25+1),0)+IF(AND(Projects!$G$26="Yes",52&gt;=Projects!$C$26,52&lt;Projects!$C$26+Projects!$D$26),Projects!$B$26*INDEX(Curves!$B$4:$AR$4,1,52-Projects!$C$26+1),0)+IF(AND(Projects!$G$27="Yes",52&gt;=Projects!$C$27,52&lt;Projects!$C$27+Projects!$D$27),Projects!$B$27*INDEX(Curves!$B$4:$AR$4,1,52-Projects!$C$27+1),0)+IF(AND(Projects!$G$28="Yes",52&gt;=Projects!$C$28,52&lt;Projects!$C$28+Projects!$D$28),Projects!$B$28*INDEX(Curves!$B$4:$AR$4,1,52-Projects!$C$28+1),0)+IF(AND(Projects!$G$29="Yes",52&gt;=Projects!$C$29,52&lt;Projects!$C$29+Projects!$D$29),Projects!$B$29*INDEX(Curves!$B$4:$AR$4,1,52-Projects!$C$29+1),0)+IF(AND(Projects!$G$30="Yes",52&gt;=Projects!$C$30,52&lt;Projects!$C$30+Projects!$D$30),Projects!$B$30*INDEX(Curves!$B$4:$AR$4,1,52-Projects!$C$30+1),0)+IF(AND(Projects!$G$31="Yes",52&gt;=Projects!$C$31,52&lt;Projects!$C$31+Projects!$D$31),Projects!$B$31*INDEX(Curves!$B$4:$AR$4,1,52-Projects!$C$31+1),0)+IF(AND(Projects!$G$32="Yes",52&gt;=Projects!$C$32,52&lt;Projects!$C$32+Projects!$D$32),Projects!$B$32*INDEX(Curves!$B$4:$AR$4,1,52-Projects!$C$32+1),0)+IF(AND(Projects!$G$33="Yes",52&gt;=Projects!$C$33,52&lt;Projects!$C$33+Projects!$D$33),Projects!$B$33*INDEX(Curves!$B$4:$AR$4,1,52-Projects!$C$33+1),0)+IF(AND(Projects!$G$34="Yes",52&gt;=Projects!$C$34,52&lt;Projects!$C$34+Projects!$D$34),Projects!$B$34*INDEX(Curves!$B$4:$AR$4,1,52-Projects!$C$34+1),0)+IF(AND(Projects!$G$35="Yes",52&gt;=Projects!$C$35,52&lt;Projects!$C$35+Projects!$D$35),Projects!$B$35*INDEX(Curves!$B$4:$AR$4,1,52-Projects!$C$35+1),0)+IF(AND(Projects!$G$36="Yes",52&gt;=Projects!$C$36,52&lt;Projects!$C$36+Projects!$D$36),Projects!$B$36*INDEX(Curves!$B$4:$AR$4,1,52-Projects!$C$36+1),0)+IF(AND(Projects!$G$37="Yes",52&gt;=Projects!$C$37,52&lt;Projects!$C$37+Projects!$D$37),Projects!$B$37*INDEX(Curves!$B$4:$AR$4,1,52-Projects!$C$37+1),0)+IF(AND(Projects!$G$38="Yes",52&gt;=Projects!$C$38,52&lt;Projects!$C$38+Projects!$D$38),Projects!$B$38*INDEX(Curves!$B$4:$AR$4,1,52-Projects!$C$38+1),0)+IF(AND(Projects!$G$39="Yes",52&gt;=Projects!$C$39,52&lt;Projects!$C$39+Projects!$D$39),Projects!$B$39*INDEX(Curves!$B$4:$AR$4,1,52-Projects!$C$39+1),0)+IF(AND(Projects!$G$40="Yes",52&gt;=Projects!$C$40,52&lt;Projects!$C$40+Projects!$D$40),Projects!$B$40*INDEX(Curves!$B$4:$AR$4,1,52-Projects!$C$40+1),0)+IF(AND(Projects!$G$41="Yes",52&gt;=Projects!$C$41,52&lt;Projects!$C$41+Projects!$D$41),Projects!$B$41*INDEX(Curves!$B$4:$AR$4,1,52-Projects!$C$41+1),0)+IF(AND(Projects!$G$42="Yes",52&gt;=Projects!$C$42,52&lt;Projects!$C$42+Projects!$D$42),Projects!$B$42*INDEX(Curves!$B$4:$AR$4,1,52-Projects!$C$42+1),0)+IF(AND(Projects!$G$43="Yes",52&gt;=Projects!$C$43,52&lt;Projects!$C$43+Projects!$D$43),Projects!$B$43*INDEX(Curves!$B$4:$AR$4,1,52-Projects!$C$43+1),0)+IF(AND(Projects!$G$44="Yes",52&gt;=Projects!$C$44,52&lt;Projects!$C$44+Projects!$D$44),Projects!$B$44*INDEX(Curves!$B$4:$AR$4,1,52-Projects!$C$44+1),0)+IF(AND(Projects!$G$45="Yes",52&gt;=Projects!$C$45,52&lt;Projects!$C$45+Projects!$D$45),Projects!$B$45*INDEX(Curves!$B$4:$AR$4,1,52-Projects!$C$45+1),0)+IF(AND(Projects!$G$46="Yes",52&gt;=Projects!$C$46,52&lt;Projects!$C$46+Projects!$D$46),Projects!$B$46*INDEX(Curves!$B$4:$AR$4,1,52-Projects!$C$46+1),0)</f>
        <v>3677613</v>
      </c>
      <c r="BF96" s="59">
        <f>IF(AND(Projects!$G$17="Yes",53&gt;=Projects!$C$17,53&lt;Projects!$C$17+Projects!$D$17),Projects!$B$17*INDEX(Curves!$B$4:$AR$4,1,53-Projects!$C$17+1),0)+IF(AND(Projects!$G$18="Yes",53&gt;=Projects!$C$18,53&lt;Projects!$C$18+Projects!$D$18),Projects!$B$18*INDEX(Curves!$B$4:$AR$4,1,53-Projects!$C$18+1),0)+IF(AND(Projects!$G$19="Yes",53&gt;=Projects!$C$19,53&lt;Projects!$C$19+Projects!$D$19),Projects!$B$19*INDEX(Curves!$B$4:$AR$4,1,53-Projects!$C$19+1),0)+IF(AND(Projects!$G$20="Yes",53&gt;=Projects!$C$20,53&lt;Projects!$C$20+Projects!$D$20),Projects!$B$20*INDEX(Curves!$B$4:$AR$4,1,53-Projects!$C$20+1),0)+IF(AND(Projects!$G$21="Yes",53&gt;=Projects!$C$21,53&lt;Projects!$C$21+Projects!$D$21),Projects!$B$21*INDEX(Curves!$B$4:$AR$4,1,53-Projects!$C$21+1),0)+IF(AND(Projects!$G$22="Yes",53&gt;=Projects!$C$22,53&lt;Projects!$C$22+Projects!$D$22),Projects!$B$22*INDEX(Curves!$B$4:$AR$4,1,53-Projects!$C$22+1),0)+IF(AND(Projects!$G$23="Yes",53&gt;=Projects!$C$23,53&lt;Projects!$C$23+Projects!$D$23),Projects!$B$23*INDEX(Curves!$B$4:$AR$4,1,53-Projects!$C$23+1),0)+IF(AND(Projects!$G$24="Yes",53&gt;=Projects!$C$24,53&lt;Projects!$C$24+Projects!$D$24),Projects!$B$24*INDEX(Curves!$B$4:$AR$4,1,53-Projects!$C$24+1),0)+IF(AND(Projects!$G$25="Yes",53&gt;=Projects!$C$25,53&lt;Projects!$C$25+Projects!$D$25),Projects!$B$25*INDEX(Curves!$B$4:$AR$4,1,53-Projects!$C$25+1),0)+IF(AND(Projects!$G$26="Yes",53&gt;=Projects!$C$26,53&lt;Projects!$C$26+Projects!$D$26),Projects!$B$26*INDEX(Curves!$B$4:$AR$4,1,53-Projects!$C$26+1),0)+IF(AND(Projects!$G$27="Yes",53&gt;=Projects!$C$27,53&lt;Projects!$C$27+Projects!$D$27),Projects!$B$27*INDEX(Curves!$B$4:$AR$4,1,53-Projects!$C$27+1),0)+IF(AND(Projects!$G$28="Yes",53&gt;=Projects!$C$28,53&lt;Projects!$C$28+Projects!$D$28),Projects!$B$28*INDEX(Curves!$B$4:$AR$4,1,53-Projects!$C$28+1),0)+IF(AND(Projects!$G$29="Yes",53&gt;=Projects!$C$29,53&lt;Projects!$C$29+Projects!$D$29),Projects!$B$29*INDEX(Curves!$B$4:$AR$4,1,53-Projects!$C$29+1),0)+IF(AND(Projects!$G$30="Yes",53&gt;=Projects!$C$30,53&lt;Projects!$C$30+Projects!$D$30),Projects!$B$30*INDEX(Curves!$B$4:$AR$4,1,53-Projects!$C$30+1),0)+IF(AND(Projects!$G$31="Yes",53&gt;=Projects!$C$31,53&lt;Projects!$C$31+Projects!$D$31),Projects!$B$31*INDEX(Curves!$B$4:$AR$4,1,53-Projects!$C$31+1),0)+IF(AND(Projects!$G$32="Yes",53&gt;=Projects!$C$32,53&lt;Projects!$C$32+Projects!$D$32),Projects!$B$32*INDEX(Curves!$B$4:$AR$4,1,53-Projects!$C$32+1),0)+IF(AND(Projects!$G$33="Yes",53&gt;=Projects!$C$33,53&lt;Projects!$C$33+Projects!$D$33),Projects!$B$33*INDEX(Curves!$B$4:$AR$4,1,53-Projects!$C$33+1),0)+IF(AND(Projects!$G$34="Yes",53&gt;=Projects!$C$34,53&lt;Projects!$C$34+Projects!$D$34),Projects!$B$34*INDEX(Curves!$B$4:$AR$4,1,53-Projects!$C$34+1),0)+IF(AND(Projects!$G$35="Yes",53&gt;=Projects!$C$35,53&lt;Projects!$C$35+Projects!$D$35),Projects!$B$35*INDEX(Curves!$B$4:$AR$4,1,53-Projects!$C$35+1),0)+IF(AND(Projects!$G$36="Yes",53&gt;=Projects!$C$36,53&lt;Projects!$C$36+Projects!$D$36),Projects!$B$36*INDEX(Curves!$B$4:$AR$4,1,53-Projects!$C$36+1),0)+IF(AND(Projects!$G$37="Yes",53&gt;=Projects!$C$37,53&lt;Projects!$C$37+Projects!$D$37),Projects!$B$37*INDEX(Curves!$B$4:$AR$4,1,53-Projects!$C$37+1),0)+IF(AND(Projects!$G$38="Yes",53&gt;=Projects!$C$38,53&lt;Projects!$C$38+Projects!$D$38),Projects!$B$38*INDEX(Curves!$B$4:$AR$4,1,53-Projects!$C$38+1),0)+IF(AND(Projects!$G$39="Yes",53&gt;=Projects!$C$39,53&lt;Projects!$C$39+Projects!$D$39),Projects!$B$39*INDEX(Curves!$B$4:$AR$4,1,53-Projects!$C$39+1),0)+IF(AND(Projects!$G$40="Yes",53&gt;=Projects!$C$40,53&lt;Projects!$C$40+Projects!$D$40),Projects!$B$40*INDEX(Curves!$B$4:$AR$4,1,53-Projects!$C$40+1),0)+IF(AND(Projects!$G$41="Yes",53&gt;=Projects!$C$41,53&lt;Projects!$C$41+Projects!$D$41),Projects!$B$41*INDEX(Curves!$B$4:$AR$4,1,53-Projects!$C$41+1),0)+IF(AND(Projects!$G$42="Yes",53&gt;=Projects!$C$42,53&lt;Projects!$C$42+Projects!$D$42),Projects!$B$42*INDEX(Curves!$B$4:$AR$4,1,53-Projects!$C$42+1),0)+IF(AND(Projects!$G$43="Yes",53&gt;=Projects!$C$43,53&lt;Projects!$C$43+Projects!$D$43),Projects!$B$43*INDEX(Curves!$B$4:$AR$4,1,53-Projects!$C$43+1),0)+IF(AND(Projects!$G$44="Yes",53&gt;=Projects!$C$44,53&lt;Projects!$C$44+Projects!$D$44),Projects!$B$44*INDEX(Curves!$B$4:$AR$4,1,53-Projects!$C$44+1),0)+IF(AND(Projects!$G$45="Yes",53&gt;=Projects!$C$45,53&lt;Projects!$C$45+Projects!$D$45),Projects!$B$45*INDEX(Curves!$B$4:$AR$4,1,53-Projects!$C$45+1),0)+IF(AND(Projects!$G$46="Yes",53&gt;=Projects!$C$46,53&lt;Projects!$C$46+Projects!$D$46),Projects!$B$46*INDEX(Curves!$B$4:$AR$4,1,53-Projects!$C$46+1),0)</f>
        <v>3264600</v>
      </c>
      <c r="BG96" s="59">
        <f>IF(AND(Projects!$G$17="Yes",54&gt;=Projects!$C$17,54&lt;Projects!$C$17+Projects!$D$17),Projects!$B$17*INDEX(Curves!$B$4:$AR$4,1,54-Projects!$C$17+1),0)+IF(AND(Projects!$G$18="Yes",54&gt;=Projects!$C$18,54&lt;Projects!$C$18+Projects!$D$18),Projects!$B$18*INDEX(Curves!$B$4:$AR$4,1,54-Projects!$C$18+1),0)+IF(AND(Projects!$G$19="Yes",54&gt;=Projects!$C$19,54&lt;Projects!$C$19+Projects!$D$19),Projects!$B$19*INDEX(Curves!$B$4:$AR$4,1,54-Projects!$C$19+1),0)+IF(AND(Projects!$G$20="Yes",54&gt;=Projects!$C$20,54&lt;Projects!$C$20+Projects!$D$20),Projects!$B$20*INDEX(Curves!$B$4:$AR$4,1,54-Projects!$C$20+1),0)+IF(AND(Projects!$G$21="Yes",54&gt;=Projects!$C$21,54&lt;Projects!$C$21+Projects!$D$21),Projects!$B$21*INDEX(Curves!$B$4:$AR$4,1,54-Projects!$C$21+1),0)+IF(AND(Projects!$G$22="Yes",54&gt;=Projects!$C$22,54&lt;Projects!$C$22+Projects!$D$22),Projects!$B$22*INDEX(Curves!$B$4:$AR$4,1,54-Projects!$C$22+1),0)+IF(AND(Projects!$G$23="Yes",54&gt;=Projects!$C$23,54&lt;Projects!$C$23+Projects!$D$23),Projects!$B$23*INDEX(Curves!$B$4:$AR$4,1,54-Projects!$C$23+1),0)+IF(AND(Projects!$G$24="Yes",54&gt;=Projects!$C$24,54&lt;Projects!$C$24+Projects!$D$24),Projects!$B$24*INDEX(Curves!$B$4:$AR$4,1,54-Projects!$C$24+1),0)+IF(AND(Projects!$G$25="Yes",54&gt;=Projects!$C$25,54&lt;Projects!$C$25+Projects!$D$25),Projects!$B$25*INDEX(Curves!$B$4:$AR$4,1,54-Projects!$C$25+1),0)+IF(AND(Projects!$G$26="Yes",54&gt;=Projects!$C$26,54&lt;Projects!$C$26+Projects!$D$26),Projects!$B$26*INDEX(Curves!$B$4:$AR$4,1,54-Projects!$C$26+1),0)+IF(AND(Projects!$G$27="Yes",54&gt;=Projects!$C$27,54&lt;Projects!$C$27+Projects!$D$27),Projects!$B$27*INDEX(Curves!$B$4:$AR$4,1,54-Projects!$C$27+1),0)+IF(AND(Projects!$G$28="Yes",54&gt;=Projects!$C$28,54&lt;Projects!$C$28+Projects!$D$28),Projects!$B$28*INDEX(Curves!$B$4:$AR$4,1,54-Projects!$C$28+1),0)+IF(AND(Projects!$G$29="Yes",54&gt;=Projects!$C$29,54&lt;Projects!$C$29+Projects!$D$29),Projects!$B$29*INDEX(Curves!$B$4:$AR$4,1,54-Projects!$C$29+1),0)+IF(AND(Projects!$G$30="Yes",54&gt;=Projects!$C$30,54&lt;Projects!$C$30+Projects!$D$30),Projects!$B$30*INDEX(Curves!$B$4:$AR$4,1,54-Projects!$C$30+1),0)+IF(AND(Projects!$G$31="Yes",54&gt;=Projects!$C$31,54&lt;Projects!$C$31+Projects!$D$31),Projects!$B$31*INDEX(Curves!$B$4:$AR$4,1,54-Projects!$C$31+1),0)+IF(AND(Projects!$G$32="Yes",54&gt;=Projects!$C$32,54&lt;Projects!$C$32+Projects!$D$32),Projects!$B$32*INDEX(Curves!$B$4:$AR$4,1,54-Projects!$C$32+1),0)+IF(AND(Projects!$G$33="Yes",54&gt;=Projects!$C$33,54&lt;Projects!$C$33+Projects!$D$33),Projects!$B$33*INDEX(Curves!$B$4:$AR$4,1,54-Projects!$C$33+1),0)+IF(AND(Projects!$G$34="Yes",54&gt;=Projects!$C$34,54&lt;Projects!$C$34+Projects!$D$34),Projects!$B$34*INDEX(Curves!$B$4:$AR$4,1,54-Projects!$C$34+1),0)+IF(AND(Projects!$G$35="Yes",54&gt;=Projects!$C$35,54&lt;Projects!$C$35+Projects!$D$35),Projects!$B$35*INDEX(Curves!$B$4:$AR$4,1,54-Projects!$C$35+1),0)+IF(AND(Projects!$G$36="Yes",54&gt;=Projects!$C$36,54&lt;Projects!$C$36+Projects!$D$36),Projects!$B$36*INDEX(Curves!$B$4:$AR$4,1,54-Projects!$C$36+1),0)+IF(AND(Projects!$G$37="Yes",54&gt;=Projects!$C$37,54&lt;Projects!$C$37+Projects!$D$37),Projects!$B$37*INDEX(Curves!$B$4:$AR$4,1,54-Projects!$C$37+1),0)+IF(AND(Projects!$G$38="Yes",54&gt;=Projects!$C$38,54&lt;Projects!$C$38+Projects!$D$38),Projects!$B$38*INDEX(Curves!$B$4:$AR$4,1,54-Projects!$C$38+1),0)+IF(AND(Projects!$G$39="Yes",54&gt;=Projects!$C$39,54&lt;Projects!$C$39+Projects!$D$39),Projects!$B$39*INDEX(Curves!$B$4:$AR$4,1,54-Projects!$C$39+1),0)+IF(AND(Projects!$G$40="Yes",54&gt;=Projects!$C$40,54&lt;Projects!$C$40+Projects!$D$40),Projects!$B$40*INDEX(Curves!$B$4:$AR$4,1,54-Projects!$C$40+1),0)+IF(AND(Projects!$G$41="Yes",54&gt;=Projects!$C$41,54&lt;Projects!$C$41+Projects!$D$41),Projects!$B$41*INDEX(Curves!$B$4:$AR$4,1,54-Projects!$C$41+1),0)+IF(AND(Projects!$G$42="Yes",54&gt;=Projects!$C$42,54&lt;Projects!$C$42+Projects!$D$42),Projects!$B$42*INDEX(Curves!$B$4:$AR$4,1,54-Projects!$C$42+1),0)+IF(AND(Projects!$G$43="Yes",54&gt;=Projects!$C$43,54&lt;Projects!$C$43+Projects!$D$43),Projects!$B$43*INDEX(Curves!$B$4:$AR$4,1,54-Projects!$C$43+1),0)+IF(AND(Projects!$G$44="Yes",54&gt;=Projects!$C$44,54&lt;Projects!$C$44+Projects!$D$44),Projects!$B$44*INDEX(Curves!$B$4:$AR$4,1,54-Projects!$C$44+1),0)+IF(AND(Projects!$G$45="Yes",54&gt;=Projects!$C$45,54&lt;Projects!$C$45+Projects!$D$45),Projects!$B$45*INDEX(Curves!$B$4:$AR$4,1,54-Projects!$C$45+1),0)+IF(AND(Projects!$G$46="Yes",54&gt;=Projects!$C$46,54&lt;Projects!$C$46+Projects!$D$46),Projects!$B$46*INDEX(Curves!$B$4:$AR$4,1,54-Projects!$C$46+1),0)</f>
        <v>3630108</v>
      </c>
      <c r="BH96" s="59">
        <f>IF(AND(Projects!$G$17="Yes",55&gt;=Projects!$C$17,55&lt;Projects!$C$17+Projects!$D$17),Projects!$B$17*INDEX(Curves!$B$4:$AR$4,1,55-Projects!$C$17+1),0)+IF(AND(Projects!$G$18="Yes",55&gt;=Projects!$C$18,55&lt;Projects!$C$18+Projects!$D$18),Projects!$B$18*INDEX(Curves!$B$4:$AR$4,1,55-Projects!$C$18+1),0)+IF(AND(Projects!$G$19="Yes",55&gt;=Projects!$C$19,55&lt;Projects!$C$19+Projects!$D$19),Projects!$B$19*INDEX(Curves!$B$4:$AR$4,1,55-Projects!$C$19+1),0)+IF(AND(Projects!$G$20="Yes",55&gt;=Projects!$C$20,55&lt;Projects!$C$20+Projects!$D$20),Projects!$B$20*INDEX(Curves!$B$4:$AR$4,1,55-Projects!$C$20+1),0)+IF(AND(Projects!$G$21="Yes",55&gt;=Projects!$C$21,55&lt;Projects!$C$21+Projects!$D$21),Projects!$B$21*INDEX(Curves!$B$4:$AR$4,1,55-Projects!$C$21+1),0)+IF(AND(Projects!$G$22="Yes",55&gt;=Projects!$C$22,55&lt;Projects!$C$22+Projects!$D$22),Projects!$B$22*INDEX(Curves!$B$4:$AR$4,1,55-Projects!$C$22+1),0)+IF(AND(Projects!$G$23="Yes",55&gt;=Projects!$C$23,55&lt;Projects!$C$23+Projects!$D$23),Projects!$B$23*INDEX(Curves!$B$4:$AR$4,1,55-Projects!$C$23+1),0)+IF(AND(Projects!$G$24="Yes",55&gt;=Projects!$C$24,55&lt;Projects!$C$24+Projects!$D$24),Projects!$B$24*INDEX(Curves!$B$4:$AR$4,1,55-Projects!$C$24+1),0)+IF(AND(Projects!$G$25="Yes",55&gt;=Projects!$C$25,55&lt;Projects!$C$25+Projects!$D$25),Projects!$B$25*INDEX(Curves!$B$4:$AR$4,1,55-Projects!$C$25+1),0)+IF(AND(Projects!$G$26="Yes",55&gt;=Projects!$C$26,55&lt;Projects!$C$26+Projects!$D$26),Projects!$B$26*INDEX(Curves!$B$4:$AR$4,1,55-Projects!$C$26+1),0)+IF(AND(Projects!$G$27="Yes",55&gt;=Projects!$C$27,55&lt;Projects!$C$27+Projects!$D$27),Projects!$B$27*INDEX(Curves!$B$4:$AR$4,1,55-Projects!$C$27+1),0)+IF(AND(Projects!$G$28="Yes",55&gt;=Projects!$C$28,55&lt;Projects!$C$28+Projects!$D$28),Projects!$B$28*INDEX(Curves!$B$4:$AR$4,1,55-Projects!$C$28+1),0)+IF(AND(Projects!$G$29="Yes",55&gt;=Projects!$C$29,55&lt;Projects!$C$29+Projects!$D$29),Projects!$B$29*INDEX(Curves!$B$4:$AR$4,1,55-Projects!$C$29+1),0)+IF(AND(Projects!$G$30="Yes",55&gt;=Projects!$C$30,55&lt;Projects!$C$30+Projects!$D$30),Projects!$B$30*INDEX(Curves!$B$4:$AR$4,1,55-Projects!$C$30+1),0)+IF(AND(Projects!$G$31="Yes",55&gt;=Projects!$C$31,55&lt;Projects!$C$31+Projects!$D$31),Projects!$B$31*INDEX(Curves!$B$4:$AR$4,1,55-Projects!$C$31+1),0)+IF(AND(Projects!$G$32="Yes",55&gt;=Projects!$C$32,55&lt;Projects!$C$32+Projects!$D$32),Projects!$B$32*INDEX(Curves!$B$4:$AR$4,1,55-Projects!$C$32+1),0)+IF(AND(Projects!$G$33="Yes",55&gt;=Projects!$C$33,55&lt;Projects!$C$33+Projects!$D$33),Projects!$B$33*INDEX(Curves!$B$4:$AR$4,1,55-Projects!$C$33+1),0)+IF(AND(Projects!$G$34="Yes",55&gt;=Projects!$C$34,55&lt;Projects!$C$34+Projects!$D$34),Projects!$B$34*INDEX(Curves!$B$4:$AR$4,1,55-Projects!$C$34+1),0)+IF(AND(Projects!$G$35="Yes",55&gt;=Projects!$C$35,55&lt;Projects!$C$35+Projects!$D$35),Projects!$B$35*INDEX(Curves!$B$4:$AR$4,1,55-Projects!$C$35+1),0)+IF(AND(Projects!$G$36="Yes",55&gt;=Projects!$C$36,55&lt;Projects!$C$36+Projects!$D$36),Projects!$B$36*INDEX(Curves!$B$4:$AR$4,1,55-Projects!$C$36+1),0)+IF(AND(Projects!$G$37="Yes",55&gt;=Projects!$C$37,55&lt;Projects!$C$37+Projects!$D$37),Projects!$B$37*INDEX(Curves!$B$4:$AR$4,1,55-Projects!$C$37+1),0)+IF(AND(Projects!$G$38="Yes",55&gt;=Projects!$C$38,55&lt;Projects!$C$38+Projects!$D$38),Projects!$B$38*INDEX(Curves!$B$4:$AR$4,1,55-Projects!$C$38+1),0)+IF(AND(Projects!$G$39="Yes",55&gt;=Projects!$C$39,55&lt;Projects!$C$39+Projects!$D$39),Projects!$B$39*INDEX(Curves!$B$4:$AR$4,1,55-Projects!$C$39+1),0)+IF(AND(Projects!$G$40="Yes",55&gt;=Projects!$C$40,55&lt;Projects!$C$40+Projects!$D$40),Projects!$B$40*INDEX(Curves!$B$4:$AR$4,1,55-Projects!$C$40+1),0)+IF(AND(Projects!$G$41="Yes",55&gt;=Projects!$C$41,55&lt;Projects!$C$41+Projects!$D$41),Projects!$B$41*INDEX(Curves!$B$4:$AR$4,1,55-Projects!$C$41+1),0)+IF(AND(Projects!$G$42="Yes",55&gt;=Projects!$C$42,55&lt;Projects!$C$42+Projects!$D$42),Projects!$B$42*INDEX(Curves!$B$4:$AR$4,1,55-Projects!$C$42+1),0)+IF(AND(Projects!$G$43="Yes",55&gt;=Projects!$C$43,55&lt;Projects!$C$43+Projects!$D$43),Projects!$B$43*INDEX(Curves!$B$4:$AR$4,1,55-Projects!$C$43+1),0)+IF(AND(Projects!$G$44="Yes",55&gt;=Projects!$C$44,55&lt;Projects!$C$44+Projects!$D$44),Projects!$B$44*INDEX(Curves!$B$4:$AR$4,1,55-Projects!$C$44+1),0)+IF(AND(Projects!$G$45="Yes",55&gt;=Projects!$C$45,55&lt;Projects!$C$45+Projects!$D$45),Projects!$B$45*INDEX(Curves!$B$4:$AR$4,1,55-Projects!$C$45+1),0)+IF(AND(Projects!$G$46="Yes",55&gt;=Projects!$C$46,55&lt;Projects!$C$46+Projects!$D$46),Projects!$B$46*INDEX(Curves!$B$4:$AR$4,1,55-Projects!$C$46+1),0)</f>
        <v>3676113</v>
      </c>
      <c r="BI96" s="59">
        <f>IF(AND(Projects!$G$17="Yes",56&gt;=Projects!$C$17,56&lt;Projects!$C$17+Projects!$D$17),Projects!$B$17*INDEX(Curves!$B$4:$AR$4,1,56-Projects!$C$17+1),0)+IF(AND(Projects!$G$18="Yes",56&gt;=Projects!$C$18,56&lt;Projects!$C$18+Projects!$D$18),Projects!$B$18*INDEX(Curves!$B$4:$AR$4,1,56-Projects!$C$18+1),0)+IF(AND(Projects!$G$19="Yes",56&gt;=Projects!$C$19,56&lt;Projects!$C$19+Projects!$D$19),Projects!$B$19*INDEX(Curves!$B$4:$AR$4,1,56-Projects!$C$19+1),0)+IF(AND(Projects!$G$20="Yes",56&gt;=Projects!$C$20,56&lt;Projects!$C$20+Projects!$D$20),Projects!$B$20*INDEX(Curves!$B$4:$AR$4,1,56-Projects!$C$20+1),0)+IF(AND(Projects!$G$21="Yes",56&gt;=Projects!$C$21,56&lt;Projects!$C$21+Projects!$D$21),Projects!$B$21*INDEX(Curves!$B$4:$AR$4,1,56-Projects!$C$21+1),0)+IF(AND(Projects!$G$22="Yes",56&gt;=Projects!$C$22,56&lt;Projects!$C$22+Projects!$D$22),Projects!$B$22*INDEX(Curves!$B$4:$AR$4,1,56-Projects!$C$22+1),0)+IF(AND(Projects!$G$23="Yes",56&gt;=Projects!$C$23,56&lt;Projects!$C$23+Projects!$D$23),Projects!$B$23*INDEX(Curves!$B$4:$AR$4,1,56-Projects!$C$23+1),0)+IF(AND(Projects!$G$24="Yes",56&gt;=Projects!$C$24,56&lt;Projects!$C$24+Projects!$D$24),Projects!$B$24*INDEX(Curves!$B$4:$AR$4,1,56-Projects!$C$24+1),0)+IF(AND(Projects!$G$25="Yes",56&gt;=Projects!$C$25,56&lt;Projects!$C$25+Projects!$D$25),Projects!$B$25*INDEX(Curves!$B$4:$AR$4,1,56-Projects!$C$25+1),0)+IF(AND(Projects!$G$26="Yes",56&gt;=Projects!$C$26,56&lt;Projects!$C$26+Projects!$D$26),Projects!$B$26*INDEX(Curves!$B$4:$AR$4,1,56-Projects!$C$26+1),0)+IF(AND(Projects!$G$27="Yes",56&gt;=Projects!$C$27,56&lt;Projects!$C$27+Projects!$D$27),Projects!$B$27*INDEX(Curves!$B$4:$AR$4,1,56-Projects!$C$27+1),0)+IF(AND(Projects!$G$28="Yes",56&gt;=Projects!$C$28,56&lt;Projects!$C$28+Projects!$D$28),Projects!$B$28*INDEX(Curves!$B$4:$AR$4,1,56-Projects!$C$28+1),0)+IF(AND(Projects!$G$29="Yes",56&gt;=Projects!$C$29,56&lt;Projects!$C$29+Projects!$D$29),Projects!$B$29*INDEX(Curves!$B$4:$AR$4,1,56-Projects!$C$29+1),0)+IF(AND(Projects!$G$30="Yes",56&gt;=Projects!$C$30,56&lt;Projects!$C$30+Projects!$D$30),Projects!$B$30*INDEX(Curves!$B$4:$AR$4,1,56-Projects!$C$30+1),0)+IF(AND(Projects!$G$31="Yes",56&gt;=Projects!$C$31,56&lt;Projects!$C$31+Projects!$D$31),Projects!$B$31*INDEX(Curves!$B$4:$AR$4,1,56-Projects!$C$31+1),0)+IF(AND(Projects!$G$32="Yes",56&gt;=Projects!$C$32,56&lt;Projects!$C$32+Projects!$D$32),Projects!$B$32*INDEX(Curves!$B$4:$AR$4,1,56-Projects!$C$32+1),0)+IF(AND(Projects!$G$33="Yes",56&gt;=Projects!$C$33,56&lt;Projects!$C$33+Projects!$D$33),Projects!$B$33*INDEX(Curves!$B$4:$AR$4,1,56-Projects!$C$33+1),0)+IF(AND(Projects!$G$34="Yes",56&gt;=Projects!$C$34,56&lt;Projects!$C$34+Projects!$D$34),Projects!$B$34*INDEX(Curves!$B$4:$AR$4,1,56-Projects!$C$34+1),0)+IF(AND(Projects!$G$35="Yes",56&gt;=Projects!$C$35,56&lt;Projects!$C$35+Projects!$D$35),Projects!$B$35*INDEX(Curves!$B$4:$AR$4,1,56-Projects!$C$35+1),0)+IF(AND(Projects!$G$36="Yes",56&gt;=Projects!$C$36,56&lt;Projects!$C$36+Projects!$D$36),Projects!$B$36*INDEX(Curves!$B$4:$AR$4,1,56-Projects!$C$36+1),0)+IF(AND(Projects!$G$37="Yes",56&gt;=Projects!$C$37,56&lt;Projects!$C$37+Projects!$D$37),Projects!$B$37*INDEX(Curves!$B$4:$AR$4,1,56-Projects!$C$37+1),0)+IF(AND(Projects!$G$38="Yes",56&gt;=Projects!$C$38,56&lt;Projects!$C$38+Projects!$D$38),Projects!$B$38*INDEX(Curves!$B$4:$AR$4,1,56-Projects!$C$38+1),0)+IF(AND(Projects!$G$39="Yes",56&gt;=Projects!$C$39,56&lt;Projects!$C$39+Projects!$D$39),Projects!$B$39*INDEX(Curves!$B$4:$AR$4,1,56-Projects!$C$39+1),0)+IF(AND(Projects!$G$40="Yes",56&gt;=Projects!$C$40,56&lt;Projects!$C$40+Projects!$D$40),Projects!$B$40*INDEX(Curves!$B$4:$AR$4,1,56-Projects!$C$40+1),0)+IF(AND(Projects!$G$41="Yes",56&gt;=Projects!$C$41,56&lt;Projects!$C$41+Projects!$D$41),Projects!$B$41*INDEX(Curves!$B$4:$AR$4,1,56-Projects!$C$41+1),0)+IF(AND(Projects!$G$42="Yes",56&gt;=Projects!$C$42,56&lt;Projects!$C$42+Projects!$D$42),Projects!$B$42*INDEX(Curves!$B$4:$AR$4,1,56-Projects!$C$42+1),0)+IF(AND(Projects!$G$43="Yes",56&gt;=Projects!$C$43,56&lt;Projects!$C$43+Projects!$D$43),Projects!$B$43*INDEX(Curves!$B$4:$AR$4,1,56-Projects!$C$43+1),0)+IF(AND(Projects!$G$44="Yes",56&gt;=Projects!$C$44,56&lt;Projects!$C$44+Projects!$D$44),Projects!$B$44*INDEX(Curves!$B$4:$AR$4,1,56-Projects!$C$44+1),0)+IF(AND(Projects!$G$45="Yes",56&gt;=Projects!$C$45,56&lt;Projects!$C$45+Projects!$D$45),Projects!$B$45*INDEX(Curves!$B$4:$AR$4,1,56-Projects!$C$45+1),0)+IF(AND(Projects!$G$46="Yes",56&gt;=Projects!$C$46,56&lt;Projects!$C$46+Projects!$D$46),Projects!$B$46*INDEX(Curves!$B$4:$AR$4,1,56-Projects!$C$46+1),0)</f>
        <v>3734565</v>
      </c>
      <c r="BJ96" s="59">
        <f>IF(AND(Projects!$G$17="Yes",57&gt;=Projects!$C$17,57&lt;Projects!$C$17+Projects!$D$17),Projects!$B$17*INDEX(Curves!$B$4:$AR$4,1,57-Projects!$C$17+1),0)+IF(AND(Projects!$G$18="Yes",57&gt;=Projects!$C$18,57&lt;Projects!$C$18+Projects!$D$18),Projects!$B$18*INDEX(Curves!$B$4:$AR$4,1,57-Projects!$C$18+1),0)+IF(AND(Projects!$G$19="Yes",57&gt;=Projects!$C$19,57&lt;Projects!$C$19+Projects!$D$19),Projects!$B$19*INDEX(Curves!$B$4:$AR$4,1,57-Projects!$C$19+1),0)+IF(AND(Projects!$G$20="Yes",57&gt;=Projects!$C$20,57&lt;Projects!$C$20+Projects!$D$20),Projects!$B$20*INDEX(Curves!$B$4:$AR$4,1,57-Projects!$C$20+1),0)+IF(AND(Projects!$G$21="Yes",57&gt;=Projects!$C$21,57&lt;Projects!$C$21+Projects!$D$21),Projects!$B$21*INDEX(Curves!$B$4:$AR$4,1,57-Projects!$C$21+1),0)+IF(AND(Projects!$G$22="Yes",57&gt;=Projects!$C$22,57&lt;Projects!$C$22+Projects!$D$22),Projects!$B$22*INDEX(Curves!$B$4:$AR$4,1,57-Projects!$C$22+1),0)+IF(AND(Projects!$G$23="Yes",57&gt;=Projects!$C$23,57&lt;Projects!$C$23+Projects!$D$23),Projects!$B$23*INDEX(Curves!$B$4:$AR$4,1,57-Projects!$C$23+1),0)+IF(AND(Projects!$G$24="Yes",57&gt;=Projects!$C$24,57&lt;Projects!$C$24+Projects!$D$24),Projects!$B$24*INDEX(Curves!$B$4:$AR$4,1,57-Projects!$C$24+1),0)+IF(AND(Projects!$G$25="Yes",57&gt;=Projects!$C$25,57&lt;Projects!$C$25+Projects!$D$25),Projects!$B$25*INDEX(Curves!$B$4:$AR$4,1,57-Projects!$C$25+1),0)+IF(AND(Projects!$G$26="Yes",57&gt;=Projects!$C$26,57&lt;Projects!$C$26+Projects!$D$26),Projects!$B$26*INDEX(Curves!$B$4:$AR$4,1,57-Projects!$C$26+1),0)+IF(AND(Projects!$G$27="Yes",57&gt;=Projects!$C$27,57&lt;Projects!$C$27+Projects!$D$27),Projects!$B$27*INDEX(Curves!$B$4:$AR$4,1,57-Projects!$C$27+1),0)+IF(AND(Projects!$G$28="Yes",57&gt;=Projects!$C$28,57&lt;Projects!$C$28+Projects!$D$28),Projects!$B$28*INDEX(Curves!$B$4:$AR$4,1,57-Projects!$C$28+1),0)+IF(AND(Projects!$G$29="Yes",57&gt;=Projects!$C$29,57&lt;Projects!$C$29+Projects!$D$29),Projects!$B$29*INDEX(Curves!$B$4:$AR$4,1,57-Projects!$C$29+1),0)+IF(AND(Projects!$G$30="Yes",57&gt;=Projects!$C$30,57&lt;Projects!$C$30+Projects!$D$30),Projects!$B$30*INDEX(Curves!$B$4:$AR$4,1,57-Projects!$C$30+1),0)+IF(AND(Projects!$G$31="Yes",57&gt;=Projects!$C$31,57&lt;Projects!$C$31+Projects!$D$31),Projects!$B$31*INDEX(Curves!$B$4:$AR$4,1,57-Projects!$C$31+1),0)+IF(AND(Projects!$G$32="Yes",57&gt;=Projects!$C$32,57&lt;Projects!$C$32+Projects!$D$32),Projects!$B$32*INDEX(Curves!$B$4:$AR$4,1,57-Projects!$C$32+1),0)+IF(AND(Projects!$G$33="Yes",57&gt;=Projects!$C$33,57&lt;Projects!$C$33+Projects!$D$33),Projects!$B$33*INDEX(Curves!$B$4:$AR$4,1,57-Projects!$C$33+1),0)+IF(AND(Projects!$G$34="Yes",57&gt;=Projects!$C$34,57&lt;Projects!$C$34+Projects!$D$34),Projects!$B$34*INDEX(Curves!$B$4:$AR$4,1,57-Projects!$C$34+1),0)+IF(AND(Projects!$G$35="Yes",57&gt;=Projects!$C$35,57&lt;Projects!$C$35+Projects!$D$35),Projects!$B$35*INDEX(Curves!$B$4:$AR$4,1,57-Projects!$C$35+1),0)+IF(AND(Projects!$G$36="Yes",57&gt;=Projects!$C$36,57&lt;Projects!$C$36+Projects!$D$36),Projects!$B$36*INDEX(Curves!$B$4:$AR$4,1,57-Projects!$C$36+1),0)+IF(AND(Projects!$G$37="Yes",57&gt;=Projects!$C$37,57&lt;Projects!$C$37+Projects!$D$37),Projects!$B$37*INDEX(Curves!$B$4:$AR$4,1,57-Projects!$C$37+1),0)+IF(AND(Projects!$G$38="Yes",57&gt;=Projects!$C$38,57&lt;Projects!$C$38+Projects!$D$38),Projects!$B$38*INDEX(Curves!$B$4:$AR$4,1,57-Projects!$C$38+1),0)+IF(AND(Projects!$G$39="Yes",57&gt;=Projects!$C$39,57&lt;Projects!$C$39+Projects!$D$39),Projects!$B$39*INDEX(Curves!$B$4:$AR$4,1,57-Projects!$C$39+1),0)+IF(AND(Projects!$G$40="Yes",57&gt;=Projects!$C$40,57&lt;Projects!$C$40+Projects!$D$40),Projects!$B$40*INDEX(Curves!$B$4:$AR$4,1,57-Projects!$C$40+1),0)+IF(AND(Projects!$G$41="Yes",57&gt;=Projects!$C$41,57&lt;Projects!$C$41+Projects!$D$41),Projects!$B$41*INDEX(Curves!$B$4:$AR$4,1,57-Projects!$C$41+1),0)+IF(AND(Projects!$G$42="Yes",57&gt;=Projects!$C$42,57&lt;Projects!$C$42+Projects!$D$42),Projects!$B$42*INDEX(Curves!$B$4:$AR$4,1,57-Projects!$C$42+1),0)+IF(AND(Projects!$G$43="Yes",57&gt;=Projects!$C$43,57&lt;Projects!$C$43+Projects!$D$43),Projects!$B$43*INDEX(Curves!$B$4:$AR$4,1,57-Projects!$C$43+1),0)+IF(AND(Projects!$G$44="Yes",57&gt;=Projects!$C$44,57&lt;Projects!$C$44+Projects!$D$44),Projects!$B$44*INDEX(Curves!$B$4:$AR$4,1,57-Projects!$C$44+1),0)+IF(AND(Projects!$G$45="Yes",57&gt;=Projects!$C$45,57&lt;Projects!$C$45+Projects!$D$45),Projects!$B$45*INDEX(Curves!$B$4:$AR$4,1,57-Projects!$C$45+1),0)+IF(AND(Projects!$G$46="Yes",57&gt;=Projects!$C$46,57&lt;Projects!$C$46+Projects!$D$46),Projects!$B$46*INDEX(Curves!$B$4:$AR$4,1,57-Projects!$C$46+1),0)</f>
        <v>3938139</v>
      </c>
      <c r="BK96" s="59">
        <f>IF(AND(Projects!$G$17="Yes",58&gt;=Projects!$C$17,58&lt;Projects!$C$17+Projects!$D$17),Projects!$B$17*INDEX(Curves!$B$4:$AR$4,1,58-Projects!$C$17+1),0)+IF(AND(Projects!$G$18="Yes",58&gt;=Projects!$C$18,58&lt;Projects!$C$18+Projects!$D$18),Projects!$B$18*INDEX(Curves!$B$4:$AR$4,1,58-Projects!$C$18+1),0)+IF(AND(Projects!$G$19="Yes",58&gt;=Projects!$C$19,58&lt;Projects!$C$19+Projects!$D$19),Projects!$B$19*INDEX(Curves!$B$4:$AR$4,1,58-Projects!$C$19+1),0)+IF(AND(Projects!$G$20="Yes",58&gt;=Projects!$C$20,58&lt;Projects!$C$20+Projects!$D$20),Projects!$B$20*INDEX(Curves!$B$4:$AR$4,1,58-Projects!$C$20+1),0)+IF(AND(Projects!$G$21="Yes",58&gt;=Projects!$C$21,58&lt;Projects!$C$21+Projects!$D$21),Projects!$B$21*INDEX(Curves!$B$4:$AR$4,1,58-Projects!$C$21+1),0)+IF(AND(Projects!$G$22="Yes",58&gt;=Projects!$C$22,58&lt;Projects!$C$22+Projects!$D$22),Projects!$B$22*INDEX(Curves!$B$4:$AR$4,1,58-Projects!$C$22+1),0)+IF(AND(Projects!$G$23="Yes",58&gt;=Projects!$C$23,58&lt;Projects!$C$23+Projects!$D$23),Projects!$B$23*INDEX(Curves!$B$4:$AR$4,1,58-Projects!$C$23+1),0)+IF(AND(Projects!$G$24="Yes",58&gt;=Projects!$C$24,58&lt;Projects!$C$24+Projects!$D$24),Projects!$B$24*INDEX(Curves!$B$4:$AR$4,1,58-Projects!$C$24+1),0)+IF(AND(Projects!$G$25="Yes",58&gt;=Projects!$C$25,58&lt;Projects!$C$25+Projects!$D$25),Projects!$B$25*INDEX(Curves!$B$4:$AR$4,1,58-Projects!$C$25+1),0)+IF(AND(Projects!$G$26="Yes",58&gt;=Projects!$C$26,58&lt;Projects!$C$26+Projects!$D$26),Projects!$B$26*INDEX(Curves!$B$4:$AR$4,1,58-Projects!$C$26+1),0)+IF(AND(Projects!$G$27="Yes",58&gt;=Projects!$C$27,58&lt;Projects!$C$27+Projects!$D$27),Projects!$B$27*INDEX(Curves!$B$4:$AR$4,1,58-Projects!$C$27+1),0)+IF(AND(Projects!$G$28="Yes",58&gt;=Projects!$C$28,58&lt;Projects!$C$28+Projects!$D$28),Projects!$B$28*INDEX(Curves!$B$4:$AR$4,1,58-Projects!$C$28+1),0)+IF(AND(Projects!$G$29="Yes",58&gt;=Projects!$C$29,58&lt;Projects!$C$29+Projects!$D$29),Projects!$B$29*INDEX(Curves!$B$4:$AR$4,1,58-Projects!$C$29+1),0)+IF(AND(Projects!$G$30="Yes",58&gt;=Projects!$C$30,58&lt;Projects!$C$30+Projects!$D$30),Projects!$B$30*INDEX(Curves!$B$4:$AR$4,1,58-Projects!$C$30+1),0)+IF(AND(Projects!$G$31="Yes",58&gt;=Projects!$C$31,58&lt;Projects!$C$31+Projects!$D$31),Projects!$B$31*INDEX(Curves!$B$4:$AR$4,1,58-Projects!$C$31+1),0)+IF(AND(Projects!$G$32="Yes",58&gt;=Projects!$C$32,58&lt;Projects!$C$32+Projects!$D$32),Projects!$B$32*INDEX(Curves!$B$4:$AR$4,1,58-Projects!$C$32+1),0)+IF(AND(Projects!$G$33="Yes",58&gt;=Projects!$C$33,58&lt;Projects!$C$33+Projects!$D$33),Projects!$B$33*INDEX(Curves!$B$4:$AR$4,1,58-Projects!$C$33+1),0)+IF(AND(Projects!$G$34="Yes",58&gt;=Projects!$C$34,58&lt;Projects!$C$34+Projects!$D$34),Projects!$B$34*INDEX(Curves!$B$4:$AR$4,1,58-Projects!$C$34+1),0)+IF(AND(Projects!$G$35="Yes",58&gt;=Projects!$C$35,58&lt;Projects!$C$35+Projects!$D$35),Projects!$B$35*INDEX(Curves!$B$4:$AR$4,1,58-Projects!$C$35+1),0)+IF(AND(Projects!$G$36="Yes",58&gt;=Projects!$C$36,58&lt;Projects!$C$36+Projects!$D$36),Projects!$B$36*INDEX(Curves!$B$4:$AR$4,1,58-Projects!$C$36+1),0)+IF(AND(Projects!$G$37="Yes",58&gt;=Projects!$C$37,58&lt;Projects!$C$37+Projects!$D$37),Projects!$B$37*INDEX(Curves!$B$4:$AR$4,1,58-Projects!$C$37+1),0)+IF(AND(Projects!$G$38="Yes",58&gt;=Projects!$C$38,58&lt;Projects!$C$38+Projects!$D$38),Projects!$B$38*INDEX(Curves!$B$4:$AR$4,1,58-Projects!$C$38+1),0)+IF(AND(Projects!$G$39="Yes",58&gt;=Projects!$C$39,58&lt;Projects!$C$39+Projects!$D$39),Projects!$B$39*INDEX(Curves!$B$4:$AR$4,1,58-Projects!$C$39+1),0)+IF(AND(Projects!$G$40="Yes",58&gt;=Projects!$C$40,58&lt;Projects!$C$40+Projects!$D$40),Projects!$B$40*INDEX(Curves!$B$4:$AR$4,1,58-Projects!$C$40+1),0)+IF(AND(Projects!$G$41="Yes",58&gt;=Projects!$C$41,58&lt;Projects!$C$41+Projects!$D$41),Projects!$B$41*INDEX(Curves!$B$4:$AR$4,1,58-Projects!$C$41+1),0)+IF(AND(Projects!$G$42="Yes",58&gt;=Projects!$C$42,58&lt;Projects!$C$42+Projects!$D$42),Projects!$B$42*INDEX(Curves!$B$4:$AR$4,1,58-Projects!$C$42+1),0)+IF(AND(Projects!$G$43="Yes",58&gt;=Projects!$C$43,58&lt;Projects!$C$43+Projects!$D$43),Projects!$B$43*INDEX(Curves!$B$4:$AR$4,1,58-Projects!$C$43+1),0)+IF(AND(Projects!$G$44="Yes",58&gt;=Projects!$C$44,58&lt;Projects!$C$44+Projects!$D$44),Projects!$B$44*INDEX(Curves!$B$4:$AR$4,1,58-Projects!$C$44+1),0)+IF(AND(Projects!$G$45="Yes",58&gt;=Projects!$C$45,58&lt;Projects!$C$45+Projects!$D$45),Projects!$B$45*INDEX(Curves!$B$4:$AR$4,1,58-Projects!$C$45+1),0)+IF(AND(Projects!$G$46="Yes",58&gt;=Projects!$C$46,58&lt;Projects!$C$46+Projects!$D$46),Projects!$B$46*INDEX(Curves!$B$4:$AR$4,1,58-Projects!$C$46+1),0)</f>
        <v>4589958</v>
      </c>
      <c r="BL96" s="59">
        <f>IF(AND(Projects!$G$17="Yes",59&gt;=Projects!$C$17,59&lt;Projects!$C$17+Projects!$D$17),Projects!$B$17*INDEX(Curves!$B$4:$AR$4,1,59-Projects!$C$17+1),0)+IF(AND(Projects!$G$18="Yes",59&gt;=Projects!$C$18,59&lt;Projects!$C$18+Projects!$D$18),Projects!$B$18*INDEX(Curves!$B$4:$AR$4,1,59-Projects!$C$18+1),0)+IF(AND(Projects!$G$19="Yes",59&gt;=Projects!$C$19,59&lt;Projects!$C$19+Projects!$D$19),Projects!$B$19*INDEX(Curves!$B$4:$AR$4,1,59-Projects!$C$19+1),0)+IF(AND(Projects!$G$20="Yes",59&gt;=Projects!$C$20,59&lt;Projects!$C$20+Projects!$D$20),Projects!$B$20*INDEX(Curves!$B$4:$AR$4,1,59-Projects!$C$20+1),0)+IF(AND(Projects!$G$21="Yes",59&gt;=Projects!$C$21,59&lt;Projects!$C$21+Projects!$D$21),Projects!$B$21*INDEX(Curves!$B$4:$AR$4,1,59-Projects!$C$21+1),0)+IF(AND(Projects!$G$22="Yes",59&gt;=Projects!$C$22,59&lt;Projects!$C$22+Projects!$D$22),Projects!$B$22*INDEX(Curves!$B$4:$AR$4,1,59-Projects!$C$22+1),0)+IF(AND(Projects!$G$23="Yes",59&gt;=Projects!$C$23,59&lt;Projects!$C$23+Projects!$D$23),Projects!$B$23*INDEX(Curves!$B$4:$AR$4,1,59-Projects!$C$23+1),0)+IF(AND(Projects!$G$24="Yes",59&gt;=Projects!$C$24,59&lt;Projects!$C$24+Projects!$D$24),Projects!$B$24*INDEX(Curves!$B$4:$AR$4,1,59-Projects!$C$24+1),0)+IF(AND(Projects!$G$25="Yes",59&gt;=Projects!$C$25,59&lt;Projects!$C$25+Projects!$D$25),Projects!$B$25*INDEX(Curves!$B$4:$AR$4,1,59-Projects!$C$25+1),0)+IF(AND(Projects!$G$26="Yes",59&gt;=Projects!$C$26,59&lt;Projects!$C$26+Projects!$D$26),Projects!$B$26*INDEX(Curves!$B$4:$AR$4,1,59-Projects!$C$26+1),0)+IF(AND(Projects!$G$27="Yes",59&gt;=Projects!$C$27,59&lt;Projects!$C$27+Projects!$D$27),Projects!$B$27*INDEX(Curves!$B$4:$AR$4,1,59-Projects!$C$27+1),0)+IF(AND(Projects!$G$28="Yes",59&gt;=Projects!$C$28,59&lt;Projects!$C$28+Projects!$D$28),Projects!$B$28*INDEX(Curves!$B$4:$AR$4,1,59-Projects!$C$28+1),0)+IF(AND(Projects!$G$29="Yes",59&gt;=Projects!$C$29,59&lt;Projects!$C$29+Projects!$D$29),Projects!$B$29*INDEX(Curves!$B$4:$AR$4,1,59-Projects!$C$29+1),0)+IF(AND(Projects!$G$30="Yes",59&gt;=Projects!$C$30,59&lt;Projects!$C$30+Projects!$D$30),Projects!$B$30*INDEX(Curves!$B$4:$AR$4,1,59-Projects!$C$30+1),0)+IF(AND(Projects!$G$31="Yes",59&gt;=Projects!$C$31,59&lt;Projects!$C$31+Projects!$D$31),Projects!$B$31*INDEX(Curves!$B$4:$AR$4,1,59-Projects!$C$31+1),0)+IF(AND(Projects!$G$32="Yes",59&gt;=Projects!$C$32,59&lt;Projects!$C$32+Projects!$D$32),Projects!$B$32*INDEX(Curves!$B$4:$AR$4,1,59-Projects!$C$32+1),0)+IF(AND(Projects!$G$33="Yes",59&gt;=Projects!$C$33,59&lt;Projects!$C$33+Projects!$D$33),Projects!$B$33*INDEX(Curves!$B$4:$AR$4,1,59-Projects!$C$33+1),0)+IF(AND(Projects!$G$34="Yes",59&gt;=Projects!$C$34,59&lt;Projects!$C$34+Projects!$D$34),Projects!$B$34*INDEX(Curves!$B$4:$AR$4,1,59-Projects!$C$34+1),0)+IF(AND(Projects!$G$35="Yes",59&gt;=Projects!$C$35,59&lt;Projects!$C$35+Projects!$D$35),Projects!$B$35*INDEX(Curves!$B$4:$AR$4,1,59-Projects!$C$35+1),0)+IF(AND(Projects!$G$36="Yes",59&gt;=Projects!$C$36,59&lt;Projects!$C$36+Projects!$D$36),Projects!$B$36*INDEX(Curves!$B$4:$AR$4,1,59-Projects!$C$36+1),0)+IF(AND(Projects!$G$37="Yes",59&gt;=Projects!$C$37,59&lt;Projects!$C$37+Projects!$D$37),Projects!$B$37*INDEX(Curves!$B$4:$AR$4,1,59-Projects!$C$37+1),0)+IF(AND(Projects!$G$38="Yes",59&gt;=Projects!$C$38,59&lt;Projects!$C$38+Projects!$D$38),Projects!$B$38*INDEX(Curves!$B$4:$AR$4,1,59-Projects!$C$38+1),0)+IF(AND(Projects!$G$39="Yes",59&gt;=Projects!$C$39,59&lt;Projects!$C$39+Projects!$D$39),Projects!$B$39*INDEX(Curves!$B$4:$AR$4,1,59-Projects!$C$39+1),0)+IF(AND(Projects!$G$40="Yes",59&gt;=Projects!$C$40,59&lt;Projects!$C$40+Projects!$D$40),Projects!$B$40*INDEX(Curves!$B$4:$AR$4,1,59-Projects!$C$40+1),0)+IF(AND(Projects!$G$41="Yes",59&gt;=Projects!$C$41,59&lt;Projects!$C$41+Projects!$D$41),Projects!$B$41*INDEX(Curves!$B$4:$AR$4,1,59-Projects!$C$41+1),0)+IF(AND(Projects!$G$42="Yes",59&gt;=Projects!$C$42,59&lt;Projects!$C$42+Projects!$D$42),Projects!$B$42*INDEX(Curves!$B$4:$AR$4,1,59-Projects!$C$42+1),0)+IF(AND(Projects!$G$43="Yes",59&gt;=Projects!$C$43,59&lt;Projects!$C$43+Projects!$D$43),Projects!$B$43*INDEX(Curves!$B$4:$AR$4,1,59-Projects!$C$43+1),0)+IF(AND(Projects!$G$44="Yes",59&gt;=Projects!$C$44,59&lt;Projects!$C$44+Projects!$D$44),Projects!$B$44*INDEX(Curves!$B$4:$AR$4,1,59-Projects!$C$44+1),0)+IF(AND(Projects!$G$45="Yes",59&gt;=Projects!$C$45,59&lt;Projects!$C$45+Projects!$D$45),Projects!$B$45*INDEX(Curves!$B$4:$AR$4,1,59-Projects!$C$45+1),0)+IF(AND(Projects!$G$46="Yes",59&gt;=Projects!$C$46,59&lt;Projects!$C$46+Projects!$D$46),Projects!$B$46*INDEX(Curves!$B$4:$AR$4,1,59-Projects!$C$46+1),0)</f>
        <v>4459140</v>
      </c>
      <c r="BM96" s="59">
        <f>IF(AND(Projects!$G$17="Yes",60&gt;=Projects!$C$17,60&lt;Projects!$C$17+Projects!$D$17),Projects!$B$17*INDEX(Curves!$B$4:$AR$4,1,60-Projects!$C$17+1),0)+IF(AND(Projects!$G$18="Yes",60&gt;=Projects!$C$18,60&lt;Projects!$C$18+Projects!$D$18),Projects!$B$18*INDEX(Curves!$B$4:$AR$4,1,60-Projects!$C$18+1),0)+IF(AND(Projects!$G$19="Yes",60&gt;=Projects!$C$19,60&lt;Projects!$C$19+Projects!$D$19),Projects!$B$19*INDEX(Curves!$B$4:$AR$4,1,60-Projects!$C$19+1),0)+IF(AND(Projects!$G$20="Yes",60&gt;=Projects!$C$20,60&lt;Projects!$C$20+Projects!$D$20),Projects!$B$20*INDEX(Curves!$B$4:$AR$4,1,60-Projects!$C$20+1),0)+IF(AND(Projects!$G$21="Yes",60&gt;=Projects!$C$21,60&lt;Projects!$C$21+Projects!$D$21),Projects!$B$21*INDEX(Curves!$B$4:$AR$4,1,60-Projects!$C$21+1),0)+IF(AND(Projects!$G$22="Yes",60&gt;=Projects!$C$22,60&lt;Projects!$C$22+Projects!$D$22),Projects!$B$22*INDEX(Curves!$B$4:$AR$4,1,60-Projects!$C$22+1),0)+IF(AND(Projects!$G$23="Yes",60&gt;=Projects!$C$23,60&lt;Projects!$C$23+Projects!$D$23),Projects!$B$23*INDEX(Curves!$B$4:$AR$4,1,60-Projects!$C$23+1),0)+IF(AND(Projects!$G$24="Yes",60&gt;=Projects!$C$24,60&lt;Projects!$C$24+Projects!$D$24),Projects!$B$24*INDEX(Curves!$B$4:$AR$4,1,60-Projects!$C$24+1),0)+IF(AND(Projects!$G$25="Yes",60&gt;=Projects!$C$25,60&lt;Projects!$C$25+Projects!$D$25),Projects!$B$25*INDEX(Curves!$B$4:$AR$4,1,60-Projects!$C$25+1),0)+IF(AND(Projects!$G$26="Yes",60&gt;=Projects!$C$26,60&lt;Projects!$C$26+Projects!$D$26),Projects!$B$26*INDEX(Curves!$B$4:$AR$4,1,60-Projects!$C$26+1),0)+IF(AND(Projects!$G$27="Yes",60&gt;=Projects!$C$27,60&lt;Projects!$C$27+Projects!$D$27),Projects!$B$27*INDEX(Curves!$B$4:$AR$4,1,60-Projects!$C$27+1),0)+IF(AND(Projects!$G$28="Yes",60&gt;=Projects!$C$28,60&lt;Projects!$C$28+Projects!$D$28),Projects!$B$28*INDEX(Curves!$B$4:$AR$4,1,60-Projects!$C$28+1),0)+IF(AND(Projects!$G$29="Yes",60&gt;=Projects!$C$29,60&lt;Projects!$C$29+Projects!$D$29),Projects!$B$29*INDEX(Curves!$B$4:$AR$4,1,60-Projects!$C$29+1),0)+IF(AND(Projects!$G$30="Yes",60&gt;=Projects!$C$30,60&lt;Projects!$C$30+Projects!$D$30),Projects!$B$30*INDEX(Curves!$B$4:$AR$4,1,60-Projects!$C$30+1),0)+IF(AND(Projects!$G$31="Yes",60&gt;=Projects!$C$31,60&lt;Projects!$C$31+Projects!$D$31),Projects!$B$31*INDEX(Curves!$B$4:$AR$4,1,60-Projects!$C$31+1),0)+IF(AND(Projects!$G$32="Yes",60&gt;=Projects!$C$32,60&lt;Projects!$C$32+Projects!$D$32),Projects!$B$32*INDEX(Curves!$B$4:$AR$4,1,60-Projects!$C$32+1),0)+IF(AND(Projects!$G$33="Yes",60&gt;=Projects!$C$33,60&lt;Projects!$C$33+Projects!$D$33),Projects!$B$33*INDEX(Curves!$B$4:$AR$4,1,60-Projects!$C$33+1),0)+IF(AND(Projects!$G$34="Yes",60&gt;=Projects!$C$34,60&lt;Projects!$C$34+Projects!$D$34),Projects!$B$34*INDEX(Curves!$B$4:$AR$4,1,60-Projects!$C$34+1),0)+IF(AND(Projects!$G$35="Yes",60&gt;=Projects!$C$35,60&lt;Projects!$C$35+Projects!$D$35),Projects!$B$35*INDEX(Curves!$B$4:$AR$4,1,60-Projects!$C$35+1),0)+IF(AND(Projects!$G$36="Yes",60&gt;=Projects!$C$36,60&lt;Projects!$C$36+Projects!$D$36),Projects!$B$36*INDEX(Curves!$B$4:$AR$4,1,60-Projects!$C$36+1),0)+IF(AND(Projects!$G$37="Yes",60&gt;=Projects!$C$37,60&lt;Projects!$C$37+Projects!$D$37),Projects!$B$37*INDEX(Curves!$B$4:$AR$4,1,60-Projects!$C$37+1),0)+IF(AND(Projects!$G$38="Yes",60&gt;=Projects!$C$38,60&lt;Projects!$C$38+Projects!$D$38),Projects!$B$38*INDEX(Curves!$B$4:$AR$4,1,60-Projects!$C$38+1),0)+IF(AND(Projects!$G$39="Yes",60&gt;=Projects!$C$39,60&lt;Projects!$C$39+Projects!$D$39),Projects!$B$39*INDEX(Curves!$B$4:$AR$4,1,60-Projects!$C$39+1),0)+IF(AND(Projects!$G$40="Yes",60&gt;=Projects!$C$40,60&lt;Projects!$C$40+Projects!$D$40),Projects!$B$40*INDEX(Curves!$B$4:$AR$4,1,60-Projects!$C$40+1),0)+IF(AND(Projects!$G$41="Yes",60&gt;=Projects!$C$41,60&lt;Projects!$C$41+Projects!$D$41),Projects!$B$41*INDEX(Curves!$B$4:$AR$4,1,60-Projects!$C$41+1),0)+IF(AND(Projects!$G$42="Yes",60&gt;=Projects!$C$42,60&lt;Projects!$C$42+Projects!$D$42),Projects!$B$42*INDEX(Curves!$B$4:$AR$4,1,60-Projects!$C$42+1),0)+IF(AND(Projects!$G$43="Yes",60&gt;=Projects!$C$43,60&lt;Projects!$C$43+Projects!$D$43),Projects!$B$43*INDEX(Curves!$B$4:$AR$4,1,60-Projects!$C$43+1),0)+IF(AND(Projects!$G$44="Yes",60&gt;=Projects!$C$44,60&lt;Projects!$C$44+Projects!$D$44),Projects!$B$44*INDEX(Curves!$B$4:$AR$4,1,60-Projects!$C$44+1),0)+IF(AND(Projects!$G$45="Yes",60&gt;=Projects!$C$45,60&lt;Projects!$C$45+Projects!$D$45),Projects!$B$45*INDEX(Curves!$B$4:$AR$4,1,60-Projects!$C$45+1),0)+IF(AND(Projects!$G$46="Yes",60&gt;=Projects!$C$46,60&lt;Projects!$C$46+Projects!$D$46),Projects!$B$46*INDEX(Curves!$B$4:$AR$4,1,60-Projects!$C$46+1),0)</f>
        <v>5145987</v>
      </c>
      <c r="BN96" s="59">
        <f>IF(AND(Projects!$G$17="Yes",61&gt;=Projects!$C$17,61&lt;Projects!$C$17+Projects!$D$17),Projects!$B$17*INDEX(Curves!$B$4:$AR$4,1,61-Projects!$C$17+1),0)+IF(AND(Projects!$G$18="Yes",61&gt;=Projects!$C$18,61&lt;Projects!$C$18+Projects!$D$18),Projects!$B$18*INDEX(Curves!$B$4:$AR$4,1,61-Projects!$C$18+1),0)+IF(AND(Projects!$G$19="Yes",61&gt;=Projects!$C$19,61&lt;Projects!$C$19+Projects!$D$19),Projects!$B$19*INDEX(Curves!$B$4:$AR$4,1,61-Projects!$C$19+1),0)+IF(AND(Projects!$G$20="Yes",61&gt;=Projects!$C$20,61&lt;Projects!$C$20+Projects!$D$20),Projects!$B$20*INDEX(Curves!$B$4:$AR$4,1,61-Projects!$C$20+1),0)+IF(AND(Projects!$G$21="Yes",61&gt;=Projects!$C$21,61&lt;Projects!$C$21+Projects!$D$21),Projects!$B$21*INDEX(Curves!$B$4:$AR$4,1,61-Projects!$C$21+1),0)+IF(AND(Projects!$G$22="Yes",61&gt;=Projects!$C$22,61&lt;Projects!$C$22+Projects!$D$22),Projects!$B$22*INDEX(Curves!$B$4:$AR$4,1,61-Projects!$C$22+1),0)+IF(AND(Projects!$G$23="Yes",61&gt;=Projects!$C$23,61&lt;Projects!$C$23+Projects!$D$23),Projects!$B$23*INDEX(Curves!$B$4:$AR$4,1,61-Projects!$C$23+1),0)+IF(AND(Projects!$G$24="Yes",61&gt;=Projects!$C$24,61&lt;Projects!$C$24+Projects!$D$24),Projects!$B$24*INDEX(Curves!$B$4:$AR$4,1,61-Projects!$C$24+1),0)+IF(AND(Projects!$G$25="Yes",61&gt;=Projects!$C$25,61&lt;Projects!$C$25+Projects!$D$25),Projects!$B$25*INDEX(Curves!$B$4:$AR$4,1,61-Projects!$C$25+1),0)+IF(AND(Projects!$G$26="Yes",61&gt;=Projects!$C$26,61&lt;Projects!$C$26+Projects!$D$26),Projects!$B$26*INDEX(Curves!$B$4:$AR$4,1,61-Projects!$C$26+1),0)+IF(AND(Projects!$G$27="Yes",61&gt;=Projects!$C$27,61&lt;Projects!$C$27+Projects!$D$27),Projects!$B$27*INDEX(Curves!$B$4:$AR$4,1,61-Projects!$C$27+1),0)+IF(AND(Projects!$G$28="Yes",61&gt;=Projects!$C$28,61&lt;Projects!$C$28+Projects!$D$28),Projects!$B$28*INDEX(Curves!$B$4:$AR$4,1,61-Projects!$C$28+1),0)+IF(AND(Projects!$G$29="Yes",61&gt;=Projects!$C$29,61&lt;Projects!$C$29+Projects!$D$29),Projects!$B$29*INDEX(Curves!$B$4:$AR$4,1,61-Projects!$C$29+1),0)+IF(AND(Projects!$G$30="Yes",61&gt;=Projects!$C$30,61&lt;Projects!$C$30+Projects!$D$30),Projects!$B$30*INDEX(Curves!$B$4:$AR$4,1,61-Projects!$C$30+1),0)+IF(AND(Projects!$G$31="Yes",61&gt;=Projects!$C$31,61&lt;Projects!$C$31+Projects!$D$31),Projects!$B$31*INDEX(Curves!$B$4:$AR$4,1,61-Projects!$C$31+1),0)+IF(AND(Projects!$G$32="Yes",61&gt;=Projects!$C$32,61&lt;Projects!$C$32+Projects!$D$32),Projects!$B$32*INDEX(Curves!$B$4:$AR$4,1,61-Projects!$C$32+1),0)+IF(AND(Projects!$G$33="Yes",61&gt;=Projects!$C$33,61&lt;Projects!$C$33+Projects!$D$33),Projects!$B$33*INDEX(Curves!$B$4:$AR$4,1,61-Projects!$C$33+1),0)+IF(AND(Projects!$G$34="Yes",61&gt;=Projects!$C$34,61&lt;Projects!$C$34+Projects!$D$34),Projects!$B$34*INDEX(Curves!$B$4:$AR$4,1,61-Projects!$C$34+1),0)+IF(AND(Projects!$G$35="Yes",61&gt;=Projects!$C$35,61&lt;Projects!$C$35+Projects!$D$35),Projects!$B$35*INDEX(Curves!$B$4:$AR$4,1,61-Projects!$C$35+1),0)+IF(AND(Projects!$G$36="Yes",61&gt;=Projects!$C$36,61&lt;Projects!$C$36+Projects!$D$36),Projects!$B$36*INDEX(Curves!$B$4:$AR$4,1,61-Projects!$C$36+1),0)+IF(AND(Projects!$G$37="Yes",61&gt;=Projects!$C$37,61&lt;Projects!$C$37+Projects!$D$37),Projects!$B$37*INDEX(Curves!$B$4:$AR$4,1,61-Projects!$C$37+1),0)+IF(AND(Projects!$G$38="Yes",61&gt;=Projects!$C$38,61&lt;Projects!$C$38+Projects!$D$38),Projects!$B$38*INDEX(Curves!$B$4:$AR$4,1,61-Projects!$C$38+1),0)+IF(AND(Projects!$G$39="Yes",61&gt;=Projects!$C$39,61&lt;Projects!$C$39+Projects!$D$39),Projects!$B$39*INDEX(Curves!$B$4:$AR$4,1,61-Projects!$C$39+1),0)+IF(AND(Projects!$G$40="Yes",61&gt;=Projects!$C$40,61&lt;Projects!$C$40+Projects!$D$40),Projects!$B$40*INDEX(Curves!$B$4:$AR$4,1,61-Projects!$C$40+1),0)+IF(AND(Projects!$G$41="Yes",61&gt;=Projects!$C$41,61&lt;Projects!$C$41+Projects!$D$41),Projects!$B$41*INDEX(Curves!$B$4:$AR$4,1,61-Projects!$C$41+1),0)+IF(AND(Projects!$G$42="Yes",61&gt;=Projects!$C$42,61&lt;Projects!$C$42+Projects!$D$42),Projects!$B$42*INDEX(Curves!$B$4:$AR$4,1,61-Projects!$C$42+1),0)+IF(AND(Projects!$G$43="Yes",61&gt;=Projects!$C$43,61&lt;Projects!$C$43+Projects!$D$43),Projects!$B$43*INDEX(Curves!$B$4:$AR$4,1,61-Projects!$C$43+1),0)+IF(AND(Projects!$G$44="Yes",61&gt;=Projects!$C$44,61&lt;Projects!$C$44+Projects!$D$44),Projects!$B$44*INDEX(Curves!$B$4:$AR$4,1,61-Projects!$C$44+1),0)+IF(AND(Projects!$G$45="Yes",61&gt;=Projects!$C$45,61&lt;Projects!$C$45+Projects!$D$45),Projects!$B$45*INDEX(Curves!$B$4:$AR$4,1,61-Projects!$C$45+1),0)+IF(AND(Projects!$G$46="Yes",61&gt;=Projects!$C$46,61&lt;Projects!$C$46+Projects!$D$46),Projects!$B$46*INDEX(Curves!$B$4:$AR$4,1,61-Projects!$C$46+1),0)</f>
        <v>5456391</v>
      </c>
      <c r="BO96" s="59">
        <f>IF(AND(Projects!$G$17="Yes",62&gt;=Projects!$C$17,62&lt;Projects!$C$17+Projects!$D$17),Projects!$B$17*INDEX(Curves!$B$4:$AR$4,1,62-Projects!$C$17+1),0)+IF(AND(Projects!$G$18="Yes",62&gt;=Projects!$C$18,62&lt;Projects!$C$18+Projects!$D$18),Projects!$B$18*INDEX(Curves!$B$4:$AR$4,1,62-Projects!$C$18+1),0)+IF(AND(Projects!$G$19="Yes",62&gt;=Projects!$C$19,62&lt;Projects!$C$19+Projects!$D$19),Projects!$B$19*INDEX(Curves!$B$4:$AR$4,1,62-Projects!$C$19+1),0)+IF(AND(Projects!$G$20="Yes",62&gt;=Projects!$C$20,62&lt;Projects!$C$20+Projects!$D$20),Projects!$B$20*INDEX(Curves!$B$4:$AR$4,1,62-Projects!$C$20+1),0)+IF(AND(Projects!$G$21="Yes",62&gt;=Projects!$C$21,62&lt;Projects!$C$21+Projects!$D$21),Projects!$B$21*INDEX(Curves!$B$4:$AR$4,1,62-Projects!$C$21+1),0)+IF(AND(Projects!$G$22="Yes",62&gt;=Projects!$C$22,62&lt;Projects!$C$22+Projects!$D$22),Projects!$B$22*INDEX(Curves!$B$4:$AR$4,1,62-Projects!$C$22+1),0)+IF(AND(Projects!$G$23="Yes",62&gt;=Projects!$C$23,62&lt;Projects!$C$23+Projects!$D$23),Projects!$B$23*INDEX(Curves!$B$4:$AR$4,1,62-Projects!$C$23+1),0)+IF(AND(Projects!$G$24="Yes",62&gt;=Projects!$C$24,62&lt;Projects!$C$24+Projects!$D$24),Projects!$B$24*INDEX(Curves!$B$4:$AR$4,1,62-Projects!$C$24+1),0)+IF(AND(Projects!$G$25="Yes",62&gt;=Projects!$C$25,62&lt;Projects!$C$25+Projects!$D$25),Projects!$B$25*INDEX(Curves!$B$4:$AR$4,1,62-Projects!$C$25+1),0)+IF(AND(Projects!$G$26="Yes",62&gt;=Projects!$C$26,62&lt;Projects!$C$26+Projects!$D$26),Projects!$B$26*INDEX(Curves!$B$4:$AR$4,1,62-Projects!$C$26+1),0)+IF(AND(Projects!$G$27="Yes",62&gt;=Projects!$C$27,62&lt;Projects!$C$27+Projects!$D$27),Projects!$B$27*INDEX(Curves!$B$4:$AR$4,1,62-Projects!$C$27+1),0)+IF(AND(Projects!$G$28="Yes",62&gt;=Projects!$C$28,62&lt;Projects!$C$28+Projects!$D$28),Projects!$B$28*INDEX(Curves!$B$4:$AR$4,1,62-Projects!$C$28+1),0)+IF(AND(Projects!$G$29="Yes",62&gt;=Projects!$C$29,62&lt;Projects!$C$29+Projects!$D$29),Projects!$B$29*INDEX(Curves!$B$4:$AR$4,1,62-Projects!$C$29+1),0)+IF(AND(Projects!$G$30="Yes",62&gt;=Projects!$C$30,62&lt;Projects!$C$30+Projects!$D$30),Projects!$B$30*INDEX(Curves!$B$4:$AR$4,1,62-Projects!$C$30+1),0)+IF(AND(Projects!$G$31="Yes",62&gt;=Projects!$C$31,62&lt;Projects!$C$31+Projects!$D$31),Projects!$B$31*INDEX(Curves!$B$4:$AR$4,1,62-Projects!$C$31+1),0)+IF(AND(Projects!$G$32="Yes",62&gt;=Projects!$C$32,62&lt;Projects!$C$32+Projects!$D$32),Projects!$B$32*INDEX(Curves!$B$4:$AR$4,1,62-Projects!$C$32+1),0)+IF(AND(Projects!$G$33="Yes",62&gt;=Projects!$C$33,62&lt;Projects!$C$33+Projects!$D$33),Projects!$B$33*INDEX(Curves!$B$4:$AR$4,1,62-Projects!$C$33+1),0)+IF(AND(Projects!$G$34="Yes",62&gt;=Projects!$C$34,62&lt;Projects!$C$34+Projects!$D$34),Projects!$B$34*INDEX(Curves!$B$4:$AR$4,1,62-Projects!$C$34+1),0)+IF(AND(Projects!$G$35="Yes",62&gt;=Projects!$C$35,62&lt;Projects!$C$35+Projects!$D$35),Projects!$B$35*INDEX(Curves!$B$4:$AR$4,1,62-Projects!$C$35+1),0)+IF(AND(Projects!$G$36="Yes",62&gt;=Projects!$C$36,62&lt;Projects!$C$36+Projects!$D$36),Projects!$B$36*INDEX(Curves!$B$4:$AR$4,1,62-Projects!$C$36+1),0)+IF(AND(Projects!$G$37="Yes",62&gt;=Projects!$C$37,62&lt;Projects!$C$37+Projects!$D$37),Projects!$B$37*INDEX(Curves!$B$4:$AR$4,1,62-Projects!$C$37+1),0)+IF(AND(Projects!$G$38="Yes",62&gt;=Projects!$C$38,62&lt;Projects!$C$38+Projects!$D$38),Projects!$B$38*INDEX(Curves!$B$4:$AR$4,1,62-Projects!$C$38+1),0)+IF(AND(Projects!$G$39="Yes",62&gt;=Projects!$C$39,62&lt;Projects!$C$39+Projects!$D$39),Projects!$B$39*INDEX(Curves!$B$4:$AR$4,1,62-Projects!$C$39+1),0)+IF(AND(Projects!$G$40="Yes",62&gt;=Projects!$C$40,62&lt;Projects!$C$40+Projects!$D$40),Projects!$B$40*INDEX(Curves!$B$4:$AR$4,1,62-Projects!$C$40+1),0)+IF(AND(Projects!$G$41="Yes",62&gt;=Projects!$C$41,62&lt;Projects!$C$41+Projects!$D$41),Projects!$B$41*INDEX(Curves!$B$4:$AR$4,1,62-Projects!$C$41+1),0)+IF(AND(Projects!$G$42="Yes",62&gt;=Projects!$C$42,62&lt;Projects!$C$42+Projects!$D$42),Projects!$B$42*INDEX(Curves!$B$4:$AR$4,1,62-Projects!$C$42+1),0)+IF(AND(Projects!$G$43="Yes",62&gt;=Projects!$C$43,62&lt;Projects!$C$43+Projects!$D$43),Projects!$B$43*INDEX(Curves!$B$4:$AR$4,1,62-Projects!$C$43+1),0)+IF(AND(Projects!$G$44="Yes",62&gt;=Projects!$C$44,62&lt;Projects!$C$44+Projects!$D$44),Projects!$B$44*INDEX(Curves!$B$4:$AR$4,1,62-Projects!$C$44+1),0)+IF(AND(Projects!$G$45="Yes",62&gt;=Projects!$C$45,62&lt;Projects!$C$45+Projects!$D$45),Projects!$B$45*INDEX(Curves!$B$4:$AR$4,1,62-Projects!$C$45+1),0)+IF(AND(Projects!$G$46="Yes",62&gt;=Projects!$C$46,62&lt;Projects!$C$46+Projects!$D$46),Projects!$B$46*INDEX(Curves!$B$4:$AR$4,1,62-Projects!$C$46+1),0)</f>
        <v>6166941</v>
      </c>
      <c r="BP96" s="59">
        <f>IF(AND(Projects!$G$17="Yes",63&gt;=Projects!$C$17,63&lt;Projects!$C$17+Projects!$D$17),Projects!$B$17*INDEX(Curves!$B$4:$AR$4,1,63-Projects!$C$17+1),0)+IF(AND(Projects!$G$18="Yes",63&gt;=Projects!$C$18,63&lt;Projects!$C$18+Projects!$D$18),Projects!$B$18*INDEX(Curves!$B$4:$AR$4,1,63-Projects!$C$18+1),0)+IF(AND(Projects!$G$19="Yes",63&gt;=Projects!$C$19,63&lt;Projects!$C$19+Projects!$D$19),Projects!$B$19*INDEX(Curves!$B$4:$AR$4,1,63-Projects!$C$19+1),0)+IF(AND(Projects!$G$20="Yes",63&gt;=Projects!$C$20,63&lt;Projects!$C$20+Projects!$D$20),Projects!$B$20*INDEX(Curves!$B$4:$AR$4,1,63-Projects!$C$20+1),0)+IF(AND(Projects!$G$21="Yes",63&gt;=Projects!$C$21,63&lt;Projects!$C$21+Projects!$D$21),Projects!$B$21*INDEX(Curves!$B$4:$AR$4,1,63-Projects!$C$21+1),0)+IF(AND(Projects!$G$22="Yes",63&gt;=Projects!$C$22,63&lt;Projects!$C$22+Projects!$D$22),Projects!$B$22*INDEX(Curves!$B$4:$AR$4,1,63-Projects!$C$22+1),0)+IF(AND(Projects!$G$23="Yes",63&gt;=Projects!$C$23,63&lt;Projects!$C$23+Projects!$D$23),Projects!$B$23*INDEX(Curves!$B$4:$AR$4,1,63-Projects!$C$23+1),0)+IF(AND(Projects!$G$24="Yes",63&gt;=Projects!$C$24,63&lt;Projects!$C$24+Projects!$D$24),Projects!$B$24*INDEX(Curves!$B$4:$AR$4,1,63-Projects!$C$24+1),0)+IF(AND(Projects!$G$25="Yes",63&gt;=Projects!$C$25,63&lt;Projects!$C$25+Projects!$D$25),Projects!$B$25*INDEX(Curves!$B$4:$AR$4,1,63-Projects!$C$25+1),0)+IF(AND(Projects!$G$26="Yes",63&gt;=Projects!$C$26,63&lt;Projects!$C$26+Projects!$D$26),Projects!$B$26*INDEX(Curves!$B$4:$AR$4,1,63-Projects!$C$26+1),0)+IF(AND(Projects!$G$27="Yes",63&gt;=Projects!$C$27,63&lt;Projects!$C$27+Projects!$D$27),Projects!$B$27*INDEX(Curves!$B$4:$AR$4,1,63-Projects!$C$27+1),0)+IF(AND(Projects!$G$28="Yes",63&gt;=Projects!$C$28,63&lt;Projects!$C$28+Projects!$D$28),Projects!$B$28*INDEX(Curves!$B$4:$AR$4,1,63-Projects!$C$28+1),0)+IF(AND(Projects!$G$29="Yes",63&gt;=Projects!$C$29,63&lt;Projects!$C$29+Projects!$D$29),Projects!$B$29*INDEX(Curves!$B$4:$AR$4,1,63-Projects!$C$29+1),0)+IF(AND(Projects!$G$30="Yes",63&gt;=Projects!$C$30,63&lt;Projects!$C$30+Projects!$D$30),Projects!$B$30*INDEX(Curves!$B$4:$AR$4,1,63-Projects!$C$30+1),0)+IF(AND(Projects!$G$31="Yes",63&gt;=Projects!$C$31,63&lt;Projects!$C$31+Projects!$D$31),Projects!$B$31*INDEX(Curves!$B$4:$AR$4,1,63-Projects!$C$31+1),0)+IF(AND(Projects!$G$32="Yes",63&gt;=Projects!$C$32,63&lt;Projects!$C$32+Projects!$D$32),Projects!$B$32*INDEX(Curves!$B$4:$AR$4,1,63-Projects!$C$32+1),0)+IF(AND(Projects!$G$33="Yes",63&gt;=Projects!$C$33,63&lt;Projects!$C$33+Projects!$D$33),Projects!$B$33*INDEX(Curves!$B$4:$AR$4,1,63-Projects!$C$33+1),0)+IF(AND(Projects!$G$34="Yes",63&gt;=Projects!$C$34,63&lt;Projects!$C$34+Projects!$D$34),Projects!$B$34*INDEX(Curves!$B$4:$AR$4,1,63-Projects!$C$34+1),0)+IF(AND(Projects!$G$35="Yes",63&gt;=Projects!$C$35,63&lt;Projects!$C$35+Projects!$D$35),Projects!$B$35*INDEX(Curves!$B$4:$AR$4,1,63-Projects!$C$35+1),0)+IF(AND(Projects!$G$36="Yes",63&gt;=Projects!$C$36,63&lt;Projects!$C$36+Projects!$D$36),Projects!$B$36*INDEX(Curves!$B$4:$AR$4,1,63-Projects!$C$36+1),0)+IF(AND(Projects!$G$37="Yes",63&gt;=Projects!$C$37,63&lt;Projects!$C$37+Projects!$D$37),Projects!$B$37*INDEX(Curves!$B$4:$AR$4,1,63-Projects!$C$37+1),0)+IF(AND(Projects!$G$38="Yes",63&gt;=Projects!$C$38,63&lt;Projects!$C$38+Projects!$D$38),Projects!$B$38*INDEX(Curves!$B$4:$AR$4,1,63-Projects!$C$38+1),0)+IF(AND(Projects!$G$39="Yes",63&gt;=Projects!$C$39,63&lt;Projects!$C$39+Projects!$D$39),Projects!$B$39*INDEX(Curves!$B$4:$AR$4,1,63-Projects!$C$39+1),0)+IF(AND(Projects!$G$40="Yes",63&gt;=Projects!$C$40,63&lt;Projects!$C$40+Projects!$D$40),Projects!$B$40*INDEX(Curves!$B$4:$AR$4,1,63-Projects!$C$40+1),0)+IF(AND(Projects!$G$41="Yes",63&gt;=Projects!$C$41,63&lt;Projects!$C$41+Projects!$D$41),Projects!$B$41*INDEX(Curves!$B$4:$AR$4,1,63-Projects!$C$41+1),0)+IF(AND(Projects!$G$42="Yes",63&gt;=Projects!$C$42,63&lt;Projects!$C$42+Projects!$D$42),Projects!$B$42*INDEX(Curves!$B$4:$AR$4,1,63-Projects!$C$42+1),0)+IF(AND(Projects!$G$43="Yes",63&gt;=Projects!$C$43,63&lt;Projects!$C$43+Projects!$D$43),Projects!$B$43*INDEX(Curves!$B$4:$AR$4,1,63-Projects!$C$43+1),0)+IF(AND(Projects!$G$44="Yes",63&gt;=Projects!$C$44,63&lt;Projects!$C$44+Projects!$D$44),Projects!$B$44*INDEX(Curves!$B$4:$AR$4,1,63-Projects!$C$44+1),0)+IF(AND(Projects!$G$45="Yes",63&gt;=Projects!$C$45,63&lt;Projects!$C$45+Projects!$D$45),Projects!$B$45*INDEX(Curves!$B$4:$AR$4,1,63-Projects!$C$45+1),0)+IF(AND(Projects!$G$46="Yes",63&gt;=Projects!$C$46,63&lt;Projects!$C$46+Projects!$D$46),Projects!$B$46*INDEX(Curves!$B$4:$AR$4,1,63-Projects!$C$46+1),0)</f>
        <v>6423336</v>
      </c>
      <c r="BQ96" s="59">
        <f>IF(AND(Projects!$G$17="Yes",64&gt;=Projects!$C$17,64&lt;Projects!$C$17+Projects!$D$17),Projects!$B$17*INDEX(Curves!$B$4:$AR$4,1,64-Projects!$C$17+1),0)+IF(AND(Projects!$G$18="Yes",64&gt;=Projects!$C$18,64&lt;Projects!$C$18+Projects!$D$18),Projects!$B$18*INDEX(Curves!$B$4:$AR$4,1,64-Projects!$C$18+1),0)+IF(AND(Projects!$G$19="Yes",64&gt;=Projects!$C$19,64&lt;Projects!$C$19+Projects!$D$19),Projects!$B$19*INDEX(Curves!$B$4:$AR$4,1,64-Projects!$C$19+1),0)+IF(AND(Projects!$G$20="Yes",64&gt;=Projects!$C$20,64&lt;Projects!$C$20+Projects!$D$20),Projects!$B$20*INDEX(Curves!$B$4:$AR$4,1,64-Projects!$C$20+1),0)+IF(AND(Projects!$G$21="Yes",64&gt;=Projects!$C$21,64&lt;Projects!$C$21+Projects!$D$21),Projects!$B$21*INDEX(Curves!$B$4:$AR$4,1,64-Projects!$C$21+1),0)+IF(AND(Projects!$G$22="Yes",64&gt;=Projects!$C$22,64&lt;Projects!$C$22+Projects!$D$22),Projects!$B$22*INDEX(Curves!$B$4:$AR$4,1,64-Projects!$C$22+1),0)+IF(AND(Projects!$G$23="Yes",64&gt;=Projects!$C$23,64&lt;Projects!$C$23+Projects!$D$23),Projects!$B$23*INDEX(Curves!$B$4:$AR$4,1,64-Projects!$C$23+1),0)+IF(AND(Projects!$G$24="Yes",64&gt;=Projects!$C$24,64&lt;Projects!$C$24+Projects!$D$24),Projects!$B$24*INDEX(Curves!$B$4:$AR$4,1,64-Projects!$C$24+1),0)+IF(AND(Projects!$G$25="Yes",64&gt;=Projects!$C$25,64&lt;Projects!$C$25+Projects!$D$25),Projects!$B$25*INDEX(Curves!$B$4:$AR$4,1,64-Projects!$C$25+1),0)+IF(AND(Projects!$G$26="Yes",64&gt;=Projects!$C$26,64&lt;Projects!$C$26+Projects!$D$26),Projects!$B$26*INDEX(Curves!$B$4:$AR$4,1,64-Projects!$C$26+1),0)+IF(AND(Projects!$G$27="Yes",64&gt;=Projects!$C$27,64&lt;Projects!$C$27+Projects!$D$27),Projects!$B$27*INDEX(Curves!$B$4:$AR$4,1,64-Projects!$C$27+1),0)+IF(AND(Projects!$G$28="Yes",64&gt;=Projects!$C$28,64&lt;Projects!$C$28+Projects!$D$28),Projects!$B$28*INDEX(Curves!$B$4:$AR$4,1,64-Projects!$C$28+1),0)+IF(AND(Projects!$G$29="Yes",64&gt;=Projects!$C$29,64&lt;Projects!$C$29+Projects!$D$29),Projects!$B$29*INDEX(Curves!$B$4:$AR$4,1,64-Projects!$C$29+1),0)+IF(AND(Projects!$G$30="Yes",64&gt;=Projects!$C$30,64&lt;Projects!$C$30+Projects!$D$30),Projects!$B$30*INDEX(Curves!$B$4:$AR$4,1,64-Projects!$C$30+1),0)+IF(AND(Projects!$G$31="Yes",64&gt;=Projects!$C$31,64&lt;Projects!$C$31+Projects!$D$31),Projects!$B$31*INDEX(Curves!$B$4:$AR$4,1,64-Projects!$C$31+1),0)+IF(AND(Projects!$G$32="Yes",64&gt;=Projects!$C$32,64&lt;Projects!$C$32+Projects!$D$32),Projects!$B$32*INDEX(Curves!$B$4:$AR$4,1,64-Projects!$C$32+1),0)+IF(AND(Projects!$G$33="Yes",64&gt;=Projects!$C$33,64&lt;Projects!$C$33+Projects!$D$33),Projects!$B$33*INDEX(Curves!$B$4:$AR$4,1,64-Projects!$C$33+1),0)+IF(AND(Projects!$G$34="Yes",64&gt;=Projects!$C$34,64&lt;Projects!$C$34+Projects!$D$34),Projects!$B$34*INDEX(Curves!$B$4:$AR$4,1,64-Projects!$C$34+1),0)+IF(AND(Projects!$G$35="Yes",64&gt;=Projects!$C$35,64&lt;Projects!$C$35+Projects!$D$35),Projects!$B$35*INDEX(Curves!$B$4:$AR$4,1,64-Projects!$C$35+1),0)+IF(AND(Projects!$G$36="Yes",64&gt;=Projects!$C$36,64&lt;Projects!$C$36+Projects!$D$36),Projects!$B$36*INDEX(Curves!$B$4:$AR$4,1,64-Projects!$C$36+1),0)+IF(AND(Projects!$G$37="Yes",64&gt;=Projects!$C$37,64&lt;Projects!$C$37+Projects!$D$37),Projects!$B$37*INDEX(Curves!$B$4:$AR$4,1,64-Projects!$C$37+1),0)+IF(AND(Projects!$G$38="Yes",64&gt;=Projects!$C$38,64&lt;Projects!$C$38+Projects!$D$38),Projects!$B$38*INDEX(Curves!$B$4:$AR$4,1,64-Projects!$C$38+1),0)+IF(AND(Projects!$G$39="Yes",64&gt;=Projects!$C$39,64&lt;Projects!$C$39+Projects!$D$39),Projects!$B$39*INDEX(Curves!$B$4:$AR$4,1,64-Projects!$C$39+1),0)+IF(AND(Projects!$G$40="Yes",64&gt;=Projects!$C$40,64&lt;Projects!$C$40+Projects!$D$40),Projects!$B$40*INDEX(Curves!$B$4:$AR$4,1,64-Projects!$C$40+1),0)+IF(AND(Projects!$G$41="Yes",64&gt;=Projects!$C$41,64&lt;Projects!$C$41+Projects!$D$41),Projects!$B$41*INDEX(Curves!$B$4:$AR$4,1,64-Projects!$C$41+1),0)+IF(AND(Projects!$G$42="Yes",64&gt;=Projects!$C$42,64&lt;Projects!$C$42+Projects!$D$42),Projects!$B$42*INDEX(Curves!$B$4:$AR$4,1,64-Projects!$C$42+1),0)+IF(AND(Projects!$G$43="Yes",64&gt;=Projects!$C$43,64&lt;Projects!$C$43+Projects!$D$43),Projects!$B$43*INDEX(Curves!$B$4:$AR$4,1,64-Projects!$C$43+1),0)+IF(AND(Projects!$G$44="Yes",64&gt;=Projects!$C$44,64&lt;Projects!$C$44+Projects!$D$44),Projects!$B$44*INDEX(Curves!$B$4:$AR$4,1,64-Projects!$C$44+1),0)+IF(AND(Projects!$G$45="Yes",64&gt;=Projects!$C$45,64&lt;Projects!$C$45+Projects!$D$45),Projects!$B$45*INDEX(Curves!$B$4:$AR$4,1,64-Projects!$C$45+1),0)+IF(AND(Projects!$G$46="Yes",64&gt;=Projects!$C$46,64&lt;Projects!$C$46+Projects!$D$46),Projects!$B$46*INDEX(Curves!$B$4:$AR$4,1,64-Projects!$C$46+1),0)</f>
        <v>6590868</v>
      </c>
      <c r="BR96" s="59">
        <f>IF(AND(Projects!$G$17="Yes",65&gt;=Projects!$C$17,65&lt;Projects!$C$17+Projects!$D$17),Projects!$B$17*INDEX(Curves!$B$4:$AR$4,1,65-Projects!$C$17+1),0)+IF(AND(Projects!$G$18="Yes",65&gt;=Projects!$C$18,65&lt;Projects!$C$18+Projects!$D$18),Projects!$B$18*INDEX(Curves!$B$4:$AR$4,1,65-Projects!$C$18+1),0)+IF(AND(Projects!$G$19="Yes",65&gt;=Projects!$C$19,65&lt;Projects!$C$19+Projects!$D$19),Projects!$B$19*INDEX(Curves!$B$4:$AR$4,1,65-Projects!$C$19+1),0)+IF(AND(Projects!$G$20="Yes",65&gt;=Projects!$C$20,65&lt;Projects!$C$20+Projects!$D$20),Projects!$B$20*INDEX(Curves!$B$4:$AR$4,1,65-Projects!$C$20+1),0)+IF(AND(Projects!$G$21="Yes",65&gt;=Projects!$C$21,65&lt;Projects!$C$21+Projects!$D$21),Projects!$B$21*INDEX(Curves!$B$4:$AR$4,1,65-Projects!$C$21+1),0)+IF(AND(Projects!$G$22="Yes",65&gt;=Projects!$C$22,65&lt;Projects!$C$22+Projects!$D$22),Projects!$B$22*INDEX(Curves!$B$4:$AR$4,1,65-Projects!$C$22+1),0)+IF(AND(Projects!$G$23="Yes",65&gt;=Projects!$C$23,65&lt;Projects!$C$23+Projects!$D$23),Projects!$B$23*INDEX(Curves!$B$4:$AR$4,1,65-Projects!$C$23+1),0)+IF(AND(Projects!$G$24="Yes",65&gt;=Projects!$C$24,65&lt;Projects!$C$24+Projects!$D$24),Projects!$B$24*INDEX(Curves!$B$4:$AR$4,1,65-Projects!$C$24+1),0)+IF(AND(Projects!$G$25="Yes",65&gt;=Projects!$C$25,65&lt;Projects!$C$25+Projects!$D$25),Projects!$B$25*INDEX(Curves!$B$4:$AR$4,1,65-Projects!$C$25+1),0)+IF(AND(Projects!$G$26="Yes",65&gt;=Projects!$C$26,65&lt;Projects!$C$26+Projects!$D$26),Projects!$B$26*INDEX(Curves!$B$4:$AR$4,1,65-Projects!$C$26+1),0)+IF(AND(Projects!$G$27="Yes",65&gt;=Projects!$C$27,65&lt;Projects!$C$27+Projects!$D$27),Projects!$B$27*INDEX(Curves!$B$4:$AR$4,1,65-Projects!$C$27+1),0)+IF(AND(Projects!$G$28="Yes",65&gt;=Projects!$C$28,65&lt;Projects!$C$28+Projects!$D$28),Projects!$B$28*INDEX(Curves!$B$4:$AR$4,1,65-Projects!$C$28+1),0)+IF(AND(Projects!$G$29="Yes",65&gt;=Projects!$C$29,65&lt;Projects!$C$29+Projects!$D$29),Projects!$B$29*INDEX(Curves!$B$4:$AR$4,1,65-Projects!$C$29+1),0)+IF(AND(Projects!$G$30="Yes",65&gt;=Projects!$C$30,65&lt;Projects!$C$30+Projects!$D$30),Projects!$B$30*INDEX(Curves!$B$4:$AR$4,1,65-Projects!$C$30+1),0)+IF(AND(Projects!$G$31="Yes",65&gt;=Projects!$C$31,65&lt;Projects!$C$31+Projects!$D$31),Projects!$B$31*INDEX(Curves!$B$4:$AR$4,1,65-Projects!$C$31+1),0)+IF(AND(Projects!$G$32="Yes",65&gt;=Projects!$C$32,65&lt;Projects!$C$32+Projects!$D$32),Projects!$B$32*INDEX(Curves!$B$4:$AR$4,1,65-Projects!$C$32+1),0)+IF(AND(Projects!$G$33="Yes",65&gt;=Projects!$C$33,65&lt;Projects!$C$33+Projects!$D$33),Projects!$B$33*INDEX(Curves!$B$4:$AR$4,1,65-Projects!$C$33+1),0)+IF(AND(Projects!$G$34="Yes",65&gt;=Projects!$C$34,65&lt;Projects!$C$34+Projects!$D$34),Projects!$B$34*INDEX(Curves!$B$4:$AR$4,1,65-Projects!$C$34+1),0)+IF(AND(Projects!$G$35="Yes",65&gt;=Projects!$C$35,65&lt;Projects!$C$35+Projects!$D$35),Projects!$B$35*INDEX(Curves!$B$4:$AR$4,1,65-Projects!$C$35+1),0)+IF(AND(Projects!$G$36="Yes",65&gt;=Projects!$C$36,65&lt;Projects!$C$36+Projects!$D$36),Projects!$B$36*INDEX(Curves!$B$4:$AR$4,1,65-Projects!$C$36+1),0)+IF(AND(Projects!$G$37="Yes",65&gt;=Projects!$C$37,65&lt;Projects!$C$37+Projects!$D$37),Projects!$B$37*INDEX(Curves!$B$4:$AR$4,1,65-Projects!$C$37+1),0)+IF(AND(Projects!$G$38="Yes",65&gt;=Projects!$C$38,65&lt;Projects!$C$38+Projects!$D$38),Projects!$B$38*INDEX(Curves!$B$4:$AR$4,1,65-Projects!$C$38+1),0)+IF(AND(Projects!$G$39="Yes",65&gt;=Projects!$C$39,65&lt;Projects!$C$39+Projects!$D$39),Projects!$B$39*INDEX(Curves!$B$4:$AR$4,1,65-Projects!$C$39+1),0)+IF(AND(Projects!$G$40="Yes",65&gt;=Projects!$C$40,65&lt;Projects!$C$40+Projects!$D$40),Projects!$B$40*INDEX(Curves!$B$4:$AR$4,1,65-Projects!$C$40+1),0)+IF(AND(Projects!$G$41="Yes",65&gt;=Projects!$C$41,65&lt;Projects!$C$41+Projects!$D$41),Projects!$B$41*INDEX(Curves!$B$4:$AR$4,1,65-Projects!$C$41+1),0)+IF(AND(Projects!$G$42="Yes",65&gt;=Projects!$C$42,65&lt;Projects!$C$42+Projects!$D$42),Projects!$B$42*INDEX(Curves!$B$4:$AR$4,1,65-Projects!$C$42+1),0)+IF(AND(Projects!$G$43="Yes",65&gt;=Projects!$C$43,65&lt;Projects!$C$43+Projects!$D$43),Projects!$B$43*INDEX(Curves!$B$4:$AR$4,1,65-Projects!$C$43+1),0)+IF(AND(Projects!$G$44="Yes",65&gt;=Projects!$C$44,65&lt;Projects!$C$44+Projects!$D$44),Projects!$B$44*INDEX(Curves!$B$4:$AR$4,1,65-Projects!$C$44+1),0)+IF(AND(Projects!$G$45="Yes",65&gt;=Projects!$C$45,65&lt;Projects!$C$45+Projects!$D$45),Projects!$B$45*INDEX(Curves!$B$4:$AR$4,1,65-Projects!$C$45+1),0)+IF(AND(Projects!$G$46="Yes",65&gt;=Projects!$C$46,65&lt;Projects!$C$46+Projects!$D$46),Projects!$B$46*INDEX(Curves!$B$4:$AR$4,1,65-Projects!$C$46+1),0)</f>
        <v>6660939</v>
      </c>
      <c r="BS96" s="59">
        <f>IF(AND(Projects!$G$17="Yes",66&gt;=Projects!$C$17,66&lt;Projects!$C$17+Projects!$D$17),Projects!$B$17*INDEX(Curves!$B$4:$AR$4,1,66-Projects!$C$17+1),0)+IF(AND(Projects!$G$18="Yes",66&gt;=Projects!$C$18,66&lt;Projects!$C$18+Projects!$D$18),Projects!$B$18*INDEX(Curves!$B$4:$AR$4,1,66-Projects!$C$18+1),0)+IF(AND(Projects!$G$19="Yes",66&gt;=Projects!$C$19,66&lt;Projects!$C$19+Projects!$D$19),Projects!$B$19*INDEX(Curves!$B$4:$AR$4,1,66-Projects!$C$19+1),0)+IF(AND(Projects!$G$20="Yes",66&gt;=Projects!$C$20,66&lt;Projects!$C$20+Projects!$D$20),Projects!$B$20*INDEX(Curves!$B$4:$AR$4,1,66-Projects!$C$20+1),0)+IF(AND(Projects!$G$21="Yes",66&gt;=Projects!$C$21,66&lt;Projects!$C$21+Projects!$D$21),Projects!$B$21*INDEX(Curves!$B$4:$AR$4,1,66-Projects!$C$21+1),0)+IF(AND(Projects!$G$22="Yes",66&gt;=Projects!$C$22,66&lt;Projects!$C$22+Projects!$D$22),Projects!$B$22*INDEX(Curves!$B$4:$AR$4,1,66-Projects!$C$22+1),0)+IF(AND(Projects!$G$23="Yes",66&gt;=Projects!$C$23,66&lt;Projects!$C$23+Projects!$D$23),Projects!$B$23*INDEX(Curves!$B$4:$AR$4,1,66-Projects!$C$23+1),0)+IF(AND(Projects!$G$24="Yes",66&gt;=Projects!$C$24,66&lt;Projects!$C$24+Projects!$D$24),Projects!$B$24*INDEX(Curves!$B$4:$AR$4,1,66-Projects!$C$24+1),0)+IF(AND(Projects!$G$25="Yes",66&gt;=Projects!$C$25,66&lt;Projects!$C$25+Projects!$D$25),Projects!$B$25*INDEX(Curves!$B$4:$AR$4,1,66-Projects!$C$25+1),0)+IF(AND(Projects!$G$26="Yes",66&gt;=Projects!$C$26,66&lt;Projects!$C$26+Projects!$D$26),Projects!$B$26*INDEX(Curves!$B$4:$AR$4,1,66-Projects!$C$26+1),0)+IF(AND(Projects!$G$27="Yes",66&gt;=Projects!$C$27,66&lt;Projects!$C$27+Projects!$D$27),Projects!$B$27*INDEX(Curves!$B$4:$AR$4,1,66-Projects!$C$27+1),0)+IF(AND(Projects!$G$28="Yes",66&gt;=Projects!$C$28,66&lt;Projects!$C$28+Projects!$D$28),Projects!$B$28*INDEX(Curves!$B$4:$AR$4,1,66-Projects!$C$28+1),0)+IF(AND(Projects!$G$29="Yes",66&gt;=Projects!$C$29,66&lt;Projects!$C$29+Projects!$D$29),Projects!$B$29*INDEX(Curves!$B$4:$AR$4,1,66-Projects!$C$29+1),0)+IF(AND(Projects!$G$30="Yes",66&gt;=Projects!$C$30,66&lt;Projects!$C$30+Projects!$D$30),Projects!$B$30*INDEX(Curves!$B$4:$AR$4,1,66-Projects!$C$30+1),0)+IF(AND(Projects!$G$31="Yes",66&gt;=Projects!$C$31,66&lt;Projects!$C$31+Projects!$D$31),Projects!$B$31*INDEX(Curves!$B$4:$AR$4,1,66-Projects!$C$31+1),0)+IF(AND(Projects!$G$32="Yes",66&gt;=Projects!$C$32,66&lt;Projects!$C$32+Projects!$D$32),Projects!$B$32*INDEX(Curves!$B$4:$AR$4,1,66-Projects!$C$32+1),0)+IF(AND(Projects!$G$33="Yes",66&gt;=Projects!$C$33,66&lt;Projects!$C$33+Projects!$D$33),Projects!$B$33*INDEX(Curves!$B$4:$AR$4,1,66-Projects!$C$33+1),0)+IF(AND(Projects!$G$34="Yes",66&gt;=Projects!$C$34,66&lt;Projects!$C$34+Projects!$D$34),Projects!$B$34*INDEX(Curves!$B$4:$AR$4,1,66-Projects!$C$34+1),0)+IF(AND(Projects!$G$35="Yes",66&gt;=Projects!$C$35,66&lt;Projects!$C$35+Projects!$D$35),Projects!$B$35*INDEX(Curves!$B$4:$AR$4,1,66-Projects!$C$35+1),0)+IF(AND(Projects!$G$36="Yes",66&gt;=Projects!$C$36,66&lt;Projects!$C$36+Projects!$D$36),Projects!$B$36*INDEX(Curves!$B$4:$AR$4,1,66-Projects!$C$36+1),0)+IF(AND(Projects!$G$37="Yes",66&gt;=Projects!$C$37,66&lt;Projects!$C$37+Projects!$D$37),Projects!$B$37*INDEX(Curves!$B$4:$AR$4,1,66-Projects!$C$37+1),0)+IF(AND(Projects!$G$38="Yes",66&gt;=Projects!$C$38,66&lt;Projects!$C$38+Projects!$D$38),Projects!$B$38*INDEX(Curves!$B$4:$AR$4,1,66-Projects!$C$38+1),0)+IF(AND(Projects!$G$39="Yes",66&gt;=Projects!$C$39,66&lt;Projects!$C$39+Projects!$D$39),Projects!$B$39*INDEX(Curves!$B$4:$AR$4,1,66-Projects!$C$39+1),0)+IF(AND(Projects!$G$40="Yes",66&gt;=Projects!$C$40,66&lt;Projects!$C$40+Projects!$D$40),Projects!$B$40*INDEX(Curves!$B$4:$AR$4,1,66-Projects!$C$40+1),0)+IF(AND(Projects!$G$41="Yes",66&gt;=Projects!$C$41,66&lt;Projects!$C$41+Projects!$D$41),Projects!$B$41*INDEX(Curves!$B$4:$AR$4,1,66-Projects!$C$41+1),0)+IF(AND(Projects!$G$42="Yes",66&gt;=Projects!$C$42,66&lt;Projects!$C$42+Projects!$D$42),Projects!$B$42*INDEX(Curves!$B$4:$AR$4,1,66-Projects!$C$42+1),0)+IF(AND(Projects!$G$43="Yes",66&gt;=Projects!$C$43,66&lt;Projects!$C$43+Projects!$D$43),Projects!$B$43*INDEX(Curves!$B$4:$AR$4,1,66-Projects!$C$43+1),0)+IF(AND(Projects!$G$44="Yes",66&gt;=Projects!$C$44,66&lt;Projects!$C$44+Projects!$D$44),Projects!$B$44*INDEX(Curves!$B$4:$AR$4,1,66-Projects!$C$44+1),0)+IF(AND(Projects!$G$45="Yes",66&gt;=Projects!$C$45,66&lt;Projects!$C$45+Projects!$D$45),Projects!$B$45*INDEX(Curves!$B$4:$AR$4,1,66-Projects!$C$45+1),0)+IF(AND(Projects!$G$46="Yes",66&gt;=Projects!$C$46,66&lt;Projects!$C$46+Projects!$D$46),Projects!$B$46*INDEX(Curves!$B$4:$AR$4,1,66-Projects!$C$46+1),0)</f>
        <v>6628869</v>
      </c>
      <c r="BT96" s="59">
        <f>IF(AND(Projects!$G$17="Yes",67&gt;=Projects!$C$17,67&lt;Projects!$C$17+Projects!$D$17),Projects!$B$17*INDEX(Curves!$B$4:$AR$4,1,67-Projects!$C$17+1),0)+IF(AND(Projects!$G$18="Yes",67&gt;=Projects!$C$18,67&lt;Projects!$C$18+Projects!$D$18),Projects!$B$18*INDEX(Curves!$B$4:$AR$4,1,67-Projects!$C$18+1),0)+IF(AND(Projects!$G$19="Yes",67&gt;=Projects!$C$19,67&lt;Projects!$C$19+Projects!$D$19),Projects!$B$19*INDEX(Curves!$B$4:$AR$4,1,67-Projects!$C$19+1),0)+IF(AND(Projects!$G$20="Yes",67&gt;=Projects!$C$20,67&lt;Projects!$C$20+Projects!$D$20),Projects!$B$20*INDEX(Curves!$B$4:$AR$4,1,67-Projects!$C$20+1),0)+IF(AND(Projects!$G$21="Yes",67&gt;=Projects!$C$21,67&lt;Projects!$C$21+Projects!$D$21),Projects!$B$21*INDEX(Curves!$B$4:$AR$4,1,67-Projects!$C$21+1),0)+IF(AND(Projects!$G$22="Yes",67&gt;=Projects!$C$22,67&lt;Projects!$C$22+Projects!$D$22),Projects!$B$22*INDEX(Curves!$B$4:$AR$4,1,67-Projects!$C$22+1),0)+IF(AND(Projects!$G$23="Yes",67&gt;=Projects!$C$23,67&lt;Projects!$C$23+Projects!$D$23),Projects!$B$23*INDEX(Curves!$B$4:$AR$4,1,67-Projects!$C$23+1),0)+IF(AND(Projects!$G$24="Yes",67&gt;=Projects!$C$24,67&lt;Projects!$C$24+Projects!$D$24),Projects!$B$24*INDEX(Curves!$B$4:$AR$4,1,67-Projects!$C$24+1),0)+IF(AND(Projects!$G$25="Yes",67&gt;=Projects!$C$25,67&lt;Projects!$C$25+Projects!$D$25),Projects!$B$25*INDEX(Curves!$B$4:$AR$4,1,67-Projects!$C$25+1),0)+IF(AND(Projects!$G$26="Yes",67&gt;=Projects!$C$26,67&lt;Projects!$C$26+Projects!$D$26),Projects!$B$26*INDEX(Curves!$B$4:$AR$4,1,67-Projects!$C$26+1),0)+IF(AND(Projects!$G$27="Yes",67&gt;=Projects!$C$27,67&lt;Projects!$C$27+Projects!$D$27),Projects!$B$27*INDEX(Curves!$B$4:$AR$4,1,67-Projects!$C$27+1),0)+IF(AND(Projects!$G$28="Yes",67&gt;=Projects!$C$28,67&lt;Projects!$C$28+Projects!$D$28),Projects!$B$28*INDEX(Curves!$B$4:$AR$4,1,67-Projects!$C$28+1),0)+IF(AND(Projects!$G$29="Yes",67&gt;=Projects!$C$29,67&lt;Projects!$C$29+Projects!$D$29),Projects!$B$29*INDEX(Curves!$B$4:$AR$4,1,67-Projects!$C$29+1),0)+IF(AND(Projects!$G$30="Yes",67&gt;=Projects!$C$30,67&lt;Projects!$C$30+Projects!$D$30),Projects!$B$30*INDEX(Curves!$B$4:$AR$4,1,67-Projects!$C$30+1),0)+IF(AND(Projects!$G$31="Yes",67&gt;=Projects!$C$31,67&lt;Projects!$C$31+Projects!$D$31),Projects!$B$31*INDEX(Curves!$B$4:$AR$4,1,67-Projects!$C$31+1),0)+IF(AND(Projects!$G$32="Yes",67&gt;=Projects!$C$32,67&lt;Projects!$C$32+Projects!$D$32),Projects!$B$32*INDEX(Curves!$B$4:$AR$4,1,67-Projects!$C$32+1),0)+IF(AND(Projects!$G$33="Yes",67&gt;=Projects!$C$33,67&lt;Projects!$C$33+Projects!$D$33),Projects!$B$33*INDEX(Curves!$B$4:$AR$4,1,67-Projects!$C$33+1),0)+IF(AND(Projects!$G$34="Yes",67&gt;=Projects!$C$34,67&lt;Projects!$C$34+Projects!$D$34),Projects!$B$34*INDEX(Curves!$B$4:$AR$4,1,67-Projects!$C$34+1),0)+IF(AND(Projects!$G$35="Yes",67&gt;=Projects!$C$35,67&lt;Projects!$C$35+Projects!$D$35),Projects!$B$35*INDEX(Curves!$B$4:$AR$4,1,67-Projects!$C$35+1),0)+IF(AND(Projects!$G$36="Yes",67&gt;=Projects!$C$36,67&lt;Projects!$C$36+Projects!$D$36),Projects!$B$36*INDEX(Curves!$B$4:$AR$4,1,67-Projects!$C$36+1),0)+IF(AND(Projects!$G$37="Yes",67&gt;=Projects!$C$37,67&lt;Projects!$C$37+Projects!$D$37),Projects!$B$37*INDEX(Curves!$B$4:$AR$4,1,67-Projects!$C$37+1),0)+IF(AND(Projects!$G$38="Yes",67&gt;=Projects!$C$38,67&lt;Projects!$C$38+Projects!$D$38),Projects!$B$38*INDEX(Curves!$B$4:$AR$4,1,67-Projects!$C$38+1),0)+IF(AND(Projects!$G$39="Yes",67&gt;=Projects!$C$39,67&lt;Projects!$C$39+Projects!$D$39),Projects!$B$39*INDEX(Curves!$B$4:$AR$4,1,67-Projects!$C$39+1),0)+IF(AND(Projects!$G$40="Yes",67&gt;=Projects!$C$40,67&lt;Projects!$C$40+Projects!$D$40),Projects!$B$40*INDEX(Curves!$B$4:$AR$4,1,67-Projects!$C$40+1),0)+IF(AND(Projects!$G$41="Yes",67&gt;=Projects!$C$41,67&lt;Projects!$C$41+Projects!$D$41),Projects!$B$41*INDEX(Curves!$B$4:$AR$4,1,67-Projects!$C$41+1),0)+IF(AND(Projects!$G$42="Yes",67&gt;=Projects!$C$42,67&lt;Projects!$C$42+Projects!$D$42),Projects!$B$42*INDEX(Curves!$B$4:$AR$4,1,67-Projects!$C$42+1),0)+IF(AND(Projects!$G$43="Yes",67&gt;=Projects!$C$43,67&lt;Projects!$C$43+Projects!$D$43),Projects!$B$43*INDEX(Curves!$B$4:$AR$4,1,67-Projects!$C$43+1),0)+IF(AND(Projects!$G$44="Yes",67&gt;=Projects!$C$44,67&lt;Projects!$C$44+Projects!$D$44),Projects!$B$44*INDEX(Curves!$B$4:$AR$4,1,67-Projects!$C$44+1),0)+IF(AND(Projects!$G$45="Yes",67&gt;=Projects!$C$45,67&lt;Projects!$C$45+Projects!$D$45),Projects!$B$45*INDEX(Curves!$B$4:$AR$4,1,67-Projects!$C$45+1),0)+IF(AND(Projects!$G$46="Yes",67&gt;=Projects!$C$46,67&lt;Projects!$C$46+Projects!$D$46),Projects!$B$46*INDEX(Curves!$B$4:$AR$4,1,67-Projects!$C$46+1),0)</f>
        <v>6180102</v>
      </c>
      <c r="BU96" s="59">
        <f>IF(AND(Projects!$G$17="Yes",68&gt;=Projects!$C$17,68&lt;Projects!$C$17+Projects!$D$17),Projects!$B$17*INDEX(Curves!$B$4:$AR$4,1,68-Projects!$C$17+1),0)+IF(AND(Projects!$G$18="Yes",68&gt;=Projects!$C$18,68&lt;Projects!$C$18+Projects!$D$18),Projects!$B$18*INDEX(Curves!$B$4:$AR$4,1,68-Projects!$C$18+1),0)+IF(AND(Projects!$G$19="Yes",68&gt;=Projects!$C$19,68&lt;Projects!$C$19+Projects!$D$19),Projects!$B$19*INDEX(Curves!$B$4:$AR$4,1,68-Projects!$C$19+1),0)+IF(AND(Projects!$G$20="Yes",68&gt;=Projects!$C$20,68&lt;Projects!$C$20+Projects!$D$20),Projects!$B$20*INDEX(Curves!$B$4:$AR$4,1,68-Projects!$C$20+1),0)+IF(AND(Projects!$G$21="Yes",68&gt;=Projects!$C$21,68&lt;Projects!$C$21+Projects!$D$21),Projects!$B$21*INDEX(Curves!$B$4:$AR$4,1,68-Projects!$C$21+1),0)+IF(AND(Projects!$G$22="Yes",68&gt;=Projects!$C$22,68&lt;Projects!$C$22+Projects!$D$22),Projects!$B$22*INDEX(Curves!$B$4:$AR$4,1,68-Projects!$C$22+1),0)+IF(AND(Projects!$G$23="Yes",68&gt;=Projects!$C$23,68&lt;Projects!$C$23+Projects!$D$23),Projects!$B$23*INDEX(Curves!$B$4:$AR$4,1,68-Projects!$C$23+1),0)+IF(AND(Projects!$G$24="Yes",68&gt;=Projects!$C$24,68&lt;Projects!$C$24+Projects!$D$24),Projects!$B$24*INDEX(Curves!$B$4:$AR$4,1,68-Projects!$C$24+1),0)+IF(AND(Projects!$G$25="Yes",68&gt;=Projects!$C$25,68&lt;Projects!$C$25+Projects!$D$25),Projects!$B$25*INDEX(Curves!$B$4:$AR$4,1,68-Projects!$C$25+1),0)+IF(AND(Projects!$G$26="Yes",68&gt;=Projects!$C$26,68&lt;Projects!$C$26+Projects!$D$26),Projects!$B$26*INDEX(Curves!$B$4:$AR$4,1,68-Projects!$C$26+1),0)+IF(AND(Projects!$G$27="Yes",68&gt;=Projects!$C$27,68&lt;Projects!$C$27+Projects!$D$27),Projects!$B$27*INDEX(Curves!$B$4:$AR$4,1,68-Projects!$C$27+1),0)+IF(AND(Projects!$G$28="Yes",68&gt;=Projects!$C$28,68&lt;Projects!$C$28+Projects!$D$28),Projects!$B$28*INDEX(Curves!$B$4:$AR$4,1,68-Projects!$C$28+1),0)+IF(AND(Projects!$G$29="Yes",68&gt;=Projects!$C$29,68&lt;Projects!$C$29+Projects!$D$29),Projects!$B$29*INDEX(Curves!$B$4:$AR$4,1,68-Projects!$C$29+1),0)+IF(AND(Projects!$G$30="Yes",68&gt;=Projects!$C$30,68&lt;Projects!$C$30+Projects!$D$30),Projects!$B$30*INDEX(Curves!$B$4:$AR$4,1,68-Projects!$C$30+1),0)+IF(AND(Projects!$G$31="Yes",68&gt;=Projects!$C$31,68&lt;Projects!$C$31+Projects!$D$31),Projects!$B$31*INDEX(Curves!$B$4:$AR$4,1,68-Projects!$C$31+1),0)+IF(AND(Projects!$G$32="Yes",68&gt;=Projects!$C$32,68&lt;Projects!$C$32+Projects!$D$32),Projects!$B$32*INDEX(Curves!$B$4:$AR$4,1,68-Projects!$C$32+1),0)+IF(AND(Projects!$G$33="Yes",68&gt;=Projects!$C$33,68&lt;Projects!$C$33+Projects!$D$33),Projects!$B$33*INDEX(Curves!$B$4:$AR$4,1,68-Projects!$C$33+1),0)+IF(AND(Projects!$G$34="Yes",68&gt;=Projects!$C$34,68&lt;Projects!$C$34+Projects!$D$34),Projects!$B$34*INDEX(Curves!$B$4:$AR$4,1,68-Projects!$C$34+1),0)+IF(AND(Projects!$G$35="Yes",68&gt;=Projects!$C$35,68&lt;Projects!$C$35+Projects!$D$35),Projects!$B$35*INDEX(Curves!$B$4:$AR$4,1,68-Projects!$C$35+1),0)+IF(AND(Projects!$G$36="Yes",68&gt;=Projects!$C$36,68&lt;Projects!$C$36+Projects!$D$36),Projects!$B$36*INDEX(Curves!$B$4:$AR$4,1,68-Projects!$C$36+1),0)+IF(AND(Projects!$G$37="Yes",68&gt;=Projects!$C$37,68&lt;Projects!$C$37+Projects!$D$37),Projects!$B$37*INDEX(Curves!$B$4:$AR$4,1,68-Projects!$C$37+1),0)+IF(AND(Projects!$G$38="Yes",68&gt;=Projects!$C$38,68&lt;Projects!$C$38+Projects!$D$38),Projects!$B$38*INDEX(Curves!$B$4:$AR$4,1,68-Projects!$C$38+1),0)+IF(AND(Projects!$G$39="Yes",68&gt;=Projects!$C$39,68&lt;Projects!$C$39+Projects!$D$39),Projects!$B$39*INDEX(Curves!$B$4:$AR$4,1,68-Projects!$C$39+1),0)+IF(AND(Projects!$G$40="Yes",68&gt;=Projects!$C$40,68&lt;Projects!$C$40+Projects!$D$40),Projects!$B$40*INDEX(Curves!$B$4:$AR$4,1,68-Projects!$C$40+1),0)+IF(AND(Projects!$G$41="Yes",68&gt;=Projects!$C$41,68&lt;Projects!$C$41+Projects!$D$41),Projects!$B$41*INDEX(Curves!$B$4:$AR$4,1,68-Projects!$C$41+1),0)+IF(AND(Projects!$G$42="Yes",68&gt;=Projects!$C$42,68&lt;Projects!$C$42+Projects!$D$42),Projects!$B$42*INDEX(Curves!$B$4:$AR$4,1,68-Projects!$C$42+1),0)+IF(AND(Projects!$G$43="Yes",68&gt;=Projects!$C$43,68&lt;Projects!$C$43+Projects!$D$43),Projects!$B$43*INDEX(Curves!$B$4:$AR$4,1,68-Projects!$C$43+1),0)+IF(AND(Projects!$G$44="Yes",68&gt;=Projects!$C$44,68&lt;Projects!$C$44+Projects!$D$44),Projects!$B$44*INDEX(Curves!$B$4:$AR$4,1,68-Projects!$C$44+1),0)+IF(AND(Projects!$G$45="Yes",68&gt;=Projects!$C$45,68&lt;Projects!$C$45+Projects!$D$45),Projects!$B$45*INDEX(Curves!$B$4:$AR$4,1,68-Projects!$C$45+1),0)+IF(AND(Projects!$G$46="Yes",68&gt;=Projects!$C$46,68&lt;Projects!$C$46+Projects!$D$46),Projects!$B$46*INDEX(Curves!$B$4:$AR$4,1,68-Projects!$C$46+1),0)</f>
        <v>6496329</v>
      </c>
      <c r="BV96" s="59">
        <f>IF(AND(Projects!$G$17="Yes",69&gt;=Projects!$C$17,69&lt;Projects!$C$17+Projects!$D$17),Projects!$B$17*INDEX(Curves!$B$4:$AR$4,1,69-Projects!$C$17+1),0)+IF(AND(Projects!$G$18="Yes",69&gt;=Projects!$C$18,69&lt;Projects!$C$18+Projects!$D$18),Projects!$B$18*INDEX(Curves!$B$4:$AR$4,1,69-Projects!$C$18+1),0)+IF(AND(Projects!$G$19="Yes",69&gt;=Projects!$C$19,69&lt;Projects!$C$19+Projects!$D$19),Projects!$B$19*INDEX(Curves!$B$4:$AR$4,1,69-Projects!$C$19+1),0)+IF(AND(Projects!$G$20="Yes",69&gt;=Projects!$C$20,69&lt;Projects!$C$20+Projects!$D$20),Projects!$B$20*INDEX(Curves!$B$4:$AR$4,1,69-Projects!$C$20+1),0)+IF(AND(Projects!$G$21="Yes",69&gt;=Projects!$C$21,69&lt;Projects!$C$21+Projects!$D$21),Projects!$B$21*INDEX(Curves!$B$4:$AR$4,1,69-Projects!$C$21+1),0)+IF(AND(Projects!$G$22="Yes",69&gt;=Projects!$C$22,69&lt;Projects!$C$22+Projects!$D$22),Projects!$B$22*INDEX(Curves!$B$4:$AR$4,1,69-Projects!$C$22+1),0)+IF(AND(Projects!$G$23="Yes",69&gt;=Projects!$C$23,69&lt;Projects!$C$23+Projects!$D$23),Projects!$B$23*INDEX(Curves!$B$4:$AR$4,1,69-Projects!$C$23+1),0)+IF(AND(Projects!$G$24="Yes",69&gt;=Projects!$C$24,69&lt;Projects!$C$24+Projects!$D$24),Projects!$B$24*INDEX(Curves!$B$4:$AR$4,1,69-Projects!$C$24+1),0)+IF(AND(Projects!$G$25="Yes",69&gt;=Projects!$C$25,69&lt;Projects!$C$25+Projects!$D$25),Projects!$B$25*INDEX(Curves!$B$4:$AR$4,1,69-Projects!$C$25+1),0)+IF(AND(Projects!$G$26="Yes",69&gt;=Projects!$C$26,69&lt;Projects!$C$26+Projects!$D$26),Projects!$B$26*INDEX(Curves!$B$4:$AR$4,1,69-Projects!$C$26+1),0)+IF(AND(Projects!$G$27="Yes",69&gt;=Projects!$C$27,69&lt;Projects!$C$27+Projects!$D$27),Projects!$B$27*INDEX(Curves!$B$4:$AR$4,1,69-Projects!$C$27+1),0)+IF(AND(Projects!$G$28="Yes",69&gt;=Projects!$C$28,69&lt;Projects!$C$28+Projects!$D$28),Projects!$B$28*INDEX(Curves!$B$4:$AR$4,1,69-Projects!$C$28+1),0)+IF(AND(Projects!$G$29="Yes",69&gt;=Projects!$C$29,69&lt;Projects!$C$29+Projects!$D$29),Projects!$B$29*INDEX(Curves!$B$4:$AR$4,1,69-Projects!$C$29+1),0)+IF(AND(Projects!$G$30="Yes",69&gt;=Projects!$C$30,69&lt;Projects!$C$30+Projects!$D$30),Projects!$B$30*INDEX(Curves!$B$4:$AR$4,1,69-Projects!$C$30+1),0)+IF(AND(Projects!$G$31="Yes",69&gt;=Projects!$C$31,69&lt;Projects!$C$31+Projects!$D$31),Projects!$B$31*INDEX(Curves!$B$4:$AR$4,1,69-Projects!$C$31+1),0)+IF(AND(Projects!$G$32="Yes",69&gt;=Projects!$C$32,69&lt;Projects!$C$32+Projects!$D$32),Projects!$B$32*INDEX(Curves!$B$4:$AR$4,1,69-Projects!$C$32+1),0)+IF(AND(Projects!$G$33="Yes",69&gt;=Projects!$C$33,69&lt;Projects!$C$33+Projects!$D$33),Projects!$B$33*INDEX(Curves!$B$4:$AR$4,1,69-Projects!$C$33+1),0)+IF(AND(Projects!$G$34="Yes",69&gt;=Projects!$C$34,69&lt;Projects!$C$34+Projects!$D$34),Projects!$B$34*INDEX(Curves!$B$4:$AR$4,1,69-Projects!$C$34+1),0)+IF(AND(Projects!$G$35="Yes",69&gt;=Projects!$C$35,69&lt;Projects!$C$35+Projects!$D$35),Projects!$B$35*INDEX(Curves!$B$4:$AR$4,1,69-Projects!$C$35+1),0)+IF(AND(Projects!$G$36="Yes",69&gt;=Projects!$C$36,69&lt;Projects!$C$36+Projects!$D$36),Projects!$B$36*INDEX(Curves!$B$4:$AR$4,1,69-Projects!$C$36+1),0)+IF(AND(Projects!$G$37="Yes",69&gt;=Projects!$C$37,69&lt;Projects!$C$37+Projects!$D$37),Projects!$B$37*INDEX(Curves!$B$4:$AR$4,1,69-Projects!$C$37+1),0)+IF(AND(Projects!$G$38="Yes",69&gt;=Projects!$C$38,69&lt;Projects!$C$38+Projects!$D$38),Projects!$B$38*INDEX(Curves!$B$4:$AR$4,1,69-Projects!$C$38+1),0)+IF(AND(Projects!$G$39="Yes",69&gt;=Projects!$C$39,69&lt;Projects!$C$39+Projects!$D$39),Projects!$B$39*INDEX(Curves!$B$4:$AR$4,1,69-Projects!$C$39+1),0)+IF(AND(Projects!$G$40="Yes",69&gt;=Projects!$C$40,69&lt;Projects!$C$40+Projects!$D$40),Projects!$B$40*INDEX(Curves!$B$4:$AR$4,1,69-Projects!$C$40+1),0)+IF(AND(Projects!$G$41="Yes",69&gt;=Projects!$C$41,69&lt;Projects!$C$41+Projects!$D$41),Projects!$B$41*INDEX(Curves!$B$4:$AR$4,1,69-Projects!$C$41+1),0)+IF(AND(Projects!$G$42="Yes",69&gt;=Projects!$C$42,69&lt;Projects!$C$42+Projects!$D$42),Projects!$B$42*INDEX(Curves!$B$4:$AR$4,1,69-Projects!$C$42+1),0)+IF(AND(Projects!$G$43="Yes",69&gt;=Projects!$C$43,69&lt;Projects!$C$43+Projects!$D$43),Projects!$B$43*INDEX(Curves!$B$4:$AR$4,1,69-Projects!$C$43+1),0)+IF(AND(Projects!$G$44="Yes",69&gt;=Projects!$C$44,69&lt;Projects!$C$44+Projects!$D$44),Projects!$B$44*INDEX(Curves!$B$4:$AR$4,1,69-Projects!$C$44+1),0)+IF(AND(Projects!$G$45="Yes",69&gt;=Projects!$C$45,69&lt;Projects!$C$45+Projects!$D$45),Projects!$B$45*INDEX(Curves!$B$4:$AR$4,1,69-Projects!$C$45+1),0)+IF(AND(Projects!$G$46="Yes",69&gt;=Projects!$C$46,69&lt;Projects!$C$46+Projects!$D$46),Projects!$B$46*INDEX(Curves!$B$4:$AR$4,1,69-Projects!$C$46+1),0)</f>
        <v>6345600</v>
      </c>
      <c r="BW96" s="59">
        <f>IF(AND(Projects!$G$17="Yes",70&gt;=Projects!$C$17,70&lt;Projects!$C$17+Projects!$D$17),Projects!$B$17*INDEX(Curves!$B$4:$AR$4,1,70-Projects!$C$17+1),0)+IF(AND(Projects!$G$18="Yes",70&gt;=Projects!$C$18,70&lt;Projects!$C$18+Projects!$D$18),Projects!$B$18*INDEX(Curves!$B$4:$AR$4,1,70-Projects!$C$18+1),0)+IF(AND(Projects!$G$19="Yes",70&gt;=Projects!$C$19,70&lt;Projects!$C$19+Projects!$D$19),Projects!$B$19*INDEX(Curves!$B$4:$AR$4,1,70-Projects!$C$19+1),0)+IF(AND(Projects!$G$20="Yes",70&gt;=Projects!$C$20,70&lt;Projects!$C$20+Projects!$D$20),Projects!$B$20*INDEX(Curves!$B$4:$AR$4,1,70-Projects!$C$20+1),0)+IF(AND(Projects!$G$21="Yes",70&gt;=Projects!$C$21,70&lt;Projects!$C$21+Projects!$D$21),Projects!$B$21*INDEX(Curves!$B$4:$AR$4,1,70-Projects!$C$21+1),0)+IF(AND(Projects!$G$22="Yes",70&gt;=Projects!$C$22,70&lt;Projects!$C$22+Projects!$D$22),Projects!$B$22*INDEX(Curves!$B$4:$AR$4,1,70-Projects!$C$22+1),0)+IF(AND(Projects!$G$23="Yes",70&gt;=Projects!$C$23,70&lt;Projects!$C$23+Projects!$D$23),Projects!$B$23*INDEX(Curves!$B$4:$AR$4,1,70-Projects!$C$23+1),0)+IF(AND(Projects!$G$24="Yes",70&gt;=Projects!$C$24,70&lt;Projects!$C$24+Projects!$D$24),Projects!$B$24*INDEX(Curves!$B$4:$AR$4,1,70-Projects!$C$24+1),0)+IF(AND(Projects!$G$25="Yes",70&gt;=Projects!$C$25,70&lt;Projects!$C$25+Projects!$D$25),Projects!$B$25*INDEX(Curves!$B$4:$AR$4,1,70-Projects!$C$25+1),0)+IF(AND(Projects!$G$26="Yes",70&gt;=Projects!$C$26,70&lt;Projects!$C$26+Projects!$D$26),Projects!$B$26*INDEX(Curves!$B$4:$AR$4,1,70-Projects!$C$26+1),0)+IF(AND(Projects!$G$27="Yes",70&gt;=Projects!$C$27,70&lt;Projects!$C$27+Projects!$D$27),Projects!$B$27*INDEX(Curves!$B$4:$AR$4,1,70-Projects!$C$27+1),0)+IF(AND(Projects!$G$28="Yes",70&gt;=Projects!$C$28,70&lt;Projects!$C$28+Projects!$D$28),Projects!$B$28*INDEX(Curves!$B$4:$AR$4,1,70-Projects!$C$28+1),0)+IF(AND(Projects!$G$29="Yes",70&gt;=Projects!$C$29,70&lt;Projects!$C$29+Projects!$D$29),Projects!$B$29*INDEX(Curves!$B$4:$AR$4,1,70-Projects!$C$29+1),0)+IF(AND(Projects!$G$30="Yes",70&gt;=Projects!$C$30,70&lt;Projects!$C$30+Projects!$D$30),Projects!$B$30*INDEX(Curves!$B$4:$AR$4,1,70-Projects!$C$30+1),0)+IF(AND(Projects!$G$31="Yes",70&gt;=Projects!$C$31,70&lt;Projects!$C$31+Projects!$D$31),Projects!$B$31*INDEX(Curves!$B$4:$AR$4,1,70-Projects!$C$31+1),0)+IF(AND(Projects!$G$32="Yes",70&gt;=Projects!$C$32,70&lt;Projects!$C$32+Projects!$D$32),Projects!$B$32*INDEX(Curves!$B$4:$AR$4,1,70-Projects!$C$32+1),0)+IF(AND(Projects!$G$33="Yes",70&gt;=Projects!$C$33,70&lt;Projects!$C$33+Projects!$D$33),Projects!$B$33*INDEX(Curves!$B$4:$AR$4,1,70-Projects!$C$33+1),0)+IF(AND(Projects!$G$34="Yes",70&gt;=Projects!$C$34,70&lt;Projects!$C$34+Projects!$D$34),Projects!$B$34*INDEX(Curves!$B$4:$AR$4,1,70-Projects!$C$34+1),0)+IF(AND(Projects!$G$35="Yes",70&gt;=Projects!$C$35,70&lt;Projects!$C$35+Projects!$D$35),Projects!$B$35*INDEX(Curves!$B$4:$AR$4,1,70-Projects!$C$35+1),0)+IF(AND(Projects!$G$36="Yes",70&gt;=Projects!$C$36,70&lt;Projects!$C$36+Projects!$D$36),Projects!$B$36*INDEX(Curves!$B$4:$AR$4,1,70-Projects!$C$36+1),0)+IF(AND(Projects!$G$37="Yes",70&gt;=Projects!$C$37,70&lt;Projects!$C$37+Projects!$D$37),Projects!$B$37*INDEX(Curves!$B$4:$AR$4,1,70-Projects!$C$37+1),0)+IF(AND(Projects!$G$38="Yes",70&gt;=Projects!$C$38,70&lt;Projects!$C$38+Projects!$D$38),Projects!$B$38*INDEX(Curves!$B$4:$AR$4,1,70-Projects!$C$38+1),0)+IF(AND(Projects!$G$39="Yes",70&gt;=Projects!$C$39,70&lt;Projects!$C$39+Projects!$D$39),Projects!$B$39*INDEX(Curves!$B$4:$AR$4,1,70-Projects!$C$39+1),0)+IF(AND(Projects!$G$40="Yes",70&gt;=Projects!$C$40,70&lt;Projects!$C$40+Projects!$D$40),Projects!$B$40*INDEX(Curves!$B$4:$AR$4,1,70-Projects!$C$40+1),0)+IF(AND(Projects!$G$41="Yes",70&gt;=Projects!$C$41,70&lt;Projects!$C$41+Projects!$D$41),Projects!$B$41*INDEX(Curves!$B$4:$AR$4,1,70-Projects!$C$41+1),0)+IF(AND(Projects!$G$42="Yes",70&gt;=Projects!$C$42,70&lt;Projects!$C$42+Projects!$D$42),Projects!$B$42*INDEX(Curves!$B$4:$AR$4,1,70-Projects!$C$42+1),0)+IF(AND(Projects!$G$43="Yes",70&gt;=Projects!$C$43,70&lt;Projects!$C$43+Projects!$D$43),Projects!$B$43*INDEX(Curves!$B$4:$AR$4,1,70-Projects!$C$43+1),0)+IF(AND(Projects!$G$44="Yes",70&gt;=Projects!$C$44,70&lt;Projects!$C$44+Projects!$D$44),Projects!$B$44*INDEX(Curves!$B$4:$AR$4,1,70-Projects!$C$44+1),0)+IF(AND(Projects!$G$45="Yes",70&gt;=Projects!$C$45,70&lt;Projects!$C$45+Projects!$D$45),Projects!$B$45*INDEX(Curves!$B$4:$AR$4,1,70-Projects!$C$45+1),0)+IF(AND(Projects!$G$46="Yes",70&gt;=Projects!$C$46,70&lt;Projects!$C$46+Projects!$D$46),Projects!$B$46*INDEX(Curves!$B$4:$AR$4,1,70-Projects!$C$46+1),0)</f>
        <v>6114504</v>
      </c>
      <c r="BX96" s="59">
        <f>IF(AND(Projects!$G$17="Yes",71&gt;=Projects!$C$17,71&lt;Projects!$C$17+Projects!$D$17),Projects!$B$17*INDEX(Curves!$B$4:$AR$4,1,71-Projects!$C$17+1),0)+IF(AND(Projects!$G$18="Yes",71&gt;=Projects!$C$18,71&lt;Projects!$C$18+Projects!$D$18),Projects!$B$18*INDEX(Curves!$B$4:$AR$4,1,71-Projects!$C$18+1),0)+IF(AND(Projects!$G$19="Yes",71&gt;=Projects!$C$19,71&lt;Projects!$C$19+Projects!$D$19),Projects!$B$19*INDEX(Curves!$B$4:$AR$4,1,71-Projects!$C$19+1),0)+IF(AND(Projects!$G$20="Yes",71&gt;=Projects!$C$20,71&lt;Projects!$C$20+Projects!$D$20),Projects!$B$20*INDEX(Curves!$B$4:$AR$4,1,71-Projects!$C$20+1),0)+IF(AND(Projects!$G$21="Yes",71&gt;=Projects!$C$21,71&lt;Projects!$C$21+Projects!$D$21),Projects!$B$21*INDEX(Curves!$B$4:$AR$4,1,71-Projects!$C$21+1),0)+IF(AND(Projects!$G$22="Yes",71&gt;=Projects!$C$22,71&lt;Projects!$C$22+Projects!$D$22),Projects!$B$22*INDEX(Curves!$B$4:$AR$4,1,71-Projects!$C$22+1),0)+IF(AND(Projects!$G$23="Yes",71&gt;=Projects!$C$23,71&lt;Projects!$C$23+Projects!$D$23),Projects!$B$23*INDEX(Curves!$B$4:$AR$4,1,71-Projects!$C$23+1),0)+IF(AND(Projects!$G$24="Yes",71&gt;=Projects!$C$24,71&lt;Projects!$C$24+Projects!$D$24),Projects!$B$24*INDEX(Curves!$B$4:$AR$4,1,71-Projects!$C$24+1),0)+IF(AND(Projects!$G$25="Yes",71&gt;=Projects!$C$25,71&lt;Projects!$C$25+Projects!$D$25),Projects!$B$25*INDEX(Curves!$B$4:$AR$4,1,71-Projects!$C$25+1),0)+IF(AND(Projects!$G$26="Yes",71&gt;=Projects!$C$26,71&lt;Projects!$C$26+Projects!$D$26),Projects!$B$26*INDEX(Curves!$B$4:$AR$4,1,71-Projects!$C$26+1),0)+IF(AND(Projects!$G$27="Yes",71&gt;=Projects!$C$27,71&lt;Projects!$C$27+Projects!$D$27),Projects!$B$27*INDEX(Curves!$B$4:$AR$4,1,71-Projects!$C$27+1),0)+IF(AND(Projects!$G$28="Yes",71&gt;=Projects!$C$28,71&lt;Projects!$C$28+Projects!$D$28),Projects!$B$28*INDEX(Curves!$B$4:$AR$4,1,71-Projects!$C$28+1),0)+IF(AND(Projects!$G$29="Yes",71&gt;=Projects!$C$29,71&lt;Projects!$C$29+Projects!$D$29),Projects!$B$29*INDEX(Curves!$B$4:$AR$4,1,71-Projects!$C$29+1),0)+IF(AND(Projects!$G$30="Yes",71&gt;=Projects!$C$30,71&lt;Projects!$C$30+Projects!$D$30),Projects!$B$30*INDEX(Curves!$B$4:$AR$4,1,71-Projects!$C$30+1),0)+IF(AND(Projects!$G$31="Yes",71&gt;=Projects!$C$31,71&lt;Projects!$C$31+Projects!$D$31),Projects!$B$31*INDEX(Curves!$B$4:$AR$4,1,71-Projects!$C$31+1),0)+IF(AND(Projects!$G$32="Yes",71&gt;=Projects!$C$32,71&lt;Projects!$C$32+Projects!$D$32),Projects!$B$32*INDEX(Curves!$B$4:$AR$4,1,71-Projects!$C$32+1),0)+IF(AND(Projects!$G$33="Yes",71&gt;=Projects!$C$33,71&lt;Projects!$C$33+Projects!$D$33),Projects!$B$33*INDEX(Curves!$B$4:$AR$4,1,71-Projects!$C$33+1),0)+IF(AND(Projects!$G$34="Yes",71&gt;=Projects!$C$34,71&lt;Projects!$C$34+Projects!$D$34),Projects!$B$34*INDEX(Curves!$B$4:$AR$4,1,71-Projects!$C$34+1),0)+IF(AND(Projects!$G$35="Yes",71&gt;=Projects!$C$35,71&lt;Projects!$C$35+Projects!$D$35),Projects!$B$35*INDEX(Curves!$B$4:$AR$4,1,71-Projects!$C$35+1),0)+IF(AND(Projects!$G$36="Yes",71&gt;=Projects!$C$36,71&lt;Projects!$C$36+Projects!$D$36),Projects!$B$36*INDEX(Curves!$B$4:$AR$4,1,71-Projects!$C$36+1),0)+IF(AND(Projects!$G$37="Yes",71&gt;=Projects!$C$37,71&lt;Projects!$C$37+Projects!$D$37),Projects!$B$37*INDEX(Curves!$B$4:$AR$4,1,71-Projects!$C$37+1),0)+IF(AND(Projects!$G$38="Yes",71&gt;=Projects!$C$38,71&lt;Projects!$C$38+Projects!$D$38),Projects!$B$38*INDEX(Curves!$B$4:$AR$4,1,71-Projects!$C$38+1),0)+IF(AND(Projects!$G$39="Yes",71&gt;=Projects!$C$39,71&lt;Projects!$C$39+Projects!$D$39),Projects!$B$39*INDEX(Curves!$B$4:$AR$4,1,71-Projects!$C$39+1),0)+IF(AND(Projects!$G$40="Yes",71&gt;=Projects!$C$40,71&lt;Projects!$C$40+Projects!$D$40),Projects!$B$40*INDEX(Curves!$B$4:$AR$4,1,71-Projects!$C$40+1),0)+IF(AND(Projects!$G$41="Yes",71&gt;=Projects!$C$41,71&lt;Projects!$C$41+Projects!$D$41),Projects!$B$41*INDEX(Curves!$B$4:$AR$4,1,71-Projects!$C$41+1),0)+IF(AND(Projects!$G$42="Yes",71&gt;=Projects!$C$42,71&lt;Projects!$C$42+Projects!$D$42),Projects!$B$42*INDEX(Curves!$B$4:$AR$4,1,71-Projects!$C$42+1),0)+IF(AND(Projects!$G$43="Yes",71&gt;=Projects!$C$43,71&lt;Projects!$C$43+Projects!$D$43),Projects!$B$43*INDEX(Curves!$B$4:$AR$4,1,71-Projects!$C$43+1),0)+IF(AND(Projects!$G$44="Yes",71&gt;=Projects!$C$44,71&lt;Projects!$C$44+Projects!$D$44),Projects!$B$44*INDEX(Curves!$B$4:$AR$4,1,71-Projects!$C$44+1),0)+IF(AND(Projects!$G$45="Yes",71&gt;=Projects!$C$45,71&lt;Projects!$C$45+Projects!$D$45),Projects!$B$45*INDEX(Curves!$B$4:$AR$4,1,71-Projects!$C$45+1),0)+IF(AND(Projects!$G$46="Yes",71&gt;=Projects!$C$46,71&lt;Projects!$C$46+Projects!$D$46),Projects!$B$46*INDEX(Curves!$B$4:$AR$4,1,71-Projects!$C$46+1),0)</f>
        <v>5438307</v>
      </c>
      <c r="BY96" s="59">
        <f>IF(AND(Projects!$G$17="Yes",72&gt;=Projects!$C$17,72&lt;Projects!$C$17+Projects!$D$17),Projects!$B$17*INDEX(Curves!$B$4:$AR$4,1,72-Projects!$C$17+1),0)+IF(AND(Projects!$G$18="Yes",72&gt;=Projects!$C$18,72&lt;Projects!$C$18+Projects!$D$18),Projects!$B$18*INDEX(Curves!$B$4:$AR$4,1,72-Projects!$C$18+1),0)+IF(AND(Projects!$G$19="Yes",72&gt;=Projects!$C$19,72&lt;Projects!$C$19+Projects!$D$19),Projects!$B$19*INDEX(Curves!$B$4:$AR$4,1,72-Projects!$C$19+1),0)+IF(AND(Projects!$G$20="Yes",72&gt;=Projects!$C$20,72&lt;Projects!$C$20+Projects!$D$20),Projects!$B$20*INDEX(Curves!$B$4:$AR$4,1,72-Projects!$C$20+1),0)+IF(AND(Projects!$G$21="Yes",72&gt;=Projects!$C$21,72&lt;Projects!$C$21+Projects!$D$21),Projects!$B$21*INDEX(Curves!$B$4:$AR$4,1,72-Projects!$C$21+1),0)+IF(AND(Projects!$G$22="Yes",72&gt;=Projects!$C$22,72&lt;Projects!$C$22+Projects!$D$22),Projects!$B$22*INDEX(Curves!$B$4:$AR$4,1,72-Projects!$C$22+1),0)+IF(AND(Projects!$G$23="Yes",72&gt;=Projects!$C$23,72&lt;Projects!$C$23+Projects!$D$23),Projects!$B$23*INDEX(Curves!$B$4:$AR$4,1,72-Projects!$C$23+1),0)+IF(AND(Projects!$G$24="Yes",72&gt;=Projects!$C$24,72&lt;Projects!$C$24+Projects!$D$24),Projects!$B$24*INDEX(Curves!$B$4:$AR$4,1,72-Projects!$C$24+1),0)+IF(AND(Projects!$G$25="Yes",72&gt;=Projects!$C$25,72&lt;Projects!$C$25+Projects!$D$25),Projects!$B$25*INDEX(Curves!$B$4:$AR$4,1,72-Projects!$C$25+1),0)+IF(AND(Projects!$G$26="Yes",72&gt;=Projects!$C$26,72&lt;Projects!$C$26+Projects!$D$26),Projects!$B$26*INDEX(Curves!$B$4:$AR$4,1,72-Projects!$C$26+1),0)+IF(AND(Projects!$G$27="Yes",72&gt;=Projects!$C$27,72&lt;Projects!$C$27+Projects!$D$27),Projects!$B$27*INDEX(Curves!$B$4:$AR$4,1,72-Projects!$C$27+1),0)+IF(AND(Projects!$G$28="Yes",72&gt;=Projects!$C$28,72&lt;Projects!$C$28+Projects!$D$28),Projects!$B$28*INDEX(Curves!$B$4:$AR$4,1,72-Projects!$C$28+1),0)+IF(AND(Projects!$G$29="Yes",72&gt;=Projects!$C$29,72&lt;Projects!$C$29+Projects!$D$29),Projects!$B$29*INDEX(Curves!$B$4:$AR$4,1,72-Projects!$C$29+1),0)+IF(AND(Projects!$G$30="Yes",72&gt;=Projects!$C$30,72&lt;Projects!$C$30+Projects!$D$30),Projects!$B$30*INDEX(Curves!$B$4:$AR$4,1,72-Projects!$C$30+1),0)+IF(AND(Projects!$G$31="Yes",72&gt;=Projects!$C$31,72&lt;Projects!$C$31+Projects!$D$31),Projects!$B$31*INDEX(Curves!$B$4:$AR$4,1,72-Projects!$C$31+1),0)+IF(AND(Projects!$G$32="Yes",72&gt;=Projects!$C$32,72&lt;Projects!$C$32+Projects!$D$32),Projects!$B$32*INDEX(Curves!$B$4:$AR$4,1,72-Projects!$C$32+1),0)+IF(AND(Projects!$G$33="Yes",72&gt;=Projects!$C$33,72&lt;Projects!$C$33+Projects!$D$33),Projects!$B$33*INDEX(Curves!$B$4:$AR$4,1,72-Projects!$C$33+1),0)+IF(AND(Projects!$G$34="Yes",72&gt;=Projects!$C$34,72&lt;Projects!$C$34+Projects!$D$34),Projects!$B$34*INDEX(Curves!$B$4:$AR$4,1,72-Projects!$C$34+1),0)+IF(AND(Projects!$G$35="Yes",72&gt;=Projects!$C$35,72&lt;Projects!$C$35+Projects!$D$35),Projects!$B$35*INDEX(Curves!$B$4:$AR$4,1,72-Projects!$C$35+1),0)+IF(AND(Projects!$G$36="Yes",72&gt;=Projects!$C$36,72&lt;Projects!$C$36+Projects!$D$36),Projects!$B$36*INDEX(Curves!$B$4:$AR$4,1,72-Projects!$C$36+1),0)+IF(AND(Projects!$G$37="Yes",72&gt;=Projects!$C$37,72&lt;Projects!$C$37+Projects!$D$37),Projects!$B$37*INDEX(Curves!$B$4:$AR$4,1,72-Projects!$C$37+1),0)+IF(AND(Projects!$G$38="Yes",72&gt;=Projects!$C$38,72&lt;Projects!$C$38+Projects!$D$38),Projects!$B$38*INDEX(Curves!$B$4:$AR$4,1,72-Projects!$C$38+1),0)+IF(AND(Projects!$G$39="Yes",72&gt;=Projects!$C$39,72&lt;Projects!$C$39+Projects!$D$39),Projects!$B$39*INDEX(Curves!$B$4:$AR$4,1,72-Projects!$C$39+1),0)+IF(AND(Projects!$G$40="Yes",72&gt;=Projects!$C$40,72&lt;Projects!$C$40+Projects!$D$40),Projects!$B$40*INDEX(Curves!$B$4:$AR$4,1,72-Projects!$C$40+1),0)+IF(AND(Projects!$G$41="Yes",72&gt;=Projects!$C$41,72&lt;Projects!$C$41+Projects!$D$41),Projects!$B$41*INDEX(Curves!$B$4:$AR$4,1,72-Projects!$C$41+1),0)+IF(AND(Projects!$G$42="Yes",72&gt;=Projects!$C$42,72&lt;Projects!$C$42+Projects!$D$42),Projects!$B$42*INDEX(Curves!$B$4:$AR$4,1,72-Projects!$C$42+1),0)+IF(AND(Projects!$G$43="Yes",72&gt;=Projects!$C$43,72&lt;Projects!$C$43+Projects!$D$43),Projects!$B$43*INDEX(Curves!$B$4:$AR$4,1,72-Projects!$C$43+1),0)+IF(AND(Projects!$G$44="Yes",72&gt;=Projects!$C$44,72&lt;Projects!$C$44+Projects!$D$44),Projects!$B$44*INDEX(Curves!$B$4:$AR$4,1,72-Projects!$C$44+1),0)+IF(AND(Projects!$G$45="Yes",72&gt;=Projects!$C$45,72&lt;Projects!$C$45+Projects!$D$45),Projects!$B$45*INDEX(Curves!$B$4:$AR$4,1,72-Projects!$C$45+1),0)+IF(AND(Projects!$G$46="Yes",72&gt;=Projects!$C$46,72&lt;Projects!$C$46+Projects!$D$46),Projects!$B$46*INDEX(Curves!$B$4:$AR$4,1,72-Projects!$C$46+1),0)</f>
        <v>5171064</v>
      </c>
      <c r="BZ96" s="59">
        <f>IF(AND(Projects!$G$17="Yes",73&gt;=Projects!$C$17,73&lt;Projects!$C$17+Projects!$D$17),Projects!$B$17*INDEX(Curves!$B$4:$AR$4,1,73-Projects!$C$17+1),0)+IF(AND(Projects!$G$18="Yes",73&gt;=Projects!$C$18,73&lt;Projects!$C$18+Projects!$D$18),Projects!$B$18*INDEX(Curves!$B$4:$AR$4,1,73-Projects!$C$18+1),0)+IF(AND(Projects!$G$19="Yes",73&gt;=Projects!$C$19,73&lt;Projects!$C$19+Projects!$D$19),Projects!$B$19*INDEX(Curves!$B$4:$AR$4,1,73-Projects!$C$19+1),0)+IF(AND(Projects!$G$20="Yes",73&gt;=Projects!$C$20,73&lt;Projects!$C$20+Projects!$D$20),Projects!$B$20*INDEX(Curves!$B$4:$AR$4,1,73-Projects!$C$20+1),0)+IF(AND(Projects!$G$21="Yes",73&gt;=Projects!$C$21,73&lt;Projects!$C$21+Projects!$D$21),Projects!$B$21*INDEX(Curves!$B$4:$AR$4,1,73-Projects!$C$21+1),0)+IF(AND(Projects!$G$22="Yes",73&gt;=Projects!$C$22,73&lt;Projects!$C$22+Projects!$D$22),Projects!$B$22*INDEX(Curves!$B$4:$AR$4,1,73-Projects!$C$22+1),0)+IF(AND(Projects!$G$23="Yes",73&gt;=Projects!$C$23,73&lt;Projects!$C$23+Projects!$D$23),Projects!$B$23*INDEX(Curves!$B$4:$AR$4,1,73-Projects!$C$23+1),0)+IF(AND(Projects!$G$24="Yes",73&gt;=Projects!$C$24,73&lt;Projects!$C$24+Projects!$D$24),Projects!$B$24*INDEX(Curves!$B$4:$AR$4,1,73-Projects!$C$24+1),0)+IF(AND(Projects!$G$25="Yes",73&gt;=Projects!$C$25,73&lt;Projects!$C$25+Projects!$D$25),Projects!$B$25*INDEX(Curves!$B$4:$AR$4,1,73-Projects!$C$25+1),0)+IF(AND(Projects!$G$26="Yes",73&gt;=Projects!$C$26,73&lt;Projects!$C$26+Projects!$D$26),Projects!$B$26*INDEX(Curves!$B$4:$AR$4,1,73-Projects!$C$26+1),0)+IF(AND(Projects!$G$27="Yes",73&gt;=Projects!$C$27,73&lt;Projects!$C$27+Projects!$D$27),Projects!$B$27*INDEX(Curves!$B$4:$AR$4,1,73-Projects!$C$27+1),0)+IF(AND(Projects!$G$28="Yes",73&gt;=Projects!$C$28,73&lt;Projects!$C$28+Projects!$D$28),Projects!$B$28*INDEX(Curves!$B$4:$AR$4,1,73-Projects!$C$28+1),0)+IF(AND(Projects!$G$29="Yes",73&gt;=Projects!$C$29,73&lt;Projects!$C$29+Projects!$D$29),Projects!$B$29*INDEX(Curves!$B$4:$AR$4,1,73-Projects!$C$29+1),0)+IF(AND(Projects!$G$30="Yes",73&gt;=Projects!$C$30,73&lt;Projects!$C$30+Projects!$D$30),Projects!$B$30*INDEX(Curves!$B$4:$AR$4,1,73-Projects!$C$30+1),0)+IF(AND(Projects!$G$31="Yes",73&gt;=Projects!$C$31,73&lt;Projects!$C$31+Projects!$D$31),Projects!$B$31*INDEX(Curves!$B$4:$AR$4,1,73-Projects!$C$31+1),0)+IF(AND(Projects!$G$32="Yes",73&gt;=Projects!$C$32,73&lt;Projects!$C$32+Projects!$D$32),Projects!$B$32*INDEX(Curves!$B$4:$AR$4,1,73-Projects!$C$32+1),0)+IF(AND(Projects!$G$33="Yes",73&gt;=Projects!$C$33,73&lt;Projects!$C$33+Projects!$D$33),Projects!$B$33*INDEX(Curves!$B$4:$AR$4,1,73-Projects!$C$33+1),0)+IF(AND(Projects!$G$34="Yes",73&gt;=Projects!$C$34,73&lt;Projects!$C$34+Projects!$D$34),Projects!$B$34*INDEX(Curves!$B$4:$AR$4,1,73-Projects!$C$34+1),0)+IF(AND(Projects!$G$35="Yes",73&gt;=Projects!$C$35,73&lt;Projects!$C$35+Projects!$D$35),Projects!$B$35*INDEX(Curves!$B$4:$AR$4,1,73-Projects!$C$35+1),0)+IF(AND(Projects!$G$36="Yes",73&gt;=Projects!$C$36,73&lt;Projects!$C$36+Projects!$D$36),Projects!$B$36*INDEX(Curves!$B$4:$AR$4,1,73-Projects!$C$36+1),0)+IF(AND(Projects!$G$37="Yes",73&gt;=Projects!$C$37,73&lt;Projects!$C$37+Projects!$D$37),Projects!$B$37*INDEX(Curves!$B$4:$AR$4,1,73-Projects!$C$37+1),0)+IF(AND(Projects!$G$38="Yes",73&gt;=Projects!$C$38,73&lt;Projects!$C$38+Projects!$D$38),Projects!$B$38*INDEX(Curves!$B$4:$AR$4,1,73-Projects!$C$38+1),0)+IF(AND(Projects!$G$39="Yes",73&gt;=Projects!$C$39,73&lt;Projects!$C$39+Projects!$D$39),Projects!$B$39*INDEX(Curves!$B$4:$AR$4,1,73-Projects!$C$39+1),0)+IF(AND(Projects!$G$40="Yes",73&gt;=Projects!$C$40,73&lt;Projects!$C$40+Projects!$D$40),Projects!$B$40*INDEX(Curves!$B$4:$AR$4,1,73-Projects!$C$40+1),0)+IF(AND(Projects!$G$41="Yes",73&gt;=Projects!$C$41,73&lt;Projects!$C$41+Projects!$D$41),Projects!$B$41*INDEX(Curves!$B$4:$AR$4,1,73-Projects!$C$41+1),0)+IF(AND(Projects!$G$42="Yes",73&gt;=Projects!$C$42,73&lt;Projects!$C$42+Projects!$D$42),Projects!$B$42*INDEX(Curves!$B$4:$AR$4,1,73-Projects!$C$42+1),0)+IF(AND(Projects!$G$43="Yes",73&gt;=Projects!$C$43,73&lt;Projects!$C$43+Projects!$D$43),Projects!$B$43*INDEX(Curves!$B$4:$AR$4,1,73-Projects!$C$43+1),0)+IF(AND(Projects!$G$44="Yes",73&gt;=Projects!$C$44,73&lt;Projects!$C$44+Projects!$D$44),Projects!$B$44*INDEX(Curves!$B$4:$AR$4,1,73-Projects!$C$44+1),0)+IF(AND(Projects!$G$45="Yes",73&gt;=Projects!$C$45,73&lt;Projects!$C$45+Projects!$D$45),Projects!$B$45*INDEX(Curves!$B$4:$AR$4,1,73-Projects!$C$45+1),0)+IF(AND(Projects!$G$46="Yes",73&gt;=Projects!$C$46,73&lt;Projects!$C$46+Projects!$D$46),Projects!$B$46*INDEX(Curves!$B$4:$AR$4,1,73-Projects!$C$46+1),0)</f>
        <v>4534929</v>
      </c>
      <c r="CA96" s="59">
        <f>IF(AND(Projects!$G$17="Yes",74&gt;=Projects!$C$17,74&lt;Projects!$C$17+Projects!$D$17),Projects!$B$17*INDEX(Curves!$B$4:$AR$4,1,74-Projects!$C$17+1),0)+IF(AND(Projects!$G$18="Yes",74&gt;=Projects!$C$18,74&lt;Projects!$C$18+Projects!$D$18),Projects!$B$18*INDEX(Curves!$B$4:$AR$4,1,74-Projects!$C$18+1),0)+IF(AND(Projects!$G$19="Yes",74&gt;=Projects!$C$19,74&lt;Projects!$C$19+Projects!$D$19),Projects!$B$19*INDEX(Curves!$B$4:$AR$4,1,74-Projects!$C$19+1),0)+IF(AND(Projects!$G$20="Yes",74&gt;=Projects!$C$20,74&lt;Projects!$C$20+Projects!$D$20),Projects!$B$20*INDEX(Curves!$B$4:$AR$4,1,74-Projects!$C$20+1),0)+IF(AND(Projects!$G$21="Yes",74&gt;=Projects!$C$21,74&lt;Projects!$C$21+Projects!$D$21),Projects!$B$21*INDEX(Curves!$B$4:$AR$4,1,74-Projects!$C$21+1),0)+IF(AND(Projects!$G$22="Yes",74&gt;=Projects!$C$22,74&lt;Projects!$C$22+Projects!$D$22),Projects!$B$22*INDEX(Curves!$B$4:$AR$4,1,74-Projects!$C$22+1),0)+IF(AND(Projects!$G$23="Yes",74&gt;=Projects!$C$23,74&lt;Projects!$C$23+Projects!$D$23),Projects!$B$23*INDEX(Curves!$B$4:$AR$4,1,74-Projects!$C$23+1),0)+IF(AND(Projects!$G$24="Yes",74&gt;=Projects!$C$24,74&lt;Projects!$C$24+Projects!$D$24),Projects!$B$24*INDEX(Curves!$B$4:$AR$4,1,74-Projects!$C$24+1),0)+IF(AND(Projects!$G$25="Yes",74&gt;=Projects!$C$25,74&lt;Projects!$C$25+Projects!$D$25),Projects!$B$25*INDEX(Curves!$B$4:$AR$4,1,74-Projects!$C$25+1),0)+IF(AND(Projects!$G$26="Yes",74&gt;=Projects!$C$26,74&lt;Projects!$C$26+Projects!$D$26),Projects!$B$26*INDEX(Curves!$B$4:$AR$4,1,74-Projects!$C$26+1),0)+IF(AND(Projects!$G$27="Yes",74&gt;=Projects!$C$27,74&lt;Projects!$C$27+Projects!$D$27),Projects!$B$27*INDEX(Curves!$B$4:$AR$4,1,74-Projects!$C$27+1),0)+IF(AND(Projects!$G$28="Yes",74&gt;=Projects!$C$28,74&lt;Projects!$C$28+Projects!$D$28),Projects!$B$28*INDEX(Curves!$B$4:$AR$4,1,74-Projects!$C$28+1),0)+IF(AND(Projects!$G$29="Yes",74&gt;=Projects!$C$29,74&lt;Projects!$C$29+Projects!$D$29),Projects!$B$29*INDEX(Curves!$B$4:$AR$4,1,74-Projects!$C$29+1),0)+IF(AND(Projects!$G$30="Yes",74&gt;=Projects!$C$30,74&lt;Projects!$C$30+Projects!$D$30),Projects!$B$30*INDEX(Curves!$B$4:$AR$4,1,74-Projects!$C$30+1),0)+IF(AND(Projects!$G$31="Yes",74&gt;=Projects!$C$31,74&lt;Projects!$C$31+Projects!$D$31),Projects!$B$31*INDEX(Curves!$B$4:$AR$4,1,74-Projects!$C$31+1),0)+IF(AND(Projects!$G$32="Yes",74&gt;=Projects!$C$32,74&lt;Projects!$C$32+Projects!$D$32),Projects!$B$32*INDEX(Curves!$B$4:$AR$4,1,74-Projects!$C$32+1),0)+IF(AND(Projects!$G$33="Yes",74&gt;=Projects!$C$33,74&lt;Projects!$C$33+Projects!$D$33),Projects!$B$33*INDEX(Curves!$B$4:$AR$4,1,74-Projects!$C$33+1),0)+IF(AND(Projects!$G$34="Yes",74&gt;=Projects!$C$34,74&lt;Projects!$C$34+Projects!$D$34),Projects!$B$34*INDEX(Curves!$B$4:$AR$4,1,74-Projects!$C$34+1),0)+IF(AND(Projects!$G$35="Yes",74&gt;=Projects!$C$35,74&lt;Projects!$C$35+Projects!$D$35),Projects!$B$35*INDEX(Curves!$B$4:$AR$4,1,74-Projects!$C$35+1),0)+IF(AND(Projects!$G$36="Yes",74&gt;=Projects!$C$36,74&lt;Projects!$C$36+Projects!$D$36),Projects!$B$36*INDEX(Curves!$B$4:$AR$4,1,74-Projects!$C$36+1),0)+IF(AND(Projects!$G$37="Yes",74&gt;=Projects!$C$37,74&lt;Projects!$C$37+Projects!$D$37),Projects!$B$37*INDEX(Curves!$B$4:$AR$4,1,74-Projects!$C$37+1),0)+IF(AND(Projects!$G$38="Yes",74&gt;=Projects!$C$38,74&lt;Projects!$C$38+Projects!$D$38),Projects!$B$38*INDEX(Curves!$B$4:$AR$4,1,74-Projects!$C$38+1),0)+IF(AND(Projects!$G$39="Yes",74&gt;=Projects!$C$39,74&lt;Projects!$C$39+Projects!$D$39),Projects!$B$39*INDEX(Curves!$B$4:$AR$4,1,74-Projects!$C$39+1),0)+IF(AND(Projects!$G$40="Yes",74&gt;=Projects!$C$40,74&lt;Projects!$C$40+Projects!$D$40),Projects!$B$40*INDEX(Curves!$B$4:$AR$4,1,74-Projects!$C$40+1),0)+IF(AND(Projects!$G$41="Yes",74&gt;=Projects!$C$41,74&lt;Projects!$C$41+Projects!$D$41),Projects!$B$41*INDEX(Curves!$B$4:$AR$4,1,74-Projects!$C$41+1),0)+IF(AND(Projects!$G$42="Yes",74&gt;=Projects!$C$42,74&lt;Projects!$C$42+Projects!$D$42),Projects!$B$42*INDEX(Curves!$B$4:$AR$4,1,74-Projects!$C$42+1),0)+IF(AND(Projects!$G$43="Yes",74&gt;=Projects!$C$43,74&lt;Projects!$C$43+Projects!$D$43),Projects!$B$43*INDEX(Curves!$B$4:$AR$4,1,74-Projects!$C$43+1),0)+IF(AND(Projects!$G$44="Yes",74&gt;=Projects!$C$44,74&lt;Projects!$C$44+Projects!$D$44),Projects!$B$44*INDEX(Curves!$B$4:$AR$4,1,74-Projects!$C$44+1),0)+IF(AND(Projects!$G$45="Yes",74&gt;=Projects!$C$45,74&lt;Projects!$C$45+Projects!$D$45),Projects!$B$45*INDEX(Curves!$B$4:$AR$4,1,74-Projects!$C$45+1),0)+IF(AND(Projects!$G$46="Yes",74&gt;=Projects!$C$46,74&lt;Projects!$C$46+Projects!$D$46),Projects!$B$46*INDEX(Curves!$B$4:$AR$4,1,74-Projects!$C$46+1),0)</f>
        <v>4721739</v>
      </c>
      <c r="CB96" s="59">
        <f>IF(AND(Projects!$G$17="Yes",75&gt;=Projects!$C$17,75&lt;Projects!$C$17+Projects!$D$17),Projects!$B$17*INDEX(Curves!$B$4:$AR$4,1,75-Projects!$C$17+1),0)+IF(AND(Projects!$G$18="Yes",75&gt;=Projects!$C$18,75&lt;Projects!$C$18+Projects!$D$18),Projects!$B$18*INDEX(Curves!$B$4:$AR$4,1,75-Projects!$C$18+1),0)+IF(AND(Projects!$G$19="Yes",75&gt;=Projects!$C$19,75&lt;Projects!$C$19+Projects!$D$19),Projects!$B$19*INDEX(Curves!$B$4:$AR$4,1,75-Projects!$C$19+1),0)+IF(AND(Projects!$G$20="Yes",75&gt;=Projects!$C$20,75&lt;Projects!$C$20+Projects!$D$20),Projects!$B$20*INDEX(Curves!$B$4:$AR$4,1,75-Projects!$C$20+1),0)+IF(AND(Projects!$G$21="Yes",75&gt;=Projects!$C$21,75&lt;Projects!$C$21+Projects!$D$21),Projects!$B$21*INDEX(Curves!$B$4:$AR$4,1,75-Projects!$C$21+1),0)+IF(AND(Projects!$G$22="Yes",75&gt;=Projects!$C$22,75&lt;Projects!$C$22+Projects!$D$22),Projects!$B$22*INDEX(Curves!$B$4:$AR$4,1,75-Projects!$C$22+1),0)+IF(AND(Projects!$G$23="Yes",75&gt;=Projects!$C$23,75&lt;Projects!$C$23+Projects!$D$23),Projects!$B$23*INDEX(Curves!$B$4:$AR$4,1,75-Projects!$C$23+1),0)+IF(AND(Projects!$G$24="Yes",75&gt;=Projects!$C$24,75&lt;Projects!$C$24+Projects!$D$24),Projects!$B$24*INDEX(Curves!$B$4:$AR$4,1,75-Projects!$C$24+1),0)+IF(AND(Projects!$G$25="Yes",75&gt;=Projects!$C$25,75&lt;Projects!$C$25+Projects!$D$25),Projects!$B$25*INDEX(Curves!$B$4:$AR$4,1,75-Projects!$C$25+1),0)+IF(AND(Projects!$G$26="Yes",75&gt;=Projects!$C$26,75&lt;Projects!$C$26+Projects!$D$26),Projects!$B$26*INDEX(Curves!$B$4:$AR$4,1,75-Projects!$C$26+1),0)+IF(AND(Projects!$G$27="Yes",75&gt;=Projects!$C$27,75&lt;Projects!$C$27+Projects!$D$27),Projects!$B$27*INDEX(Curves!$B$4:$AR$4,1,75-Projects!$C$27+1),0)+IF(AND(Projects!$G$28="Yes",75&gt;=Projects!$C$28,75&lt;Projects!$C$28+Projects!$D$28),Projects!$B$28*INDEX(Curves!$B$4:$AR$4,1,75-Projects!$C$28+1),0)+IF(AND(Projects!$G$29="Yes",75&gt;=Projects!$C$29,75&lt;Projects!$C$29+Projects!$D$29),Projects!$B$29*INDEX(Curves!$B$4:$AR$4,1,75-Projects!$C$29+1),0)+IF(AND(Projects!$G$30="Yes",75&gt;=Projects!$C$30,75&lt;Projects!$C$30+Projects!$D$30),Projects!$B$30*INDEX(Curves!$B$4:$AR$4,1,75-Projects!$C$30+1),0)+IF(AND(Projects!$G$31="Yes",75&gt;=Projects!$C$31,75&lt;Projects!$C$31+Projects!$D$31),Projects!$B$31*INDEX(Curves!$B$4:$AR$4,1,75-Projects!$C$31+1),0)+IF(AND(Projects!$G$32="Yes",75&gt;=Projects!$C$32,75&lt;Projects!$C$32+Projects!$D$32),Projects!$B$32*INDEX(Curves!$B$4:$AR$4,1,75-Projects!$C$32+1),0)+IF(AND(Projects!$G$33="Yes",75&gt;=Projects!$C$33,75&lt;Projects!$C$33+Projects!$D$33),Projects!$B$33*INDEX(Curves!$B$4:$AR$4,1,75-Projects!$C$33+1),0)+IF(AND(Projects!$G$34="Yes",75&gt;=Projects!$C$34,75&lt;Projects!$C$34+Projects!$D$34),Projects!$B$34*INDEX(Curves!$B$4:$AR$4,1,75-Projects!$C$34+1),0)+IF(AND(Projects!$G$35="Yes",75&gt;=Projects!$C$35,75&lt;Projects!$C$35+Projects!$D$35),Projects!$B$35*INDEX(Curves!$B$4:$AR$4,1,75-Projects!$C$35+1),0)+IF(AND(Projects!$G$36="Yes",75&gt;=Projects!$C$36,75&lt;Projects!$C$36+Projects!$D$36),Projects!$B$36*INDEX(Curves!$B$4:$AR$4,1,75-Projects!$C$36+1),0)+IF(AND(Projects!$G$37="Yes",75&gt;=Projects!$C$37,75&lt;Projects!$C$37+Projects!$D$37),Projects!$B$37*INDEX(Curves!$B$4:$AR$4,1,75-Projects!$C$37+1),0)+IF(AND(Projects!$G$38="Yes",75&gt;=Projects!$C$38,75&lt;Projects!$C$38+Projects!$D$38),Projects!$B$38*INDEX(Curves!$B$4:$AR$4,1,75-Projects!$C$38+1),0)+IF(AND(Projects!$G$39="Yes",75&gt;=Projects!$C$39,75&lt;Projects!$C$39+Projects!$D$39),Projects!$B$39*INDEX(Curves!$B$4:$AR$4,1,75-Projects!$C$39+1),0)+IF(AND(Projects!$G$40="Yes",75&gt;=Projects!$C$40,75&lt;Projects!$C$40+Projects!$D$40),Projects!$B$40*INDEX(Curves!$B$4:$AR$4,1,75-Projects!$C$40+1),0)+IF(AND(Projects!$G$41="Yes",75&gt;=Projects!$C$41,75&lt;Projects!$C$41+Projects!$D$41),Projects!$B$41*INDEX(Curves!$B$4:$AR$4,1,75-Projects!$C$41+1),0)+IF(AND(Projects!$G$42="Yes",75&gt;=Projects!$C$42,75&lt;Projects!$C$42+Projects!$D$42),Projects!$B$42*INDEX(Curves!$B$4:$AR$4,1,75-Projects!$C$42+1),0)+IF(AND(Projects!$G$43="Yes",75&gt;=Projects!$C$43,75&lt;Projects!$C$43+Projects!$D$43),Projects!$B$43*INDEX(Curves!$B$4:$AR$4,1,75-Projects!$C$43+1),0)+IF(AND(Projects!$G$44="Yes",75&gt;=Projects!$C$44,75&lt;Projects!$C$44+Projects!$D$44),Projects!$B$44*INDEX(Curves!$B$4:$AR$4,1,75-Projects!$C$44+1),0)+IF(AND(Projects!$G$45="Yes",75&gt;=Projects!$C$45,75&lt;Projects!$C$45+Projects!$D$45),Projects!$B$45*INDEX(Curves!$B$4:$AR$4,1,75-Projects!$C$45+1),0)+IF(AND(Projects!$G$46="Yes",75&gt;=Projects!$C$46,75&lt;Projects!$C$46+Projects!$D$46),Projects!$B$46*INDEX(Curves!$B$4:$AR$4,1,75-Projects!$C$46+1),0)</f>
        <v>4190844</v>
      </c>
      <c r="CC96" s="59">
        <f>IF(AND(Projects!$G$17="Yes",76&gt;=Projects!$C$17,76&lt;Projects!$C$17+Projects!$D$17),Projects!$B$17*INDEX(Curves!$B$4:$AR$4,1,76-Projects!$C$17+1),0)+IF(AND(Projects!$G$18="Yes",76&gt;=Projects!$C$18,76&lt;Projects!$C$18+Projects!$D$18),Projects!$B$18*INDEX(Curves!$B$4:$AR$4,1,76-Projects!$C$18+1),0)+IF(AND(Projects!$G$19="Yes",76&gt;=Projects!$C$19,76&lt;Projects!$C$19+Projects!$D$19),Projects!$B$19*INDEX(Curves!$B$4:$AR$4,1,76-Projects!$C$19+1),0)+IF(AND(Projects!$G$20="Yes",76&gt;=Projects!$C$20,76&lt;Projects!$C$20+Projects!$D$20),Projects!$B$20*INDEX(Curves!$B$4:$AR$4,1,76-Projects!$C$20+1),0)+IF(AND(Projects!$G$21="Yes",76&gt;=Projects!$C$21,76&lt;Projects!$C$21+Projects!$D$21),Projects!$B$21*INDEX(Curves!$B$4:$AR$4,1,76-Projects!$C$21+1),0)+IF(AND(Projects!$G$22="Yes",76&gt;=Projects!$C$22,76&lt;Projects!$C$22+Projects!$D$22),Projects!$B$22*INDEX(Curves!$B$4:$AR$4,1,76-Projects!$C$22+1),0)+IF(AND(Projects!$G$23="Yes",76&gt;=Projects!$C$23,76&lt;Projects!$C$23+Projects!$D$23),Projects!$B$23*INDEX(Curves!$B$4:$AR$4,1,76-Projects!$C$23+1),0)+IF(AND(Projects!$G$24="Yes",76&gt;=Projects!$C$24,76&lt;Projects!$C$24+Projects!$D$24),Projects!$B$24*INDEX(Curves!$B$4:$AR$4,1,76-Projects!$C$24+1),0)+IF(AND(Projects!$G$25="Yes",76&gt;=Projects!$C$25,76&lt;Projects!$C$25+Projects!$D$25),Projects!$B$25*INDEX(Curves!$B$4:$AR$4,1,76-Projects!$C$25+1),0)+IF(AND(Projects!$G$26="Yes",76&gt;=Projects!$C$26,76&lt;Projects!$C$26+Projects!$D$26),Projects!$B$26*INDEX(Curves!$B$4:$AR$4,1,76-Projects!$C$26+1),0)+IF(AND(Projects!$G$27="Yes",76&gt;=Projects!$C$27,76&lt;Projects!$C$27+Projects!$D$27),Projects!$B$27*INDEX(Curves!$B$4:$AR$4,1,76-Projects!$C$27+1),0)+IF(AND(Projects!$G$28="Yes",76&gt;=Projects!$C$28,76&lt;Projects!$C$28+Projects!$D$28),Projects!$B$28*INDEX(Curves!$B$4:$AR$4,1,76-Projects!$C$28+1),0)+IF(AND(Projects!$G$29="Yes",76&gt;=Projects!$C$29,76&lt;Projects!$C$29+Projects!$D$29),Projects!$B$29*INDEX(Curves!$B$4:$AR$4,1,76-Projects!$C$29+1),0)+IF(AND(Projects!$G$30="Yes",76&gt;=Projects!$C$30,76&lt;Projects!$C$30+Projects!$D$30),Projects!$B$30*INDEX(Curves!$B$4:$AR$4,1,76-Projects!$C$30+1),0)+IF(AND(Projects!$G$31="Yes",76&gt;=Projects!$C$31,76&lt;Projects!$C$31+Projects!$D$31),Projects!$B$31*INDEX(Curves!$B$4:$AR$4,1,76-Projects!$C$31+1),0)+IF(AND(Projects!$G$32="Yes",76&gt;=Projects!$C$32,76&lt;Projects!$C$32+Projects!$D$32),Projects!$B$32*INDEX(Curves!$B$4:$AR$4,1,76-Projects!$C$32+1),0)+IF(AND(Projects!$G$33="Yes",76&gt;=Projects!$C$33,76&lt;Projects!$C$33+Projects!$D$33),Projects!$B$33*INDEX(Curves!$B$4:$AR$4,1,76-Projects!$C$33+1),0)+IF(AND(Projects!$G$34="Yes",76&gt;=Projects!$C$34,76&lt;Projects!$C$34+Projects!$D$34),Projects!$B$34*INDEX(Curves!$B$4:$AR$4,1,76-Projects!$C$34+1),0)+IF(AND(Projects!$G$35="Yes",76&gt;=Projects!$C$35,76&lt;Projects!$C$35+Projects!$D$35),Projects!$B$35*INDEX(Curves!$B$4:$AR$4,1,76-Projects!$C$35+1),0)+IF(AND(Projects!$G$36="Yes",76&gt;=Projects!$C$36,76&lt;Projects!$C$36+Projects!$D$36),Projects!$B$36*INDEX(Curves!$B$4:$AR$4,1,76-Projects!$C$36+1),0)+IF(AND(Projects!$G$37="Yes",76&gt;=Projects!$C$37,76&lt;Projects!$C$37+Projects!$D$37),Projects!$B$37*INDEX(Curves!$B$4:$AR$4,1,76-Projects!$C$37+1),0)+IF(AND(Projects!$G$38="Yes",76&gt;=Projects!$C$38,76&lt;Projects!$C$38+Projects!$D$38),Projects!$B$38*INDEX(Curves!$B$4:$AR$4,1,76-Projects!$C$38+1),0)+IF(AND(Projects!$G$39="Yes",76&gt;=Projects!$C$39,76&lt;Projects!$C$39+Projects!$D$39),Projects!$B$39*INDEX(Curves!$B$4:$AR$4,1,76-Projects!$C$39+1),0)+IF(AND(Projects!$G$40="Yes",76&gt;=Projects!$C$40,76&lt;Projects!$C$40+Projects!$D$40),Projects!$B$40*INDEX(Curves!$B$4:$AR$4,1,76-Projects!$C$40+1),0)+IF(AND(Projects!$G$41="Yes",76&gt;=Projects!$C$41,76&lt;Projects!$C$41+Projects!$D$41),Projects!$B$41*INDEX(Curves!$B$4:$AR$4,1,76-Projects!$C$41+1),0)+IF(AND(Projects!$G$42="Yes",76&gt;=Projects!$C$42,76&lt;Projects!$C$42+Projects!$D$42),Projects!$B$42*INDEX(Curves!$B$4:$AR$4,1,76-Projects!$C$42+1),0)+IF(AND(Projects!$G$43="Yes",76&gt;=Projects!$C$43,76&lt;Projects!$C$43+Projects!$D$43),Projects!$B$43*INDEX(Curves!$B$4:$AR$4,1,76-Projects!$C$43+1),0)+IF(AND(Projects!$G$44="Yes",76&gt;=Projects!$C$44,76&lt;Projects!$C$44+Projects!$D$44),Projects!$B$44*INDEX(Curves!$B$4:$AR$4,1,76-Projects!$C$44+1),0)+IF(AND(Projects!$G$45="Yes",76&gt;=Projects!$C$45,76&lt;Projects!$C$45+Projects!$D$45),Projects!$B$45*INDEX(Curves!$B$4:$AR$4,1,76-Projects!$C$45+1),0)+IF(AND(Projects!$G$46="Yes",76&gt;=Projects!$C$46,76&lt;Projects!$C$46+Projects!$D$46),Projects!$B$46*INDEX(Curves!$B$4:$AR$4,1,76-Projects!$C$46+1),0)</f>
        <v>4427067</v>
      </c>
      <c r="CD96" s="59">
        <f>IF(AND(Projects!$G$17="Yes",77&gt;=Projects!$C$17,77&lt;Projects!$C$17+Projects!$D$17),Projects!$B$17*INDEX(Curves!$B$4:$AR$4,1,77-Projects!$C$17+1),0)+IF(AND(Projects!$G$18="Yes",77&gt;=Projects!$C$18,77&lt;Projects!$C$18+Projects!$D$18),Projects!$B$18*INDEX(Curves!$B$4:$AR$4,1,77-Projects!$C$18+1),0)+IF(AND(Projects!$G$19="Yes",77&gt;=Projects!$C$19,77&lt;Projects!$C$19+Projects!$D$19),Projects!$B$19*INDEX(Curves!$B$4:$AR$4,1,77-Projects!$C$19+1),0)+IF(AND(Projects!$G$20="Yes",77&gt;=Projects!$C$20,77&lt;Projects!$C$20+Projects!$D$20),Projects!$B$20*INDEX(Curves!$B$4:$AR$4,1,77-Projects!$C$20+1),0)+IF(AND(Projects!$G$21="Yes",77&gt;=Projects!$C$21,77&lt;Projects!$C$21+Projects!$D$21),Projects!$B$21*INDEX(Curves!$B$4:$AR$4,1,77-Projects!$C$21+1),0)+IF(AND(Projects!$G$22="Yes",77&gt;=Projects!$C$22,77&lt;Projects!$C$22+Projects!$D$22),Projects!$B$22*INDEX(Curves!$B$4:$AR$4,1,77-Projects!$C$22+1),0)+IF(AND(Projects!$G$23="Yes",77&gt;=Projects!$C$23,77&lt;Projects!$C$23+Projects!$D$23),Projects!$B$23*INDEX(Curves!$B$4:$AR$4,1,77-Projects!$C$23+1),0)+IF(AND(Projects!$G$24="Yes",77&gt;=Projects!$C$24,77&lt;Projects!$C$24+Projects!$D$24),Projects!$B$24*INDEX(Curves!$B$4:$AR$4,1,77-Projects!$C$24+1),0)+IF(AND(Projects!$G$25="Yes",77&gt;=Projects!$C$25,77&lt;Projects!$C$25+Projects!$D$25),Projects!$B$25*INDEX(Curves!$B$4:$AR$4,1,77-Projects!$C$25+1),0)+IF(AND(Projects!$G$26="Yes",77&gt;=Projects!$C$26,77&lt;Projects!$C$26+Projects!$D$26),Projects!$B$26*INDEX(Curves!$B$4:$AR$4,1,77-Projects!$C$26+1),0)+IF(AND(Projects!$G$27="Yes",77&gt;=Projects!$C$27,77&lt;Projects!$C$27+Projects!$D$27),Projects!$B$27*INDEX(Curves!$B$4:$AR$4,1,77-Projects!$C$27+1),0)+IF(AND(Projects!$G$28="Yes",77&gt;=Projects!$C$28,77&lt;Projects!$C$28+Projects!$D$28),Projects!$B$28*INDEX(Curves!$B$4:$AR$4,1,77-Projects!$C$28+1),0)+IF(AND(Projects!$G$29="Yes",77&gt;=Projects!$C$29,77&lt;Projects!$C$29+Projects!$D$29),Projects!$B$29*INDEX(Curves!$B$4:$AR$4,1,77-Projects!$C$29+1),0)+IF(AND(Projects!$G$30="Yes",77&gt;=Projects!$C$30,77&lt;Projects!$C$30+Projects!$D$30),Projects!$B$30*INDEX(Curves!$B$4:$AR$4,1,77-Projects!$C$30+1),0)+IF(AND(Projects!$G$31="Yes",77&gt;=Projects!$C$31,77&lt;Projects!$C$31+Projects!$D$31),Projects!$B$31*INDEX(Curves!$B$4:$AR$4,1,77-Projects!$C$31+1),0)+IF(AND(Projects!$G$32="Yes",77&gt;=Projects!$C$32,77&lt;Projects!$C$32+Projects!$D$32),Projects!$B$32*INDEX(Curves!$B$4:$AR$4,1,77-Projects!$C$32+1),0)+IF(AND(Projects!$G$33="Yes",77&gt;=Projects!$C$33,77&lt;Projects!$C$33+Projects!$D$33),Projects!$B$33*INDEX(Curves!$B$4:$AR$4,1,77-Projects!$C$33+1),0)+IF(AND(Projects!$G$34="Yes",77&gt;=Projects!$C$34,77&lt;Projects!$C$34+Projects!$D$34),Projects!$B$34*INDEX(Curves!$B$4:$AR$4,1,77-Projects!$C$34+1),0)+IF(AND(Projects!$G$35="Yes",77&gt;=Projects!$C$35,77&lt;Projects!$C$35+Projects!$D$35),Projects!$B$35*INDEX(Curves!$B$4:$AR$4,1,77-Projects!$C$35+1),0)+IF(AND(Projects!$G$36="Yes",77&gt;=Projects!$C$36,77&lt;Projects!$C$36+Projects!$D$36),Projects!$B$36*INDEX(Curves!$B$4:$AR$4,1,77-Projects!$C$36+1),0)+IF(AND(Projects!$G$37="Yes",77&gt;=Projects!$C$37,77&lt;Projects!$C$37+Projects!$D$37),Projects!$B$37*INDEX(Curves!$B$4:$AR$4,1,77-Projects!$C$37+1),0)+IF(AND(Projects!$G$38="Yes",77&gt;=Projects!$C$38,77&lt;Projects!$C$38+Projects!$D$38),Projects!$B$38*INDEX(Curves!$B$4:$AR$4,1,77-Projects!$C$38+1),0)+IF(AND(Projects!$G$39="Yes",77&gt;=Projects!$C$39,77&lt;Projects!$C$39+Projects!$D$39),Projects!$B$39*INDEX(Curves!$B$4:$AR$4,1,77-Projects!$C$39+1),0)+IF(AND(Projects!$G$40="Yes",77&gt;=Projects!$C$40,77&lt;Projects!$C$40+Projects!$D$40),Projects!$B$40*INDEX(Curves!$B$4:$AR$4,1,77-Projects!$C$40+1),0)+IF(AND(Projects!$G$41="Yes",77&gt;=Projects!$C$41,77&lt;Projects!$C$41+Projects!$D$41),Projects!$B$41*INDEX(Curves!$B$4:$AR$4,1,77-Projects!$C$41+1),0)+IF(AND(Projects!$G$42="Yes",77&gt;=Projects!$C$42,77&lt;Projects!$C$42+Projects!$D$42),Projects!$B$42*INDEX(Curves!$B$4:$AR$4,1,77-Projects!$C$42+1),0)+IF(AND(Projects!$G$43="Yes",77&gt;=Projects!$C$43,77&lt;Projects!$C$43+Projects!$D$43),Projects!$B$43*INDEX(Curves!$B$4:$AR$4,1,77-Projects!$C$43+1),0)+IF(AND(Projects!$G$44="Yes",77&gt;=Projects!$C$44,77&lt;Projects!$C$44+Projects!$D$44),Projects!$B$44*INDEX(Curves!$B$4:$AR$4,1,77-Projects!$C$44+1),0)+IF(AND(Projects!$G$45="Yes",77&gt;=Projects!$C$45,77&lt;Projects!$C$45+Projects!$D$45),Projects!$B$45*INDEX(Curves!$B$4:$AR$4,1,77-Projects!$C$45+1),0)+IF(AND(Projects!$G$46="Yes",77&gt;=Projects!$C$46,77&lt;Projects!$C$46+Projects!$D$46),Projects!$B$46*INDEX(Curves!$B$4:$AR$4,1,77-Projects!$C$46+1),0)</f>
        <v>3961002</v>
      </c>
      <c r="CE96" s="59">
        <f>IF(AND(Projects!$G$17="Yes",78&gt;=Projects!$C$17,78&lt;Projects!$C$17+Projects!$D$17),Projects!$B$17*INDEX(Curves!$B$4:$AR$4,1,78-Projects!$C$17+1),0)+IF(AND(Projects!$G$18="Yes",78&gt;=Projects!$C$18,78&lt;Projects!$C$18+Projects!$D$18),Projects!$B$18*INDEX(Curves!$B$4:$AR$4,1,78-Projects!$C$18+1),0)+IF(AND(Projects!$G$19="Yes",78&gt;=Projects!$C$19,78&lt;Projects!$C$19+Projects!$D$19),Projects!$B$19*INDEX(Curves!$B$4:$AR$4,1,78-Projects!$C$19+1),0)+IF(AND(Projects!$G$20="Yes",78&gt;=Projects!$C$20,78&lt;Projects!$C$20+Projects!$D$20),Projects!$B$20*INDEX(Curves!$B$4:$AR$4,1,78-Projects!$C$20+1),0)+IF(AND(Projects!$G$21="Yes",78&gt;=Projects!$C$21,78&lt;Projects!$C$21+Projects!$D$21),Projects!$B$21*INDEX(Curves!$B$4:$AR$4,1,78-Projects!$C$21+1),0)+IF(AND(Projects!$G$22="Yes",78&gt;=Projects!$C$22,78&lt;Projects!$C$22+Projects!$D$22),Projects!$B$22*INDEX(Curves!$B$4:$AR$4,1,78-Projects!$C$22+1),0)+IF(AND(Projects!$G$23="Yes",78&gt;=Projects!$C$23,78&lt;Projects!$C$23+Projects!$D$23),Projects!$B$23*INDEX(Curves!$B$4:$AR$4,1,78-Projects!$C$23+1),0)+IF(AND(Projects!$G$24="Yes",78&gt;=Projects!$C$24,78&lt;Projects!$C$24+Projects!$D$24),Projects!$B$24*INDEX(Curves!$B$4:$AR$4,1,78-Projects!$C$24+1),0)+IF(AND(Projects!$G$25="Yes",78&gt;=Projects!$C$25,78&lt;Projects!$C$25+Projects!$D$25),Projects!$B$25*INDEX(Curves!$B$4:$AR$4,1,78-Projects!$C$25+1),0)+IF(AND(Projects!$G$26="Yes",78&gt;=Projects!$C$26,78&lt;Projects!$C$26+Projects!$D$26),Projects!$B$26*INDEX(Curves!$B$4:$AR$4,1,78-Projects!$C$26+1),0)+IF(AND(Projects!$G$27="Yes",78&gt;=Projects!$C$27,78&lt;Projects!$C$27+Projects!$D$27),Projects!$B$27*INDEX(Curves!$B$4:$AR$4,1,78-Projects!$C$27+1),0)+IF(AND(Projects!$G$28="Yes",78&gt;=Projects!$C$28,78&lt;Projects!$C$28+Projects!$D$28),Projects!$B$28*INDEX(Curves!$B$4:$AR$4,1,78-Projects!$C$28+1),0)+IF(AND(Projects!$G$29="Yes",78&gt;=Projects!$C$29,78&lt;Projects!$C$29+Projects!$D$29),Projects!$B$29*INDEX(Curves!$B$4:$AR$4,1,78-Projects!$C$29+1),0)+IF(AND(Projects!$G$30="Yes",78&gt;=Projects!$C$30,78&lt;Projects!$C$30+Projects!$D$30),Projects!$B$30*INDEX(Curves!$B$4:$AR$4,1,78-Projects!$C$30+1),0)+IF(AND(Projects!$G$31="Yes",78&gt;=Projects!$C$31,78&lt;Projects!$C$31+Projects!$D$31),Projects!$B$31*INDEX(Curves!$B$4:$AR$4,1,78-Projects!$C$31+1),0)+IF(AND(Projects!$G$32="Yes",78&gt;=Projects!$C$32,78&lt;Projects!$C$32+Projects!$D$32),Projects!$B$32*INDEX(Curves!$B$4:$AR$4,1,78-Projects!$C$32+1),0)+IF(AND(Projects!$G$33="Yes",78&gt;=Projects!$C$33,78&lt;Projects!$C$33+Projects!$D$33),Projects!$B$33*INDEX(Curves!$B$4:$AR$4,1,78-Projects!$C$33+1),0)+IF(AND(Projects!$G$34="Yes",78&gt;=Projects!$C$34,78&lt;Projects!$C$34+Projects!$D$34),Projects!$B$34*INDEX(Curves!$B$4:$AR$4,1,78-Projects!$C$34+1),0)+IF(AND(Projects!$G$35="Yes",78&gt;=Projects!$C$35,78&lt;Projects!$C$35+Projects!$D$35),Projects!$B$35*INDEX(Curves!$B$4:$AR$4,1,78-Projects!$C$35+1),0)+IF(AND(Projects!$G$36="Yes",78&gt;=Projects!$C$36,78&lt;Projects!$C$36+Projects!$D$36),Projects!$B$36*INDEX(Curves!$B$4:$AR$4,1,78-Projects!$C$36+1),0)+IF(AND(Projects!$G$37="Yes",78&gt;=Projects!$C$37,78&lt;Projects!$C$37+Projects!$D$37),Projects!$B$37*INDEX(Curves!$B$4:$AR$4,1,78-Projects!$C$37+1),0)+IF(AND(Projects!$G$38="Yes",78&gt;=Projects!$C$38,78&lt;Projects!$C$38+Projects!$D$38),Projects!$B$38*INDEX(Curves!$B$4:$AR$4,1,78-Projects!$C$38+1),0)+IF(AND(Projects!$G$39="Yes",78&gt;=Projects!$C$39,78&lt;Projects!$C$39+Projects!$D$39),Projects!$B$39*INDEX(Curves!$B$4:$AR$4,1,78-Projects!$C$39+1),0)+IF(AND(Projects!$G$40="Yes",78&gt;=Projects!$C$40,78&lt;Projects!$C$40+Projects!$D$40),Projects!$B$40*INDEX(Curves!$B$4:$AR$4,1,78-Projects!$C$40+1),0)+IF(AND(Projects!$G$41="Yes",78&gt;=Projects!$C$41,78&lt;Projects!$C$41+Projects!$D$41),Projects!$B$41*INDEX(Curves!$B$4:$AR$4,1,78-Projects!$C$41+1),0)+IF(AND(Projects!$G$42="Yes",78&gt;=Projects!$C$42,78&lt;Projects!$C$42+Projects!$D$42),Projects!$B$42*INDEX(Curves!$B$4:$AR$4,1,78-Projects!$C$42+1),0)+IF(AND(Projects!$G$43="Yes",78&gt;=Projects!$C$43,78&lt;Projects!$C$43+Projects!$D$43),Projects!$B$43*INDEX(Curves!$B$4:$AR$4,1,78-Projects!$C$43+1),0)+IF(AND(Projects!$G$44="Yes",78&gt;=Projects!$C$44,78&lt;Projects!$C$44+Projects!$D$44),Projects!$B$44*INDEX(Curves!$B$4:$AR$4,1,78-Projects!$C$44+1),0)+IF(AND(Projects!$G$45="Yes",78&gt;=Projects!$C$45,78&lt;Projects!$C$45+Projects!$D$45),Projects!$B$45*INDEX(Curves!$B$4:$AR$4,1,78-Projects!$C$45+1),0)+IF(AND(Projects!$G$46="Yes",78&gt;=Projects!$C$46,78&lt;Projects!$C$46+Projects!$D$46),Projects!$B$46*INDEX(Curves!$B$4:$AR$4,1,78-Projects!$C$46+1),0)</f>
        <v>4347516</v>
      </c>
      <c r="CF96" s="59">
        <f>IF(AND(Projects!$G$17="Yes",79&gt;=Projects!$C$17,79&lt;Projects!$C$17+Projects!$D$17),Projects!$B$17*INDEX(Curves!$B$4:$AR$4,1,79-Projects!$C$17+1),0)+IF(AND(Projects!$G$18="Yes",79&gt;=Projects!$C$18,79&lt;Projects!$C$18+Projects!$D$18),Projects!$B$18*INDEX(Curves!$B$4:$AR$4,1,79-Projects!$C$18+1),0)+IF(AND(Projects!$G$19="Yes",79&gt;=Projects!$C$19,79&lt;Projects!$C$19+Projects!$D$19),Projects!$B$19*INDEX(Curves!$B$4:$AR$4,1,79-Projects!$C$19+1),0)+IF(AND(Projects!$G$20="Yes",79&gt;=Projects!$C$20,79&lt;Projects!$C$20+Projects!$D$20),Projects!$B$20*INDEX(Curves!$B$4:$AR$4,1,79-Projects!$C$20+1),0)+IF(AND(Projects!$G$21="Yes",79&gt;=Projects!$C$21,79&lt;Projects!$C$21+Projects!$D$21),Projects!$B$21*INDEX(Curves!$B$4:$AR$4,1,79-Projects!$C$21+1),0)+IF(AND(Projects!$G$22="Yes",79&gt;=Projects!$C$22,79&lt;Projects!$C$22+Projects!$D$22),Projects!$B$22*INDEX(Curves!$B$4:$AR$4,1,79-Projects!$C$22+1),0)+IF(AND(Projects!$G$23="Yes",79&gt;=Projects!$C$23,79&lt;Projects!$C$23+Projects!$D$23),Projects!$B$23*INDEX(Curves!$B$4:$AR$4,1,79-Projects!$C$23+1),0)+IF(AND(Projects!$G$24="Yes",79&gt;=Projects!$C$24,79&lt;Projects!$C$24+Projects!$D$24),Projects!$B$24*INDEX(Curves!$B$4:$AR$4,1,79-Projects!$C$24+1),0)+IF(AND(Projects!$G$25="Yes",79&gt;=Projects!$C$25,79&lt;Projects!$C$25+Projects!$D$25),Projects!$B$25*INDEX(Curves!$B$4:$AR$4,1,79-Projects!$C$25+1),0)+IF(AND(Projects!$G$26="Yes",79&gt;=Projects!$C$26,79&lt;Projects!$C$26+Projects!$D$26),Projects!$B$26*INDEX(Curves!$B$4:$AR$4,1,79-Projects!$C$26+1),0)+IF(AND(Projects!$G$27="Yes",79&gt;=Projects!$C$27,79&lt;Projects!$C$27+Projects!$D$27),Projects!$B$27*INDEX(Curves!$B$4:$AR$4,1,79-Projects!$C$27+1),0)+IF(AND(Projects!$G$28="Yes",79&gt;=Projects!$C$28,79&lt;Projects!$C$28+Projects!$D$28),Projects!$B$28*INDEX(Curves!$B$4:$AR$4,1,79-Projects!$C$28+1),0)+IF(AND(Projects!$G$29="Yes",79&gt;=Projects!$C$29,79&lt;Projects!$C$29+Projects!$D$29),Projects!$B$29*INDEX(Curves!$B$4:$AR$4,1,79-Projects!$C$29+1),0)+IF(AND(Projects!$G$30="Yes",79&gt;=Projects!$C$30,79&lt;Projects!$C$30+Projects!$D$30),Projects!$B$30*INDEX(Curves!$B$4:$AR$4,1,79-Projects!$C$30+1),0)+IF(AND(Projects!$G$31="Yes",79&gt;=Projects!$C$31,79&lt;Projects!$C$31+Projects!$D$31),Projects!$B$31*INDEX(Curves!$B$4:$AR$4,1,79-Projects!$C$31+1),0)+IF(AND(Projects!$G$32="Yes",79&gt;=Projects!$C$32,79&lt;Projects!$C$32+Projects!$D$32),Projects!$B$32*INDEX(Curves!$B$4:$AR$4,1,79-Projects!$C$32+1),0)+IF(AND(Projects!$G$33="Yes",79&gt;=Projects!$C$33,79&lt;Projects!$C$33+Projects!$D$33),Projects!$B$33*INDEX(Curves!$B$4:$AR$4,1,79-Projects!$C$33+1),0)+IF(AND(Projects!$G$34="Yes",79&gt;=Projects!$C$34,79&lt;Projects!$C$34+Projects!$D$34),Projects!$B$34*INDEX(Curves!$B$4:$AR$4,1,79-Projects!$C$34+1),0)+IF(AND(Projects!$G$35="Yes",79&gt;=Projects!$C$35,79&lt;Projects!$C$35+Projects!$D$35),Projects!$B$35*INDEX(Curves!$B$4:$AR$4,1,79-Projects!$C$35+1),0)+IF(AND(Projects!$G$36="Yes",79&gt;=Projects!$C$36,79&lt;Projects!$C$36+Projects!$D$36),Projects!$B$36*INDEX(Curves!$B$4:$AR$4,1,79-Projects!$C$36+1),0)+IF(AND(Projects!$G$37="Yes",79&gt;=Projects!$C$37,79&lt;Projects!$C$37+Projects!$D$37),Projects!$B$37*INDEX(Curves!$B$4:$AR$4,1,79-Projects!$C$37+1),0)+IF(AND(Projects!$G$38="Yes",79&gt;=Projects!$C$38,79&lt;Projects!$C$38+Projects!$D$38),Projects!$B$38*INDEX(Curves!$B$4:$AR$4,1,79-Projects!$C$38+1),0)+IF(AND(Projects!$G$39="Yes",79&gt;=Projects!$C$39,79&lt;Projects!$C$39+Projects!$D$39),Projects!$B$39*INDEX(Curves!$B$4:$AR$4,1,79-Projects!$C$39+1),0)+IF(AND(Projects!$G$40="Yes",79&gt;=Projects!$C$40,79&lt;Projects!$C$40+Projects!$D$40),Projects!$B$40*INDEX(Curves!$B$4:$AR$4,1,79-Projects!$C$40+1),0)+IF(AND(Projects!$G$41="Yes",79&gt;=Projects!$C$41,79&lt;Projects!$C$41+Projects!$D$41),Projects!$B$41*INDEX(Curves!$B$4:$AR$4,1,79-Projects!$C$41+1),0)+IF(AND(Projects!$G$42="Yes",79&gt;=Projects!$C$42,79&lt;Projects!$C$42+Projects!$D$42),Projects!$B$42*INDEX(Curves!$B$4:$AR$4,1,79-Projects!$C$42+1),0)+IF(AND(Projects!$G$43="Yes",79&gt;=Projects!$C$43,79&lt;Projects!$C$43+Projects!$D$43),Projects!$B$43*INDEX(Curves!$B$4:$AR$4,1,79-Projects!$C$43+1),0)+IF(AND(Projects!$G$44="Yes",79&gt;=Projects!$C$44,79&lt;Projects!$C$44+Projects!$D$44),Projects!$B$44*INDEX(Curves!$B$4:$AR$4,1,79-Projects!$C$44+1),0)+IF(AND(Projects!$G$45="Yes",79&gt;=Projects!$C$45,79&lt;Projects!$C$45+Projects!$D$45),Projects!$B$45*INDEX(Curves!$B$4:$AR$4,1,79-Projects!$C$45+1),0)+IF(AND(Projects!$G$46="Yes",79&gt;=Projects!$C$46,79&lt;Projects!$C$46+Projects!$D$46),Projects!$B$46*INDEX(Curves!$B$4:$AR$4,1,79-Projects!$C$46+1),0)</f>
        <v>4092561</v>
      </c>
      <c r="CG96" s="59">
        <f>IF(AND(Projects!$G$17="Yes",80&gt;=Projects!$C$17,80&lt;Projects!$C$17+Projects!$D$17),Projects!$B$17*INDEX(Curves!$B$4:$AR$4,1,80-Projects!$C$17+1),0)+IF(AND(Projects!$G$18="Yes",80&gt;=Projects!$C$18,80&lt;Projects!$C$18+Projects!$D$18),Projects!$B$18*INDEX(Curves!$B$4:$AR$4,1,80-Projects!$C$18+1),0)+IF(AND(Projects!$G$19="Yes",80&gt;=Projects!$C$19,80&lt;Projects!$C$19+Projects!$D$19),Projects!$B$19*INDEX(Curves!$B$4:$AR$4,1,80-Projects!$C$19+1),0)+IF(AND(Projects!$G$20="Yes",80&gt;=Projects!$C$20,80&lt;Projects!$C$20+Projects!$D$20),Projects!$B$20*INDEX(Curves!$B$4:$AR$4,1,80-Projects!$C$20+1),0)+IF(AND(Projects!$G$21="Yes",80&gt;=Projects!$C$21,80&lt;Projects!$C$21+Projects!$D$21),Projects!$B$21*INDEX(Curves!$B$4:$AR$4,1,80-Projects!$C$21+1),0)+IF(AND(Projects!$G$22="Yes",80&gt;=Projects!$C$22,80&lt;Projects!$C$22+Projects!$D$22),Projects!$B$22*INDEX(Curves!$B$4:$AR$4,1,80-Projects!$C$22+1),0)+IF(AND(Projects!$G$23="Yes",80&gt;=Projects!$C$23,80&lt;Projects!$C$23+Projects!$D$23),Projects!$B$23*INDEX(Curves!$B$4:$AR$4,1,80-Projects!$C$23+1),0)+IF(AND(Projects!$G$24="Yes",80&gt;=Projects!$C$24,80&lt;Projects!$C$24+Projects!$D$24),Projects!$B$24*INDEX(Curves!$B$4:$AR$4,1,80-Projects!$C$24+1),0)+IF(AND(Projects!$G$25="Yes",80&gt;=Projects!$C$25,80&lt;Projects!$C$25+Projects!$D$25),Projects!$B$25*INDEX(Curves!$B$4:$AR$4,1,80-Projects!$C$25+1),0)+IF(AND(Projects!$G$26="Yes",80&gt;=Projects!$C$26,80&lt;Projects!$C$26+Projects!$D$26),Projects!$B$26*INDEX(Curves!$B$4:$AR$4,1,80-Projects!$C$26+1),0)+IF(AND(Projects!$G$27="Yes",80&gt;=Projects!$C$27,80&lt;Projects!$C$27+Projects!$D$27),Projects!$B$27*INDEX(Curves!$B$4:$AR$4,1,80-Projects!$C$27+1),0)+IF(AND(Projects!$G$28="Yes",80&gt;=Projects!$C$28,80&lt;Projects!$C$28+Projects!$D$28),Projects!$B$28*INDEX(Curves!$B$4:$AR$4,1,80-Projects!$C$28+1),0)+IF(AND(Projects!$G$29="Yes",80&gt;=Projects!$C$29,80&lt;Projects!$C$29+Projects!$D$29),Projects!$B$29*INDEX(Curves!$B$4:$AR$4,1,80-Projects!$C$29+1),0)+IF(AND(Projects!$G$30="Yes",80&gt;=Projects!$C$30,80&lt;Projects!$C$30+Projects!$D$30),Projects!$B$30*INDEX(Curves!$B$4:$AR$4,1,80-Projects!$C$30+1),0)+IF(AND(Projects!$G$31="Yes",80&gt;=Projects!$C$31,80&lt;Projects!$C$31+Projects!$D$31),Projects!$B$31*INDEX(Curves!$B$4:$AR$4,1,80-Projects!$C$31+1),0)+IF(AND(Projects!$G$32="Yes",80&gt;=Projects!$C$32,80&lt;Projects!$C$32+Projects!$D$32),Projects!$B$32*INDEX(Curves!$B$4:$AR$4,1,80-Projects!$C$32+1),0)+IF(AND(Projects!$G$33="Yes",80&gt;=Projects!$C$33,80&lt;Projects!$C$33+Projects!$D$33),Projects!$B$33*INDEX(Curves!$B$4:$AR$4,1,80-Projects!$C$33+1),0)+IF(AND(Projects!$G$34="Yes",80&gt;=Projects!$C$34,80&lt;Projects!$C$34+Projects!$D$34),Projects!$B$34*INDEX(Curves!$B$4:$AR$4,1,80-Projects!$C$34+1),0)+IF(AND(Projects!$G$35="Yes",80&gt;=Projects!$C$35,80&lt;Projects!$C$35+Projects!$D$35),Projects!$B$35*INDEX(Curves!$B$4:$AR$4,1,80-Projects!$C$35+1),0)+IF(AND(Projects!$G$36="Yes",80&gt;=Projects!$C$36,80&lt;Projects!$C$36+Projects!$D$36),Projects!$B$36*INDEX(Curves!$B$4:$AR$4,1,80-Projects!$C$36+1),0)+IF(AND(Projects!$G$37="Yes",80&gt;=Projects!$C$37,80&lt;Projects!$C$37+Projects!$D$37),Projects!$B$37*INDEX(Curves!$B$4:$AR$4,1,80-Projects!$C$37+1),0)+IF(AND(Projects!$G$38="Yes",80&gt;=Projects!$C$38,80&lt;Projects!$C$38+Projects!$D$38),Projects!$B$38*INDEX(Curves!$B$4:$AR$4,1,80-Projects!$C$38+1),0)+IF(AND(Projects!$G$39="Yes",80&gt;=Projects!$C$39,80&lt;Projects!$C$39+Projects!$D$39),Projects!$B$39*INDEX(Curves!$B$4:$AR$4,1,80-Projects!$C$39+1),0)+IF(AND(Projects!$G$40="Yes",80&gt;=Projects!$C$40,80&lt;Projects!$C$40+Projects!$D$40),Projects!$B$40*INDEX(Curves!$B$4:$AR$4,1,80-Projects!$C$40+1),0)+IF(AND(Projects!$G$41="Yes",80&gt;=Projects!$C$41,80&lt;Projects!$C$41+Projects!$D$41),Projects!$B$41*INDEX(Curves!$B$4:$AR$4,1,80-Projects!$C$41+1),0)+IF(AND(Projects!$G$42="Yes",80&gt;=Projects!$C$42,80&lt;Projects!$C$42+Projects!$D$42),Projects!$B$42*INDEX(Curves!$B$4:$AR$4,1,80-Projects!$C$42+1),0)+IF(AND(Projects!$G$43="Yes",80&gt;=Projects!$C$43,80&lt;Projects!$C$43+Projects!$D$43),Projects!$B$43*INDEX(Curves!$B$4:$AR$4,1,80-Projects!$C$43+1),0)+IF(AND(Projects!$G$44="Yes",80&gt;=Projects!$C$44,80&lt;Projects!$C$44+Projects!$D$44),Projects!$B$44*INDEX(Curves!$B$4:$AR$4,1,80-Projects!$C$44+1),0)+IF(AND(Projects!$G$45="Yes",80&gt;=Projects!$C$45,80&lt;Projects!$C$45+Projects!$D$45),Projects!$B$45*INDEX(Curves!$B$4:$AR$4,1,80-Projects!$C$45+1),0)+IF(AND(Projects!$G$46="Yes",80&gt;=Projects!$C$46,80&lt;Projects!$C$46+Projects!$D$46),Projects!$B$46*INDEX(Curves!$B$4:$AR$4,1,80-Projects!$C$46+1),0)</f>
        <v>4682844</v>
      </c>
      <c r="CH96" s="59">
        <f>IF(AND(Projects!$G$17="Yes",81&gt;=Projects!$C$17,81&lt;Projects!$C$17+Projects!$D$17),Projects!$B$17*INDEX(Curves!$B$4:$AR$4,1,81-Projects!$C$17+1),0)+IF(AND(Projects!$G$18="Yes",81&gt;=Projects!$C$18,81&lt;Projects!$C$18+Projects!$D$18),Projects!$B$18*INDEX(Curves!$B$4:$AR$4,1,81-Projects!$C$18+1),0)+IF(AND(Projects!$G$19="Yes",81&gt;=Projects!$C$19,81&lt;Projects!$C$19+Projects!$D$19),Projects!$B$19*INDEX(Curves!$B$4:$AR$4,1,81-Projects!$C$19+1),0)+IF(AND(Projects!$G$20="Yes",81&gt;=Projects!$C$20,81&lt;Projects!$C$20+Projects!$D$20),Projects!$B$20*INDEX(Curves!$B$4:$AR$4,1,81-Projects!$C$20+1),0)+IF(AND(Projects!$G$21="Yes",81&gt;=Projects!$C$21,81&lt;Projects!$C$21+Projects!$D$21),Projects!$B$21*INDEX(Curves!$B$4:$AR$4,1,81-Projects!$C$21+1),0)+IF(AND(Projects!$G$22="Yes",81&gt;=Projects!$C$22,81&lt;Projects!$C$22+Projects!$D$22),Projects!$B$22*INDEX(Curves!$B$4:$AR$4,1,81-Projects!$C$22+1),0)+IF(AND(Projects!$G$23="Yes",81&gt;=Projects!$C$23,81&lt;Projects!$C$23+Projects!$D$23),Projects!$B$23*INDEX(Curves!$B$4:$AR$4,1,81-Projects!$C$23+1),0)+IF(AND(Projects!$G$24="Yes",81&gt;=Projects!$C$24,81&lt;Projects!$C$24+Projects!$D$24),Projects!$B$24*INDEX(Curves!$B$4:$AR$4,1,81-Projects!$C$24+1),0)+IF(AND(Projects!$G$25="Yes",81&gt;=Projects!$C$25,81&lt;Projects!$C$25+Projects!$D$25),Projects!$B$25*INDEX(Curves!$B$4:$AR$4,1,81-Projects!$C$25+1),0)+IF(AND(Projects!$G$26="Yes",81&gt;=Projects!$C$26,81&lt;Projects!$C$26+Projects!$D$26),Projects!$B$26*INDEX(Curves!$B$4:$AR$4,1,81-Projects!$C$26+1),0)+IF(AND(Projects!$G$27="Yes",81&gt;=Projects!$C$27,81&lt;Projects!$C$27+Projects!$D$27),Projects!$B$27*INDEX(Curves!$B$4:$AR$4,1,81-Projects!$C$27+1),0)+IF(AND(Projects!$G$28="Yes",81&gt;=Projects!$C$28,81&lt;Projects!$C$28+Projects!$D$28),Projects!$B$28*INDEX(Curves!$B$4:$AR$4,1,81-Projects!$C$28+1),0)+IF(AND(Projects!$G$29="Yes",81&gt;=Projects!$C$29,81&lt;Projects!$C$29+Projects!$D$29),Projects!$B$29*INDEX(Curves!$B$4:$AR$4,1,81-Projects!$C$29+1),0)+IF(AND(Projects!$G$30="Yes",81&gt;=Projects!$C$30,81&lt;Projects!$C$30+Projects!$D$30),Projects!$B$30*INDEX(Curves!$B$4:$AR$4,1,81-Projects!$C$30+1),0)+IF(AND(Projects!$G$31="Yes",81&gt;=Projects!$C$31,81&lt;Projects!$C$31+Projects!$D$31),Projects!$B$31*INDEX(Curves!$B$4:$AR$4,1,81-Projects!$C$31+1),0)+IF(AND(Projects!$G$32="Yes",81&gt;=Projects!$C$32,81&lt;Projects!$C$32+Projects!$D$32),Projects!$B$32*INDEX(Curves!$B$4:$AR$4,1,81-Projects!$C$32+1),0)+IF(AND(Projects!$G$33="Yes",81&gt;=Projects!$C$33,81&lt;Projects!$C$33+Projects!$D$33),Projects!$B$33*INDEX(Curves!$B$4:$AR$4,1,81-Projects!$C$33+1),0)+IF(AND(Projects!$G$34="Yes",81&gt;=Projects!$C$34,81&lt;Projects!$C$34+Projects!$D$34),Projects!$B$34*INDEX(Curves!$B$4:$AR$4,1,81-Projects!$C$34+1),0)+IF(AND(Projects!$G$35="Yes",81&gt;=Projects!$C$35,81&lt;Projects!$C$35+Projects!$D$35),Projects!$B$35*INDEX(Curves!$B$4:$AR$4,1,81-Projects!$C$35+1),0)+IF(AND(Projects!$G$36="Yes",81&gt;=Projects!$C$36,81&lt;Projects!$C$36+Projects!$D$36),Projects!$B$36*INDEX(Curves!$B$4:$AR$4,1,81-Projects!$C$36+1),0)+IF(AND(Projects!$G$37="Yes",81&gt;=Projects!$C$37,81&lt;Projects!$C$37+Projects!$D$37),Projects!$B$37*INDEX(Curves!$B$4:$AR$4,1,81-Projects!$C$37+1),0)+IF(AND(Projects!$G$38="Yes",81&gt;=Projects!$C$38,81&lt;Projects!$C$38+Projects!$D$38),Projects!$B$38*INDEX(Curves!$B$4:$AR$4,1,81-Projects!$C$38+1),0)+IF(AND(Projects!$G$39="Yes",81&gt;=Projects!$C$39,81&lt;Projects!$C$39+Projects!$D$39),Projects!$B$39*INDEX(Curves!$B$4:$AR$4,1,81-Projects!$C$39+1),0)+IF(AND(Projects!$G$40="Yes",81&gt;=Projects!$C$40,81&lt;Projects!$C$40+Projects!$D$40),Projects!$B$40*INDEX(Curves!$B$4:$AR$4,1,81-Projects!$C$40+1),0)+IF(AND(Projects!$G$41="Yes",81&gt;=Projects!$C$41,81&lt;Projects!$C$41+Projects!$D$41),Projects!$B$41*INDEX(Curves!$B$4:$AR$4,1,81-Projects!$C$41+1),0)+IF(AND(Projects!$G$42="Yes",81&gt;=Projects!$C$42,81&lt;Projects!$C$42+Projects!$D$42),Projects!$B$42*INDEX(Curves!$B$4:$AR$4,1,81-Projects!$C$42+1),0)+IF(AND(Projects!$G$43="Yes",81&gt;=Projects!$C$43,81&lt;Projects!$C$43+Projects!$D$43),Projects!$B$43*INDEX(Curves!$B$4:$AR$4,1,81-Projects!$C$43+1),0)+IF(AND(Projects!$G$44="Yes",81&gt;=Projects!$C$44,81&lt;Projects!$C$44+Projects!$D$44),Projects!$B$44*INDEX(Curves!$B$4:$AR$4,1,81-Projects!$C$44+1),0)+IF(AND(Projects!$G$45="Yes",81&gt;=Projects!$C$45,81&lt;Projects!$C$45+Projects!$D$45),Projects!$B$45*INDEX(Curves!$B$4:$AR$4,1,81-Projects!$C$45+1),0)+IF(AND(Projects!$G$46="Yes",81&gt;=Projects!$C$46,81&lt;Projects!$C$46+Projects!$D$46),Projects!$B$46*INDEX(Curves!$B$4:$AR$4,1,81-Projects!$C$46+1),0)</f>
        <v>4493976</v>
      </c>
      <c r="CI96" s="59">
        <f>IF(AND(Projects!$G$17="Yes",82&gt;=Projects!$C$17,82&lt;Projects!$C$17+Projects!$D$17),Projects!$B$17*INDEX(Curves!$B$4:$AR$4,1,82-Projects!$C$17+1),0)+IF(AND(Projects!$G$18="Yes",82&gt;=Projects!$C$18,82&lt;Projects!$C$18+Projects!$D$18),Projects!$B$18*INDEX(Curves!$B$4:$AR$4,1,82-Projects!$C$18+1),0)+IF(AND(Projects!$G$19="Yes",82&gt;=Projects!$C$19,82&lt;Projects!$C$19+Projects!$D$19),Projects!$B$19*INDEX(Curves!$B$4:$AR$4,1,82-Projects!$C$19+1),0)+IF(AND(Projects!$G$20="Yes",82&gt;=Projects!$C$20,82&lt;Projects!$C$20+Projects!$D$20),Projects!$B$20*INDEX(Curves!$B$4:$AR$4,1,82-Projects!$C$20+1),0)+IF(AND(Projects!$G$21="Yes",82&gt;=Projects!$C$21,82&lt;Projects!$C$21+Projects!$D$21),Projects!$B$21*INDEX(Curves!$B$4:$AR$4,1,82-Projects!$C$21+1),0)+IF(AND(Projects!$G$22="Yes",82&gt;=Projects!$C$22,82&lt;Projects!$C$22+Projects!$D$22),Projects!$B$22*INDEX(Curves!$B$4:$AR$4,1,82-Projects!$C$22+1),0)+IF(AND(Projects!$G$23="Yes",82&gt;=Projects!$C$23,82&lt;Projects!$C$23+Projects!$D$23),Projects!$B$23*INDEX(Curves!$B$4:$AR$4,1,82-Projects!$C$23+1),0)+IF(AND(Projects!$G$24="Yes",82&gt;=Projects!$C$24,82&lt;Projects!$C$24+Projects!$D$24),Projects!$B$24*INDEX(Curves!$B$4:$AR$4,1,82-Projects!$C$24+1),0)+IF(AND(Projects!$G$25="Yes",82&gt;=Projects!$C$25,82&lt;Projects!$C$25+Projects!$D$25),Projects!$B$25*INDEX(Curves!$B$4:$AR$4,1,82-Projects!$C$25+1),0)+IF(AND(Projects!$G$26="Yes",82&gt;=Projects!$C$26,82&lt;Projects!$C$26+Projects!$D$26),Projects!$B$26*INDEX(Curves!$B$4:$AR$4,1,82-Projects!$C$26+1),0)+IF(AND(Projects!$G$27="Yes",82&gt;=Projects!$C$27,82&lt;Projects!$C$27+Projects!$D$27),Projects!$B$27*INDEX(Curves!$B$4:$AR$4,1,82-Projects!$C$27+1),0)+IF(AND(Projects!$G$28="Yes",82&gt;=Projects!$C$28,82&lt;Projects!$C$28+Projects!$D$28),Projects!$B$28*INDEX(Curves!$B$4:$AR$4,1,82-Projects!$C$28+1),0)+IF(AND(Projects!$G$29="Yes",82&gt;=Projects!$C$29,82&lt;Projects!$C$29+Projects!$D$29),Projects!$B$29*INDEX(Curves!$B$4:$AR$4,1,82-Projects!$C$29+1),0)+IF(AND(Projects!$G$30="Yes",82&gt;=Projects!$C$30,82&lt;Projects!$C$30+Projects!$D$30),Projects!$B$30*INDEX(Curves!$B$4:$AR$4,1,82-Projects!$C$30+1),0)+IF(AND(Projects!$G$31="Yes",82&gt;=Projects!$C$31,82&lt;Projects!$C$31+Projects!$D$31),Projects!$B$31*INDEX(Curves!$B$4:$AR$4,1,82-Projects!$C$31+1),0)+IF(AND(Projects!$G$32="Yes",82&gt;=Projects!$C$32,82&lt;Projects!$C$32+Projects!$D$32),Projects!$B$32*INDEX(Curves!$B$4:$AR$4,1,82-Projects!$C$32+1),0)+IF(AND(Projects!$G$33="Yes",82&gt;=Projects!$C$33,82&lt;Projects!$C$33+Projects!$D$33),Projects!$B$33*INDEX(Curves!$B$4:$AR$4,1,82-Projects!$C$33+1),0)+IF(AND(Projects!$G$34="Yes",82&gt;=Projects!$C$34,82&lt;Projects!$C$34+Projects!$D$34),Projects!$B$34*INDEX(Curves!$B$4:$AR$4,1,82-Projects!$C$34+1),0)+IF(AND(Projects!$G$35="Yes",82&gt;=Projects!$C$35,82&lt;Projects!$C$35+Projects!$D$35),Projects!$B$35*INDEX(Curves!$B$4:$AR$4,1,82-Projects!$C$35+1),0)+IF(AND(Projects!$G$36="Yes",82&gt;=Projects!$C$36,82&lt;Projects!$C$36+Projects!$D$36),Projects!$B$36*INDEX(Curves!$B$4:$AR$4,1,82-Projects!$C$36+1),0)+IF(AND(Projects!$G$37="Yes",82&gt;=Projects!$C$37,82&lt;Projects!$C$37+Projects!$D$37),Projects!$B$37*INDEX(Curves!$B$4:$AR$4,1,82-Projects!$C$37+1),0)+IF(AND(Projects!$G$38="Yes",82&gt;=Projects!$C$38,82&lt;Projects!$C$38+Projects!$D$38),Projects!$B$38*INDEX(Curves!$B$4:$AR$4,1,82-Projects!$C$38+1),0)+IF(AND(Projects!$G$39="Yes",82&gt;=Projects!$C$39,82&lt;Projects!$C$39+Projects!$D$39),Projects!$B$39*INDEX(Curves!$B$4:$AR$4,1,82-Projects!$C$39+1),0)+IF(AND(Projects!$G$40="Yes",82&gt;=Projects!$C$40,82&lt;Projects!$C$40+Projects!$D$40),Projects!$B$40*INDEX(Curves!$B$4:$AR$4,1,82-Projects!$C$40+1),0)+IF(AND(Projects!$G$41="Yes",82&gt;=Projects!$C$41,82&lt;Projects!$C$41+Projects!$D$41),Projects!$B$41*INDEX(Curves!$B$4:$AR$4,1,82-Projects!$C$41+1),0)+IF(AND(Projects!$G$42="Yes",82&gt;=Projects!$C$42,82&lt;Projects!$C$42+Projects!$D$42),Projects!$B$42*INDEX(Curves!$B$4:$AR$4,1,82-Projects!$C$42+1),0)+IF(AND(Projects!$G$43="Yes",82&gt;=Projects!$C$43,82&lt;Projects!$C$43+Projects!$D$43),Projects!$B$43*INDEX(Curves!$B$4:$AR$4,1,82-Projects!$C$43+1),0)+IF(AND(Projects!$G$44="Yes",82&gt;=Projects!$C$44,82&lt;Projects!$C$44+Projects!$D$44),Projects!$B$44*INDEX(Curves!$B$4:$AR$4,1,82-Projects!$C$44+1),0)+IF(AND(Projects!$G$45="Yes",82&gt;=Projects!$C$45,82&lt;Projects!$C$45+Projects!$D$45),Projects!$B$45*INDEX(Curves!$B$4:$AR$4,1,82-Projects!$C$45+1),0)+IF(AND(Projects!$G$46="Yes",82&gt;=Projects!$C$46,82&lt;Projects!$C$46+Projects!$D$46),Projects!$B$46*INDEX(Curves!$B$4:$AR$4,1,82-Projects!$C$46+1),0)</f>
        <v>5129856</v>
      </c>
      <c r="CJ96" s="59">
        <f>IF(AND(Projects!$G$17="Yes",83&gt;=Projects!$C$17,83&lt;Projects!$C$17+Projects!$D$17),Projects!$B$17*INDEX(Curves!$B$4:$AR$4,1,83-Projects!$C$17+1),0)+IF(AND(Projects!$G$18="Yes",83&gt;=Projects!$C$18,83&lt;Projects!$C$18+Projects!$D$18),Projects!$B$18*INDEX(Curves!$B$4:$AR$4,1,83-Projects!$C$18+1),0)+IF(AND(Projects!$G$19="Yes",83&gt;=Projects!$C$19,83&lt;Projects!$C$19+Projects!$D$19),Projects!$B$19*INDEX(Curves!$B$4:$AR$4,1,83-Projects!$C$19+1),0)+IF(AND(Projects!$G$20="Yes",83&gt;=Projects!$C$20,83&lt;Projects!$C$20+Projects!$D$20),Projects!$B$20*INDEX(Curves!$B$4:$AR$4,1,83-Projects!$C$20+1),0)+IF(AND(Projects!$G$21="Yes",83&gt;=Projects!$C$21,83&lt;Projects!$C$21+Projects!$D$21),Projects!$B$21*INDEX(Curves!$B$4:$AR$4,1,83-Projects!$C$21+1),0)+IF(AND(Projects!$G$22="Yes",83&gt;=Projects!$C$22,83&lt;Projects!$C$22+Projects!$D$22),Projects!$B$22*INDEX(Curves!$B$4:$AR$4,1,83-Projects!$C$22+1),0)+IF(AND(Projects!$G$23="Yes",83&gt;=Projects!$C$23,83&lt;Projects!$C$23+Projects!$D$23),Projects!$B$23*INDEX(Curves!$B$4:$AR$4,1,83-Projects!$C$23+1),0)+IF(AND(Projects!$G$24="Yes",83&gt;=Projects!$C$24,83&lt;Projects!$C$24+Projects!$D$24),Projects!$B$24*INDEX(Curves!$B$4:$AR$4,1,83-Projects!$C$24+1),0)+IF(AND(Projects!$G$25="Yes",83&gt;=Projects!$C$25,83&lt;Projects!$C$25+Projects!$D$25),Projects!$B$25*INDEX(Curves!$B$4:$AR$4,1,83-Projects!$C$25+1),0)+IF(AND(Projects!$G$26="Yes",83&gt;=Projects!$C$26,83&lt;Projects!$C$26+Projects!$D$26),Projects!$B$26*INDEX(Curves!$B$4:$AR$4,1,83-Projects!$C$26+1),0)+IF(AND(Projects!$G$27="Yes",83&gt;=Projects!$C$27,83&lt;Projects!$C$27+Projects!$D$27),Projects!$B$27*INDEX(Curves!$B$4:$AR$4,1,83-Projects!$C$27+1),0)+IF(AND(Projects!$G$28="Yes",83&gt;=Projects!$C$28,83&lt;Projects!$C$28+Projects!$D$28),Projects!$B$28*INDEX(Curves!$B$4:$AR$4,1,83-Projects!$C$28+1),0)+IF(AND(Projects!$G$29="Yes",83&gt;=Projects!$C$29,83&lt;Projects!$C$29+Projects!$D$29),Projects!$B$29*INDEX(Curves!$B$4:$AR$4,1,83-Projects!$C$29+1),0)+IF(AND(Projects!$G$30="Yes",83&gt;=Projects!$C$30,83&lt;Projects!$C$30+Projects!$D$30),Projects!$B$30*INDEX(Curves!$B$4:$AR$4,1,83-Projects!$C$30+1),0)+IF(AND(Projects!$G$31="Yes",83&gt;=Projects!$C$31,83&lt;Projects!$C$31+Projects!$D$31),Projects!$B$31*INDEX(Curves!$B$4:$AR$4,1,83-Projects!$C$31+1),0)+IF(AND(Projects!$G$32="Yes",83&gt;=Projects!$C$32,83&lt;Projects!$C$32+Projects!$D$32),Projects!$B$32*INDEX(Curves!$B$4:$AR$4,1,83-Projects!$C$32+1),0)+IF(AND(Projects!$G$33="Yes",83&gt;=Projects!$C$33,83&lt;Projects!$C$33+Projects!$D$33),Projects!$B$33*INDEX(Curves!$B$4:$AR$4,1,83-Projects!$C$33+1),0)+IF(AND(Projects!$G$34="Yes",83&gt;=Projects!$C$34,83&lt;Projects!$C$34+Projects!$D$34),Projects!$B$34*INDEX(Curves!$B$4:$AR$4,1,83-Projects!$C$34+1),0)+IF(AND(Projects!$G$35="Yes",83&gt;=Projects!$C$35,83&lt;Projects!$C$35+Projects!$D$35),Projects!$B$35*INDEX(Curves!$B$4:$AR$4,1,83-Projects!$C$35+1),0)+IF(AND(Projects!$G$36="Yes",83&gt;=Projects!$C$36,83&lt;Projects!$C$36+Projects!$D$36),Projects!$B$36*INDEX(Curves!$B$4:$AR$4,1,83-Projects!$C$36+1),0)+IF(AND(Projects!$G$37="Yes",83&gt;=Projects!$C$37,83&lt;Projects!$C$37+Projects!$D$37),Projects!$B$37*INDEX(Curves!$B$4:$AR$4,1,83-Projects!$C$37+1),0)+IF(AND(Projects!$G$38="Yes",83&gt;=Projects!$C$38,83&lt;Projects!$C$38+Projects!$D$38),Projects!$B$38*INDEX(Curves!$B$4:$AR$4,1,83-Projects!$C$38+1),0)+IF(AND(Projects!$G$39="Yes",83&gt;=Projects!$C$39,83&lt;Projects!$C$39+Projects!$D$39),Projects!$B$39*INDEX(Curves!$B$4:$AR$4,1,83-Projects!$C$39+1),0)+IF(AND(Projects!$G$40="Yes",83&gt;=Projects!$C$40,83&lt;Projects!$C$40+Projects!$D$40),Projects!$B$40*INDEX(Curves!$B$4:$AR$4,1,83-Projects!$C$40+1),0)+IF(AND(Projects!$G$41="Yes",83&gt;=Projects!$C$41,83&lt;Projects!$C$41+Projects!$D$41),Projects!$B$41*INDEX(Curves!$B$4:$AR$4,1,83-Projects!$C$41+1),0)+IF(AND(Projects!$G$42="Yes",83&gt;=Projects!$C$42,83&lt;Projects!$C$42+Projects!$D$42),Projects!$B$42*INDEX(Curves!$B$4:$AR$4,1,83-Projects!$C$42+1),0)+IF(AND(Projects!$G$43="Yes",83&gt;=Projects!$C$43,83&lt;Projects!$C$43+Projects!$D$43),Projects!$B$43*INDEX(Curves!$B$4:$AR$4,1,83-Projects!$C$43+1),0)+IF(AND(Projects!$G$44="Yes",83&gt;=Projects!$C$44,83&lt;Projects!$C$44+Projects!$D$44),Projects!$B$44*INDEX(Curves!$B$4:$AR$4,1,83-Projects!$C$44+1),0)+IF(AND(Projects!$G$45="Yes",83&gt;=Projects!$C$45,83&lt;Projects!$C$45+Projects!$D$45),Projects!$B$45*INDEX(Curves!$B$4:$AR$4,1,83-Projects!$C$45+1),0)+IF(AND(Projects!$G$46="Yes",83&gt;=Projects!$C$46,83&lt;Projects!$C$46+Projects!$D$46),Projects!$B$46*INDEX(Curves!$B$4:$AR$4,1,83-Projects!$C$46+1),0)</f>
        <v>5398977</v>
      </c>
      <c r="CK96" s="59">
        <f>IF(AND(Projects!$G$17="Yes",84&gt;=Projects!$C$17,84&lt;Projects!$C$17+Projects!$D$17),Projects!$B$17*INDEX(Curves!$B$4:$AR$4,1,84-Projects!$C$17+1),0)+IF(AND(Projects!$G$18="Yes",84&gt;=Projects!$C$18,84&lt;Projects!$C$18+Projects!$D$18),Projects!$B$18*INDEX(Curves!$B$4:$AR$4,1,84-Projects!$C$18+1),0)+IF(AND(Projects!$G$19="Yes",84&gt;=Projects!$C$19,84&lt;Projects!$C$19+Projects!$D$19),Projects!$B$19*INDEX(Curves!$B$4:$AR$4,1,84-Projects!$C$19+1),0)+IF(AND(Projects!$G$20="Yes",84&gt;=Projects!$C$20,84&lt;Projects!$C$20+Projects!$D$20),Projects!$B$20*INDEX(Curves!$B$4:$AR$4,1,84-Projects!$C$20+1),0)+IF(AND(Projects!$G$21="Yes",84&gt;=Projects!$C$21,84&lt;Projects!$C$21+Projects!$D$21),Projects!$B$21*INDEX(Curves!$B$4:$AR$4,1,84-Projects!$C$21+1),0)+IF(AND(Projects!$G$22="Yes",84&gt;=Projects!$C$22,84&lt;Projects!$C$22+Projects!$D$22),Projects!$B$22*INDEX(Curves!$B$4:$AR$4,1,84-Projects!$C$22+1),0)+IF(AND(Projects!$G$23="Yes",84&gt;=Projects!$C$23,84&lt;Projects!$C$23+Projects!$D$23),Projects!$B$23*INDEX(Curves!$B$4:$AR$4,1,84-Projects!$C$23+1),0)+IF(AND(Projects!$G$24="Yes",84&gt;=Projects!$C$24,84&lt;Projects!$C$24+Projects!$D$24),Projects!$B$24*INDEX(Curves!$B$4:$AR$4,1,84-Projects!$C$24+1),0)+IF(AND(Projects!$G$25="Yes",84&gt;=Projects!$C$25,84&lt;Projects!$C$25+Projects!$D$25),Projects!$B$25*INDEX(Curves!$B$4:$AR$4,1,84-Projects!$C$25+1),0)+IF(AND(Projects!$G$26="Yes",84&gt;=Projects!$C$26,84&lt;Projects!$C$26+Projects!$D$26),Projects!$B$26*INDEX(Curves!$B$4:$AR$4,1,84-Projects!$C$26+1),0)+IF(AND(Projects!$G$27="Yes",84&gt;=Projects!$C$27,84&lt;Projects!$C$27+Projects!$D$27),Projects!$B$27*INDEX(Curves!$B$4:$AR$4,1,84-Projects!$C$27+1),0)+IF(AND(Projects!$G$28="Yes",84&gt;=Projects!$C$28,84&lt;Projects!$C$28+Projects!$D$28),Projects!$B$28*INDEX(Curves!$B$4:$AR$4,1,84-Projects!$C$28+1),0)+IF(AND(Projects!$G$29="Yes",84&gt;=Projects!$C$29,84&lt;Projects!$C$29+Projects!$D$29),Projects!$B$29*INDEX(Curves!$B$4:$AR$4,1,84-Projects!$C$29+1),0)+IF(AND(Projects!$G$30="Yes",84&gt;=Projects!$C$30,84&lt;Projects!$C$30+Projects!$D$30),Projects!$B$30*INDEX(Curves!$B$4:$AR$4,1,84-Projects!$C$30+1),0)+IF(AND(Projects!$G$31="Yes",84&gt;=Projects!$C$31,84&lt;Projects!$C$31+Projects!$D$31),Projects!$B$31*INDEX(Curves!$B$4:$AR$4,1,84-Projects!$C$31+1),0)+IF(AND(Projects!$G$32="Yes",84&gt;=Projects!$C$32,84&lt;Projects!$C$32+Projects!$D$32),Projects!$B$32*INDEX(Curves!$B$4:$AR$4,1,84-Projects!$C$32+1),0)+IF(AND(Projects!$G$33="Yes",84&gt;=Projects!$C$33,84&lt;Projects!$C$33+Projects!$D$33),Projects!$B$33*INDEX(Curves!$B$4:$AR$4,1,84-Projects!$C$33+1),0)+IF(AND(Projects!$G$34="Yes",84&gt;=Projects!$C$34,84&lt;Projects!$C$34+Projects!$D$34),Projects!$B$34*INDEX(Curves!$B$4:$AR$4,1,84-Projects!$C$34+1),0)+IF(AND(Projects!$G$35="Yes",84&gt;=Projects!$C$35,84&lt;Projects!$C$35+Projects!$D$35),Projects!$B$35*INDEX(Curves!$B$4:$AR$4,1,84-Projects!$C$35+1),0)+IF(AND(Projects!$G$36="Yes",84&gt;=Projects!$C$36,84&lt;Projects!$C$36+Projects!$D$36),Projects!$B$36*INDEX(Curves!$B$4:$AR$4,1,84-Projects!$C$36+1),0)+IF(AND(Projects!$G$37="Yes",84&gt;=Projects!$C$37,84&lt;Projects!$C$37+Projects!$D$37),Projects!$B$37*INDEX(Curves!$B$4:$AR$4,1,84-Projects!$C$37+1),0)+IF(AND(Projects!$G$38="Yes",84&gt;=Projects!$C$38,84&lt;Projects!$C$38+Projects!$D$38),Projects!$B$38*INDEX(Curves!$B$4:$AR$4,1,84-Projects!$C$38+1),0)+IF(AND(Projects!$G$39="Yes",84&gt;=Projects!$C$39,84&lt;Projects!$C$39+Projects!$D$39),Projects!$B$39*INDEX(Curves!$B$4:$AR$4,1,84-Projects!$C$39+1),0)+IF(AND(Projects!$G$40="Yes",84&gt;=Projects!$C$40,84&lt;Projects!$C$40+Projects!$D$40),Projects!$B$40*INDEX(Curves!$B$4:$AR$4,1,84-Projects!$C$40+1),0)+IF(AND(Projects!$G$41="Yes",84&gt;=Projects!$C$41,84&lt;Projects!$C$41+Projects!$D$41),Projects!$B$41*INDEX(Curves!$B$4:$AR$4,1,84-Projects!$C$41+1),0)+IF(AND(Projects!$G$42="Yes",84&gt;=Projects!$C$42,84&lt;Projects!$C$42+Projects!$D$42),Projects!$B$42*INDEX(Curves!$B$4:$AR$4,1,84-Projects!$C$42+1),0)+IF(AND(Projects!$G$43="Yes",84&gt;=Projects!$C$43,84&lt;Projects!$C$43+Projects!$D$43),Projects!$B$43*INDEX(Curves!$B$4:$AR$4,1,84-Projects!$C$43+1),0)+IF(AND(Projects!$G$44="Yes",84&gt;=Projects!$C$44,84&lt;Projects!$C$44+Projects!$D$44),Projects!$B$44*INDEX(Curves!$B$4:$AR$4,1,84-Projects!$C$44+1),0)+IF(AND(Projects!$G$45="Yes",84&gt;=Projects!$C$45,84&lt;Projects!$C$45+Projects!$D$45),Projects!$B$45*INDEX(Curves!$B$4:$AR$4,1,84-Projects!$C$45+1),0)+IF(AND(Projects!$G$46="Yes",84&gt;=Projects!$C$46,84&lt;Projects!$C$46+Projects!$D$46),Projects!$B$46*INDEX(Curves!$B$4:$AR$4,1,84-Projects!$C$46+1),0)</f>
        <v>5602041</v>
      </c>
      <c r="CL96" s="59">
        <f>IF(AND(Projects!$G$17="Yes",85&gt;=Projects!$C$17,85&lt;Projects!$C$17+Projects!$D$17),Projects!$B$17*INDEX(Curves!$B$4:$AR$4,1,85-Projects!$C$17+1),0)+IF(AND(Projects!$G$18="Yes",85&gt;=Projects!$C$18,85&lt;Projects!$C$18+Projects!$D$18),Projects!$B$18*INDEX(Curves!$B$4:$AR$4,1,85-Projects!$C$18+1),0)+IF(AND(Projects!$G$19="Yes",85&gt;=Projects!$C$19,85&lt;Projects!$C$19+Projects!$D$19),Projects!$B$19*INDEX(Curves!$B$4:$AR$4,1,85-Projects!$C$19+1),0)+IF(AND(Projects!$G$20="Yes",85&gt;=Projects!$C$20,85&lt;Projects!$C$20+Projects!$D$20),Projects!$B$20*INDEX(Curves!$B$4:$AR$4,1,85-Projects!$C$20+1),0)+IF(AND(Projects!$G$21="Yes",85&gt;=Projects!$C$21,85&lt;Projects!$C$21+Projects!$D$21),Projects!$B$21*INDEX(Curves!$B$4:$AR$4,1,85-Projects!$C$21+1),0)+IF(AND(Projects!$G$22="Yes",85&gt;=Projects!$C$22,85&lt;Projects!$C$22+Projects!$D$22),Projects!$B$22*INDEX(Curves!$B$4:$AR$4,1,85-Projects!$C$22+1),0)+IF(AND(Projects!$G$23="Yes",85&gt;=Projects!$C$23,85&lt;Projects!$C$23+Projects!$D$23),Projects!$B$23*INDEX(Curves!$B$4:$AR$4,1,85-Projects!$C$23+1),0)+IF(AND(Projects!$G$24="Yes",85&gt;=Projects!$C$24,85&lt;Projects!$C$24+Projects!$D$24),Projects!$B$24*INDEX(Curves!$B$4:$AR$4,1,85-Projects!$C$24+1),0)+IF(AND(Projects!$G$25="Yes",85&gt;=Projects!$C$25,85&lt;Projects!$C$25+Projects!$D$25),Projects!$B$25*INDEX(Curves!$B$4:$AR$4,1,85-Projects!$C$25+1),0)+IF(AND(Projects!$G$26="Yes",85&gt;=Projects!$C$26,85&lt;Projects!$C$26+Projects!$D$26),Projects!$B$26*INDEX(Curves!$B$4:$AR$4,1,85-Projects!$C$26+1),0)+IF(AND(Projects!$G$27="Yes",85&gt;=Projects!$C$27,85&lt;Projects!$C$27+Projects!$D$27),Projects!$B$27*INDEX(Curves!$B$4:$AR$4,1,85-Projects!$C$27+1),0)+IF(AND(Projects!$G$28="Yes",85&gt;=Projects!$C$28,85&lt;Projects!$C$28+Projects!$D$28),Projects!$B$28*INDEX(Curves!$B$4:$AR$4,1,85-Projects!$C$28+1),0)+IF(AND(Projects!$G$29="Yes",85&gt;=Projects!$C$29,85&lt;Projects!$C$29+Projects!$D$29),Projects!$B$29*INDEX(Curves!$B$4:$AR$4,1,85-Projects!$C$29+1),0)+IF(AND(Projects!$G$30="Yes",85&gt;=Projects!$C$30,85&lt;Projects!$C$30+Projects!$D$30),Projects!$B$30*INDEX(Curves!$B$4:$AR$4,1,85-Projects!$C$30+1),0)+IF(AND(Projects!$G$31="Yes",85&gt;=Projects!$C$31,85&lt;Projects!$C$31+Projects!$D$31),Projects!$B$31*INDEX(Curves!$B$4:$AR$4,1,85-Projects!$C$31+1),0)+IF(AND(Projects!$G$32="Yes",85&gt;=Projects!$C$32,85&lt;Projects!$C$32+Projects!$D$32),Projects!$B$32*INDEX(Curves!$B$4:$AR$4,1,85-Projects!$C$32+1),0)+IF(AND(Projects!$G$33="Yes",85&gt;=Projects!$C$33,85&lt;Projects!$C$33+Projects!$D$33),Projects!$B$33*INDEX(Curves!$B$4:$AR$4,1,85-Projects!$C$33+1),0)+IF(AND(Projects!$G$34="Yes",85&gt;=Projects!$C$34,85&lt;Projects!$C$34+Projects!$D$34),Projects!$B$34*INDEX(Curves!$B$4:$AR$4,1,85-Projects!$C$34+1),0)+IF(AND(Projects!$G$35="Yes",85&gt;=Projects!$C$35,85&lt;Projects!$C$35+Projects!$D$35),Projects!$B$35*INDEX(Curves!$B$4:$AR$4,1,85-Projects!$C$35+1),0)+IF(AND(Projects!$G$36="Yes",85&gt;=Projects!$C$36,85&lt;Projects!$C$36+Projects!$D$36),Projects!$B$36*INDEX(Curves!$B$4:$AR$4,1,85-Projects!$C$36+1),0)+IF(AND(Projects!$G$37="Yes",85&gt;=Projects!$C$37,85&lt;Projects!$C$37+Projects!$D$37),Projects!$B$37*INDEX(Curves!$B$4:$AR$4,1,85-Projects!$C$37+1),0)+IF(AND(Projects!$G$38="Yes",85&gt;=Projects!$C$38,85&lt;Projects!$C$38+Projects!$D$38),Projects!$B$38*INDEX(Curves!$B$4:$AR$4,1,85-Projects!$C$38+1),0)+IF(AND(Projects!$G$39="Yes",85&gt;=Projects!$C$39,85&lt;Projects!$C$39+Projects!$D$39),Projects!$B$39*INDEX(Curves!$B$4:$AR$4,1,85-Projects!$C$39+1),0)+IF(AND(Projects!$G$40="Yes",85&gt;=Projects!$C$40,85&lt;Projects!$C$40+Projects!$D$40),Projects!$B$40*INDEX(Curves!$B$4:$AR$4,1,85-Projects!$C$40+1),0)+IF(AND(Projects!$G$41="Yes",85&gt;=Projects!$C$41,85&lt;Projects!$C$41+Projects!$D$41),Projects!$B$41*INDEX(Curves!$B$4:$AR$4,1,85-Projects!$C$41+1),0)+IF(AND(Projects!$G$42="Yes",85&gt;=Projects!$C$42,85&lt;Projects!$C$42+Projects!$D$42),Projects!$B$42*INDEX(Curves!$B$4:$AR$4,1,85-Projects!$C$42+1),0)+IF(AND(Projects!$G$43="Yes",85&gt;=Projects!$C$43,85&lt;Projects!$C$43+Projects!$D$43),Projects!$B$43*INDEX(Curves!$B$4:$AR$4,1,85-Projects!$C$43+1),0)+IF(AND(Projects!$G$44="Yes",85&gt;=Projects!$C$44,85&lt;Projects!$C$44+Projects!$D$44),Projects!$B$44*INDEX(Curves!$B$4:$AR$4,1,85-Projects!$C$44+1),0)+IF(AND(Projects!$G$45="Yes",85&gt;=Projects!$C$45,85&lt;Projects!$C$45+Projects!$D$45),Projects!$B$45*INDEX(Curves!$B$4:$AR$4,1,85-Projects!$C$45+1),0)+IF(AND(Projects!$G$46="Yes",85&gt;=Projects!$C$46,85&lt;Projects!$C$46+Projects!$D$46),Projects!$B$46*INDEX(Curves!$B$4:$AR$4,1,85-Projects!$C$46+1),0)</f>
        <v>5727156</v>
      </c>
      <c r="CM96" s="59">
        <f>IF(AND(Projects!$G$17="Yes",86&gt;=Projects!$C$17,86&lt;Projects!$C$17+Projects!$D$17),Projects!$B$17*INDEX(Curves!$B$4:$AR$4,1,86-Projects!$C$17+1),0)+IF(AND(Projects!$G$18="Yes",86&gt;=Projects!$C$18,86&lt;Projects!$C$18+Projects!$D$18),Projects!$B$18*INDEX(Curves!$B$4:$AR$4,1,86-Projects!$C$18+1),0)+IF(AND(Projects!$G$19="Yes",86&gt;=Projects!$C$19,86&lt;Projects!$C$19+Projects!$D$19),Projects!$B$19*INDEX(Curves!$B$4:$AR$4,1,86-Projects!$C$19+1),0)+IF(AND(Projects!$G$20="Yes",86&gt;=Projects!$C$20,86&lt;Projects!$C$20+Projects!$D$20),Projects!$B$20*INDEX(Curves!$B$4:$AR$4,1,86-Projects!$C$20+1),0)+IF(AND(Projects!$G$21="Yes",86&gt;=Projects!$C$21,86&lt;Projects!$C$21+Projects!$D$21),Projects!$B$21*INDEX(Curves!$B$4:$AR$4,1,86-Projects!$C$21+1),0)+IF(AND(Projects!$G$22="Yes",86&gt;=Projects!$C$22,86&lt;Projects!$C$22+Projects!$D$22),Projects!$B$22*INDEX(Curves!$B$4:$AR$4,1,86-Projects!$C$22+1),0)+IF(AND(Projects!$G$23="Yes",86&gt;=Projects!$C$23,86&lt;Projects!$C$23+Projects!$D$23),Projects!$B$23*INDEX(Curves!$B$4:$AR$4,1,86-Projects!$C$23+1),0)+IF(AND(Projects!$G$24="Yes",86&gt;=Projects!$C$24,86&lt;Projects!$C$24+Projects!$D$24),Projects!$B$24*INDEX(Curves!$B$4:$AR$4,1,86-Projects!$C$24+1),0)+IF(AND(Projects!$G$25="Yes",86&gt;=Projects!$C$25,86&lt;Projects!$C$25+Projects!$D$25),Projects!$B$25*INDEX(Curves!$B$4:$AR$4,1,86-Projects!$C$25+1),0)+IF(AND(Projects!$G$26="Yes",86&gt;=Projects!$C$26,86&lt;Projects!$C$26+Projects!$D$26),Projects!$B$26*INDEX(Curves!$B$4:$AR$4,1,86-Projects!$C$26+1),0)+IF(AND(Projects!$G$27="Yes",86&gt;=Projects!$C$27,86&lt;Projects!$C$27+Projects!$D$27),Projects!$B$27*INDEX(Curves!$B$4:$AR$4,1,86-Projects!$C$27+1),0)+IF(AND(Projects!$G$28="Yes",86&gt;=Projects!$C$28,86&lt;Projects!$C$28+Projects!$D$28),Projects!$B$28*INDEX(Curves!$B$4:$AR$4,1,86-Projects!$C$28+1),0)+IF(AND(Projects!$G$29="Yes",86&gt;=Projects!$C$29,86&lt;Projects!$C$29+Projects!$D$29),Projects!$B$29*INDEX(Curves!$B$4:$AR$4,1,86-Projects!$C$29+1),0)+IF(AND(Projects!$G$30="Yes",86&gt;=Projects!$C$30,86&lt;Projects!$C$30+Projects!$D$30),Projects!$B$30*INDEX(Curves!$B$4:$AR$4,1,86-Projects!$C$30+1),0)+IF(AND(Projects!$G$31="Yes",86&gt;=Projects!$C$31,86&lt;Projects!$C$31+Projects!$D$31),Projects!$B$31*INDEX(Curves!$B$4:$AR$4,1,86-Projects!$C$31+1),0)+IF(AND(Projects!$G$32="Yes",86&gt;=Projects!$C$32,86&lt;Projects!$C$32+Projects!$D$32),Projects!$B$32*INDEX(Curves!$B$4:$AR$4,1,86-Projects!$C$32+1),0)+IF(AND(Projects!$G$33="Yes",86&gt;=Projects!$C$33,86&lt;Projects!$C$33+Projects!$D$33),Projects!$B$33*INDEX(Curves!$B$4:$AR$4,1,86-Projects!$C$33+1),0)+IF(AND(Projects!$G$34="Yes",86&gt;=Projects!$C$34,86&lt;Projects!$C$34+Projects!$D$34),Projects!$B$34*INDEX(Curves!$B$4:$AR$4,1,86-Projects!$C$34+1),0)+IF(AND(Projects!$G$35="Yes",86&gt;=Projects!$C$35,86&lt;Projects!$C$35+Projects!$D$35),Projects!$B$35*INDEX(Curves!$B$4:$AR$4,1,86-Projects!$C$35+1),0)+IF(AND(Projects!$G$36="Yes",86&gt;=Projects!$C$36,86&lt;Projects!$C$36+Projects!$D$36),Projects!$B$36*INDEX(Curves!$B$4:$AR$4,1,86-Projects!$C$36+1),0)+IF(AND(Projects!$G$37="Yes",86&gt;=Projects!$C$37,86&lt;Projects!$C$37+Projects!$D$37),Projects!$B$37*INDEX(Curves!$B$4:$AR$4,1,86-Projects!$C$37+1),0)+IF(AND(Projects!$G$38="Yes",86&gt;=Projects!$C$38,86&lt;Projects!$C$38+Projects!$D$38),Projects!$B$38*INDEX(Curves!$B$4:$AR$4,1,86-Projects!$C$38+1),0)+IF(AND(Projects!$G$39="Yes",86&gt;=Projects!$C$39,86&lt;Projects!$C$39+Projects!$D$39),Projects!$B$39*INDEX(Curves!$B$4:$AR$4,1,86-Projects!$C$39+1),0)+IF(AND(Projects!$G$40="Yes",86&gt;=Projects!$C$40,86&lt;Projects!$C$40+Projects!$D$40),Projects!$B$40*INDEX(Curves!$B$4:$AR$4,1,86-Projects!$C$40+1),0)+IF(AND(Projects!$G$41="Yes",86&gt;=Projects!$C$41,86&lt;Projects!$C$41+Projects!$D$41),Projects!$B$41*INDEX(Curves!$B$4:$AR$4,1,86-Projects!$C$41+1),0)+IF(AND(Projects!$G$42="Yes",86&gt;=Projects!$C$42,86&lt;Projects!$C$42+Projects!$D$42),Projects!$B$42*INDEX(Curves!$B$4:$AR$4,1,86-Projects!$C$42+1),0)+IF(AND(Projects!$G$43="Yes",86&gt;=Projects!$C$43,86&lt;Projects!$C$43+Projects!$D$43),Projects!$B$43*INDEX(Curves!$B$4:$AR$4,1,86-Projects!$C$43+1),0)+IF(AND(Projects!$G$44="Yes",86&gt;=Projects!$C$44,86&lt;Projects!$C$44+Projects!$D$44),Projects!$B$44*INDEX(Curves!$B$4:$AR$4,1,86-Projects!$C$44+1),0)+IF(AND(Projects!$G$45="Yes",86&gt;=Projects!$C$45,86&lt;Projects!$C$45+Projects!$D$45),Projects!$B$45*INDEX(Curves!$B$4:$AR$4,1,86-Projects!$C$45+1),0)+IF(AND(Projects!$G$46="Yes",86&gt;=Projects!$C$46,86&lt;Projects!$C$46+Projects!$D$46),Projects!$B$46*INDEX(Curves!$B$4:$AR$4,1,86-Projects!$C$46+1),0)</f>
        <v>5765268</v>
      </c>
      <c r="CN96" s="59">
        <f>IF(AND(Projects!$G$17="Yes",87&gt;=Projects!$C$17,87&lt;Projects!$C$17+Projects!$D$17),Projects!$B$17*INDEX(Curves!$B$4:$AR$4,1,87-Projects!$C$17+1),0)+IF(AND(Projects!$G$18="Yes",87&gt;=Projects!$C$18,87&lt;Projects!$C$18+Projects!$D$18),Projects!$B$18*INDEX(Curves!$B$4:$AR$4,1,87-Projects!$C$18+1),0)+IF(AND(Projects!$G$19="Yes",87&gt;=Projects!$C$19,87&lt;Projects!$C$19+Projects!$D$19),Projects!$B$19*INDEX(Curves!$B$4:$AR$4,1,87-Projects!$C$19+1),0)+IF(AND(Projects!$G$20="Yes",87&gt;=Projects!$C$20,87&lt;Projects!$C$20+Projects!$D$20),Projects!$B$20*INDEX(Curves!$B$4:$AR$4,1,87-Projects!$C$20+1),0)+IF(AND(Projects!$G$21="Yes",87&gt;=Projects!$C$21,87&lt;Projects!$C$21+Projects!$D$21),Projects!$B$21*INDEX(Curves!$B$4:$AR$4,1,87-Projects!$C$21+1),0)+IF(AND(Projects!$G$22="Yes",87&gt;=Projects!$C$22,87&lt;Projects!$C$22+Projects!$D$22),Projects!$B$22*INDEX(Curves!$B$4:$AR$4,1,87-Projects!$C$22+1),0)+IF(AND(Projects!$G$23="Yes",87&gt;=Projects!$C$23,87&lt;Projects!$C$23+Projects!$D$23),Projects!$B$23*INDEX(Curves!$B$4:$AR$4,1,87-Projects!$C$23+1),0)+IF(AND(Projects!$G$24="Yes",87&gt;=Projects!$C$24,87&lt;Projects!$C$24+Projects!$D$24),Projects!$B$24*INDEX(Curves!$B$4:$AR$4,1,87-Projects!$C$24+1),0)+IF(AND(Projects!$G$25="Yes",87&gt;=Projects!$C$25,87&lt;Projects!$C$25+Projects!$D$25),Projects!$B$25*INDEX(Curves!$B$4:$AR$4,1,87-Projects!$C$25+1),0)+IF(AND(Projects!$G$26="Yes",87&gt;=Projects!$C$26,87&lt;Projects!$C$26+Projects!$D$26),Projects!$B$26*INDEX(Curves!$B$4:$AR$4,1,87-Projects!$C$26+1),0)+IF(AND(Projects!$G$27="Yes",87&gt;=Projects!$C$27,87&lt;Projects!$C$27+Projects!$D$27),Projects!$B$27*INDEX(Curves!$B$4:$AR$4,1,87-Projects!$C$27+1),0)+IF(AND(Projects!$G$28="Yes",87&gt;=Projects!$C$28,87&lt;Projects!$C$28+Projects!$D$28),Projects!$B$28*INDEX(Curves!$B$4:$AR$4,1,87-Projects!$C$28+1),0)+IF(AND(Projects!$G$29="Yes",87&gt;=Projects!$C$29,87&lt;Projects!$C$29+Projects!$D$29),Projects!$B$29*INDEX(Curves!$B$4:$AR$4,1,87-Projects!$C$29+1),0)+IF(AND(Projects!$G$30="Yes",87&gt;=Projects!$C$30,87&lt;Projects!$C$30+Projects!$D$30),Projects!$B$30*INDEX(Curves!$B$4:$AR$4,1,87-Projects!$C$30+1),0)+IF(AND(Projects!$G$31="Yes",87&gt;=Projects!$C$31,87&lt;Projects!$C$31+Projects!$D$31),Projects!$B$31*INDEX(Curves!$B$4:$AR$4,1,87-Projects!$C$31+1),0)+IF(AND(Projects!$G$32="Yes",87&gt;=Projects!$C$32,87&lt;Projects!$C$32+Projects!$D$32),Projects!$B$32*INDEX(Curves!$B$4:$AR$4,1,87-Projects!$C$32+1),0)+IF(AND(Projects!$G$33="Yes",87&gt;=Projects!$C$33,87&lt;Projects!$C$33+Projects!$D$33),Projects!$B$33*INDEX(Curves!$B$4:$AR$4,1,87-Projects!$C$33+1),0)+IF(AND(Projects!$G$34="Yes",87&gt;=Projects!$C$34,87&lt;Projects!$C$34+Projects!$D$34),Projects!$B$34*INDEX(Curves!$B$4:$AR$4,1,87-Projects!$C$34+1),0)+IF(AND(Projects!$G$35="Yes",87&gt;=Projects!$C$35,87&lt;Projects!$C$35+Projects!$D$35),Projects!$B$35*INDEX(Curves!$B$4:$AR$4,1,87-Projects!$C$35+1),0)+IF(AND(Projects!$G$36="Yes",87&gt;=Projects!$C$36,87&lt;Projects!$C$36+Projects!$D$36),Projects!$B$36*INDEX(Curves!$B$4:$AR$4,1,87-Projects!$C$36+1),0)+IF(AND(Projects!$G$37="Yes",87&gt;=Projects!$C$37,87&lt;Projects!$C$37+Projects!$D$37),Projects!$B$37*INDEX(Curves!$B$4:$AR$4,1,87-Projects!$C$37+1),0)+IF(AND(Projects!$G$38="Yes",87&gt;=Projects!$C$38,87&lt;Projects!$C$38+Projects!$D$38),Projects!$B$38*INDEX(Curves!$B$4:$AR$4,1,87-Projects!$C$38+1),0)+IF(AND(Projects!$G$39="Yes",87&gt;=Projects!$C$39,87&lt;Projects!$C$39+Projects!$D$39),Projects!$B$39*INDEX(Curves!$B$4:$AR$4,1,87-Projects!$C$39+1),0)+IF(AND(Projects!$G$40="Yes",87&gt;=Projects!$C$40,87&lt;Projects!$C$40+Projects!$D$40),Projects!$B$40*INDEX(Curves!$B$4:$AR$4,1,87-Projects!$C$40+1),0)+IF(AND(Projects!$G$41="Yes",87&gt;=Projects!$C$41,87&lt;Projects!$C$41+Projects!$D$41),Projects!$B$41*INDEX(Curves!$B$4:$AR$4,1,87-Projects!$C$41+1),0)+IF(AND(Projects!$G$42="Yes",87&gt;=Projects!$C$42,87&lt;Projects!$C$42+Projects!$D$42),Projects!$B$42*INDEX(Curves!$B$4:$AR$4,1,87-Projects!$C$42+1),0)+IF(AND(Projects!$G$43="Yes",87&gt;=Projects!$C$43,87&lt;Projects!$C$43+Projects!$D$43),Projects!$B$43*INDEX(Curves!$B$4:$AR$4,1,87-Projects!$C$43+1),0)+IF(AND(Projects!$G$44="Yes",87&gt;=Projects!$C$44,87&lt;Projects!$C$44+Projects!$D$44),Projects!$B$44*INDEX(Curves!$B$4:$AR$4,1,87-Projects!$C$44+1),0)+IF(AND(Projects!$G$45="Yes",87&gt;=Projects!$C$45,87&lt;Projects!$C$45+Projects!$D$45),Projects!$B$45*INDEX(Curves!$B$4:$AR$4,1,87-Projects!$C$45+1),0)+IF(AND(Projects!$G$46="Yes",87&gt;=Projects!$C$46,87&lt;Projects!$C$46+Projects!$D$46),Projects!$B$46*INDEX(Curves!$B$4:$AR$4,1,87-Projects!$C$46+1),0)</f>
        <v>5334108</v>
      </c>
      <c r="CO96" s="59">
        <f>IF(AND(Projects!$G$17="Yes",88&gt;=Projects!$C$17,88&lt;Projects!$C$17+Projects!$D$17),Projects!$B$17*INDEX(Curves!$B$4:$AR$4,1,88-Projects!$C$17+1),0)+IF(AND(Projects!$G$18="Yes",88&gt;=Projects!$C$18,88&lt;Projects!$C$18+Projects!$D$18),Projects!$B$18*INDEX(Curves!$B$4:$AR$4,1,88-Projects!$C$18+1),0)+IF(AND(Projects!$G$19="Yes",88&gt;=Projects!$C$19,88&lt;Projects!$C$19+Projects!$D$19),Projects!$B$19*INDEX(Curves!$B$4:$AR$4,1,88-Projects!$C$19+1),0)+IF(AND(Projects!$G$20="Yes",88&gt;=Projects!$C$20,88&lt;Projects!$C$20+Projects!$D$20),Projects!$B$20*INDEX(Curves!$B$4:$AR$4,1,88-Projects!$C$20+1),0)+IF(AND(Projects!$G$21="Yes",88&gt;=Projects!$C$21,88&lt;Projects!$C$21+Projects!$D$21),Projects!$B$21*INDEX(Curves!$B$4:$AR$4,1,88-Projects!$C$21+1),0)+IF(AND(Projects!$G$22="Yes",88&gt;=Projects!$C$22,88&lt;Projects!$C$22+Projects!$D$22),Projects!$B$22*INDEX(Curves!$B$4:$AR$4,1,88-Projects!$C$22+1),0)+IF(AND(Projects!$G$23="Yes",88&gt;=Projects!$C$23,88&lt;Projects!$C$23+Projects!$D$23),Projects!$B$23*INDEX(Curves!$B$4:$AR$4,1,88-Projects!$C$23+1),0)+IF(AND(Projects!$G$24="Yes",88&gt;=Projects!$C$24,88&lt;Projects!$C$24+Projects!$D$24),Projects!$B$24*INDEX(Curves!$B$4:$AR$4,1,88-Projects!$C$24+1),0)+IF(AND(Projects!$G$25="Yes",88&gt;=Projects!$C$25,88&lt;Projects!$C$25+Projects!$D$25),Projects!$B$25*INDEX(Curves!$B$4:$AR$4,1,88-Projects!$C$25+1),0)+IF(AND(Projects!$G$26="Yes",88&gt;=Projects!$C$26,88&lt;Projects!$C$26+Projects!$D$26),Projects!$B$26*INDEX(Curves!$B$4:$AR$4,1,88-Projects!$C$26+1),0)+IF(AND(Projects!$G$27="Yes",88&gt;=Projects!$C$27,88&lt;Projects!$C$27+Projects!$D$27),Projects!$B$27*INDEX(Curves!$B$4:$AR$4,1,88-Projects!$C$27+1),0)+IF(AND(Projects!$G$28="Yes",88&gt;=Projects!$C$28,88&lt;Projects!$C$28+Projects!$D$28),Projects!$B$28*INDEX(Curves!$B$4:$AR$4,1,88-Projects!$C$28+1),0)+IF(AND(Projects!$G$29="Yes",88&gt;=Projects!$C$29,88&lt;Projects!$C$29+Projects!$D$29),Projects!$B$29*INDEX(Curves!$B$4:$AR$4,1,88-Projects!$C$29+1),0)+IF(AND(Projects!$G$30="Yes",88&gt;=Projects!$C$30,88&lt;Projects!$C$30+Projects!$D$30),Projects!$B$30*INDEX(Curves!$B$4:$AR$4,1,88-Projects!$C$30+1),0)+IF(AND(Projects!$G$31="Yes",88&gt;=Projects!$C$31,88&lt;Projects!$C$31+Projects!$D$31),Projects!$B$31*INDEX(Curves!$B$4:$AR$4,1,88-Projects!$C$31+1),0)+IF(AND(Projects!$G$32="Yes",88&gt;=Projects!$C$32,88&lt;Projects!$C$32+Projects!$D$32),Projects!$B$32*INDEX(Curves!$B$4:$AR$4,1,88-Projects!$C$32+1),0)+IF(AND(Projects!$G$33="Yes",88&gt;=Projects!$C$33,88&lt;Projects!$C$33+Projects!$D$33),Projects!$B$33*INDEX(Curves!$B$4:$AR$4,1,88-Projects!$C$33+1),0)+IF(AND(Projects!$G$34="Yes",88&gt;=Projects!$C$34,88&lt;Projects!$C$34+Projects!$D$34),Projects!$B$34*INDEX(Curves!$B$4:$AR$4,1,88-Projects!$C$34+1),0)+IF(AND(Projects!$G$35="Yes",88&gt;=Projects!$C$35,88&lt;Projects!$C$35+Projects!$D$35),Projects!$B$35*INDEX(Curves!$B$4:$AR$4,1,88-Projects!$C$35+1),0)+IF(AND(Projects!$G$36="Yes",88&gt;=Projects!$C$36,88&lt;Projects!$C$36+Projects!$D$36),Projects!$B$36*INDEX(Curves!$B$4:$AR$4,1,88-Projects!$C$36+1),0)+IF(AND(Projects!$G$37="Yes",88&gt;=Projects!$C$37,88&lt;Projects!$C$37+Projects!$D$37),Projects!$B$37*INDEX(Curves!$B$4:$AR$4,1,88-Projects!$C$37+1),0)+IF(AND(Projects!$G$38="Yes",88&gt;=Projects!$C$38,88&lt;Projects!$C$38+Projects!$D$38),Projects!$B$38*INDEX(Curves!$B$4:$AR$4,1,88-Projects!$C$38+1),0)+IF(AND(Projects!$G$39="Yes",88&gt;=Projects!$C$39,88&lt;Projects!$C$39+Projects!$D$39),Projects!$B$39*INDEX(Curves!$B$4:$AR$4,1,88-Projects!$C$39+1),0)+IF(AND(Projects!$G$40="Yes",88&gt;=Projects!$C$40,88&lt;Projects!$C$40+Projects!$D$40),Projects!$B$40*INDEX(Curves!$B$4:$AR$4,1,88-Projects!$C$40+1),0)+IF(AND(Projects!$G$41="Yes",88&gt;=Projects!$C$41,88&lt;Projects!$C$41+Projects!$D$41),Projects!$B$41*INDEX(Curves!$B$4:$AR$4,1,88-Projects!$C$41+1),0)+IF(AND(Projects!$G$42="Yes",88&gt;=Projects!$C$42,88&lt;Projects!$C$42+Projects!$D$42),Projects!$B$42*INDEX(Curves!$B$4:$AR$4,1,88-Projects!$C$42+1),0)+IF(AND(Projects!$G$43="Yes",88&gt;=Projects!$C$43,88&lt;Projects!$C$43+Projects!$D$43),Projects!$B$43*INDEX(Curves!$B$4:$AR$4,1,88-Projects!$C$43+1),0)+IF(AND(Projects!$G$44="Yes",88&gt;=Projects!$C$44,88&lt;Projects!$C$44+Projects!$D$44),Projects!$B$44*INDEX(Curves!$B$4:$AR$4,1,88-Projects!$C$44+1),0)+IF(AND(Projects!$G$45="Yes",88&gt;=Projects!$C$45,88&lt;Projects!$C$45+Projects!$D$45),Projects!$B$45*INDEX(Curves!$B$4:$AR$4,1,88-Projects!$C$45+1),0)+IF(AND(Projects!$G$46="Yes",88&gt;=Projects!$C$46,88&lt;Projects!$C$46+Projects!$D$46),Projects!$B$46*INDEX(Curves!$B$4:$AR$4,1,88-Projects!$C$46+1),0)</f>
        <v>5273190</v>
      </c>
      <c r="CP96" s="59">
        <f>IF(AND(Projects!$G$17="Yes",89&gt;=Projects!$C$17,89&lt;Projects!$C$17+Projects!$D$17),Projects!$B$17*INDEX(Curves!$B$4:$AR$4,1,89-Projects!$C$17+1),0)+IF(AND(Projects!$G$18="Yes",89&gt;=Projects!$C$18,89&lt;Projects!$C$18+Projects!$D$18),Projects!$B$18*INDEX(Curves!$B$4:$AR$4,1,89-Projects!$C$18+1),0)+IF(AND(Projects!$G$19="Yes",89&gt;=Projects!$C$19,89&lt;Projects!$C$19+Projects!$D$19),Projects!$B$19*INDEX(Curves!$B$4:$AR$4,1,89-Projects!$C$19+1),0)+IF(AND(Projects!$G$20="Yes",89&gt;=Projects!$C$20,89&lt;Projects!$C$20+Projects!$D$20),Projects!$B$20*INDEX(Curves!$B$4:$AR$4,1,89-Projects!$C$20+1),0)+IF(AND(Projects!$G$21="Yes",89&gt;=Projects!$C$21,89&lt;Projects!$C$21+Projects!$D$21),Projects!$B$21*INDEX(Curves!$B$4:$AR$4,1,89-Projects!$C$21+1),0)+IF(AND(Projects!$G$22="Yes",89&gt;=Projects!$C$22,89&lt;Projects!$C$22+Projects!$D$22),Projects!$B$22*INDEX(Curves!$B$4:$AR$4,1,89-Projects!$C$22+1),0)+IF(AND(Projects!$G$23="Yes",89&gt;=Projects!$C$23,89&lt;Projects!$C$23+Projects!$D$23),Projects!$B$23*INDEX(Curves!$B$4:$AR$4,1,89-Projects!$C$23+1),0)+IF(AND(Projects!$G$24="Yes",89&gt;=Projects!$C$24,89&lt;Projects!$C$24+Projects!$D$24),Projects!$B$24*INDEX(Curves!$B$4:$AR$4,1,89-Projects!$C$24+1),0)+IF(AND(Projects!$G$25="Yes",89&gt;=Projects!$C$25,89&lt;Projects!$C$25+Projects!$D$25),Projects!$B$25*INDEX(Curves!$B$4:$AR$4,1,89-Projects!$C$25+1),0)+IF(AND(Projects!$G$26="Yes",89&gt;=Projects!$C$26,89&lt;Projects!$C$26+Projects!$D$26),Projects!$B$26*INDEX(Curves!$B$4:$AR$4,1,89-Projects!$C$26+1),0)+IF(AND(Projects!$G$27="Yes",89&gt;=Projects!$C$27,89&lt;Projects!$C$27+Projects!$D$27),Projects!$B$27*INDEX(Curves!$B$4:$AR$4,1,89-Projects!$C$27+1),0)+IF(AND(Projects!$G$28="Yes",89&gt;=Projects!$C$28,89&lt;Projects!$C$28+Projects!$D$28),Projects!$B$28*INDEX(Curves!$B$4:$AR$4,1,89-Projects!$C$28+1),0)+IF(AND(Projects!$G$29="Yes",89&gt;=Projects!$C$29,89&lt;Projects!$C$29+Projects!$D$29),Projects!$B$29*INDEX(Curves!$B$4:$AR$4,1,89-Projects!$C$29+1),0)+IF(AND(Projects!$G$30="Yes",89&gt;=Projects!$C$30,89&lt;Projects!$C$30+Projects!$D$30),Projects!$B$30*INDEX(Curves!$B$4:$AR$4,1,89-Projects!$C$30+1),0)+IF(AND(Projects!$G$31="Yes",89&gt;=Projects!$C$31,89&lt;Projects!$C$31+Projects!$D$31),Projects!$B$31*INDEX(Curves!$B$4:$AR$4,1,89-Projects!$C$31+1),0)+IF(AND(Projects!$G$32="Yes",89&gt;=Projects!$C$32,89&lt;Projects!$C$32+Projects!$D$32),Projects!$B$32*INDEX(Curves!$B$4:$AR$4,1,89-Projects!$C$32+1),0)+IF(AND(Projects!$G$33="Yes",89&gt;=Projects!$C$33,89&lt;Projects!$C$33+Projects!$D$33),Projects!$B$33*INDEX(Curves!$B$4:$AR$4,1,89-Projects!$C$33+1),0)+IF(AND(Projects!$G$34="Yes",89&gt;=Projects!$C$34,89&lt;Projects!$C$34+Projects!$D$34),Projects!$B$34*INDEX(Curves!$B$4:$AR$4,1,89-Projects!$C$34+1),0)+IF(AND(Projects!$G$35="Yes",89&gt;=Projects!$C$35,89&lt;Projects!$C$35+Projects!$D$35),Projects!$B$35*INDEX(Curves!$B$4:$AR$4,1,89-Projects!$C$35+1),0)+IF(AND(Projects!$G$36="Yes",89&gt;=Projects!$C$36,89&lt;Projects!$C$36+Projects!$D$36),Projects!$B$36*INDEX(Curves!$B$4:$AR$4,1,89-Projects!$C$36+1),0)+IF(AND(Projects!$G$37="Yes",89&gt;=Projects!$C$37,89&lt;Projects!$C$37+Projects!$D$37),Projects!$B$37*INDEX(Curves!$B$4:$AR$4,1,89-Projects!$C$37+1),0)+IF(AND(Projects!$G$38="Yes",89&gt;=Projects!$C$38,89&lt;Projects!$C$38+Projects!$D$38),Projects!$B$38*INDEX(Curves!$B$4:$AR$4,1,89-Projects!$C$38+1),0)+IF(AND(Projects!$G$39="Yes",89&gt;=Projects!$C$39,89&lt;Projects!$C$39+Projects!$D$39),Projects!$B$39*INDEX(Curves!$B$4:$AR$4,1,89-Projects!$C$39+1),0)+IF(AND(Projects!$G$40="Yes",89&gt;=Projects!$C$40,89&lt;Projects!$C$40+Projects!$D$40),Projects!$B$40*INDEX(Curves!$B$4:$AR$4,1,89-Projects!$C$40+1),0)+IF(AND(Projects!$G$41="Yes",89&gt;=Projects!$C$41,89&lt;Projects!$C$41+Projects!$D$41),Projects!$B$41*INDEX(Curves!$B$4:$AR$4,1,89-Projects!$C$41+1),0)+IF(AND(Projects!$G$42="Yes",89&gt;=Projects!$C$42,89&lt;Projects!$C$42+Projects!$D$42),Projects!$B$42*INDEX(Curves!$B$4:$AR$4,1,89-Projects!$C$42+1),0)+IF(AND(Projects!$G$43="Yes",89&gt;=Projects!$C$43,89&lt;Projects!$C$43+Projects!$D$43),Projects!$B$43*INDEX(Curves!$B$4:$AR$4,1,89-Projects!$C$43+1),0)+IF(AND(Projects!$G$44="Yes",89&gt;=Projects!$C$44,89&lt;Projects!$C$44+Projects!$D$44),Projects!$B$44*INDEX(Curves!$B$4:$AR$4,1,89-Projects!$C$44+1),0)+IF(AND(Projects!$G$45="Yes",89&gt;=Projects!$C$45,89&lt;Projects!$C$45+Projects!$D$45),Projects!$B$45*INDEX(Curves!$B$4:$AR$4,1,89-Projects!$C$45+1),0)+IF(AND(Projects!$G$46="Yes",89&gt;=Projects!$C$46,89&lt;Projects!$C$46+Projects!$D$46),Projects!$B$46*INDEX(Curves!$B$4:$AR$4,1,89-Projects!$C$46+1),0)</f>
        <v>5108706</v>
      </c>
      <c r="CQ96" s="59">
        <f>IF(AND(Projects!$G$17="Yes",90&gt;=Projects!$C$17,90&lt;Projects!$C$17+Projects!$D$17),Projects!$B$17*INDEX(Curves!$B$4:$AR$4,1,90-Projects!$C$17+1),0)+IF(AND(Projects!$G$18="Yes",90&gt;=Projects!$C$18,90&lt;Projects!$C$18+Projects!$D$18),Projects!$B$18*INDEX(Curves!$B$4:$AR$4,1,90-Projects!$C$18+1),0)+IF(AND(Projects!$G$19="Yes",90&gt;=Projects!$C$19,90&lt;Projects!$C$19+Projects!$D$19),Projects!$B$19*INDEX(Curves!$B$4:$AR$4,1,90-Projects!$C$19+1),0)+IF(AND(Projects!$G$20="Yes",90&gt;=Projects!$C$20,90&lt;Projects!$C$20+Projects!$D$20),Projects!$B$20*INDEX(Curves!$B$4:$AR$4,1,90-Projects!$C$20+1),0)+IF(AND(Projects!$G$21="Yes",90&gt;=Projects!$C$21,90&lt;Projects!$C$21+Projects!$D$21),Projects!$B$21*INDEX(Curves!$B$4:$AR$4,1,90-Projects!$C$21+1),0)+IF(AND(Projects!$G$22="Yes",90&gt;=Projects!$C$22,90&lt;Projects!$C$22+Projects!$D$22),Projects!$B$22*INDEX(Curves!$B$4:$AR$4,1,90-Projects!$C$22+1),0)+IF(AND(Projects!$G$23="Yes",90&gt;=Projects!$C$23,90&lt;Projects!$C$23+Projects!$D$23),Projects!$B$23*INDEX(Curves!$B$4:$AR$4,1,90-Projects!$C$23+1),0)+IF(AND(Projects!$G$24="Yes",90&gt;=Projects!$C$24,90&lt;Projects!$C$24+Projects!$D$24),Projects!$B$24*INDEX(Curves!$B$4:$AR$4,1,90-Projects!$C$24+1),0)+IF(AND(Projects!$G$25="Yes",90&gt;=Projects!$C$25,90&lt;Projects!$C$25+Projects!$D$25),Projects!$B$25*INDEX(Curves!$B$4:$AR$4,1,90-Projects!$C$25+1),0)+IF(AND(Projects!$G$26="Yes",90&gt;=Projects!$C$26,90&lt;Projects!$C$26+Projects!$D$26),Projects!$B$26*INDEX(Curves!$B$4:$AR$4,1,90-Projects!$C$26+1),0)+IF(AND(Projects!$G$27="Yes",90&gt;=Projects!$C$27,90&lt;Projects!$C$27+Projects!$D$27),Projects!$B$27*INDEX(Curves!$B$4:$AR$4,1,90-Projects!$C$27+1),0)+IF(AND(Projects!$G$28="Yes",90&gt;=Projects!$C$28,90&lt;Projects!$C$28+Projects!$D$28),Projects!$B$28*INDEX(Curves!$B$4:$AR$4,1,90-Projects!$C$28+1),0)+IF(AND(Projects!$G$29="Yes",90&gt;=Projects!$C$29,90&lt;Projects!$C$29+Projects!$D$29),Projects!$B$29*INDEX(Curves!$B$4:$AR$4,1,90-Projects!$C$29+1),0)+IF(AND(Projects!$G$30="Yes",90&gt;=Projects!$C$30,90&lt;Projects!$C$30+Projects!$D$30),Projects!$B$30*INDEX(Curves!$B$4:$AR$4,1,90-Projects!$C$30+1),0)+IF(AND(Projects!$G$31="Yes",90&gt;=Projects!$C$31,90&lt;Projects!$C$31+Projects!$D$31),Projects!$B$31*INDEX(Curves!$B$4:$AR$4,1,90-Projects!$C$31+1),0)+IF(AND(Projects!$G$32="Yes",90&gt;=Projects!$C$32,90&lt;Projects!$C$32+Projects!$D$32),Projects!$B$32*INDEX(Curves!$B$4:$AR$4,1,90-Projects!$C$32+1),0)+IF(AND(Projects!$G$33="Yes",90&gt;=Projects!$C$33,90&lt;Projects!$C$33+Projects!$D$33),Projects!$B$33*INDEX(Curves!$B$4:$AR$4,1,90-Projects!$C$33+1),0)+IF(AND(Projects!$G$34="Yes",90&gt;=Projects!$C$34,90&lt;Projects!$C$34+Projects!$D$34),Projects!$B$34*INDEX(Curves!$B$4:$AR$4,1,90-Projects!$C$34+1),0)+IF(AND(Projects!$G$35="Yes",90&gt;=Projects!$C$35,90&lt;Projects!$C$35+Projects!$D$35),Projects!$B$35*INDEX(Curves!$B$4:$AR$4,1,90-Projects!$C$35+1),0)+IF(AND(Projects!$G$36="Yes",90&gt;=Projects!$C$36,90&lt;Projects!$C$36+Projects!$D$36),Projects!$B$36*INDEX(Curves!$B$4:$AR$4,1,90-Projects!$C$36+1),0)+IF(AND(Projects!$G$37="Yes",90&gt;=Projects!$C$37,90&lt;Projects!$C$37+Projects!$D$37),Projects!$B$37*INDEX(Curves!$B$4:$AR$4,1,90-Projects!$C$37+1),0)+IF(AND(Projects!$G$38="Yes",90&gt;=Projects!$C$38,90&lt;Projects!$C$38+Projects!$D$38),Projects!$B$38*INDEX(Curves!$B$4:$AR$4,1,90-Projects!$C$38+1),0)+IF(AND(Projects!$G$39="Yes",90&gt;=Projects!$C$39,90&lt;Projects!$C$39+Projects!$D$39),Projects!$B$39*INDEX(Curves!$B$4:$AR$4,1,90-Projects!$C$39+1),0)+IF(AND(Projects!$G$40="Yes",90&gt;=Projects!$C$40,90&lt;Projects!$C$40+Projects!$D$40),Projects!$B$40*INDEX(Curves!$B$4:$AR$4,1,90-Projects!$C$40+1),0)+IF(AND(Projects!$G$41="Yes",90&gt;=Projects!$C$41,90&lt;Projects!$C$41+Projects!$D$41),Projects!$B$41*INDEX(Curves!$B$4:$AR$4,1,90-Projects!$C$41+1),0)+IF(AND(Projects!$G$42="Yes",90&gt;=Projects!$C$42,90&lt;Projects!$C$42+Projects!$D$42),Projects!$B$42*INDEX(Curves!$B$4:$AR$4,1,90-Projects!$C$42+1),0)+IF(AND(Projects!$G$43="Yes",90&gt;=Projects!$C$43,90&lt;Projects!$C$43+Projects!$D$43),Projects!$B$43*INDEX(Curves!$B$4:$AR$4,1,90-Projects!$C$43+1),0)+IF(AND(Projects!$G$44="Yes",90&gt;=Projects!$C$44,90&lt;Projects!$C$44+Projects!$D$44),Projects!$B$44*INDEX(Curves!$B$4:$AR$4,1,90-Projects!$C$44+1),0)+IF(AND(Projects!$G$45="Yes",90&gt;=Projects!$C$45,90&lt;Projects!$C$45+Projects!$D$45),Projects!$B$45*INDEX(Curves!$B$4:$AR$4,1,90-Projects!$C$45+1),0)+IF(AND(Projects!$G$46="Yes",90&gt;=Projects!$C$46,90&lt;Projects!$C$46+Projects!$D$46),Projects!$B$46*INDEX(Curves!$B$4:$AR$4,1,90-Projects!$C$46+1),0)</f>
        <v>4850157</v>
      </c>
      <c r="CR96" s="59">
        <f>IF(AND(Projects!$G$17="Yes",91&gt;=Projects!$C$17,91&lt;Projects!$C$17+Projects!$D$17),Projects!$B$17*INDEX(Curves!$B$4:$AR$4,1,91-Projects!$C$17+1),0)+IF(AND(Projects!$G$18="Yes",91&gt;=Projects!$C$18,91&lt;Projects!$C$18+Projects!$D$18),Projects!$B$18*INDEX(Curves!$B$4:$AR$4,1,91-Projects!$C$18+1),0)+IF(AND(Projects!$G$19="Yes",91&gt;=Projects!$C$19,91&lt;Projects!$C$19+Projects!$D$19),Projects!$B$19*INDEX(Curves!$B$4:$AR$4,1,91-Projects!$C$19+1),0)+IF(AND(Projects!$G$20="Yes",91&gt;=Projects!$C$20,91&lt;Projects!$C$20+Projects!$D$20),Projects!$B$20*INDEX(Curves!$B$4:$AR$4,1,91-Projects!$C$20+1),0)+IF(AND(Projects!$G$21="Yes",91&gt;=Projects!$C$21,91&lt;Projects!$C$21+Projects!$D$21),Projects!$B$21*INDEX(Curves!$B$4:$AR$4,1,91-Projects!$C$21+1),0)+IF(AND(Projects!$G$22="Yes",91&gt;=Projects!$C$22,91&lt;Projects!$C$22+Projects!$D$22),Projects!$B$22*INDEX(Curves!$B$4:$AR$4,1,91-Projects!$C$22+1),0)+IF(AND(Projects!$G$23="Yes",91&gt;=Projects!$C$23,91&lt;Projects!$C$23+Projects!$D$23),Projects!$B$23*INDEX(Curves!$B$4:$AR$4,1,91-Projects!$C$23+1),0)+IF(AND(Projects!$G$24="Yes",91&gt;=Projects!$C$24,91&lt;Projects!$C$24+Projects!$D$24),Projects!$B$24*INDEX(Curves!$B$4:$AR$4,1,91-Projects!$C$24+1),0)+IF(AND(Projects!$G$25="Yes",91&gt;=Projects!$C$25,91&lt;Projects!$C$25+Projects!$D$25),Projects!$B$25*INDEX(Curves!$B$4:$AR$4,1,91-Projects!$C$25+1),0)+IF(AND(Projects!$G$26="Yes",91&gt;=Projects!$C$26,91&lt;Projects!$C$26+Projects!$D$26),Projects!$B$26*INDEX(Curves!$B$4:$AR$4,1,91-Projects!$C$26+1),0)+IF(AND(Projects!$G$27="Yes",91&gt;=Projects!$C$27,91&lt;Projects!$C$27+Projects!$D$27),Projects!$B$27*INDEX(Curves!$B$4:$AR$4,1,91-Projects!$C$27+1),0)+IF(AND(Projects!$G$28="Yes",91&gt;=Projects!$C$28,91&lt;Projects!$C$28+Projects!$D$28),Projects!$B$28*INDEX(Curves!$B$4:$AR$4,1,91-Projects!$C$28+1),0)+IF(AND(Projects!$G$29="Yes",91&gt;=Projects!$C$29,91&lt;Projects!$C$29+Projects!$D$29),Projects!$B$29*INDEX(Curves!$B$4:$AR$4,1,91-Projects!$C$29+1),0)+IF(AND(Projects!$G$30="Yes",91&gt;=Projects!$C$30,91&lt;Projects!$C$30+Projects!$D$30),Projects!$B$30*INDEX(Curves!$B$4:$AR$4,1,91-Projects!$C$30+1),0)+IF(AND(Projects!$G$31="Yes",91&gt;=Projects!$C$31,91&lt;Projects!$C$31+Projects!$D$31),Projects!$B$31*INDEX(Curves!$B$4:$AR$4,1,91-Projects!$C$31+1),0)+IF(AND(Projects!$G$32="Yes",91&gt;=Projects!$C$32,91&lt;Projects!$C$32+Projects!$D$32),Projects!$B$32*INDEX(Curves!$B$4:$AR$4,1,91-Projects!$C$32+1),0)+IF(AND(Projects!$G$33="Yes",91&gt;=Projects!$C$33,91&lt;Projects!$C$33+Projects!$D$33),Projects!$B$33*INDEX(Curves!$B$4:$AR$4,1,91-Projects!$C$33+1),0)+IF(AND(Projects!$G$34="Yes",91&gt;=Projects!$C$34,91&lt;Projects!$C$34+Projects!$D$34),Projects!$B$34*INDEX(Curves!$B$4:$AR$4,1,91-Projects!$C$34+1),0)+IF(AND(Projects!$G$35="Yes",91&gt;=Projects!$C$35,91&lt;Projects!$C$35+Projects!$D$35),Projects!$B$35*INDEX(Curves!$B$4:$AR$4,1,91-Projects!$C$35+1),0)+IF(AND(Projects!$G$36="Yes",91&gt;=Projects!$C$36,91&lt;Projects!$C$36+Projects!$D$36),Projects!$B$36*INDEX(Curves!$B$4:$AR$4,1,91-Projects!$C$36+1),0)+IF(AND(Projects!$G$37="Yes",91&gt;=Projects!$C$37,91&lt;Projects!$C$37+Projects!$D$37),Projects!$B$37*INDEX(Curves!$B$4:$AR$4,1,91-Projects!$C$37+1),0)+IF(AND(Projects!$G$38="Yes",91&gt;=Projects!$C$38,91&lt;Projects!$C$38+Projects!$D$38),Projects!$B$38*INDEX(Curves!$B$4:$AR$4,1,91-Projects!$C$38+1),0)+IF(AND(Projects!$G$39="Yes",91&gt;=Projects!$C$39,91&lt;Projects!$C$39+Projects!$D$39),Projects!$B$39*INDEX(Curves!$B$4:$AR$4,1,91-Projects!$C$39+1),0)+IF(AND(Projects!$G$40="Yes",91&gt;=Projects!$C$40,91&lt;Projects!$C$40+Projects!$D$40),Projects!$B$40*INDEX(Curves!$B$4:$AR$4,1,91-Projects!$C$40+1),0)+IF(AND(Projects!$G$41="Yes",91&gt;=Projects!$C$41,91&lt;Projects!$C$41+Projects!$D$41),Projects!$B$41*INDEX(Curves!$B$4:$AR$4,1,91-Projects!$C$41+1),0)+IF(AND(Projects!$G$42="Yes",91&gt;=Projects!$C$42,91&lt;Projects!$C$42+Projects!$D$42),Projects!$B$42*INDEX(Curves!$B$4:$AR$4,1,91-Projects!$C$42+1),0)+IF(AND(Projects!$G$43="Yes",91&gt;=Projects!$C$43,91&lt;Projects!$C$43+Projects!$D$43),Projects!$B$43*INDEX(Curves!$B$4:$AR$4,1,91-Projects!$C$43+1),0)+IF(AND(Projects!$G$44="Yes",91&gt;=Projects!$C$44,91&lt;Projects!$C$44+Projects!$D$44),Projects!$B$44*INDEX(Curves!$B$4:$AR$4,1,91-Projects!$C$44+1),0)+IF(AND(Projects!$G$45="Yes",91&gt;=Projects!$C$45,91&lt;Projects!$C$45+Projects!$D$45),Projects!$B$45*INDEX(Curves!$B$4:$AR$4,1,91-Projects!$C$45+1),0)+IF(AND(Projects!$G$46="Yes",91&gt;=Projects!$C$46,91&lt;Projects!$C$46+Projects!$D$46),Projects!$B$46*INDEX(Curves!$B$4:$AR$4,1,91-Projects!$C$46+1),0)</f>
        <v>4512030</v>
      </c>
      <c r="CS96" s="59">
        <f>IF(AND(Projects!$G$17="Yes",92&gt;=Projects!$C$17,92&lt;Projects!$C$17+Projects!$D$17),Projects!$B$17*INDEX(Curves!$B$4:$AR$4,1,92-Projects!$C$17+1),0)+IF(AND(Projects!$G$18="Yes",92&gt;=Projects!$C$18,92&lt;Projects!$C$18+Projects!$D$18),Projects!$B$18*INDEX(Curves!$B$4:$AR$4,1,92-Projects!$C$18+1),0)+IF(AND(Projects!$G$19="Yes",92&gt;=Projects!$C$19,92&lt;Projects!$C$19+Projects!$D$19),Projects!$B$19*INDEX(Curves!$B$4:$AR$4,1,92-Projects!$C$19+1),0)+IF(AND(Projects!$G$20="Yes",92&gt;=Projects!$C$20,92&lt;Projects!$C$20+Projects!$D$20),Projects!$B$20*INDEX(Curves!$B$4:$AR$4,1,92-Projects!$C$20+1),0)+IF(AND(Projects!$G$21="Yes",92&gt;=Projects!$C$21,92&lt;Projects!$C$21+Projects!$D$21),Projects!$B$21*INDEX(Curves!$B$4:$AR$4,1,92-Projects!$C$21+1),0)+IF(AND(Projects!$G$22="Yes",92&gt;=Projects!$C$22,92&lt;Projects!$C$22+Projects!$D$22),Projects!$B$22*INDEX(Curves!$B$4:$AR$4,1,92-Projects!$C$22+1),0)+IF(AND(Projects!$G$23="Yes",92&gt;=Projects!$C$23,92&lt;Projects!$C$23+Projects!$D$23),Projects!$B$23*INDEX(Curves!$B$4:$AR$4,1,92-Projects!$C$23+1),0)+IF(AND(Projects!$G$24="Yes",92&gt;=Projects!$C$24,92&lt;Projects!$C$24+Projects!$D$24),Projects!$B$24*INDEX(Curves!$B$4:$AR$4,1,92-Projects!$C$24+1),0)+IF(AND(Projects!$G$25="Yes",92&gt;=Projects!$C$25,92&lt;Projects!$C$25+Projects!$D$25),Projects!$B$25*INDEX(Curves!$B$4:$AR$4,1,92-Projects!$C$25+1),0)+IF(AND(Projects!$G$26="Yes",92&gt;=Projects!$C$26,92&lt;Projects!$C$26+Projects!$D$26),Projects!$B$26*INDEX(Curves!$B$4:$AR$4,1,92-Projects!$C$26+1),0)+IF(AND(Projects!$G$27="Yes",92&gt;=Projects!$C$27,92&lt;Projects!$C$27+Projects!$D$27),Projects!$B$27*INDEX(Curves!$B$4:$AR$4,1,92-Projects!$C$27+1),0)+IF(AND(Projects!$G$28="Yes",92&gt;=Projects!$C$28,92&lt;Projects!$C$28+Projects!$D$28),Projects!$B$28*INDEX(Curves!$B$4:$AR$4,1,92-Projects!$C$28+1),0)+IF(AND(Projects!$G$29="Yes",92&gt;=Projects!$C$29,92&lt;Projects!$C$29+Projects!$D$29),Projects!$B$29*INDEX(Curves!$B$4:$AR$4,1,92-Projects!$C$29+1),0)+IF(AND(Projects!$G$30="Yes",92&gt;=Projects!$C$30,92&lt;Projects!$C$30+Projects!$D$30),Projects!$B$30*INDEX(Curves!$B$4:$AR$4,1,92-Projects!$C$30+1),0)+IF(AND(Projects!$G$31="Yes",92&gt;=Projects!$C$31,92&lt;Projects!$C$31+Projects!$D$31),Projects!$B$31*INDEX(Curves!$B$4:$AR$4,1,92-Projects!$C$31+1),0)+IF(AND(Projects!$G$32="Yes",92&gt;=Projects!$C$32,92&lt;Projects!$C$32+Projects!$D$32),Projects!$B$32*INDEX(Curves!$B$4:$AR$4,1,92-Projects!$C$32+1),0)+IF(AND(Projects!$G$33="Yes",92&gt;=Projects!$C$33,92&lt;Projects!$C$33+Projects!$D$33),Projects!$B$33*INDEX(Curves!$B$4:$AR$4,1,92-Projects!$C$33+1),0)+IF(AND(Projects!$G$34="Yes",92&gt;=Projects!$C$34,92&lt;Projects!$C$34+Projects!$D$34),Projects!$B$34*INDEX(Curves!$B$4:$AR$4,1,92-Projects!$C$34+1),0)+IF(AND(Projects!$G$35="Yes",92&gt;=Projects!$C$35,92&lt;Projects!$C$35+Projects!$D$35),Projects!$B$35*INDEX(Curves!$B$4:$AR$4,1,92-Projects!$C$35+1),0)+IF(AND(Projects!$G$36="Yes",92&gt;=Projects!$C$36,92&lt;Projects!$C$36+Projects!$D$36),Projects!$B$36*INDEX(Curves!$B$4:$AR$4,1,92-Projects!$C$36+1),0)+IF(AND(Projects!$G$37="Yes",92&gt;=Projects!$C$37,92&lt;Projects!$C$37+Projects!$D$37),Projects!$B$37*INDEX(Curves!$B$4:$AR$4,1,92-Projects!$C$37+1),0)+IF(AND(Projects!$G$38="Yes",92&gt;=Projects!$C$38,92&lt;Projects!$C$38+Projects!$D$38),Projects!$B$38*INDEX(Curves!$B$4:$AR$4,1,92-Projects!$C$38+1),0)+IF(AND(Projects!$G$39="Yes",92&gt;=Projects!$C$39,92&lt;Projects!$C$39+Projects!$D$39),Projects!$B$39*INDEX(Curves!$B$4:$AR$4,1,92-Projects!$C$39+1),0)+IF(AND(Projects!$G$40="Yes",92&gt;=Projects!$C$40,92&lt;Projects!$C$40+Projects!$D$40),Projects!$B$40*INDEX(Curves!$B$4:$AR$4,1,92-Projects!$C$40+1),0)+IF(AND(Projects!$G$41="Yes",92&gt;=Projects!$C$41,92&lt;Projects!$C$41+Projects!$D$41),Projects!$B$41*INDEX(Curves!$B$4:$AR$4,1,92-Projects!$C$41+1),0)+IF(AND(Projects!$G$42="Yes",92&gt;=Projects!$C$42,92&lt;Projects!$C$42+Projects!$D$42),Projects!$B$42*INDEX(Curves!$B$4:$AR$4,1,92-Projects!$C$42+1),0)+IF(AND(Projects!$G$43="Yes",92&gt;=Projects!$C$43,92&lt;Projects!$C$43+Projects!$D$43),Projects!$B$43*INDEX(Curves!$B$4:$AR$4,1,92-Projects!$C$43+1),0)+IF(AND(Projects!$G$44="Yes",92&gt;=Projects!$C$44,92&lt;Projects!$C$44+Projects!$D$44),Projects!$B$44*INDEX(Curves!$B$4:$AR$4,1,92-Projects!$C$44+1),0)+IF(AND(Projects!$G$45="Yes",92&gt;=Projects!$C$45,92&lt;Projects!$C$45+Projects!$D$45),Projects!$B$45*INDEX(Curves!$B$4:$AR$4,1,92-Projects!$C$45+1),0)+IF(AND(Projects!$G$46="Yes",92&gt;=Projects!$C$46,92&lt;Projects!$C$46+Projects!$D$46),Projects!$B$46*INDEX(Curves!$B$4:$AR$4,1,92-Projects!$C$46+1),0)</f>
        <v>4112652</v>
      </c>
      <c r="CT96" s="59">
        <f>IF(AND(Projects!$G$17="Yes",93&gt;=Projects!$C$17,93&lt;Projects!$C$17+Projects!$D$17),Projects!$B$17*INDEX(Curves!$B$4:$AR$4,1,93-Projects!$C$17+1),0)+IF(AND(Projects!$G$18="Yes",93&gt;=Projects!$C$18,93&lt;Projects!$C$18+Projects!$D$18),Projects!$B$18*INDEX(Curves!$B$4:$AR$4,1,93-Projects!$C$18+1),0)+IF(AND(Projects!$G$19="Yes",93&gt;=Projects!$C$19,93&lt;Projects!$C$19+Projects!$D$19),Projects!$B$19*INDEX(Curves!$B$4:$AR$4,1,93-Projects!$C$19+1),0)+IF(AND(Projects!$G$20="Yes",93&gt;=Projects!$C$20,93&lt;Projects!$C$20+Projects!$D$20),Projects!$B$20*INDEX(Curves!$B$4:$AR$4,1,93-Projects!$C$20+1),0)+IF(AND(Projects!$G$21="Yes",93&gt;=Projects!$C$21,93&lt;Projects!$C$21+Projects!$D$21),Projects!$B$21*INDEX(Curves!$B$4:$AR$4,1,93-Projects!$C$21+1),0)+IF(AND(Projects!$G$22="Yes",93&gt;=Projects!$C$22,93&lt;Projects!$C$22+Projects!$D$22),Projects!$B$22*INDEX(Curves!$B$4:$AR$4,1,93-Projects!$C$22+1),0)+IF(AND(Projects!$G$23="Yes",93&gt;=Projects!$C$23,93&lt;Projects!$C$23+Projects!$D$23),Projects!$B$23*INDEX(Curves!$B$4:$AR$4,1,93-Projects!$C$23+1),0)+IF(AND(Projects!$G$24="Yes",93&gt;=Projects!$C$24,93&lt;Projects!$C$24+Projects!$D$24),Projects!$B$24*INDEX(Curves!$B$4:$AR$4,1,93-Projects!$C$24+1),0)+IF(AND(Projects!$G$25="Yes",93&gt;=Projects!$C$25,93&lt;Projects!$C$25+Projects!$D$25),Projects!$B$25*INDEX(Curves!$B$4:$AR$4,1,93-Projects!$C$25+1),0)+IF(AND(Projects!$G$26="Yes",93&gt;=Projects!$C$26,93&lt;Projects!$C$26+Projects!$D$26),Projects!$B$26*INDEX(Curves!$B$4:$AR$4,1,93-Projects!$C$26+1),0)+IF(AND(Projects!$G$27="Yes",93&gt;=Projects!$C$27,93&lt;Projects!$C$27+Projects!$D$27),Projects!$B$27*INDEX(Curves!$B$4:$AR$4,1,93-Projects!$C$27+1),0)+IF(AND(Projects!$G$28="Yes",93&gt;=Projects!$C$28,93&lt;Projects!$C$28+Projects!$D$28),Projects!$B$28*INDEX(Curves!$B$4:$AR$4,1,93-Projects!$C$28+1),0)+IF(AND(Projects!$G$29="Yes",93&gt;=Projects!$C$29,93&lt;Projects!$C$29+Projects!$D$29),Projects!$B$29*INDEX(Curves!$B$4:$AR$4,1,93-Projects!$C$29+1),0)+IF(AND(Projects!$G$30="Yes",93&gt;=Projects!$C$30,93&lt;Projects!$C$30+Projects!$D$30),Projects!$B$30*INDEX(Curves!$B$4:$AR$4,1,93-Projects!$C$30+1),0)+IF(AND(Projects!$G$31="Yes",93&gt;=Projects!$C$31,93&lt;Projects!$C$31+Projects!$D$31),Projects!$B$31*INDEX(Curves!$B$4:$AR$4,1,93-Projects!$C$31+1),0)+IF(AND(Projects!$G$32="Yes",93&gt;=Projects!$C$32,93&lt;Projects!$C$32+Projects!$D$32),Projects!$B$32*INDEX(Curves!$B$4:$AR$4,1,93-Projects!$C$32+1),0)+IF(AND(Projects!$G$33="Yes",93&gt;=Projects!$C$33,93&lt;Projects!$C$33+Projects!$D$33),Projects!$B$33*INDEX(Curves!$B$4:$AR$4,1,93-Projects!$C$33+1),0)+IF(AND(Projects!$G$34="Yes",93&gt;=Projects!$C$34,93&lt;Projects!$C$34+Projects!$D$34),Projects!$B$34*INDEX(Curves!$B$4:$AR$4,1,93-Projects!$C$34+1),0)+IF(AND(Projects!$G$35="Yes",93&gt;=Projects!$C$35,93&lt;Projects!$C$35+Projects!$D$35),Projects!$B$35*INDEX(Curves!$B$4:$AR$4,1,93-Projects!$C$35+1),0)+IF(AND(Projects!$G$36="Yes",93&gt;=Projects!$C$36,93&lt;Projects!$C$36+Projects!$D$36),Projects!$B$36*INDEX(Curves!$B$4:$AR$4,1,93-Projects!$C$36+1),0)+IF(AND(Projects!$G$37="Yes",93&gt;=Projects!$C$37,93&lt;Projects!$C$37+Projects!$D$37),Projects!$B$37*INDEX(Curves!$B$4:$AR$4,1,93-Projects!$C$37+1),0)+IF(AND(Projects!$G$38="Yes",93&gt;=Projects!$C$38,93&lt;Projects!$C$38+Projects!$D$38),Projects!$B$38*INDEX(Curves!$B$4:$AR$4,1,93-Projects!$C$38+1),0)+IF(AND(Projects!$G$39="Yes",93&gt;=Projects!$C$39,93&lt;Projects!$C$39+Projects!$D$39),Projects!$B$39*INDEX(Curves!$B$4:$AR$4,1,93-Projects!$C$39+1),0)+IF(AND(Projects!$G$40="Yes",93&gt;=Projects!$C$40,93&lt;Projects!$C$40+Projects!$D$40),Projects!$B$40*INDEX(Curves!$B$4:$AR$4,1,93-Projects!$C$40+1),0)+IF(AND(Projects!$G$41="Yes",93&gt;=Projects!$C$41,93&lt;Projects!$C$41+Projects!$D$41),Projects!$B$41*INDEX(Curves!$B$4:$AR$4,1,93-Projects!$C$41+1),0)+IF(AND(Projects!$G$42="Yes",93&gt;=Projects!$C$42,93&lt;Projects!$C$42+Projects!$D$42),Projects!$B$42*INDEX(Curves!$B$4:$AR$4,1,93-Projects!$C$42+1),0)+IF(AND(Projects!$G$43="Yes",93&gt;=Projects!$C$43,93&lt;Projects!$C$43+Projects!$D$43),Projects!$B$43*INDEX(Curves!$B$4:$AR$4,1,93-Projects!$C$43+1),0)+IF(AND(Projects!$G$44="Yes",93&gt;=Projects!$C$44,93&lt;Projects!$C$44+Projects!$D$44),Projects!$B$44*INDEX(Curves!$B$4:$AR$4,1,93-Projects!$C$44+1),0)+IF(AND(Projects!$G$45="Yes",93&gt;=Projects!$C$45,93&lt;Projects!$C$45+Projects!$D$45),Projects!$B$45*INDEX(Curves!$B$4:$AR$4,1,93-Projects!$C$45+1),0)+IF(AND(Projects!$G$46="Yes",93&gt;=Projects!$C$46,93&lt;Projects!$C$46+Projects!$D$46),Projects!$B$46*INDEX(Curves!$B$4:$AR$4,1,93-Projects!$C$46+1),0)</f>
        <v>3295551</v>
      </c>
      <c r="CU96" s="59">
        <f>IF(AND(Projects!$G$17="Yes",94&gt;=Projects!$C$17,94&lt;Projects!$C$17+Projects!$D$17),Projects!$B$17*INDEX(Curves!$B$4:$AR$4,1,94-Projects!$C$17+1),0)+IF(AND(Projects!$G$18="Yes",94&gt;=Projects!$C$18,94&lt;Projects!$C$18+Projects!$D$18),Projects!$B$18*INDEX(Curves!$B$4:$AR$4,1,94-Projects!$C$18+1),0)+IF(AND(Projects!$G$19="Yes",94&gt;=Projects!$C$19,94&lt;Projects!$C$19+Projects!$D$19),Projects!$B$19*INDEX(Curves!$B$4:$AR$4,1,94-Projects!$C$19+1),0)+IF(AND(Projects!$G$20="Yes",94&gt;=Projects!$C$20,94&lt;Projects!$C$20+Projects!$D$20),Projects!$B$20*INDEX(Curves!$B$4:$AR$4,1,94-Projects!$C$20+1),0)+IF(AND(Projects!$G$21="Yes",94&gt;=Projects!$C$21,94&lt;Projects!$C$21+Projects!$D$21),Projects!$B$21*INDEX(Curves!$B$4:$AR$4,1,94-Projects!$C$21+1),0)+IF(AND(Projects!$G$22="Yes",94&gt;=Projects!$C$22,94&lt;Projects!$C$22+Projects!$D$22),Projects!$B$22*INDEX(Curves!$B$4:$AR$4,1,94-Projects!$C$22+1),0)+IF(AND(Projects!$G$23="Yes",94&gt;=Projects!$C$23,94&lt;Projects!$C$23+Projects!$D$23),Projects!$B$23*INDEX(Curves!$B$4:$AR$4,1,94-Projects!$C$23+1),0)+IF(AND(Projects!$G$24="Yes",94&gt;=Projects!$C$24,94&lt;Projects!$C$24+Projects!$D$24),Projects!$B$24*INDEX(Curves!$B$4:$AR$4,1,94-Projects!$C$24+1),0)+IF(AND(Projects!$G$25="Yes",94&gt;=Projects!$C$25,94&lt;Projects!$C$25+Projects!$D$25),Projects!$B$25*INDEX(Curves!$B$4:$AR$4,1,94-Projects!$C$25+1),0)+IF(AND(Projects!$G$26="Yes",94&gt;=Projects!$C$26,94&lt;Projects!$C$26+Projects!$D$26),Projects!$B$26*INDEX(Curves!$B$4:$AR$4,1,94-Projects!$C$26+1),0)+IF(AND(Projects!$G$27="Yes",94&gt;=Projects!$C$27,94&lt;Projects!$C$27+Projects!$D$27),Projects!$B$27*INDEX(Curves!$B$4:$AR$4,1,94-Projects!$C$27+1),0)+IF(AND(Projects!$G$28="Yes",94&gt;=Projects!$C$28,94&lt;Projects!$C$28+Projects!$D$28),Projects!$B$28*INDEX(Curves!$B$4:$AR$4,1,94-Projects!$C$28+1),0)+IF(AND(Projects!$G$29="Yes",94&gt;=Projects!$C$29,94&lt;Projects!$C$29+Projects!$D$29),Projects!$B$29*INDEX(Curves!$B$4:$AR$4,1,94-Projects!$C$29+1),0)+IF(AND(Projects!$G$30="Yes",94&gt;=Projects!$C$30,94&lt;Projects!$C$30+Projects!$D$30),Projects!$B$30*INDEX(Curves!$B$4:$AR$4,1,94-Projects!$C$30+1),0)+IF(AND(Projects!$G$31="Yes",94&gt;=Projects!$C$31,94&lt;Projects!$C$31+Projects!$D$31),Projects!$B$31*INDEX(Curves!$B$4:$AR$4,1,94-Projects!$C$31+1),0)+IF(AND(Projects!$G$32="Yes",94&gt;=Projects!$C$32,94&lt;Projects!$C$32+Projects!$D$32),Projects!$B$32*INDEX(Curves!$B$4:$AR$4,1,94-Projects!$C$32+1),0)+IF(AND(Projects!$G$33="Yes",94&gt;=Projects!$C$33,94&lt;Projects!$C$33+Projects!$D$33),Projects!$B$33*INDEX(Curves!$B$4:$AR$4,1,94-Projects!$C$33+1),0)+IF(AND(Projects!$G$34="Yes",94&gt;=Projects!$C$34,94&lt;Projects!$C$34+Projects!$D$34),Projects!$B$34*INDEX(Curves!$B$4:$AR$4,1,94-Projects!$C$34+1),0)+IF(AND(Projects!$G$35="Yes",94&gt;=Projects!$C$35,94&lt;Projects!$C$35+Projects!$D$35),Projects!$B$35*INDEX(Curves!$B$4:$AR$4,1,94-Projects!$C$35+1),0)+IF(AND(Projects!$G$36="Yes",94&gt;=Projects!$C$36,94&lt;Projects!$C$36+Projects!$D$36),Projects!$B$36*INDEX(Curves!$B$4:$AR$4,1,94-Projects!$C$36+1),0)+IF(AND(Projects!$G$37="Yes",94&gt;=Projects!$C$37,94&lt;Projects!$C$37+Projects!$D$37),Projects!$B$37*INDEX(Curves!$B$4:$AR$4,1,94-Projects!$C$37+1),0)+IF(AND(Projects!$G$38="Yes",94&gt;=Projects!$C$38,94&lt;Projects!$C$38+Projects!$D$38),Projects!$B$38*INDEX(Curves!$B$4:$AR$4,1,94-Projects!$C$38+1),0)+IF(AND(Projects!$G$39="Yes",94&gt;=Projects!$C$39,94&lt;Projects!$C$39+Projects!$D$39),Projects!$B$39*INDEX(Curves!$B$4:$AR$4,1,94-Projects!$C$39+1),0)+IF(AND(Projects!$G$40="Yes",94&gt;=Projects!$C$40,94&lt;Projects!$C$40+Projects!$D$40),Projects!$B$40*INDEX(Curves!$B$4:$AR$4,1,94-Projects!$C$40+1),0)+IF(AND(Projects!$G$41="Yes",94&gt;=Projects!$C$41,94&lt;Projects!$C$41+Projects!$D$41),Projects!$B$41*INDEX(Curves!$B$4:$AR$4,1,94-Projects!$C$41+1),0)+IF(AND(Projects!$G$42="Yes",94&gt;=Projects!$C$42,94&lt;Projects!$C$42+Projects!$D$42),Projects!$B$42*INDEX(Curves!$B$4:$AR$4,1,94-Projects!$C$42+1),0)+IF(AND(Projects!$G$43="Yes",94&gt;=Projects!$C$43,94&lt;Projects!$C$43+Projects!$D$43),Projects!$B$43*INDEX(Curves!$B$4:$AR$4,1,94-Projects!$C$43+1),0)+IF(AND(Projects!$G$44="Yes",94&gt;=Projects!$C$44,94&lt;Projects!$C$44+Projects!$D$44),Projects!$B$44*INDEX(Curves!$B$4:$AR$4,1,94-Projects!$C$44+1),0)+IF(AND(Projects!$G$45="Yes",94&gt;=Projects!$C$45,94&lt;Projects!$C$45+Projects!$D$45),Projects!$B$45*INDEX(Curves!$B$4:$AR$4,1,94-Projects!$C$45+1),0)+IF(AND(Projects!$G$46="Yes",94&gt;=Projects!$C$46,94&lt;Projects!$C$46+Projects!$D$46),Projects!$B$46*INDEX(Curves!$B$4:$AR$4,1,94-Projects!$C$46+1),0)</f>
        <v>2921964</v>
      </c>
      <c r="CV96" s="59">
        <f>IF(AND(Projects!$G$17="Yes",95&gt;=Projects!$C$17,95&lt;Projects!$C$17+Projects!$D$17),Projects!$B$17*INDEX(Curves!$B$4:$AR$4,1,95-Projects!$C$17+1),0)+IF(AND(Projects!$G$18="Yes",95&gt;=Projects!$C$18,95&lt;Projects!$C$18+Projects!$D$18),Projects!$B$18*INDEX(Curves!$B$4:$AR$4,1,95-Projects!$C$18+1),0)+IF(AND(Projects!$G$19="Yes",95&gt;=Projects!$C$19,95&lt;Projects!$C$19+Projects!$D$19),Projects!$B$19*INDEX(Curves!$B$4:$AR$4,1,95-Projects!$C$19+1),0)+IF(AND(Projects!$G$20="Yes",95&gt;=Projects!$C$20,95&lt;Projects!$C$20+Projects!$D$20),Projects!$B$20*INDEX(Curves!$B$4:$AR$4,1,95-Projects!$C$20+1),0)+IF(AND(Projects!$G$21="Yes",95&gt;=Projects!$C$21,95&lt;Projects!$C$21+Projects!$D$21),Projects!$B$21*INDEX(Curves!$B$4:$AR$4,1,95-Projects!$C$21+1),0)+IF(AND(Projects!$G$22="Yes",95&gt;=Projects!$C$22,95&lt;Projects!$C$22+Projects!$D$22),Projects!$B$22*INDEX(Curves!$B$4:$AR$4,1,95-Projects!$C$22+1),0)+IF(AND(Projects!$G$23="Yes",95&gt;=Projects!$C$23,95&lt;Projects!$C$23+Projects!$D$23),Projects!$B$23*INDEX(Curves!$B$4:$AR$4,1,95-Projects!$C$23+1),0)+IF(AND(Projects!$G$24="Yes",95&gt;=Projects!$C$24,95&lt;Projects!$C$24+Projects!$D$24),Projects!$B$24*INDEX(Curves!$B$4:$AR$4,1,95-Projects!$C$24+1),0)+IF(AND(Projects!$G$25="Yes",95&gt;=Projects!$C$25,95&lt;Projects!$C$25+Projects!$D$25),Projects!$B$25*INDEX(Curves!$B$4:$AR$4,1,95-Projects!$C$25+1),0)+IF(AND(Projects!$G$26="Yes",95&gt;=Projects!$C$26,95&lt;Projects!$C$26+Projects!$D$26),Projects!$B$26*INDEX(Curves!$B$4:$AR$4,1,95-Projects!$C$26+1),0)+IF(AND(Projects!$G$27="Yes",95&gt;=Projects!$C$27,95&lt;Projects!$C$27+Projects!$D$27),Projects!$B$27*INDEX(Curves!$B$4:$AR$4,1,95-Projects!$C$27+1),0)+IF(AND(Projects!$G$28="Yes",95&gt;=Projects!$C$28,95&lt;Projects!$C$28+Projects!$D$28),Projects!$B$28*INDEX(Curves!$B$4:$AR$4,1,95-Projects!$C$28+1),0)+IF(AND(Projects!$G$29="Yes",95&gt;=Projects!$C$29,95&lt;Projects!$C$29+Projects!$D$29),Projects!$B$29*INDEX(Curves!$B$4:$AR$4,1,95-Projects!$C$29+1),0)+IF(AND(Projects!$G$30="Yes",95&gt;=Projects!$C$30,95&lt;Projects!$C$30+Projects!$D$30),Projects!$B$30*INDEX(Curves!$B$4:$AR$4,1,95-Projects!$C$30+1),0)+IF(AND(Projects!$G$31="Yes",95&gt;=Projects!$C$31,95&lt;Projects!$C$31+Projects!$D$31),Projects!$B$31*INDEX(Curves!$B$4:$AR$4,1,95-Projects!$C$31+1),0)+IF(AND(Projects!$G$32="Yes",95&gt;=Projects!$C$32,95&lt;Projects!$C$32+Projects!$D$32),Projects!$B$32*INDEX(Curves!$B$4:$AR$4,1,95-Projects!$C$32+1),0)+IF(AND(Projects!$G$33="Yes",95&gt;=Projects!$C$33,95&lt;Projects!$C$33+Projects!$D$33),Projects!$B$33*INDEX(Curves!$B$4:$AR$4,1,95-Projects!$C$33+1),0)+IF(AND(Projects!$G$34="Yes",95&gt;=Projects!$C$34,95&lt;Projects!$C$34+Projects!$D$34),Projects!$B$34*INDEX(Curves!$B$4:$AR$4,1,95-Projects!$C$34+1),0)+IF(AND(Projects!$G$35="Yes",95&gt;=Projects!$C$35,95&lt;Projects!$C$35+Projects!$D$35),Projects!$B$35*INDEX(Curves!$B$4:$AR$4,1,95-Projects!$C$35+1),0)+IF(AND(Projects!$G$36="Yes",95&gt;=Projects!$C$36,95&lt;Projects!$C$36+Projects!$D$36),Projects!$B$36*INDEX(Curves!$B$4:$AR$4,1,95-Projects!$C$36+1),0)+IF(AND(Projects!$G$37="Yes",95&gt;=Projects!$C$37,95&lt;Projects!$C$37+Projects!$D$37),Projects!$B$37*INDEX(Curves!$B$4:$AR$4,1,95-Projects!$C$37+1),0)+IF(AND(Projects!$G$38="Yes",95&gt;=Projects!$C$38,95&lt;Projects!$C$38+Projects!$D$38),Projects!$B$38*INDEX(Curves!$B$4:$AR$4,1,95-Projects!$C$38+1),0)+IF(AND(Projects!$G$39="Yes",95&gt;=Projects!$C$39,95&lt;Projects!$C$39+Projects!$D$39),Projects!$B$39*INDEX(Curves!$B$4:$AR$4,1,95-Projects!$C$39+1),0)+IF(AND(Projects!$G$40="Yes",95&gt;=Projects!$C$40,95&lt;Projects!$C$40+Projects!$D$40),Projects!$B$40*INDEX(Curves!$B$4:$AR$4,1,95-Projects!$C$40+1),0)+IF(AND(Projects!$G$41="Yes",95&gt;=Projects!$C$41,95&lt;Projects!$C$41+Projects!$D$41),Projects!$B$41*INDEX(Curves!$B$4:$AR$4,1,95-Projects!$C$41+1),0)+IF(AND(Projects!$G$42="Yes",95&gt;=Projects!$C$42,95&lt;Projects!$C$42+Projects!$D$42),Projects!$B$42*INDEX(Curves!$B$4:$AR$4,1,95-Projects!$C$42+1),0)+IF(AND(Projects!$G$43="Yes",95&gt;=Projects!$C$43,95&lt;Projects!$C$43+Projects!$D$43),Projects!$B$43*INDEX(Curves!$B$4:$AR$4,1,95-Projects!$C$43+1),0)+IF(AND(Projects!$G$44="Yes",95&gt;=Projects!$C$44,95&lt;Projects!$C$44+Projects!$D$44),Projects!$B$44*INDEX(Curves!$B$4:$AR$4,1,95-Projects!$C$44+1),0)+IF(AND(Projects!$G$45="Yes",95&gt;=Projects!$C$45,95&lt;Projects!$C$45+Projects!$D$45),Projects!$B$45*INDEX(Curves!$B$4:$AR$4,1,95-Projects!$C$45+1),0)+IF(AND(Projects!$G$46="Yes",95&gt;=Projects!$C$46,95&lt;Projects!$C$46+Projects!$D$46),Projects!$B$46*INDEX(Curves!$B$4:$AR$4,1,95-Projects!$C$46+1),0)</f>
        <v>2219661</v>
      </c>
      <c r="CW96" s="59">
        <f>IF(AND(Projects!$G$17="Yes",96&gt;=Projects!$C$17,96&lt;Projects!$C$17+Projects!$D$17),Projects!$B$17*INDEX(Curves!$B$4:$AR$4,1,96-Projects!$C$17+1),0)+IF(AND(Projects!$G$18="Yes",96&gt;=Projects!$C$18,96&lt;Projects!$C$18+Projects!$D$18),Projects!$B$18*INDEX(Curves!$B$4:$AR$4,1,96-Projects!$C$18+1),0)+IF(AND(Projects!$G$19="Yes",96&gt;=Projects!$C$19,96&lt;Projects!$C$19+Projects!$D$19),Projects!$B$19*INDEX(Curves!$B$4:$AR$4,1,96-Projects!$C$19+1),0)+IF(AND(Projects!$G$20="Yes",96&gt;=Projects!$C$20,96&lt;Projects!$C$20+Projects!$D$20),Projects!$B$20*INDEX(Curves!$B$4:$AR$4,1,96-Projects!$C$20+1),0)+IF(AND(Projects!$G$21="Yes",96&gt;=Projects!$C$21,96&lt;Projects!$C$21+Projects!$D$21),Projects!$B$21*INDEX(Curves!$B$4:$AR$4,1,96-Projects!$C$21+1),0)+IF(AND(Projects!$G$22="Yes",96&gt;=Projects!$C$22,96&lt;Projects!$C$22+Projects!$D$22),Projects!$B$22*INDEX(Curves!$B$4:$AR$4,1,96-Projects!$C$22+1),0)+IF(AND(Projects!$G$23="Yes",96&gt;=Projects!$C$23,96&lt;Projects!$C$23+Projects!$D$23),Projects!$B$23*INDEX(Curves!$B$4:$AR$4,1,96-Projects!$C$23+1),0)+IF(AND(Projects!$G$24="Yes",96&gt;=Projects!$C$24,96&lt;Projects!$C$24+Projects!$D$24),Projects!$B$24*INDEX(Curves!$B$4:$AR$4,1,96-Projects!$C$24+1),0)+IF(AND(Projects!$G$25="Yes",96&gt;=Projects!$C$25,96&lt;Projects!$C$25+Projects!$D$25),Projects!$B$25*INDEX(Curves!$B$4:$AR$4,1,96-Projects!$C$25+1),0)+IF(AND(Projects!$G$26="Yes",96&gt;=Projects!$C$26,96&lt;Projects!$C$26+Projects!$D$26),Projects!$B$26*INDEX(Curves!$B$4:$AR$4,1,96-Projects!$C$26+1),0)+IF(AND(Projects!$G$27="Yes",96&gt;=Projects!$C$27,96&lt;Projects!$C$27+Projects!$D$27),Projects!$B$27*INDEX(Curves!$B$4:$AR$4,1,96-Projects!$C$27+1),0)+IF(AND(Projects!$G$28="Yes",96&gt;=Projects!$C$28,96&lt;Projects!$C$28+Projects!$D$28),Projects!$B$28*INDEX(Curves!$B$4:$AR$4,1,96-Projects!$C$28+1),0)+IF(AND(Projects!$G$29="Yes",96&gt;=Projects!$C$29,96&lt;Projects!$C$29+Projects!$D$29),Projects!$B$29*INDEX(Curves!$B$4:$AR$4,1,96-Projects!$C$29+1),0)+IF(AND(Projects!$G$30="Yes",96&gt;=Projects!$C$30,96&lt;Projects!$C$30+Projects!$D$30),Projects!$B$30*INDEX(Curves!$B$4:$AR$4,1,96-Projects!$C$30+1),0)+IF(AND(Projects!$G$31="Yes",96&gt;=Projects!$C$31,96&lt;Projects!$C$31+Projects!$D$31),Projects!$B$31*INDEX(Curves!$B$4:$AR$4,1,96-Projects!$C$31+1),0)+IF(AND(Projects!$G$32="Yes",96&gt;=Projects!$C$32,96&lt;Projects!$C$32+Projects!$D$32),Projects!$B$32*INDEX(Curves!$B$4:$AR$4,1,96-Projects!$C$32+1),0)+IF(AND(Projects!$G$33="Yes",96&gt;=Projects!$C$33,96&lt;Projects!$C$33+Projects!$D$33),Projects!$B$33*INDEX(Curves!$B$4:$AR$4,1,96-Projects!$C$33+1),0)+IF(AND(Projects!$G$34="Yes",96&gt;=Projects!$C$34,96&lt;Projects!$C$34+Projects!$D$34),Projects!$B$34*INDEX(Curves!$B$4:$AR$4,1,96-Projects!$C$34+1),0)+IF(AND(Projects!$G$35="Yes",96&gt;=Projects!$C$35,96&lt;Projects!$C$35+Projects!$D$35),Projects!$B$35*INDEX(Curves!$B$4:$AR$4,1,96-Projects!$C$35+1),0)+IF(AND(Projects!$G$36="Yes",96&gt;=Projects!$C$36,96&lt;Projects!$C$36+Projects!$D$36),Projects!$B$36*INDEX(Curves!$B$4:$AR$4,1,96-Projects!$C$36+1),0)+IF(AND(Projects!$G$37="Yes",96&gt;=Projects!$C$37,96&lt;Projects!$C$37+Projects!$D$37),Projects!$B$37*INDEX(Curves!$B$4:$AR$4,1,96-Projects!$C$37+1),0)+IF(AND(Projects!$G$38="Yes",96&gt;=Projects!$C$38,96&lt;Projects!$C$38+Projects!$D$38),Projects!$B$38*INDEX(Curves!$B$4:$AR$4,1,96-Projects!$C$38+1),0)+IF(AND(Projects!$G$39="Yes",96&gt;=Projects!$C$39,96&lt;Projects!$C$39+Projects!$D$39),Projects!$B$39*INDEX(Curves!$B$4:$AR$4,1,96-Projects!$C$39+1),0)+IF(AND(Projects!$G$40="Yes",96&gt;=Projects!$C$40,96&lt;Projects!$C$40+Projects!$D$40),Projects!$B$40*INDEX(Curves!$B$4:$AR$4,1,96-Projects!$C$40+1),0)+IF(AND(Projects!$G$41="Yes",96&gt;=Projects!$C$41,96&lt;Projects!$C$41+Projects!$D$41),Projects!$B$41*INDEX(Curves!$B$4:$AR$4,1,96-Projects!$C$41+1),0)+IF(AND(Projects!$G$42="Yes",96&gt;=Projects!$C$42,96&lt;Projects!$C$42+Projects!$D$42),Projects!$B$42*INDEX(Curves!$B$4:$AR$4,1,96-Projects!$C$42+1),0)+IF(AND(Projects!$G$43="Yes",96&gt;=Projects!$C$43,96&lt;Projects!$C$43+Projects!$D$43),Projects!$B$43*INDEX(Curves!$B$4:$AR$4,1,96-Projects!$C$43+1),0)+IF(AND(Projects!$G$44="Yes",96&gt;=Projects!$C$44,96&lt;Projects!$C$44+Projects!$D$44),Projects!$B$44*INDEX(Curves!$B$4:$AR$4,1,96-Projects!$C$44+1),0)+IF(AND(Projects!$G$45="Yes",96&gt;=Projects!$C$45,96&lt;Projects!$C$45+Projects!$D$45),Projects!$B$45*INDEX(Curves!$B$4:$AR$4,1,96-Projects!$C$45+1),0)+IF(AND(Projects!$G$46="Yes",96&gt;=Projects!$C$46,96&lt;Projects!$C$46+Projects!$D$46),Projects!$B$46*INDEX(Curves!$B$4:$AR$4,1,96-Projects!$C$46+1),0)</f>
        <v>1906701</v>
      </c>
      <c r="CX96" s="59">
        <f>IF(AND(Projects!$G$17="Yes",97&gt;=Projects!$C$17,97&lt;Projects!$C$17+Projects!$D$17),Projects!$B$17*INDEX(Curves!$B$4:$AR$4,1,97-Projects!$C$17+1),0)+IF(AND(Projects!$G$18="Yes",97&gt;=Projects!$C$18,97&lt;Projects!$C$18+Projects!$D$18),Projects!$B$18*INDEX(Curves!$B$4:$AR$4,1,97-Projects!$C$18+1),0)+IF(AND(Projects!$G$19="Yes",97&gt;=Projects!$C$19,97&lt;Projects!$C$19+Projects!$D$19),Projects!$B$19*INDEX(Curves!$B$4:$AR$4,1,97-Projects!$C$19+1),0)+IF(AND(Projects!$G$20="Yes",97&gt;=Projects!$C$20,97&lt;Projects!$C$20+Projects!$D$20),Projects!$B$20*INDEX(Curves!$B$4:$AR$4,1,97-Projects!$C$20+1),0)+IF(AND(Projects!$G$21="Yes",97&gt;=Projects!$C$21,97&lt;Projects!$C$21+Projects!$D$21),Projects!$B$21*INDEX(Curves!$B$4:$AR$4,1,97-Projects!$C$21+1),0)+IF(AND(Projects!$G$22="Yes",97&gt;=Projects!$C$22,97&lt;Projects!$C$22+Projects!$D$22),Projects!$B$22*INDEX(Curves!$B$4:$AR$4,1,97-Projects!$C$22+1),0)+IF(AND(Projects!$G$23="Yes",97&gt;=Projects!$C$23,97&lt;Projects!$C$23+Projects!$D$23),Projects!$B$23*INDEX(Curves!$B$4:$AR$4,1,97-Projects!$C$23+1),0)+IF(AND(Projects!$G$24="Yes",97&gt;=Projects!$C$24,97&lt;Projects!$C$24+Projects!$D$24),Projects!$B$24*INDEX(Curves!$B$4:$AR$4,1,97-Projects!$C$24+1),0)+IF(AND(Projects!$G$25="Yes",97&gt;=Projects!$C$25,97&lt;Projects!$C$25+Projects!$D$25),Projects!$B$25*INDEX(Curves!$B$4:$AR$4,1,97-Projects!$C$25+1),0)+IF(AND(Projects!$G$26="Yes",97&gt;=Projects!$C$26,97&lt;Projects!$C$26+Projects!$D$26),Projects!$B$26*INDEX(Curves!$B$4:$AR$4,1,97-Projects!$C$26+1),0)+IF(AND(Projects!$G$27="Yes",97&gt;=Projects!$C$27,97&lt;Projects!$C$27+Projects!$D$27),Projects!$B$27*INDEX(Curves!$B$4:$AR$4,1,97-Projects!$C$27+1),0)+IF(AND(Projects!$G$28="Yes",97&gt;=Projects!$C$28,97&lt;Projects!$C$28+Projects!$D$28),Projects!$B$28*INDEX(Curves!$B$4:$AR$4,1,97-Projects!$C$28+1),0)+IF(AND(Projects!$G$29="Yes",97&gt;=Projects!$C$29,97&lt;Projects!$C$29+Projects!$D$29),Projects!$B$29*INDEX(Curves!$B$4:$AR$4,1,97-Projects!$C$29+1),0)+IF(AND(Projects!$G$30="Yes",97&gt;=Projects!$C$30,97&lt;Projects!$C$30+Projects!$D$30),Projects!$B$30*INDEX(Curves!$B$4:$AR$4,1,97-Projects!$C$30+1),0)+IF(AND(Projects!$G$31="Yes",97&gt;=Projects!$C$31,97&lt;Projects!$C$31+Projects!$D$31),Projects!$B$31*INDEX(Curves!$B$4:$AR$4,1,97-Projects!$C$31+1),0)+IF(AND(Projects!$G$32="Yes",97&gt;=Projects!$C$32,97&lt;Projects!$C$32+Projects!$D$32),Projects!$B$32*INDEX(Curves!$B$4:$AR$4,1,97-Projects!$C$32+1),0)+IF(AND(Projects!$G$33="Yes",97&gt;=Projects!$C$33,97&lt;Projects!$C$33+Projects!$D$33),Projects!$B$33*INDEX(Curves!$B$4:$AR$4,1,97-Projects!$C$33+1),0)+IF(AND(Projects!$G$34="Yes",97&gt;=Projects!$C$34,97&lt;Projects!$C$34+Projects!$D$34),Projects!$B$34*INDEX(Curves!$B$4:$AR$4,1,97-Projects!$C$34+1),0)+IF(AND(Projects!$G$35="Yes",97&gt;=Projects!$C$35,97&lt;Projects!$C$35+Projects!$D$35),Projects!$B$35*INDEX(Curves!$B$4:$AR$4,1,97-Projects!$C$35+1),0)+IF(AND(Projects!$G$36="Yes",97&gt;=Projects!$C$36,97&lt;Projects!$C$36+Projects!$D$36),Projects!$B$36*INDEX(Curves!$B$4:$AR$4,1,97-Projects!$C$36+1),0)+IF(AND(Projects!$G$37="Yes",97&gt;=Projects!$C$37,97&lt;Projects!$C$37+Projects!$D$37),Projects!$B$37*INDEX(Curves!$B$4:$AR$4,1,97-Projects!$C$37+1),0)+IF(AND(Projects!$G$38="Yes",97&gt;=Projects!$C$38,97&lt;Projects!$C$38+Projects!$D$38),Projects!$B$38*INDEX(Curves!$B$4:$AR$4,1,97-Projects!$C$38+1),0)+IF(AND(Projects!$G$39="Yes",97&gt;=Projects!$C$39,97&lt;Projects!$C$39+Projects!$D$39),Projects!$B$39*INDEX(Curves!$B$4:$AR$4,1,97-Projects!$C$39+1),0)+IF(AND(Projects!$G$40="Yes",97&gt;=Projects!$C$40,97&lt;Projects!$C$40+Projects!$D$40),Projects!$B$40*INDEX(Curves!$B$4:$AR$4,1,97-Projects!$C$40+1),0)+IF(AND(Projects!$G$41="Yes",97&gt;=Projects!$C$41,97&lt;Projects!$C$41+Projects!$D$41),Projects!$B$41*INDEX(Curves!$B$4:$AR$4,1,97-Projects!$C$41+1),0)+IF(AND(Projects!$G$42="Yes",97&gt;=Projects!$C$42,97&lt;Projects!$C$42+Projects!$D$42),Projects!$B$42*INDEX(Curves!$B$4:$AR$4,1,97-Projects!$C$42+1),0)+IF(AND(Projects!$G$43="Yes",97&gt;=Projects!$C$43,97&lt;Projects!$C$43+Projects!$D$43),Projects!$B$43*INDEX(Curves!$B$4:$AR$4,1,97-Projects!$C$43+1),0)+IF(AND(Projects!$G$44="Yes",97&gt;=Projects!$C$44,97&lt;Projects!$C$44+Projects!$D$44),Projects!$B$44*INDEX(Curves!$B$4:$AR$4,1,97-Projects!$C$44+1),0)+IF(AND(Projects!$G$45="Yes",97&gt;=Projects!$C$45,97&lt;Projects!$C$45+Projects!$D$45),Projects!$B$45*INDEX(Curves!$B$4:$AR$4,1,97-Projects!$C$45+1),0)+IF(AND(Projects!$G$46="Yes",97&gt;=Projects!$C$46,97&lt;Projects!$C$46+Projects!$D$46),Projects!$B$46*INDEX(Curves!$B$4:$AR$4,1,97-Projects!$C$46+1),0)</f>
        <v>1285878</v>
      </c>
      <c r="CY96" s="59">
        <f>IF(AND(Projects!$G$17="Yes",98&gt;=Projects!$C$17,98&lt;Projects!$C$17+Projects!$D$17),Projects!$B$17*INDEX(Curves!$B$4:$AR$4,1,98-Projects!$C$17+1),0)+IF(AND(Projects!$G$18="Yes",98&gt;=Projects!$C$18,98&lt;Projects!$C$18+Projects!$D$18),Projects!$B$18*INDEX(Curves!$B$4:$AR$4,1,98-Projects!$C$18+1),0)+IF(AND(Projects!$G$19="Yes",98&gt;=Projects!$C$19,98&lt;Projects!$C$19+Projects!$D$19),Projects!$B$19*INDEX(Curves!$B$4:$AR$4,1,98-Projects!$C$19+1),0)+IF(AND(Projects!$G$20="Yes",98&gt;=Projects!$C$20,98&lt;Projects!$C$20+Projects!$D$20),Projects!$B$20*INDEX(Curves!$B$4:$AR$4,1,98-Projects!$C$20+1),0)+IF(AND(Projects!$G$21="Yes",98&gt;=Projects!$C$21,98&lt;Projects!$C$21+Projects!$D$21),Projects!$B$21*INDEX(Curves!$B$4:$AR$4,1,98-Projects!$C$21+1),0)+IF(AND(Projects!$G$22="Yes",98&gt;=Projects!$C$22,98&lt;Projects!$C$22+Projects!$D$22),Projects!$B$22*INDEX(Curves!$B$4:$AR$4,1,98-Projects!$C$22+1),0)+IF(AND(Projects!$G$23="Yes",98&gt;=Projects!$C$23,98&lt;Projects!$C$23+Projects!$D$23),Projects!$B$23*INDEX(Curves!$B$4:$AR$4,1,98-Projects!$C$23+1),0)+IF(AND(Projects!$G$24="Yes",98&gt;=Projects!$C$24,98&lt;Projects!$C$24+Projects!$D$24),Projects!$B$24*INDEX(Curves!$B$4:$AR$4,1,98-Projects!$C$24+1),0)+IF(AND(Projects!$G$25="Yes",98&gt;=Projects!$C$25,98&lt;Projects!$C$25+Projects!$D$25),Projects!$B$25*INDEX(Curves!$B$4:$AR$4,1,98-Projects!$C$25+1),0)+IF(AND(Projects!$G$26="Yes",98&gt;=Projects!$C$26,98&lt;Projects!$C$26+Projects!$D$26),Projects!$B$26*INDEX(Curves!$B$4:$AR$4,1,98-Projects!$C$26+1),0)+IF(AND(Projects!$G$27="Yes",98&gt;=Projects!$C$27,98&lt;Projects!$C$27+Projects!$D$27),Projects!$B$27*INDEX(Curves!$B$4:$AR$4,1,98-Projects!$C$27+1),0)+IF(AND(Projects!$G$28="Yes",98&gt;=Projects!$C$28,98&lt;Projects!$C$28+Projects!$D$28),Projects!$B$28*INDEX(Curves!$B$4:$AR$4,1,98-Projects!$C$28+1),0)+IF(AND(Projects!$G$29="Yes",98&gt;=Projects!$C$29,98&lt;Projects!$C$29+Projects!$D$29),Projects!$B$29*INDEX(Curves!$B$4:$AR$4,1,98-Projects!$C$29+1),0)+IF(AND(Projects!$G$30="Yes",98&gt;=Projects!$C$30,98&lt;Projects!$C$30+Projects!$D$30),Projects!$B$30*INDEX(Curves!$B$4:$AR$4,1,98-Projects!$C$30+1),0)+IF(AND(Projects!$G$31="Yes",98&gt;=Projects!$C$31,98&lt;Projects!$C$31+Projects!$D$31),Projects!$B$31*INDEX(Curves!$B$4:$AR$4,1,98-Projects!$C$31+1),0)+IF(AND(Projects!$G$32="Yes",98&gt;=Projects!$C$32,98&lt;Projects!$C$32+Projects!$D$32),Projects!$B$32*INDEX(Curves!$B$4:$AR$4,1,98-Projects!$C$32+1),0)+IF(AND(Projects!$G$33="Yes",98&gt;=Projects!$C$33,98&lt;Projects!$C$33+Projects!$D$33),Projects!$B$33*INDEX(Curves!$B$4:$AR$4,1,98-Projects!$C$33+1),0)+IF(AND(Projects!$G$34="Yes",98&gt;=Projects!$C$34,98&lt;Projects!$C$34+Projects!$D$34),Projects!$B$34*INDEX(Curves!$B$4:$AR$4,1,98-Projects!$C$34+1),0)+IF(AND(Projects!$G$35="Yes",98&gt;=Projects!$C$35,98&lt;Projects!$C$35+Projects!$D$35),Projects!$B$35*INDEX(Curves!$B$4:$AR$4,1,98-Projects!$C$35+1),0)+IF(AND(Projects!$G$36="Yes",98&gt;=Projects!$C$36,98&lt;Projects!$C$36+Projects!$D$36),Projects!$B$36*INDEX(Curves!$B$4:$AR$4,1,98-Projects!$C$36+1),0)+IF(AND(Projects!$G$37="Yes",98&gt;=Projects!$C$37,98&lt;Projects!$C$37+Projects!$D$37),Projects!$B$37*INDEX(Curves!$B$4:$AR$4,1,98-Projects!$C$37+1),0)+IF(AND(Projects!$G$38="Yes",98&gt;=Projects!$C$38,98&lt;Projects!$C$38+Projects!$D$38),Projects!$B$38*INDEX(Curves!$B$4:$AR$4,1,98-Projects!$C$38+1),0)+IF(AND(Projects!$G$39="Yes",98&gt;=Projects!$C$39,98&lt;Projects!$C$39+Projects!$D$39),Projects!$B$39*INDEX(Curves!$B$4:$AR$4,1,98-Projects!$C$39+1),0)+IF(AND(Projects!$G$40="Yes",98&gt;=Projects!$C$40,98&lt;Projects!$C$40+Projects!$D$40),Projects!$B$40*INDEX(Curves!$B$4:$AR$4,1,98-Projects!$C$40+1),0)+IF(AND(Projects!$G$41="Yes",98&gt;=Projects!$C$41,98&lt;Projects!$C$41+Projects!$D$41),Projects!$B$41*INDEX(Curves!$B$4:$AR$4,1,98-Projects!$C$41+1),0)+IF(AND(Projects!$G$42="Yes",98&gt;=Projects!$C$42,98&lt;Projects!$C$42+Projects!$D$42),Projects!$B$42*INDEX(Curves!$B$4:$AR$4,1,98-Projects!$C$42+1),0)+IF(AND(Projects!$G$43="Yes",98&gt;=Projects!$C$43,98&lt;Projects!$C$43+Projects!$D$43),Projects!$B$43*INDEX(Curves!$B$4:$AR$4,1,98-Projects!$C$43+1),0)+IF(AND(Projects!$G$44="Yes",98&gt;=Projects!$C$44,98&lt;Projects!$C$44+Projects!$D$44),Projects!$B$44*INDEX(Curves!$B$4:$AR$4,1,98-Projects!$C$44+1),0)+IF(AND(Projects!$G$45="Yes",98&gt;=Projects!$C$45,98&lt;Projects!$C$45+Projects!$D$45),Projects!$B$45*INDEX(Curves!$B$4:$AR$4,1,98-Projects!$C$45+1),0)+IF(AND(Projects!$G$46="Yes",98&gt;=Projects!$C$46,98&lt;Projects!$C$46+Projects!$D$46),Projects!$B$46*INDEX(Curves!$B$4:$AR$4,1,98-Projects!$C$46+1),0)</f>
        <v>1069536</v>
      </c>
      <c r="CZ96" s="59">
        <f>IF(AND(Projects!$G$17="Yes",99&gt;=Projects!$C$17,99&lt;Projects!$C$17+Projects!$D$17),Projects!$B$17*INDEX(Curves!$B$4:$AR$4,1,99-Projects!$C$17+1),0)+IF(AND(Projects!$G$18="Yes",99&gt;=Projects!$C$18,99&lt;Projects!$C$18+Projects!$D$18),Projects!$B$18*INDEX(Curves!$B$4:$AR$4,1,99-Projects!$C$18+1),0)+IF(AND(Projects!$G$19="Yes",99&gt;=Projects!$C$19,99&lt;Projects!$C$19+Projects!$D$19),Projects!$B$19*INDEX(Curves!$B$4:$AR$4,1,99-Projects!$C$19+1),0)+IF(AND(Projects!$G$20="Yes",99&gt;=Projects!$C$20,99&lt;Projects!$C$20+Projects!$D$20),Projects!$B$20*INDEX(Curves!$B$4:$AR$4,1,99-Projects!$C$20+1),0)+IF(AND(Projects!$G$21="Yes",99&gt;=Projects!$C$21,99&lt;Projects!$C$21+Projects!$D$21),Projects!$B$21*INDEX(Curves!$B$4:$AR$4,1,99-Projects!$C$21+1),0)+IF(AND(Projects!$G$22="Yes",99&gt;=Projects!$C$22,99&lt;Projects!$C$22+Projects!$D$22),Projects!$B$22*INDEX(Curves!$B$4:$AR$4,1,99-Projects!$C$22+1),0)+IF(AND(Projects!$G$23="Yes",99&gt;=Projects!$C$23,99&lt;Projects!$C$23+Projects!$D$23),Projects!$B$23*INDEX(Curves!$B$4:$AR$4,1,99-Projects!$C$23+1),0)+IF(AND(Projects!$G$24="Yes",99&gt;=Projects!$C$24,99&lt;Projects!$C$24+Projects!$D$24),Projects!$B$24*INDEX(Curves!$B$4:$AR$4,1,99-Projects!$C$24+1),0)+IF(AND(Projects!$G$25="Yes",99&gt;=Projects!$C$25,99&lt;Projects!$C$25+Projects!$D$25),Projects!$B$25*INDEX(Curves!$B$4:$AR$4,1,99-Projects!$C$25+1),0)+IF(AND(Projects!$G$26="Yes",99&gt;=Projects!$C$26,99&lt;Projects!$C$26+Projects!$D$26),Projects!$B$26*INDEX(Curves!$B$4:$AR$4,1,99-Projects!$C$26+1),0)+IF(AND(Projects!$G$27="Yes",99&gt;=Projects!$C$27,99&lt;Projects!$C$27+Projects!$D$27),Projects!$B$27*INDEX(Curves!$B$4:$AR$4,1,99-Projects!$C$27+1),0)+IF(AND(Projects!$G$28="Yes",99&gt;=Projects!$C$28,99&lt;Projects!$C$28+Projects!$D$28),Projects!$B$28*INDEX(Curves!$B$4:$AR$4,1,99-Projects!$C$28+1),0)+IF(AND(Projects!$G$29="Yes",99&gt;=Projects!$C$29,99&lt;Projects!$C$29+Projects!$D$29),Projects!$B$29*INDEX(Curves!$B$4:$AR$4,1,99-Projects!$C$29+1),0)+IF(AND(Projects!$G$30="Yes",99&gt;=Projects!$C$30,99&lt;Projects!$C$30+Projects!$D$30),Projects!$B$30*INDEX(Curves!$B$4:$AR$4,1,99-Projects!$C$30+1),0)+IF(AND(Projects!$G$31="Yes",99&gt;=Projects!$C$31,99&lt;Projects!$C$31+Projects!$D$31),Projects!$B$31*INDEX(Curves!$B$4:$AR$4,1,99-Projects!$C$31+1),0)+IF(AND(Projects!$G$32="Yes",99&gt;=Projects!$C$32,99&lt;Projects!$C$32+Projects!$D$32),Projects!$B$32*INDEX(Curves!$B$4:$AR$4,1,99-Projects!$C$32+1),0)+IF(AND(Projects!$G$33="Yes",99&gt;=Projects!$C$33,99&lt;Projects!$C$33+Projects!$D$33),Projects!$B$33*INDEX(Curves!$B$4:$AR$4,1,99-Projects!$C$33+1),0)+IF(AND(Projects!$G$34="Yes",99&gt;=Projects!$C$34,99&lt;Projects!$C$34+Projects!$D$34),Projects!$B$34*INDEX(Curves!$B$4:$AR$4,1,99-Projects!$C$34+1),0)+IF(AND(Projects!$G$35="Yes",99&gt;=Projects!$C$35,99&lt;Projects!$C$35+Projects!$D$35),Projects!$B$35*INDEX(Curves!$B$4:$AR$4,1,99-Projects!$C$35+1),0)+IF(AND(Projects!$G$36="Yes",99&gt;=Projects!$C$36,99&lt;Projects!$C$36+Projects!$D$36),Projects!$B$36*INDEX(Curves!$B$4:$AR$4,1,99-Projects!$C$36+1),0)+IF(AND(Projects!$G$37="Yes",99&gt;=Projects!$C$37,99&lt;Projects!$C$37+Projects!$D$37),Projects!$B$37*INDEX(Curves!$B$4:$AR$4,1,99-Projects!$C$37+1),0)+IF(AND(Projects!$G$38="Yes",99&gt;=Projects!$C$38,99&lt;Projects!$C$38+Projects!$D$38),Projects!$B$38*INDEX(Curves!$B$4:$AR$4,1,99-Projects!$C$38+1),0)+IF(AND(Projects!$G$39="Yes",99&gt;=Projects!$C$39,99&lt;Projects!$C$39+Projects!$D$39),Projects!$B$39*INDEX(Curves!$B$4:$AR$4,1,99-Projects!$C$39+1),0)+IF(AND(Projects!$G$40="Yes",99&gt;=Projects!$C$40,99&lt;Projects!$C$40+Projects!$D$40),Projects!$B$40*INDEX(Curves!$B$4:$AR$4,1,99-Projects!$C$40+1),0)+IF(AND(Projects!$G$41="Yes",99&gt;=Projects!$C$41,99&lt;Projects!$C$41+Projects!$D$41),Projects!$B$41*INDEX(Curves!$B$4:$AR$4,1,99-Projects!$C$41+1),0)+IF(AND(Projects!$G$42="Yes",99&gt;=Projects!$C$42,99&lt;Projects!$C$42+Projects!$D$42),Projects!$B$42*INDEX(Curves!$B$4:$AR$4,1,99-Projects!$C$42+1),0)+IF(AND(Projects!$G$43="Yes",99&gt;=Projects!$C$43,99&lt;Projects!$C$43+Projects!$D$43),Projects!$B$43*INDEX(Curves!$B$4:$AR$4,1,99-Projects!$C$43+1),0)+IF(AND(Projects!$G$44="Yes",99&gt;=Projects!$C$44,99&lt;Projects!$C$44+Projects!$D$44),Projects!$B$44*INDEX(Curves!$B$4:$AR$4,1,99-Projects!$C$44+1),0)+IF(AND(Projects!$G$45="Yes",99&gt;=Projects!$C$45,99&lt;Projects!$C$45+Projects!$D$45),Projects!$B$45*INDEX(Curves!$B$4:$AR$4,1,99-Projects!$C$45+1),0)+IF(AND(Projects!$G$46="Yes",99&gt;=Projects!$C$46,99&lt;Projects!$C$46+Projects!$D$46),Projects!$B$46*INDEX(Curves!$B$4:$AR$4,1,99-Projects!$C$46+1),0)</f>
        <v>491415</v>
      </c>
      <c r="DA96" s="59">
        <f>IF(AND(Projects!$G$17="Yes",100&gt;=Projects!$C$17,100&lt;Projects!$C$17+Projects!$D$17),Projects!$B$17*INDEX(Curves!$B$4:$AR$4,1,100-Projects!$C$17+1),0)+IF(AND(Projects!$G$18="Yes",100&gt;=Projects!$C$18,100&lt;Projects!$C$18+Projects!$D$18),Projects!$B$18*INDEX(Curves!$B$4:$AR$4,1,100-Projects!$C$18+1),0)+IF(AND(Projects!$G$19="Yes",100&gt;=Projects!$C$19,100&lt;Projects!$C$19+Projects!$D$19),Projects!$B$19*INDEX(Curves!$B$4:$AR$4,1,100-Projects!$C$19+1),0)+IF(AND(Projects!$G$20="Yes",100&gt;=Projects!$C$20,100&lt;Projects!$C$20+Projects!$D$20),Projects!$B$20*INDEX(Curves!$B$4:$AR$4,1,100-Projects!$C$20+1),0)+IF(AND(Projects!$G$21="Yes",100&gt;=Projects!$C$21,100&lt;Projects!$C$21+Projects!$D$21),Projects!$B$21*INDEX(Curves!$B$4:$AR$4,1,100-Projects!$C$21+1),0)+IF(AND(Projects!$G$22="Yes",100&gt;=Projects!$C$22,100&lt;Projects!$C$22+Projects!$D$22),Projects!$B$22*INDEX(Curves!$B$4:$AR$4,1,100-Projects!$C$22+1),0)+IF(AND(Projects!$G$23="Yes",100&gt;=Projects!$C$23,100&lt;Projects!$C$23+Projects!$D$23),Projects!$B$23*INDEX(Curves!$B$4:$AR$4,1,100-Projects!$C$23+1),0)+IF(AND(Projects!$G$24="Yes",100&gt;=Projects!$C$24,100&lt;Projects!$C$24+Projects!$D$24),Projects!$B$24*INDEX(Curves!$B$4:$AR$4,1,100-Projects!$C$24+1),0)+IF(AND(Projects!$G$25="Yes",100&gt;=Projects!$C$25,100&lt;Projects!$C$25+Projects!$D$25),Projects!$B$25*INDEX(Curves!$B$4:$AR$4,1,100-Projects!$C$25+1),0)+IF(AND(Projects!$G$26="Yes",100&gt;=Projects!$C$26,100&lt;Projects!$C$26+Projects!$D$26),Projects!$B$26*INDEX(Curves!$B$4:$AR$4,1,100-Projects!$C$26+1),0)+IF(AND(Projects!$G$27="Yes",100&gt;=Projects!$C$27,100&lt;Projects!$C$27+Projects!$D$27),Projects!$B$27*INDEX(Curves!$B$4:$AR$4,1,100-Projects!$C$27+1),0)+IF(AND(Projects!$G$28="Yes",100&gt;=Projects!$C$28,100&lt;Projects!$C$28+Projects!$D$28),Projects!$B$28*INDEX(Curves!$B$4:$AR$4,1,100-Projects!$C$28+1),0)+IF(AND(Projects!$G$29="Yes",100&gt;=Projects!$C$29,100&lt;Projects!$C$29+Projects!$D$29),Projects!$B$29*INDEX(Curves!$B$4:$AR$4,1,100-Projects!$C$29+1),0)+IF(AND(Projects!$G$30="Yes",100&gt;=Projects!$C$30,100&lt;Projects!$C$30+Projects!$D$30),Projects!$B$30*INDEX(Curves!$B$4:$AR$4,1,100-Projects!$C$30+1),0)+IF(AND(Projects!$G$31="Yes",100&gt;=Projects!$C$31,100&lt;Projects!$C$31+Projects!$D$31),Projects!$B$31*INDEX(Curves!$B$4:$AR$4,1,100-Projects!$C$31+1),0)+IF(AND(Projects!$G$32="Yes",100&gt;=Projects!$C$32,100&lt;Projects!$C$32+Projects!$D$32),Projects!$B$32*INDEX(Curves!$B$4:$AR$4,1,100-Projects!$C$32+1),0)+IF(AND(Projects!$G$33="Yes",100&gt;=Projects!$C$33,100&lt;Projects!$C$33+Projects!$D$33),Projects!$B$33*INDEX(Curves!$B$4:$AR$4,1,100-Projects!$C$33+1),0)+IF(AND(Projects!$G$34="Yes",100&gt;=Projects!$C$34,100&lt;Projects!$C$34+Projects!$D$34),Projects!$B$34*INDEX(Curves!$B$4:$AR$4,1,100-Projects!$C$34+1),0)+IF(AND(Projects!$G$35="Yes",100&gt;=Projects!$C$35,100&lt;Projects!$C$35+Projects!$D$35),Projects!$B$35*INDEX(Curves!$B$4:$AR$4,1,100-Projects!$C$35+1),0)+IF(AND(Projects!$G$36="Yes",100&gt;=Projects!$C$36,100&lt;Projects!$C$36+Projects!$D$36),Projects!$B$36*INDEX(Curves!$B$4:$AR$4,1,100-Projects!$C$36+1),0)+IF(AND(Projects!$G$37="Yes",100&gt;=Projects!$C$37,100&lt;Projects!$C$37+Projects!$D$37),Projects!$B$37*INDEX(Curves!$B$4:$AR$4,1,100-Projects!$C$37+1),0)+IF(AND(Projects!$G$38="Yes",100&gt;=Projects!$C$38,100&lt;Projects!$C$38+Projects!$D$38),Projects!$B$38*INDEX(Curves!$B$4:$AR$4,1,100-Projects!$C$38+1),0)+IF(AND(Projects!$G$39="Yes",100&gt;=Projects!$C$39,100&lt;Projects!$C$39+Projects!$D$39),Projects!$B$39*INDEX(Curves!$B$4:$AR$4,1,100-Projects!$C$39+1),0)+IF(AND(Projects!$G$40="Yes",100&gt;=Projects!$C$40,100&lt;Projects!$C$40+Projects!$D$40),Projects!$B$40*INDEX(Curves!$B$4:$AR$4,1,100-Projects!$C$40+1),0)+IF(AND(Projects!$G$41="Yes",100&gt;=Projects!$C$41,100&lt;Projects!$C$41+Projects!$D$41),Projects!$B$41*INDEX(Curves!$B$4:$AR$4,1,100-Projects!$C$41+1),0)+IF(AND(Projects!$G$42="Yes",100&gt;=Projects!$C$42,100&lt;Projects!$C$42+Projects!$D$42),Projects!$B$42*INDEX(Curves!$B$4:$AR$4,1,100-Projects!$C$42+1),0)+IF(AND(Projects!$G$43="Yes",100&gt;=Projects!$C$43,100&lt;Projects!$C$43+Projects!$D$43),Projects!$B$43*INDEX(Curves!$B$4:$AR$4,1,100-Projects!$C$43+1),0)+IF(AND(Projects!$G$44="Yes",100&gt;=Projects!$C$44,100&lt;Projects!$C$44+Projects!$D$44),Projects!$B$44*INDEX(Curves!$B$4:$AR$4,1,100-Projects!$C$44+1),0)+IF(AND(Projects!$G$45="Yes",100&gt;=Projects!$C$45,100&lt;Projects!$C$45+Projects!$D$45),Projects!$B$45*INDEX(Curves!$B$4:$AR$4,1,100-Projects!$C$45+1),0)+IF(AND(Projects!$G$46="Yes",100&gt;=Projects!$C$46,100&lt;Projects!$C$46+Projects!$D$46),Projects!$B$46*INDEX(Curves!$B$4:$AR$4,1,100-Projects!$C$46+1),0)</f>
        <v>397755</v>
      </c>
      <c r="DB96" s="59">
        <f>IF(AND(Projects!$G$17="Yes",101&gt;=Projects!$C$17,101&lt;Projects!$C$17+Projects!$D$17),Projects!$B$17*INDEX(Curves!$B$4:$AR$4,1,101-Projects!$C$17+1),0)+IF(AND(Projects!$G$18="Yes",101&gt;=Projects!$C$18,101&lt;Projects!$C$18+Projects!$D$18),Projects!$B$18*INDEX(Curves!$B$4:$AR$4,1,101-Projects!$C$18+1),0)+IF(AND(Projects!$G$19="Yes",101&gt;=Projects!$C$19,101&lt;Projects!$C$19+Projects!$D$19),Projects!$B$19*INDEX(Curves!$B$4:$AR$4,1,101-Projects!$C$19+1),0)+IF(AND(Projects!$G$20="Yes",101&gt;=Projects!$C$20,101&lt;Projects!$C$20+Projects!$D$20),Projects!$B$20*INDEX(Curves!$B$4:$AR$4,1,101-Projects!$C$20+1),0)+IF(AND(Projects!$G$21="Yes",101&gt;=Projects!$C$21,101&lt;Projects!$C$21+Projects!$D$21),Projects!$B$21*INDEX(Curves!$B$4:$AR$4,1,101-Projects!$C$21+1),0)+IF(AND(Projects!$G$22="Yes",101&gt;=Projects!$C$22,101&lt;Projects!$C$22+Projects!$D$22),Projects!$B$22*INDEX(Curves!$B$4:$AR$4,1,101-Projects!$C$22+1),0)+IF(AND(Projects!$G$23="Yes",101&gt;=Projects!$C$23,101&lt;Projects!$C$23+Projects!$D$23),Projects!$B$23*INDEX(Curves!$B$4:$AR$4,1,101-Projects!$C$23+1),0)+IF(AND(Projects!$G$24="Yes",101&gt;=Projects!$C$24,101&lt;Projects!$C$24+Projects!$D$24),Projects!$B$24*INDEX(Curves!$B$4:$AR$4,1,101-Projects!$C$24+1),0)+IF(AND(Projects!$G$25="Yes",101&gt;=Projects!$C$25,101&lt;Projects!$C$25+Projects!$D$25),Projects!$B$25*INDEX(Curves!$B$4:$AR$4,1,101-Projects!$C$25+1),0)+IF(AND(Projects!$G$26="Yes",101&gt;=Projects!$C$26,101&lt;Projects!$C$26+Projects!$D$26),Projects!$B$26*INDEX(Curves!$B$4:$AR$4,1,101-Projects!$C$26+1),0)+IF(AND(Projects!$G$27="Yes",101&gt;=Projects!$C$27,101&lt;Projects!$C$27+Projects!$D$27),Projects!$B$27*INDEX(Curves!$B$4:$AR$4,1,101-Projects!$C$27+1),0)+IF(AND(Projects!$G$28="Yes",101&gt;=Projects!$C$28,101&lt;Projects!$C$28+Projects!$D$28),Projects!$B$28*INDEX(Curves!$B$4:$AR$4,1,101-Projects!$C$28+1),0)+IF(AND(Projects!$G$29="Yes",101&gt;=Projects!$C$29,101&lt;Projects!$C$29+Projects!$D$29),Projects!$B$29*INDEX(Curves!$B$4:$AR$4,1,101-Projects!$C$29+1),0)+IF(AND(Projects!$G$30="Yes",101&gt;=Projects!$C$30,101&lt;Projects!$C$30+Projects!$D$30),Projects!$B$30*INDEX(Curves!$B$4:$AR$4,1,101-Projects!$C$30+1),0)+IF(AND(Projects!$G$31="Yes",101&gt;=Projects!$C$31,101&lt;Projects!$C$31+Projects!$D$31),Projects!$B$31*INDEX(Curves!$B$4:$AR$4,1,101-Projects!$C$31+1),0)+IF(AND(Projects!$G$32="Yes",101&gt;=Projects!$C$32,101&lt;Projects!$C$32+Projects!$D$32),Projects!$B$32*INDEX(Curves!$B$4:$AR$4,1,101-Projects!$C$32+1),0)+IF(AND(Projects!$G$33="Yes",101&gt;=Projects!$C$33,101&lt;Projects!$C$33+Projects!$D$33),Projects!$B$33*INDEX(Curves!$B$4:$AR$4,1,101-Projects!$C$33+1),0)+IF(AND(Projects!$G$34="Yes",101&gt;=Projects!$C$34,101&lt;Projects!$C$34+Projects!$D$34),Projects!$B$34*INDEX(Curves!$B$4:$AR$4,1,101-Projects!$C$34+1),0)+IF(AND(Projects!$G$35="Yes",101&gt;=Projects!$C$35,101&lt;Projects!$C$35+Projects!$D$35),Projects!$B$35*INDEX(Curves!$B$4:$AR$4,1,101-Projects!$C$35+1),0)+IF(AND(Projects!$G$36="Yes",101&gt;=Projects!$C$36,101&lt;Projects!$C$36+Projects!$D$36),Projects!$B$36*INDEX(Curves!$B$4:$AR$4,1,101-Projects!$C$36+1),0)+IF(AND(Projects!$G$37="Yes",101&gt;=Projects!$C$37,101&lt;Projects!$C$37+Projects!$D$37),Projects!$B$37*INDEX(Curves!$B$4:$AR$4,1,101-Projects!$C$37+1),0)+IF(AND(Projects!$G$38="Yes",101&gt;=Projects!$C$38,101&lt;Projects!$C$38+Projects!$D$38),Projects!$B$38*INDEX(Curves!$B$4:$AR$4,1,101-Projects!$C$38+1),0)+IF(AND(Projects!$G$39="Yes",101&gt;=Projects!$C$39,101&lt;Projects!$C$39+Projects!$D$39),Projects!$B$39*INDEX(Curves!$B$4:$AR$4,1,101-Projects!$C$39+1),0)+IF(AND(Projects!$G$40="Yes",101&gt;=Projects!$C$40,101&lt;Projects!$C$40+Projects!$D$40),Projects!$B$40*INDEX(Curves!$B$4:$AR$4,1,101-Projects!$C$40+1),0)+IF(AND(Projects!$G$41="Yes",101&gt;=Projects!$C$41,101&lt;Projects!$C$41+Projects!$D$41),Projects!$B$41*INDEX(Curves!$B$4:$AR$4,1,101-Projects!$C$41+1),0)+IF(AND(Projects!$G$42="Yes",101&gt;=Projects!$C$42,101&lt;Projects!$C$42+Projects!$D$42),Projects!$B$42*INDEX(Curves!$B$4:$AR$4,1,101-Projects!$C$42+1),0)+IF(AND(Projects!$G$43="Yes",101&gt;=Projects!$C$43,101&lt;Projects!$C$43+Projects!$D$43),Projects!$B$43*INDEX(Curves!$B$4:$AR$4,1,101-Projects!$C$43+1),0)+IF(AND(Projects!$G$44="Yes",101&gt;=Projects!$C$44,101&lt;Projects!$C$44+Projects!$D$44),Projects!$B$44*INDEX(Curves!$B$4:$AR$4,1,101-Projects!$C$44+1),0)+IF(AND(Projects!$G$45="Yes",101&gt;=Projects!$C$45,101&lt;Projects!$C$45+Projects!$D$45),Projects!$B$45*INDEX(Curves!$B$4:$AR$4,1,101-Projects!$C$45+1),0)+IF(AND(Projects!$G$46="Yes",101&gt;=Projects!$C$46,101&lt;Projects!$C$46+Projects!$D$46),Projects!$B$46*INDEX(Curves!$B$4:$AR$4,1,101-Projects!$C$46+1),0)</f>
        <v>0</v>
      </c>
      <c r="DC96" s="59">
        <f>IF(AND(Projects!$G$17="Yes",102&gt;=Projects!$C$17,102&lt;Projects!$C$17+Projects!$D$17),Projects!$B$17*INDEX(Curves!$B$4:$AR$4,1,102-Projects!$C$17+1),0)+IF(AND(Projects!$G$18="Yes",102&gt;=Projects!$C$18,102&lt;Projects!$C$18+Projects!$D$18),Projects!$B$18*INDEX(Curves!$B$4:$AR$4,1,102-Projects!$C$18+1),0)+IF(AND(Projects!$G$19="Yes",102&gt;=Projects!$C$19,102&lt;Projects!$C$19+Projects!$D$19),Projects!$B$19*INDEX(Curves!$B$4:$AR$4,1,102-Projects!$C$19+1),0)+IF(AND(Projects!$G$20="Yes",102&gt;=Projects!$C$20,102&lt;Projects!$C$20+Projects!$D$20),Projects!$B$20*INDEX(Curves!$B$4:$AR$4,1,102-Projects!$C$20+1),0)+IF(AND(Projects!$G$21="Yes",102&gt;=Projects!$C$21,102&lt;Projects!$C$21+Projects!$D$21),Projects!$B$21*INDEX(Curves!$B$4:$AR$4,1,102-Projects!$C$21+1),0)+IF(AND(Projects!$G$22="Yes",102&gt;=Projects!$C$22,102&lt;Projects!$C$22+Projects!$D$22),Projects!$B$22*INDEX(Curves!$B$4:$AR$4,1,102-Projects!$C$22+1),0)+IF(AND(Projects!$G$23="Yes",102&gt;=Projects!$C$23,102&lt;Projects!$C$23+Projects!$D$23),Projects!$B$23*INDEX(Curves!$B$4:$AR$4,1,102-Projects!$C$23+1),0)+IF(AND(Projects!$G$24="Yes",102&gt;=Projects!$C$24,102&lt;Projects!$C$24+Projects!$D$24),Projects!$B$24*INDEX(Curves!$B$4:$AR$4,1,102-Projects!$C$24+1),0)+IF(AND(Projects!$G$25="Yes",102&gt;=Projects!$C$25,102&lt;Projects!$C$25+Projects!$D$25),Projects!$B$25*INDEX(Curves!$B$4:$AR$4,1,102-Projects!$C$25+1),0)+IF(AND(Projects!$G$26="Yes",102&gt;=Projects!$C$26,102&lt;Projects!$C$26+Projects!$D$26),Projects!$B$26*INDEX(Curves!$B$4:$AR$4,1,102-Projects!$C$26+1),0)+IF(AND(Projects!$G$27="Yes",102&gt;=Projects!$C$27,102&lt;Projects!$C$27+Projects!$D$27),Projects!$B$27*INDEX(Curves!$B$4:$AR$4,1,102-Projects!$C$27+1),0)+IF(AND(Projects!$G$28="Yes",102&gt;=Projects!$C$28,102&lt;Projects!$C$28+Projects!$D$28),Projects!$B$28*INDEX(Curves!$B$4:$AR$4,1,102-Projects!$C$28+1),0)+IF(AND(Projects!$G$29="Yes",102&gt;=Projects!$C$29,102&lt;Projects!$C$29+Projects!$D$29),Projects!$B$29*INDEX(Curves!$B$4:$AR$4,1,102-Projects!$C$29+1),0)+IF(AND(Projects!$G$30="Yes",102&gt;=Projects!$C$30,102&lt;Projects!$C$30+Projects!$D$30),Projects!$B$30*INDEX(Curves!$B$4:$AR$4,1,102-Projects!$C$30+1),0)+IF(AND(Projects!$G$31="Yes",102&gt;=Projects!$C$31,102&lt;Projects!$C$31+Projects!$D$31),Projects!$B$31*INDEX(Curves!$B$4:$AR$4,1,102-Projects!$C$31+1),0)+IF(AND(Projects!$G$32="Yes",102&gt;=Projects!$C$32,102&lt;Projects!$C$32+Projects!$D$32),Projects!$B$32*INDEX(Curves!$B$4:$AR$4,1,102-Projects!$C$32+1),0)+IF(AND(Projects!$G$33="Yes",102&gt;=Projects!$C$33,102&lt;Projects!$C$33+Projects!$D$33),Projects!$B$33*INDEX(Curves!$B$4:$AR$4,1,102-Projects!$C$33+1),0)+IF(AND(Projects!$G$34="Yes",102&gt;=Projects!$C$34,102&lt;Projects!$C$34+Projects!$D$34),Projects!$B$34*INDEX(Curves!$B$4:$AR$4,1,102-Projects!$C$34+1),0)+IF(AND(Projects!$G$35="Yes",102&gt;=Projects!$C$35,102&lt;Projects!$C$35+Projects!$D$35),Projects!$B$35*INDEX(Curves!$B$4:$AR$4,1,102-Projects!$C$35+1),0)+IF(AND(Projects!$G$36="Yes",102&gt;=Projects!$C$36,102&lt;Projects!$C$36+Projects!$D$36),Projects!$B$36*INDEX(Curves!$B$4:$AR$4,1,102-Projects!$C$36+1),0)+IF(AND(Projects!$G$37="Yes",102&gt;=Projects!$C$37,102&lt;Projects!$C$37+Projects!$D$37),Projects!$B$37*INDEX(Curves!$B$4:$AR$4,1,102-Projects!$C$37+1),0)+IF(AND(Projects!$G$38="Yes",102&gt;=Projects!$C$38,102&lt;Projects!$C$38+Projects!$D$38),Projects!$B$38*INDEX(Curves!$B$4:$AR$4,1,102-Projects!$C$38+1),0)+IF(AND(Projects!$G$39="Yes",102&gt;=Projects!$C$39,102&lt;Projects!$C$39+Projects!$D$39),Projects!$B$39*INDEX(Curves!$B$4:$AR$4,1,102-Projects!$C$39+1),0)+IF(AND(Projects!$G$40="Yes",102&gt;=Projects!$C$40,102&lt;Projects!$C$40+Projects!$D$40),Projects!$B$40*INDEX(Curves!$B$4:$AR$4,1,102-Projects!$C$40+1),0)+IF(AND(Projects!$G$41="Yes",102&gt;=Projects!$C$41,102&lt;Projects!$C$41+Projects!$D$41),Projects!$B$41*INDEX(Curves!$B$4:$AR$4,1,102-Projects!$C$41+1),0)+IF(AND(Projects!$G$42="Yes",102&gt;=Projects!$C$42,102&lt;Projects!$C$42+Projects!$D$42),Projects!$B$42*INDEX(Curves!$B$4:$AR$4,1,102-Projects!$C$42+1),0)+IF(AND(Projects!$G$43="Yes",102&gt;=Projects!$C$43,102&lt;Projects!$C$43+Projects!$D$43),Projects!$B$43*INDEX(Curves!$B$4:$AR$4,1,102-Projects!$C$43+1),0)+IF(AND(Projects!$G$44="Yes",102&gt;=Projects!$C$44,102&lt;Projects!$C$44+Projects!$D$44),Projects!$B$44*INDEX(Curves!$B$4:$AR$4,1,102-Projects!$C$44+1),0)+IF(AND(Projects!$G$45="Yes",102&gt;=Projects!$C$45,102&lt;Projects!$C$45+Projects!$D$45),Projects!$B$45*INDEX(Curves!$B$4:$AR$4,1,102-Projects!$C$45+1),0)+IF(AND(Projects!$G$46="Yes",102&gt;=Projects!$C$46,102&lt;Projects!$C$46+Projects!$D$46),Projects!$B$46*INDEX(Curves!$B$4:$AR$4,1,102-Projects!$C$46+1),0)</f>
        <v>0</v>
      </c>
      <c r="DD96" s="59">
        <f>IF(AND(Projects!$G$17="Yes",103&gt;=Projects!$C$17,103&lt;Projects!$C$17+Projects!$D$17),Projects!$B$17*INDEX(Curves!$B$4:$AR$4,1,103-Projects!$C$17+1),0)+IF(AND(Projects!$G$18="Yes",103&gt;=Projects!$C$18,103&lt;Projects!$C$18+Projects!$D$18),Projects!$B$18*INDEX(Curves!$B$4:$AR$4,1,103-Projects!$C$18+1),0)+IF(AND(Projects!$G$19="Yes",103&gt;=Projects!$C$19,103&lt;Projects!$C$19+Projects!$D$19),Projects!$B$19*INDEX(Curves!$B$4:$AR$4,1,103-Projects!$C$19+1),0)+IF(AND(Projects!$G$20="Yes",103&gt;=Projects!$C$20,103&lt;Projects!$C$20+Projects!$D$20),Projects!$B$20*INDEX(Curves!$B$4:$AR$4,1,103-Projects!$C$20+1),0)+IF(AND(Projects!$G$21="Yes",103&gt;=Projects!$C$21,103&lt;Projects!$C$21+Projects!$D$21),Projects!$B$21*INDEX(Curves!$B$4:$AR$4,1,103-Projects!$C$21+1),0)+IF(AND(Projects!$G$22="Yes",103&gt;=Projects!$C$22,103&lt;Projects!$C$22+Projects!$D$22),Projects!$B$22*INDEX(Curves!$B$4:$AR$4,1,103-Projects!$C$22+1),0)+IF(AND(Projects!$G$23="Yes",103&gt;=Projects!$C$23,103&lt;Projects!$C$23+Projects!$D$23),Projects!$B$23*INDEX(Curves!$B$4:$AR$4,1,103-Projects!$C$23+1),0)+IF(AND(Projects!$G$24="Yes",103&gt;=Projects!$C$24,103&lt;Projects!$C$24+Projects!$D$24),Projects!$B$24*INDEX(Curves!$B$4:$AR$4,1,103-Projects!$C$24+1),0)+IF(AND(Projects!$G$25="Yes",103&gt;=Projects!$C$25,103&lt;Projects!$C$25+Projects!$D$25),Projects!$B$25*INDEX(Curves!$B$4:$AR$4,1,103-Projects!$C$25+1),0)+IF(AND(Projects!$G$26="Yes",103&gt;=Projects!$C$26,103&lt;Projects!$C$26+Projects!$D$26),Projects!$B$26*INDEX(Curves!$B$4:$AR$4,1,103-Projects!$C$26+1),0)+IF(AND(Projects!$G$27="Yes",103&gt;=Projects!$C$27,103&lt;Projects!$C$27+Projects!$D$27),Projects!$B$27*INDEX(Curves!$B$4:$AR$4,1,103-Projects!$C$27+1),0)+IF(AND(Projects!$G$28="Yes",103&gt;=Projects!$C$28,103&lt;Projects!$C$28+Projects!$D$28),Projects!$B$28*INDEX(Curves!$B$4:$AR$4,1,103-Projects!$C$28+1),0)+IF(AND(Projects!$G$29="Yes",103&gt;=Projects!$C$29,103&lt;Projects!$C$29+Projects!$D$29),Projects!$B$29*INDEX(Curves!$B$4:$AR$4,1,103-Projects!$C$29+1),0)+IF(AND(Projects!$G$30="Yes",103&gt;=Projects!$C$30,103&lt;Projects!$C$30+Projects!$D$30),Projects!$B$30*INDEX(Curves!$B$4:$AR$4,1,103-Projects!$C$30+1),0)+IF(AND(Projects!$G$31="Yes",103&gt;=Projects!$C$31,103&lt;Projects!$C$31+Projects!$D$31),Projects!$B$31*INDEX(Curves!$B$4:$AR$4,1,103-Projects!$C$31+1),0)+IF(AND(Projects!$G$32="Yes",103&gt;=Projects!$C$32,103&lt;Projects!$C$32+Projects!$D$32),Projects!$B$32*INDEX(Curves!$B$4:$AR$4,1,103-Projects!$C$32+1),0)+IF(AND(Projects!$G$33="Yes",103&gt;=Projects!$C$33,103&lt;Projects!$C$33+Projects!$D$33),Projects!$B$33*INDEX(Curves!$B$4:$AR$4,1,103-Projects!$C$33+1),0)+IF(AND(Projects!$G$34="Yes",103&gt;=Projects!$C$34,103&lt;Projects!$C$34+Projects!$D$34),Projects!$B$34*INDEX(Curves!$B$4:$AR$4,1,103-Projects!$C$34+1),0)+IF(AND(Projects!$G$35="Yes",103&gt;=Projects!$C$35,103&lt;Projects!$C$35+Projects!$D$35),Projects!$B$35*INDEX(Curves!$B$4:$AR$4,1,103-Projects!$C$35+1),0)+IF(AND(Projects!$G$36="Yes",103&gt;=Projects!$C$36,103&lt;Projects!$C$36+Projects!$D$36),Projects!$B$36*INDEX(Curves!$B$4:$AR$4,1,103-Projects!$C$36+1),0)+IF(AND(Projects!$G$37="Yes",103&gt;=Projects!$C$37,103&lt;Projects!$C$37+Projects!$D$37),Projects!$B$37*INDEX(Curves!$B$4:$AR$4,1,103-Projects!$C$37+1),0)+IF(AND(Projects!$G$38="Yes",103&gt;=Projects!$C$38,103&lt;Projects!$C$38+Projects!$D$38),Projects!$B$38*INDEX(Curves!$B$4:$AR$4,1,103-Projects!$C$38+1),0)+IF(AND(Projects!$G$39="Yes",103&gt;=Projects!$C$39,103&lt;Projects!$C$39+Projects!$D$39),Projects!$B$39*INDEX(Curves!$B$4:$AR$4,1,103-Projects!$C$39+1),0)+IF(AND(Projects!$G$40="Yes",103&gt;=Projects!$C$40,103&lt;Projects!$C$40+Projects!$D$40),Projects!$B$40*INDEX(Curves!$B$4:$AR$4,1,103-Projects!$C$40+1),0)+IF(AND(Projects!$G$41="Yes",103&gt;=Projects!$C$41,103&lt;Projects!$C$41+Projects!$D$41),Projects!$B$41*INDEX(Curves!$B$4:$AR$4,1,103-Projects!$C$41+1),0)+IF(AND(Projects!$G$42="Yes",103&gt;=Projects!$C$42,103&lt;Projects!$C$42+Projects!$D$42),Projects!$B$42*INDEX(Curves!$B$4:$AR$4,1,103-Projects!$C$42+1),0)+IF(AND(Projects!$G$43="Yes",103&gt;=Projects!$C$43,103&lt;Projects!$C$43+Projects!$D$43),Projects!$B$43*INDEX(Curves!$B$4:$AR$4,1,103-Projects!$C$43+1),0)+IF(AND(Projects!$G$44="Yes",103&gt;=Projects!$C$44,103&lt;Projects!$C$44+Projects!$D$44),Projects!$B$44*INDEX(Curves!$B$4:$AR$4,1,103-Projects!$C$44+1),0)+IF(AND(Projects!$G$45="Yes",103&gt;=Projects!$C$45,103&lt;Projects!$C$45+Projects!$D$45),Projects!$B$45*INDEX(Curves!$B$4:$AR$4,1,103-Projects!$C$45+1),0)+IF(AND(Projects!$G$46="Yes",103&gt;=Projects!$C$46,103&lt;Projects!$C$46+Projects!$D$46),Projects!$B$46*INDEX(Curves!$B$4:$AR$4,1,103-Projects!$C$46+1),0)</f>
        <v>0</v>
      </c>
      <c r="DE96" s="59">
        <f>IF(AND(Projects!$G$17="Yes",104&gt;=Projects!$C$17,104&lt;Projects!$C$17+Projects!$D$17),Projects!$B$17*INDEX(Curves!$B$4:$AR$4,1,104-Projects!$C$17+1),0)+IF(AND(Projects!$G$18="Yes",104&gt;=Projects!$C$18,104&lt;Projects!$C$18+Projects!$D$18),Projects!$B$18*INDEX(Curves!$B$4:$AR$4,1,104-Projects!$C$18+1),0)+IF(AND(Projects!$G$19="Yes",104&gt;=Projects!$C$19,104&lt;Projects!$C$19+Projects!$D$19),Projects!$B$19*INDEX(Curves!$B$4:$AR$4,1,104-Projects!$C$19+1),0)+IF(AND(Projects!$G$20="Yes",104&gt;=Projects!$C$20,104&lt;Projects!$C$20+Projects!$D$20),Projects!$B$20*INDEX(Curves!$B$4:$AR$4,1,104-Projects!$C$20+1),0)+IF(AND(Projects!$G$21="Yes",104&gt;=Projects!$C$21,104&lt;Projects!$C$21+Projects!$D$21),Projects!$B$21*INDEX(Curves!$B$4:$AR$4,1,104-Projects!$C$21+1),0)+IF(AND(Projects!$G$22="Yes",104&gt;=Projects!$C$22,104&lt;Projects!$C$22+Projects!$D$22),Projects!$B$22*INDEX(Curves!$B$4:$AR$4,1,104-Projects!$C$22+1),0)+IF(AND(Projects!$G$23="Yes",104&gt;=Projects!$C$23,104&lt;Projects!$C$23+Projects!$D$23),Projects!$B$23*INDEX(Curves!$B$4:$AR$4,1,104-Projects!$C$23+1),0)+IF(AND(Projects!$G$24="Yes",104&gt;=Projects!$C$24,104&lt;Projects!$C$24+Projects!$D$24),Projects!$B$24*INDEX(Curves!$B$4:$AR$4,1,104-Projects!$C$24+1),0)+IF(AND(Projects!$G$25="Yes",104&gt;=Projects!$C$25,104&lt;Projects!$C$25+Projects!$D$25),Projects!$B$25*INDEX(Curves!$B$4:$AR$4,1,104-Projects!$C$25+1),0)+IF(AND(Projects!$G$26="Yes",104&gt;=Projects!$C$26,104&lt;Projects!$C$26+Projects!$D$26),Projects!$B$26*INDEX(Curves!$B$4:$AR$4,1,104-Projects!$C$26+1),0)+IF(AND(Projects!$G$27="Yes",104&gt;=Projects!$C$27,104&lt;Projects!$C$27+Projects!$D$27),Projects!$B$27*INDEX(Curves!$B$4:$AR$4,1,104-Projects!$C$27+1),0)+IF(AND(Projects!$G$28="Yes",104&gt;=Projects!$C$28,104&lt;Projects!$C$28+Projects!$D$28),Projects!$B$28*INDEX(Curves!$B$4:$AR$4,1,104-Projects!$C$28+1),0)+IF(AND(Projects!$G$29="Yes",104&gt;=Projects!$C$29,104&lt;Projects!$C$29+Projects!$D$29),Projects!$B$29*INDEX(Curves!$B$4:$AR$4,1,104-Projects!$C$29+1),0)+IF(AND(Projects!$G$30="Yes",104&gt;=Projects!$C$30,104&lt;Projects!$C$30+Projects!$D$30),Projects!$B$30*INDEX(Curves!$B$4:$AR$4,1,104-Projects!$C$30+1),0)+IF(AND(Projects!$G$31="Yes",104&gt;=Projects!$C$31,104&lt;Projects!$C$31+Projects!$D$31),Projects!$B$31*INDEX(Curves!$B$4:$AR$4,1,104-Projects!$C$31+1),0)+IF(AND(Projects!$G$32="Yes",104&gt;=Projects!$C$32,104&lt;Projects!$C$32+Projects!$D$32),Projects!$B$32*INDEX(Curves!$B$4:$AR$4,1,104-Projects!$C$32+1),0)+IF(AND(Projects!$G$33="Yes",104&gt;=Projects!$C$33,104&lt;Projects!$C$33+Projects!$D$33),Projects!$B$33*INDEX(Curves!$B$4:$AR$4,1,104-Projects!$C$33+1),0)+IF(AND(Projects!$G$34="Yes",104&gt;=Projects!$C$34,104&lt;Projects!$C$34+Projects!$D$34),Projects!$B$34*INDEX(Curves!$B$4:$AR$4,1,104-Projects!$C$34+1),0)+IF(AND(Projects!$G$35="Yes",104&gt;=Projects!$C$35,104&lt;Projects!$C$35+Projects!$D$35),Projects!$B$35*INDEX(Curves!$B$4:$AR$4,1,104-Projects!$C$35+1),0)+IF(AND(Projects!$G$36="Yes",104&gt;=Projects!$C$36,104&lt;Projects!$C$36+Projects!$D$36),Projects!$B$36*INDEX(Curves!$B$4:$AR$4,1,104-Projects!$C$36+1),0)+IF(AND(Projects!$G$37="Yes",104&gt;=Projects!$C$37,104&lt;Projects!$C$37+Projects!$D$37),Projects!$B$37*INDEX(Curves!$B$4:$AR$4,1,104-Projects!$C$37+1),0)+IF(AND(Projects!$G$38="Yes",104&gt;=Projects!$C$38,104&lt;Projects!$C$38+Projects!$D$38),Projects!$B$38*INDEX(Curves!$B$4:$AR$4,1,104-Projects!$C$38+1),0)+IF(AND(Projects!$G$39="Yes",104&gt;=Projects!$C$39,104&lt;Projects!$C$39+Projects!$D$39),Projects!$B$39*INDEX(Curves!$B$4:$AR$4,1,104-Projects!$C$39+1),0)+IF(AND(Projects!$G$40="Yes",104&gt;=Projects!$C$40,104&lt;Projects!$C$40+Projects!$D$40),Projects!$B$40*INDEX(Curves!$B$4:$AR$4,1,104-Projects!$C$40+1),0)+IF(AND(Projects!$G$41="Yes",104&gt;=Projects!$C$41,104&lt;Projects!$C$41+Projects!$D$41),Projects!$B$41*INDEX(Curves!$B$4:$AR$4,1,104-Projects!$C$41+1),0)+IF(AND(Projects!$G$42="Yes",104&gt;=Projects!$C$42,104&lt;Projects!$C$42+Projects!$D$42),Projects!$B$42*INDEX(Curves!$B$4:$AR$4,1,104-Projects!$C$42+1),0)+IF(AND(Projects!$G$43="Yes",104&gt;=Projects!$C$43,104&lt;Projects!$C$43+Projects!$D$43),Projects!$B$43*INDEX(Curves!$B$4:$AR$4,1,104-Projects!$C$43+1),0)+IF(AND(Projects!$G$44="Yes",104&gt;=Projects!$C$44,104&lt;Projects!$C$44+Projects!$D$44),Projects!$B$44*INDEX(Curves!$B$4:$AR$4,1,104-Projects!$C$44+1),0)+IF(AND(Projects!$G$45="Yes",104&gt;=Projects!$C$45,104&lt;Projects!$C$45+Projects!$D$45),Projects!$B$45*INDEX(Curves!$B$4:$AR$4,1,104-Projects!$C$45+1),0)+IF(AND(Projects!$G$46="Yes",104&gt;=Projects!$C$46,104&lt;Projects!$C$46+Projects!$D$46),Projects!$B$46*INDEX(Curves!$B$4:$AR$4,1,104-Projects!$C$46+1),0)</f>
        <v>0</v>
      </c>
      <c r="DF96" s="59">
        <f>IF(AND(Projects!$G$17="Yes",105&gt;=Projects!$C$17,105&lt;Projects!$C$17+Projects!$D$17),Projects!$B$17*INDEX(Curves!$B$4:$AR$4,1,105-Projects!$C$17+1),0)+IF(AND(Projects!$G$18="Yes",105&gt;=Projects!$C$18,105&lt;Projects!$C$18+Projects!$D$18),Projects!$B$18*INDEX(Curves!$B$4:$AR$4,1,105-Projects!$C$18+1),0)+IF(AND(Projects!$G$19="Yes",105&gt;=Projects!$C$19,105&lt;Projects!$C$19+Projects!$D$19),Projects!$B$19*INDEX(Curves!$B$4:$AR$4,1,105-Projects!$C$19+1),0)+IF(AND(Projects!$G$20="Yes",105&gt;=Projects!$C$20,105&lt;Projects!$C$20+Projects!$D$20),Projects!$B$20*INDEX(Curves!$B$4:$AR$4,1,105-Projects!$C$20+1),0)+IF(AND(Projects!$G$21="Yes",105&gt;=Projects!$C$21,105&lt;Projects!$C$21+Projects!$D$21),Projects!$B$21*INDEX(Curves!$B$4:$AR$4,1,105-Projects!$C$21+1),0)+IF(AND(Projects!$G$22="Yes",105&gt;=Projects!$C$22,105&lt;Projects!$C$22+Projects!$D$22),Projects!$B$22*INDEX(Curves!$B$4:$AR$4,1,105-Projects!$C$22+1),0)+IF(AND(Projects!$G$23="Yes",105&gt;=Projects!$C$23,105&lt;Projects!$C$23+Projects!$D$23),Projects!$B$23*INDEX(Curves!$B$4:$AR$4,1,105-Projects!$C$23+1),0)+IF(AND(Projects!$G$24="Yes",105&gt;=Projects!$C$24,105&lt;Projects!$C$24+Projects!$D$24),Projects!$B$24*INDEX(Curves!$B$4:$AR$4,1,105-Projects!$C$24+1),0)+IF(AND(Projects!$G$25="Yes",105&gt;=Projects!$C$25,105&lt;Projects!$C$25+Projects!$D$25),Projects!$B$25*INDEX(Curves!$B$4:$AR$4,1,105-Projects!$C$25+1),0)+IF(AND(Projects!$G$26="Yes",105&gt;=Projects!$C$26,105&lt;Projects!$C$26+Projects!$D$26),Projects!$B$26*INDEX(Curves!$B$4:$AR$4,1,105-Projects!$C$26+1),0)+IF(AND(Projects!$G$27="Yes",105&gt;=Projects!$C$27,105&lt;Projects!$C$27+Projects!$D$27),Projects!$B$27*INDEX(Curves!$B$4:$AR$4,1,105-Projects!$C$27+1),0)+IF(AND(Projects!$G$28="Yes",105&gt;=Projects!$C$28,105&lt;Projects!$C$28+Projects!$D$28),Projects!$B$28*INDEX(Curves!$B$4:$AR$4,1,105-Projects!$C$28+1),0)+IF(AND(Projects!$G$29="Yes",105&gt;=Projects!$C$29,105&lt;Projects!$C$29+Projects!$D$29),Projects!$B$29*INDEX(Curves!$B$4:$AR$4,1,105-Projects!$C$29+1),0)+IF(AND(Projects!$G$30="Yes",105&gt;=Projects!$C$30,105&lt;Projects!$C$30+Projects!$D$30),Projects!$B$30*INDEX(Curves!$B$4:$AR$4,1,105-Projects!$C$30+1),0)+IF(AND(Projects!$G$31="Yes",105&gt;=Projects!$C$31,105&lt;Projects!$C$31+Projects!$D$31),Projects!$B$31*INDEX(Curves!$B$4:$AR$4,1,105-Projects!$C$31+1),0)+IF(AND(Projects!$G$32="Yes",105&gt;=Projects!$C$32,105&lt;Projects!$C$32+Projects!$D$32),Projects!$B$32*INDEX(Curves!$B$4:$AR$4,1,105-Projects!$C$32+1),0)+IF(AND(Projects!$G$33="Yes",105&gt;=Projects!$C$33,105&lt;Projects!$C$33+Projects!$D$33),Projects!$B$33*INDEX(Curves!$B$4:$AR$4,1,105-Projects!$C$33+1),0)+IF(AND(Projects!$G$34="Yes",105&gt;=Projects!$C$34,105&lt;Projects!$C$34+Projects!$D$34),Projects!$B$34*INDEX(Curves!$B$4:$AR$4,1,105-Projects!$C$34+1),0)+IF(AND(Projects!$G$35="Yes",105&gt;=Projects!$C$35,105&lt;Projects!$C$35+Projects!$D$35),Projects!$B$35*INDEX(Curves!$B$4:$AR$4,1,105-Projects!$C$35+1),0)+IF(AND(Projects!$G$36="Yes",105&gt;=Projects!$C$36,105&lt;Projects!$C$36+Projects!$D$36),Projects!$B$36*INDEX(Curves!$B$4:$AR$4,1,105-Projects!$C$36+1),0)+IF(AND(Projects!$G$37="Yes",105&gt;=Projects!$C$37,105&lt;Projects!$C$37+Projects!$D$37),Projects!$B$37*INDEX(Curves!$B$4:$AR$4,1,105-Projects!$C$37+1),0)+IF(AND(Projects!$G$38="Yes",105&gt;=Projects!$C$38,105&lt;Projects!$C$38+Projects!$D$38),Projects!$B$38*INDEX(Curves!$B$4:$AR$4,1,105-Projects!$C$38+1),0)+IF(AND(Projects!$G$39="Yes",105&gt;=Projects!$C$39,105&lt;Projects!$C$39+Projects!$D$39),Projects!$B$39*INDEX(Curves!$B$4:$AR$4,1,105-Projects!$C$39+1),0)+IF(AND(Projects!$G$40="Yes",105&gt;=Projects!$C$40,105&lt;Projects!$C$40+Projects!$D$40),Projects!$B$40*INDEX(Curves!$B$4:$AR$4,1,105-Projects!$C$40+1),0)+IF(AND(Projects!$G$41="Yes",105&gt;=Projects!$C$41,105&lt;Projects!$C$41+Projects!$D$41),Projects!$B$41*INDEX(Curves!$B$4:$AR$4,1,105-Projects!$C$41+1),0)+IF(AND(Projects!$G$42="Yes",105&gt;=Projects!$C$42,105&lt;Projects!$C$42+Projects!$D$42),Projects!$B$42*INDEX(Curves!$B$4:$AR$4,1,105-Projects!$C$42+1),0)+IF(AND(Projects!$G$43="Yes",105&gt;=Projects!$C$43,105&lt;Projects!$C$43+Projects!$D$43),Projects!$B$43*INDEX(Curves!$B$4:$AR$4,1,105-Projects!$C$43+1),0)+IF(AND(Projects!$G$44="Yes",105&gt;=Projects!$C$44,105&lt;Projects!$C$44+Projects!$D$44),Projects!$B$44*INDEX(Curves!$B$4:$AR$4,1,105-Projects!$C$44+1),0)+IF(AND(Projects!$G$45="Yes",105&gt;=Projects!$C$45,105&lt;Projects!$C$45+Projects!$D$45),Projects!$B$45*INDEX(Curves!$B$4:$AR$4,1,105-Projects!$C$45+1),0)+IF(AND(Projects!$G$46="Yes",105&gt;=Projects!$C$46,105&lt;Projects!$C$46+Projects!$D$46),Projects!$B$46*INDEX(Curves!$B$4:$AR$4,1,105-Projects!$C$46+1),0)</f>
        <v>0</v>
      </c>
    </row>
    <row r="97" spans="1:110" x14ac:dyDescent="0.25">
      <c r="A97" s="56" t="s">
        <v>830</v>
      </c>
      <c r="C97" s="59">
        <f>C96+SUMPRODUCT((Projects!$G$17:$G$46="Yes")*(-2&gt;=Projects!$C$17:$C$46)*(-2&lt;Projects!$C$17:$C$46+Projects!$D$17:$D$46)*Projects!$B$17:$B$46*Assumptions!$B$10/Projects!$D$17:$D$46*0.95)+SUMPRODUCT((Projects!$G$17:$G$46="Yes")*(-2=Projects!$C$17:$C$46+Projects!$D$17:$D$46-1)*Projects!$B$17:$B$46*Assumptions!$B$10*0.05)+SUMPRODUCT((Projects!$G$17:$G$46="Yes")*(-2&gt;=Projects!$C$17:$C$46)*(-2&lt;Projects!$C$17:$C$46+Projects!$D$17:$D$46)*Projects!$B$17:$B$46*Assumptions!$B$11/Projects!$D$17:$D$46*0.95)+SUMPRODUCT((Projects!$G$17:$G$46="Yes")*(-2=Projects!$C$17:$C$46+Projects!$D$17:$D$46-1)*Projects!$B$17:$B$46*Assumptions!$B$11*0.05)+SUMPRODUCT((Projects!$G$17:$G$46="Yes")*(-2&gt;=Projects!$C$17:$C$46)*(-2&lt;Projects!$C$17:$C$46+Projects!$D$17:$D$46)*Projects!$B$17:$B$46*Assumptions!$B$12/Projects!$D$17:$D$46*0.95)+SUMPRODUCT((Projects!$G$17:$G$46="Yes")*(-2=Projects!$C$17:$C$46+Projects!$D$17:$D$46-1)*Projects!$B$17:$B$46*Assumptions!$B$12*0.05)</f>
        <v>0</v>
      </c>
      <c r="D97" s="59">
        <f>D96+SUMPRODUCT((Projects!$G$17:$G$46="Yes")*(-1&gt;=Projects!$C$17:$C$46)*(-1&lt;Projects!$C$17:$C$46+Projects!$D$17:$D$46)*Projects!$B$17:$B$46*Assumptions!$B$10/Projects!$D$17:$D$46*0.95)+SUMPRODUCT((Projects!$G$17:$G$46="Yes")*(-1=Projects!$C$17:$C$46+Projects!$D$17:$D$46-1)*Projects!$B$17:$B$46*Assumptions!$B$10*0.05)+SUMPRODUCT((Projects!$G$17:$G$46="Yes")*(-1&gt;=Projects!$C$17:$C$46)*(-1&lt;Projects!$C$17:$C$46+Projects!$D$17:$D$46)*Projects!$B$17:$B$46*Assumptions!$B$11/Projects!$D$17:$D$46*0.95)+SUMPRODUCT((Projects!$G$17:$G$46="Yes")*(-1=Projects!$C$17:$C$46+Projects!$D$17:$D$46-1)*Projects!$B$17:$B$46*Assumptions!$B$11*0.05)+SUMPRODUCT((Projects!$G$17:$G$46="Yes")*(-1&gt;=Projects!$C$17:$C$46)*(-1&lt;Projects!$C$17:$C$46+Projects!$D$17:$D$46)*Projects!$B$17:$B$46*Assumptions!$B$12/Projects!$D$17:$D$46*0.95)+SUMPRODUCT((Projects!$G$17:$G$46="Yes")*(-1=Projects!$C$17:$C$46+Projects!$D$17:$D$46-1)*Projects!$B$17:$B$46*Assumptions!$B$12*0.05)</f>
        <v>0</v>
      </c>
      <c r="E97" s="59">
        <f>E96+SUMPRODUCT((Projects!$G$17:$G$46="Yes")*(0&gt;=Projects!$C$17:$C$46)*(0&lt;Projects!$C$17:$C$46+Projects!$D$17:$D$46)*Projects!$B$17:$B$46*Assumptions!$B$10/Projects!$D$17:$D$46*0.95)+SUMPRODUCT((Projects!$G$17:$G$46="Yes")*(0=Projects!$C$17:$C$46+Projects!$D$17:$D$46-1)*Projects!$B$17:$B$46*Assumptions!$B$10*0.05)+SUMPRODUCT((Projects!$G$17:$G$46="Yes")*(0&gt;=Projects!$C$17:$C$46)*(0&lt;Projects!$C$17:$C$46+Projects!$D$17:$D$46)*Projects!$B$17:$B$46*Assumptions!$B$11/Projects!$D$17:$D$46*0.95)+SUMPRODUCT((Projects!$G$17:$G$46="Yes")*(0=Projects!$C$17:$C$46+Projects!$D$17:$D$46-1)*Projects!$B$17:$B$46*Assumptions!$B$11*0.05)+SUMPRODUCT((Projects!$G$17:$G$46="Yes")*(0&gt;=Projects!$C$17:$C$46)*(0&lt;Projects!$C$17:$C$46+Projects!$D$17:$D$46)*Projects!$B$17:$B$46*Assumptions!$B$12/Projects!$D$17:$D$46*0.95)+SUMPRODUCT((Projects!$G$17:$G$46="Yes")*(0=Projects!$C$17:$C$46+Projects!$D$17:$D$46-1)*Projects!$B$17:$B$46*Assumptions!$B$12*0.05)</f>
        <v>0</v>
      </c>
      <c r="F97" s="59">
        <f>F96+SUMPRODUCT((Projects!$G$17:$G$46="Yes")*(1&gt;=Projects!$C$17:$C$46)*(1&lt;Projects!$C$17:$C$46+Projects!$D$17:$D$46)*Projects!$B$17:$B$46*Assumptions!$B$10/Projects!$D$17:$D$46*0.95)+SUMPRODUCT((Projects!$G$17:$G$46="Yes")*(1=Projects!$C$17:$C$46+Projects!$D$17:$D$46-1)*Projects!$B$17:$B$46*Assumptions!$B$10*0.05)+SUMPRODUCT((Projects!$G$17:$G$46="Yes")*(1&gt;=Projects!$C$17:$C$46)*(1&lt;Projects!$C$17:$C$46+Projects!$D$17:$D$46)*Projects!$B$17:$B$46*Assumptions!$B$11/Projects!$D$17:$D$46*0.95)+SUMPRODUCT((Projects!$G$17:$G$46="Yes")*(1=Projects!$C$17:$C$46+Projects!$D$17:$D$46-1)*Projects!$B$17:$B$46*Assumptions!$B$11*0.05)+SUMPRODUCT((Projects!$G$17:$G$46="Yes")*(1&gt;=Projects!$C$17:$C$46)*(1&lt;Projects!$C$17:$C$46+Projects!$D$17:$D$46)*Projects!$B$17:$B$46*Assumptions!$B$12/Projects!$D$17:$D$46*0.95)+SUMPRODUCT((Projects!$G$17:$G$46="Yes")*(1=Projects!$C$17:$C$46+Projects!$D$17:$D$46-1)*Projects!$B$17:$B$46*Assumptions!$B$12*0.05)</f>
        <v>0</v>
      </c>
      <c r="G97" s="59">
        <f>G96+SUMPRODUCT((Projects!$G$17:$G$46="Yes")*(2&gt;=Projects!$C$17:$C$46)*(2&lt;Projects!$C$17:$C$46+Projects!$D$17:$D$46)*Projects!$B$17:$B$46*Assumptions!$B$10/Projects!$D$17:$D$46*0.95)+SUMPRODUCT((Projects!$G$17:$G$46="Yes")*(2=Projects!$C$17:$C$46+Projects!$D$17:$D$46-1)*Projects!$B$17:$B$46*Assumptions!$B$10*0.05)+SUMPRODUCT((Projects!$G$17:$G$46="Yes")*(2&gt;=Projects!$C$17:$C$46)*(2&lt;Projects!$C$17:$C$46+Projects!$D$17:$D$46)*Projects!$B$17:$B$46*Assumptions!$B$11/Projects!$D$17:$D$46*0.95)+SUMPRODUCT((Projects!$G$17:$G$46="Yes")*(2=Projects!$C$17:$C$46+Projects!$D$17:$D$46-1)*Projects!$B$17:$B$46*Assumptions!$B$11*0.05)+SUMPRODUCT((Projects!$G$17:$G$46="Yes")*(2&gt;=Projects!$C$17:$C$46)*(2&lt;Projects!$C$17:$C$46+Projects!$D$17:$D$46)*Projects!$B$17:$B$46*Assumptions!$B$12/Projects!$D$17:$D$46*0.95)+SUMPRODUCT((Projects!$G$17:$G$46="Yes")*(2=Projects!$C$17:$C$46+Projects!$D$17:$D$46-1)*Projects!$B$17:$B$46*Assumptions!$B$12*0.05)</f>
        <v>0</v>
      </c>
      <c r="H97" s="59">
        <f>H96+SUMPRODUCT((Projects!$G$17:$G$46="Yes")*(3&gt;=Projects!$C$17:$C$46)*(3&lt;Projects!$C$17:$C$46+Projects!$D$17:$D$46)*Projects!$B$17:$B$46*Assumptions!$B$10/Projects!$D$17:$D$46*0.95)+SUMPRODUCT((Projects!$G$17:$G$46="Yes")*(3=Projects!$C$17:$C$46+Projects!$D$17:$D$46-1)*Projects!$B$17:$B$46*Assumptions!$B$10*0.05)+SUMPRODUCT((Projects!$G$17:$G$46="Yes")*(3&gt;=Projects!$C$17:$C$46)*(3&lt;Projects!$C$17:$C$46+Projects!$D$17:$D$46)*Projects!$B$17:$B$46*Assumptions!$B$11/Projects!$D$17:$D$46*0.95)+SUMPRODUCT((Projects!$G$17:$G$46="Yes")*(3=Projects!$C$17:$C$46+Projects!$D$17:$D$46-1)*Projects!$B$17:$B$46*Assumptions!$B$11*0.05)+SUMPRODUCT((Projects!$G$17:$G$46="Yes")*(3&gt;=Projects!$C$17:$C$46)*(3&lt;Projects!$C$17:$C$46+Projects!$D$17:$D$46)*Projects!$B$17:$B$46*Assumptions!$B$12/Projects!$D$17:$D$46*0.95)+SUMPRODUCT((Projects!$G$17:$G$46="Yes")*(3=Projects!$C$17:$C$46+Projects!$D$17:$D$46-1)*Projects!$B$17:$B$46*Assumptions!$B$12*0.05)</f>
        <v>0</v>
      </c>
      <c r="I97" s="59">
        <f>I96+SUMPRODUCT((Projects!$G$17:$G$46="Yes")*(4&gt;=Projects!$C$17:$C$46)*(4&lt;Projects!$C$17:$C$46+Projects!$D$17:$D$46)*Projects!$B$17:$B$46*Assumptions!$B$10/Projects!$D$17:$D$46*0.95)+SUMPRODUCT((Projects!$G$17:$G$46="Yes")*(4=Projects!$C$17:$C$46+Projects!$D$17:$D$46-1)*Projects!$B$17:$B$46*Assumptions!$B$10*0.05)+SUMPRODUCT((Projects!$G$17:$G$46="Yes")*(4&gt;=Projects!$C$17:$C$46)*(4&lt;Projects!$C$17:$C$46+Projects!$D$17:$D$46)*Projects!$B$17:$B$46*Assumptions!$B$11/Projects!$D$17:$D$46*0.95)+SUMPRODUCT((Projects!$G$17:$G$46="Yes")*(4=Projects!$C$17:$C$46+Projects!$D$17:$D$46-1)*Projects!$B$17:$B$46*Assumptions!$B$11*0.05)+SUMPRODUCT((Projects!$G$17:$G$46="Yes")*(4&gt;=Projects!$C$17:$C$46)*(4&lt;Projects!$C$17:$C$46+Projects!$D$17:$D$46)*Projects!$B$17:$B$46*Assumptions!$B$12/Projects!$D$17:$D$46*0.95)+SUMPRODUCT((Projects!$G$17:$G$46="Yes")*(4=Projects!$C$17:$C$46+Projects!$D$17:$D$46-1)*Projects!$B$17:$B$46*Assumptions!$B$12*0.05)</f>
        <v>0</v>
      </c>
      <c r="J97" s="59">
        <f>J96+SUMPRODUCT((Projects!$G$17:$G$46="Yes")*(5&gt;=Projects!$C$17:$C$46)*(5&lt;Projects!$C$17:$C$46+Projects!$D$17:$D$46)*Projects!$B$17:$B$46*Assumptions!$B$10/Projects!$D$17:$D$46*0.95)+SUMPRODUCT((Projects!$G$17:$G$46="Yes")*(5=Projects!$C$17:$C$46+Projects!$D$17:$D$46-1)*Projects!$B$17:$B$46*Assumptions!$B$10*0.05)+SUMPRODUCT((Projects!$G$17:$G$46="Yes")*(5&gt;=Projects!$C$17:$C$46)*(5&lt;Projects!$C$17:$C$46+Projects!$D$17:$D$46)*Projects!$B$17:$B$46*Assumptions!$B$11/Projects!$D$17:$D$46*0.95)+SUMPRODUCT((Projects!$G$17:$G$46="Yes")*(5=Projects!$C$17:$C$46+Projects!$D$17:$D$46-1)*Projects!$B$17:$B$46*Assumptions!$B$11*0.05)+SUMPRODUCT((Projects!$G$17:$G$46="Yes")*(5&gt;=Projects!$C$17:$C$46)*(5&lt;Projects!$C$17:$C$46+Projects!$D$17:$D$46)*Projects!$B$17:$B$46*Assumptions!$B$12/Projects!$D$17:$D$46*0.95)+SUMPRODUCT((Projects!$G$17:$G$46="Yes")*(5=Projects!$C$17:$C$46+Projects!$D$17:$D$46-1)*Projects!$B$17:$B$46*Assumptions!$B$12*0.05)</f>
        <v>0</v>
      </c>
      <c r="K97" s="59">
        <f>K96+SUMPRODUCT((Projects!$G$17:$G$46="Yes")*(6&gt;=Projects!$C$17:$C$46)*(6&lt;Projects!$C$17:$C$46+Projects!$D$17:$D$46)*Projects!$B$17:$B$46*Assumptions!$B$10/Projects!$D$17:$D$46*0.95)+SUMPRODUCT((Projects!$G$17:$G$46="Yes")*(6=Projects!$C$17:$C$46+Projects!$D$17:$D$46-1)*Projects!$B$17:$B$46*Assumptions!$B$10*0.05)+SUMPRODUCT((Projects!$G$17:$G$46="Yes")*(6&gt;=Projects!$C$17:$C$46)*(6&lt;Projects!$C$17:$C$46+Projects!$D$17:$D$46)*Projects!$B$17:$B$46*Assumptions!$B$11/Projects!$D$17:$D$46*0.95)+SUMPRODUCT((Projects!$G$17:$G$46="Yes")*(6=Projects!$C$17:$C$46+Projects!$D$17:$D$46-1)*Projects!$B$17:$B$46*Assumptions!$B$11*0.05)+SUMPRODUCT((Projects!$G$17:$G$46="Yes")*(6&gt;=Projects!$C$17:$C$46)*(6&lt;Projects!$C$17:$C$46+Projects!$D$17:$D$46)*Projects!$B$17:$B$46*Assumptions!$B$12/Projects!$D$17:$D$46*0.95)+SUMPRODUCT((Projects!$G$17:$G$46="Yes")*(6=Projects!$C$17:$C$46+Projects!$D$17:$D$46-1)*Projects!$B$17:$B$46*Assumptions!$B$12*0.05)</f>
        <v>0</v>
      </c>
      <c r="L97" s="59">
        <f>L96+SUMPRODUCT((Projects!$G$17:$G$46="Yes")*(7&gt;=Projects!$C$17:$C$46)*(7&lt;Projects!$C$17:$C$46+Projects!$D$17:$D$46)*Projects!$B$17:$B$46*Assumptions!$B$10/Projects!$D$17:$D$46*0.95)+SUMPRODUCT((Projects!$G$17:$G$46="Yes")*(7=Projects!$C$17:$C$46+Projects!$D$17:$D$46-1)*Projects!$B$17:$B$46*Assumptions!$B$10*0.05)+SUMPRODUCT((Projects!$G$17:$G$46="Yes")*(7&gt;=Projects!$C$17:$C$46)*(7&lt;Projects!$C$17:$C$46+Projects!$D$17:$D$46)*Projects!$B$17:$B$46*Assumptions!$B$11/Projects!$D$17:$D$46*0.95)+SUMPRODUCT((Projects!$G$17:$G$46="Yes")*(7=Projects!$C$17:$C$46+Projects!$D$17:$D$46-1)*Projects!$B$17:$B$46*Assumptions!$B$11*0.05)+SUMPRODUCT((Projects!$G$17:$G$46="Yes")*(7&gt;=Projects!$C$17:$C$46)*(7&lt;Projects!$C$17:$C$46+Projects!$D$17:$D$46)*Projects!$B$17:$B$46*Assumptions!$B$12/Projects!$D$17:$D$46*0.95)+SUMPRODUCT((Projects!$G$17:$G$46="Yes")*(7=Projects!$C$17:$C$46+Projects!$D$17:$D$46-1)*Projects!$B$17:$B$46*Assumptions!$B$12*0.05)</f>
        <v>0</v>
      </c>
      <c r="M97" s="59">
        <f>M96+SUMPRODUCT((Projects!$G$17:$G$46="Yes")*(8&gt;=Projects!$C$17:$C$46)*(8&lt;Projects!$C$17:$C$46+Projects!$D$17:$D$46)*Projects!$B$17:$B$46*Assumptions!$B$10/Projects!$D$17:$D$46*0.95)+SUMPRODUCT((Projects!$G$17:$G$46="Yes")*(8=Projects!$C$17:$C$46+Projects!$D$17:$D$46-1)*Projects!$B$17:$B$46*Assumptions!$B$10*0.05)+SUMPRODUCT((Projects!$G$17:$G$46="Yes")*(8&gt;=Projects!$C$17:$C$46)*(8&lt;Projects!$C$17:$C$46+Projects!$D$17:$D$46)*Projects!$B$17:$B$46*Assumptions!$B$11/Projects!$D$17:$D$46*0.95)+SUMPRODUCT((Projects!$G$17:$G$46="Yes")*(8=Projects!$C$17:$C$46+Projects!$D$17:$D$46-1)*Projects!$B$17:$B$46*Assumptions!$B$11*0.05)+SUMPRODUCT((Projects!$G$17:$G$46="Yes")*(8&gt;=Projects!$C$17:$C$46)*(8&lt;Projects!$C$17:$C$46+Projects!$D$17:$D$46)*Projects!$B$17:$B$46*Assumptions!$B$12/Projects!$D$17:$D$46*0.95)+SUMPRODUCT((Projects!$G$17:$G$46="Yes")*(8=Projects!$C$17:$C$46+Projects!$D$17:$D$46-1)*Projects!$B$17:$B$46*Assumptions!$B$12*0.05)</f>
        <v>0</v>
      </c>
      <c r="N97" s="59">
        <f>N96+SUMPRODUCT((Projects!$G$17:$G$46="Yes")*(9&gt;=Projects!$C$17:$C$46)*(9&lt;Projects!$C$17:$C$46+Projects!$D$17:$D$46)*Projects!$B$17:$B$46*Assumptions!$B$10/Projects!$D$17:$D$46*0.95)+SUMPRODUCT((Projects!$G$17:$G$46="Yes")*(9=Projects!$C$17:$C$46+Projects!$D$17:$D$46-1)*Projects!$B$17:$B$46*Assumptions!$B$10*0.05)+SUMPRODUCT((Projects!$G$17:$G$46="Yes")*(9&gt;=Projects!$C$17:$C$46)*(9&lt;Projects!$C$17:$C$46+Projects!$D$17:$D$46)*Projects!$B$17:$B$46*Assumptions!$B$11/Projects!$D$17:$D$46*0.95)+SUMPRODUCT((Projects!$G$17:$G$46="Yes")*(9=Projects!$C$17:$C$46+Projects!$D$17:$D$46-1)*Projects!$B$17:$B$46*Assumptions!$B$11*0.05)+SUMPRODUCT((Projects!$G$17:$G$46="Yes")*(9&gt;=Projects!$C$17:$C$46)*(9&lt;Projects!$C$17:$C$46+Projects!$D$17:$D$46)*Projects!$B$17:$B$46*Assumptions!$B$12/Projects!$D$17:$D$46*0.95)+SUMPRODUCT((Projects!$G$17:$G$46="Yes")*(9=Projects!$C$17:$C$46+Projects!$D$17:$D$46-1)*Projects!$B$17:$B$46*Assumptions!$B$12*0.05)</f>
        <v>0</v>
      </c>
      <c r="O97" s="59">
        <f>O96+SUMPRODUCT((Projects!$G$17:$G$46="Yes")*(10&gt;=Projects!$C$17:$C$46)*(10&lt;Projects!$C$17:$C$46+Projects!$D$17:$D$46)*Projects!$B$17:$B$46*Assumptions!$B$10/Projects!$D$17:$D$46*0.95)+SUMPRODUCT((Projects!$G$17:$G$46="Yes")*(10=Projects!$C$17:$C$46+Projects!$D$17:$D$46-1)*Projects!$B$17:$B$46*Assumptions!$B$10*0.05)+SUMPRODUCT((Projects!$G$17:$G$46="Yes")*(10&gt;=Projects!$C$17:$C$46)*(10&lt;Projects!$C$17:$C$46+Projects!$D$17:$D$46)*Projects!$B$17:$B$46*Assumptions!$B$11/Projects!$D$17:$D$46*0.95)+SUMPRODUCT((Projects!$G$17:$G$46="Yes")*(10=Projects!$C$17:$C$46+Projects!$D$17:$D$46-1)*Projects!$B$17:$B$46*Assumptions!$B$11*0.05)+SUMPRODUCT((Projects!$G$17:$G$46="Yes")*(10&gt;=Projects!$C$17:$C$46)*(10&lt;Projects!$C$17:$C$46+Projects!$D$17:$D$46)*Projects!$B$17:$B$46*Assumptions!$B$12/Projects!$D$17:$D$46*0.95)+SUMPRODUCT((Projects!$G$17:$G$46="Yes")*(10=Projects!$C$17:$C$46+Projects!$D$17:$D$46-1)*Projects!$B$17:$B$46*Assumptions!$B$12*0.05)</f>
        <v>0</v>
      </c>
      <c r="P97" s="59">
        <f>P96+SUMPRODUCT((Projects!$G$17:$G$46="Yes")*(11&gt;=Projects!$C$17:$C$46)*(11&lt;Projects!$C$17:$C$46+Projects!$D$17:$D$46)*Projects!$B$17:$B$46*Assumptions!$B$10/Projects!$D$17:$D$46*0.95)+SUMPRODUCT((Projects!$G$17:$G$46="Yes")*(11=Projects!$C$17:$C$46+Projects!$D$17:$D$46-1)*Projects!$B$17:$B$46*Assumptions!$B$10*0.05)+SUMPRODUCT((Projects!$G$17:$G$46="Yes")*(11&gt;=Projects!$C$17:$C$46)*(11&lt;Projects!$C$17:$C$46+Projects!$D$17:$D$46)*Projects!$B$17:$B$46*Assumptions!$B$11/Projects!$D$17:$D$46*0.95)+SUMPRODUCT((Projects!$G$17:$G$46="Yes")*(11=Projects!$C$17:$C$46+Projects!$D$17:$D$46-1)*Projects!$B$17:$B$46*Assumptions!$B$11*0.05)+SUMPRODUCT((Projects!$G$17:$G$46="Yes")*(11&gt;=Projects!$C$17:$C$46)*(11&lt;Projects!$C$17:$C$46+Projects!$D$17:$D$46)*Projects!$B$17:$B$46*Assumptions!$B$12/Projects!$D$17:$D$46*0.95)+SUMPRODUCT((Projects!$G$17:$G$46="Yes")*(11=Projects!$C$17:$C$46+Projects!$D$17:$D$46-1)*Projects!$B$17:$B$46*Assumptions!$B$12*0.05)</f>
        <v>0</v>
      </c>
      <c r="Q97" s="59">
        <f>Q96+SUMPRODUCT((Projects!$G$17:$G$46="Yes")*(12&gt;=Projects!$C$17:$C$46)*(12&lt;Projects!$C$17:$C$46+Projects!$D$17:$D$46)*Projects!$B$17:$B$46*Assumptions!$B$10/Projects!$D$17:$D$46*0.95)+SUMPRODUCT((Projects!$G$17:$G$46="Yes")*(12=Projects!$C$17:$C$46+Projects!$D$17:$D$46-1)*Projects!$B$17:$B$46*Assumptions!$B$10*0.05)+SUMPRODUCT((Projects!$G$17:$G$46="Yes")*(12&gt;=Projects!$C$17:$C$46)*(12&lt;Projects!$C$17:$C$46+Projects!$D$17:$D$46)*Projects!$B$17:$B$46*Assumptions!$B$11/Projects!$D$17:$D$46*0.95)+SUMPRODUCT((Projects!$G$17:$G$46="Yes")*(12=Projects!$C$17:$C$46+Projects!$D$17:$D$46-1)*Projects!$B$17:$B$46*Assumptions!$B$11*0.05)+SUMPRODUCT((Projects!$G$17:$G$46="Yes")*(12&gt;=Projects!$C$17:$C$46)*(12&lt;Projects!$C$17:$C$46+Projects!$D$17:$D$46)*Projects!$B$17:$B$46*Assumptions!$B$12/Projects!$D$17:$D$46*0.95)+SUMPRODUCT((Projects!$G$17:$G$46="Yes")*(12=Projects!$C$17:$C$46+Projects!$D$17:$D$46-1)*Projects!$B$17:$B$46*Assumptions!$B$12*0.05)</f>
        <v>0</v>
      </c>
      <c r="R97" s="59">
        <f>R96+SUMPRODUCT((Projects!$G$17:$G$46="Yes")*(13&gt;=Projects!$C$17:$C$46)*(13&lt;Projects!$C$17:$C$46+Projects!$D$17:$D$46)*Projects!$B$17:$B$46*Assumptions!$B$10/Projects!$D$17:$D$46*0.95)+SUMPRODUCT((Projects!$G$17:$G$46="Yes")*(13=Projects!$C$17:$C$46+Projects!$D$17:$D$46-1)*Projects!$B$17:$B$46*Assumptions!$B$10*0.05)+SUMPRODUCT((Projects!$G$17:$G$46="Yes")*(13&gt;=Projects!$C$17:$C$46)*(13&lt;Projects!$C$17:$C$46+Projects!$D$17:$D$46)*Projects!$B$17:$B$46*Assumptions!$B$11/Projects!$D$17:$D$46*0.95)+SUMPRODUCT((Projects!$G$17:$G$46="Yes")*(13=Projects!$C$17:$C$46+Projects!$D$17:$D$46-1)*Projects!$B$17:$B$46*Assumptions!$B$11*0.05)+SUMPRODUCT((Projects!$G$17:$G$46="Yes")*(13&gt;=Projects!$C$17:$C$46)*(13&lt;Projects!$C$17:$C$46+Projects!$D$17:$D$46)*Projects!$B$17:$B$46*Assumptions!$B$12/Projects!$D$17:$D$46*0.95)+SUMPRODUCT((Projects!$G$17:$G$46="Yes")*(13=Projects!$C$17:$C$46+Projects!$D$17:$D$46-1)*Projects!$B$17:$B$46*Assumptions!$B$12*0.05)</f>
        <v>0</v>
      </c>
      <c r="S97" s="59">
        <f>S96+SUMPRODUCT((Projects!$G$17:$G$46="Yes")*(14&gt;=Projects!$C$17:$C$46)*(14&lt;Projects!$C$17:$C$46+Projects!$D$17:$D$46)*Projects!$B$17:$B$46*Assumptions!$B$10/Projects!$D$17:$D$46*0.95)+SUMPRODUCT((Projects!$G$17:$G$46="Yes")*(14=Projects!$C$17:$C$46+Projects!$D$17:$D$46-1)*Projects!$B$17:$B$46*Assumptions!$B$10*0.05)+SUMPRODUCT((Projects!$G$17:$G$46="Yes")*(14&gt;=Projects!$C$17:$C$46)*(14&lt;Projects!$C$17:$C$46+Projects!$D$17:$D$46)*Projects!$B$17:$B$46*Assumptions!$B$11/Projects!$D$17:$D$46*0.95)+SUMPRODUCT((Projects!$G$17:$G$46="Yes")*(14=Projects!$C$17:$C$46+Projects!$D$17:$D$46-1)*Projects!$B$17:$B$46*Assumptions!$B$11*0.05)+SUMPRODUCT((Projects!$G$17:$G$46="Yes")*(14&gt;=Projects!$C$17:$C$46)*(14&lt;Projects!$C$17:$C$46+Projects!$D$17:$D$46)*Projects!$B$17:$B$46*Assumptions!$B$12/Projects!$D$17:$D$46*0.95)+SUMPRODUCT((Projects!$G$17:$G$46="Yes")*(14=Projects!$C$17:$C$46+Projects!$D$17:$D$46-1)*Projects!$B$17:$B$46*Assumptions!$B$12*0.05)</f>
        <v>0</v>
      </c>
      <c r="T97" s="59">
        <f>T96+SUMPRODUCT((Projects!$G$17:$G$46="Yes")*(15&gt;=Projects!$C$17:$C$46)*(15&lt;Projects!$C$17:$C$46+Projects!$D$17:$D$46)*Projects!$B$17:$B$46*Assumptions!$B$10/Projects!$D$17:$D$46*0.95)+SUMPRODUCT((Projects!$G$17:$G$46="Yes")*(15=Projects!$C$17:$C$46+Projects!$D$17:$D$46-1)*Projects!$B$17:$B$46*Assumptions!$B$10*0.05)+SUMPRODUCT((Projects!$G$17:$G$46="Yes")*(15&gt;=Projects!$C$17:$C$46)*(15&lt;Projects!$C$17:$C$46+Projects!$D$17:$D$46)*Projects!$B$17:$B$46*Assumptions!$B$11/Projects!$D$17:$D$46*0.95)+SUMPRODUCT((Projects!$G$17:$G$46="Yes")*(15=Projects!$C$17:$C$46+Projects!$D$17:$D$46-1)*Projects!$B$17:$B$46*Assumptions!$B$11*0.05)+SUMPRODUCT((Projects!$G$17:$G$46="Yes")*(15&gt;=Projects!$C$17:$C$46)*(15&lt;Projects!$C$17:$C$46+Projects!$D$17:$D$46)*Projects!$B$17:$B$46*Assumptions!$B$12/Projects!$D$17:$D$46*0.95)+SUMPRODUCT((Projects!$G$17:$G$46="Yes")*(15=Projects!$C$17:$C$46+Projects!$D$17:$D$46-1)*Projects!$B$17:$B$46*Assumptions!$B$12*0.05)</f>
        <v>0</v>
      </c>
      <c r="U97" s="59">
        <f>U96+SUMPRODUCT((Projects!$G$17:$G$46="Yes")*(16&gt;=Projects!$C$17:$C$46)*(16&lt;Projects!$C$17:$C$46+Projects!$D$17:$D$46)*Projects!$B$17:$B$46*Assumptions!$B$10/Projects!$D$17:$D$46*0.95)+SUMPRODUCT((Projects!$G$17:$G$46="Yes")*(16=Projects!$C$17:$C$46+Projects!$D$17:$D$46-1)*Projects!$B$17:$B$46*Assumptions!$B$10*0.05)+SUMPRODUCT((Projects!$G$17:$G$46="Yes")*(16&gt;=Projects!$C$17:$C$46)*(16&lt;Projects!$C$17:$C$46+Projects!$D$17:$D$46)*Projects!$B$17:$B$46*Assumptions!$B$11/Projects!$D$17:$D$46*0.95)+SUMPRODUCT((Projects!$G$17:$G$46="Yes")*(16=Projects!$C$17:$C$46+Projects!$D$17:$D$46-1)*Projects!$B$17:$B$46*Assumptions!$B$11*0.05)+SUMPRODUCT((Projects!$G$17:$G$46="Yes")*(16&gt;=Projects!$C$17:$C$46)*(16&lt;Projects!$C$17:$C$46+Projects!$D$17:$D$46)*Projects!$B$17:$B$46*Assumptions!$B$12/Projects!$D$17:$D$46*0.95)+SUMPRODUCT((Projects!$G$17:$G$46="Yes")*(16=Projects!$C$17:$C$46+Projects!$D$17:$D$46-1)*Projects!$B$17:$B$46*Assumptions!$B$12*0.05)</f>
        <v>0</v>
      </c>
      <c r="V97" s="59">
        <f>V96+SUMPRODUCT((Projects!$G$17:$G$46="Yes")*(17&gt;=Projects!$C$17:$C$46)*(17&lt;Projects!$C$17:$C$46+Projects!$D$17:$D$46)*Projects!$B$17:$B$46*Assumptions!$B$10/Projects!$D$17:$D$46*0.95)+SUMPRODUCT((Projects!$G$17:$G$46="Yes")*(17=Projects!$C$17:$C$46+Projects!$D$17:$D$46-1)*Projects!$B$17:$B$46*Assumptions!$B$10*0.05)+SUMPRODUCT((Projects!$G$17:$G$46="Yes")*(17&gt;=Projects!$C$17:$C$46)*(17&lt;Projects!$C$17:$C$46+Projects!$D$17:$D$46)*Projects!$B$17:$B$46*Assumptions!$B$11/Projects!$D$17:$D$46*0.95)+SUMPRODUCT((Projects!$G$17:$G$46="Yes")*(17=Projects!$C$17:$C$46+Projects!$D$17:$D$46-1)*Projects!$B$17:$B$46*Assumptions!$B$11*0.05)+SUMPRODUCT((Projects!$G$17:$G$46="Yes")*(17&gt;=Projects!$C$17:$C$46)*(17&lt;Projects!$C$17:$C$46+Projects!$D$17:$D$46)*Projects!$B$17:$B$46*Assumptions!$B$12/Projects!$D$17:$D$46*0.95)+SUMPRODUCT((Projects!$G$17:$G$46="Yes")*(17=Projects!$C$17:$C$46+Projects!$D$17:$D$46-1)*Projects!$B$17:$B$46*Assumptions!$B$12*0.05)</f>
        <v>0</v>
      </c>
      <c r="W97" s="59">
        <f>W96+SUMPRODUCT((Projects!$G$17:$G$46="Yes")*(18&gt;=Projects!$C$17:$C$46)*(18&lt;Projects!$C$17:$C$46+Projects!$D$17:$D$46)*Projects!$B$17:$B$46*Assumptions!$B$10/Projects!$D$17:$D$46*0.95)+SUMPRODUCT((Projects!$G$17:$G$46="Yes")*(18=Projects!$C$17:$C$46+Projects!$D$17:$D$46-1)*Projects!$B$17:$B$46*Assumptions!$B$10*0.05)+SUMPRODUCT((Projects!$G$17:$G$46="Yes")*(18&gt;=Projects!$C$17:$C$46)*(18&lt;Projects!$C$17:$C$46+Projects!$D$17:$D$46)*Projects!$B$17:$B$46*Assumptions!$B$11/Projects!$D$17:$D$46*0.95)+SUMPRODUCT((Projects!$G$17:$G$46="Yes")*(18=Projects!$C$17:$C$46+Projects!$D$17:$D$46-1)*Projects!$B$17:$B$46*Assumptions!$B$11*0.05)+SUMPRODUCT((Projects!$G$17:$G$46="Yes")*(18&gt;=Projects!$C$17:$C$46)*(18&lt;Projects!$C$17:$C$46+Projects!$D$17:$D$46)*Projects!$B$17:$B$46*Assumptions!$B$12/Projects!$D$17:$D$46*0.95)+SUMPRODUCT((Projects!$G$17:$G$46="Yes")*(18=Projects!$C$17:$C$46+Projects!$D$17:$D$46-1)*Projects!$B$17:$B$46*Assumptions!$B$12*0.05)</f>
        <v>0</v>
      </c>
      <c r="X97" s="59">
        <f>X96+SUMPRODUCT((Projects!$G$17:$G$46="Yes")*(19&gt;=Projects!$C$17:$C$46)*(19&lt;Projects!$C$17:$C$46+Projects!$D$17:$D$46)*Projects!$B$17:$B$46*Assumptions!$B$10/Projects!$D$17:$D$46*0.95)+SUMPRODUCT((Projects!$G$17:$G$46="Yes")*(19=Projects!$C$17:$C$46+Projects!$D$17:$D$46-1)*Projects!$B$17:$B$46*Assumptions!$B$10*0.05)+SUMPRODUCT((Projects!$G$17:$G$46="Yes")*(19&gt;=Projects!$C$17:$C$46)*(19&lt;Projects!$C$17:$C$46+Projects!$D$17:$D$46)*Projects!$B$17:$B$46*Assumptions!$B$11/Projects!$D$17:$D$46*0.95)+SUMPRODUCT((Projects!$G$17:$G$46="Yes")*(19=Projects!$C$17:$C$46+Projects!$D$17:$D$46-1)*Projects!$B$17:$B$46*Assumptions!$B$11*0.05)+SUMPRODUCT((Projects!$G$17:$G$46="Yes")*(19&gt;=Projects!$C$17:$C$46)*(19&lt;Projects!$C$17:$C$46+Projects!$D$17:$D$46)*Projects!$B$17:$B$46*Assumptions!$B$12/Projects!$D$17:$D$46*0.95)+SUMPRODUCT((Projects!$G$17:$G$46="Yes")*(19=Projects!$C$17:$C$46+Projects!$D$17:$D$46-1)*Projects!$B$17:$B$46*Assumptions!$B$12*0.05)</f>
        <v>0</v>
      </c>
      <c r="Y97" s="59">
        <f>Y96+SUMPRODUCT((Projects!$G$17:$G$46="Yes")*(20&gt;=Projects!$C$17:$C$46)*(20&lt;Projects!$C$17:$C$46+Projects!$D$17:$D$46)*Projects!$B$17:$B$46*Assumptions!$B$10/Projects!$D$17:$D$46*0.95)+SUMPRODUCT((Projects!$G$17:$G$46="Yes")*(20=Projects!$C$17:$C$46+Projects!$D$17:$D$46-1)*Projects!$B$17:$B$46*Assumptions!$B$10*0.05)+SUMPRODUCT((Projects!$G$17:$G$46="Yes")*(20&gt;=Projects!$C$17:$C$46)*(20&lt;Projects!$C$17:$C$46+Projects!$D$17:$D$46)*Projects!$B$17:$B$46*Assumptions!$B$11/Projects!$D$17:$D$46*0.95)+SUMPRODUCT((Projects!$G$17:$G$46="Yes")*(20=Projects!$C$17:$C$46+Projects!$D$17:$D$46-1)*Projects!$B$17:$B$46*Assumptions!$B$11*0.05)+SUMPRODUCT((Projects!$G$17:$G$46="Yes")*(20&gt;=Projects!$C$17:$C$46)*(20&lt;Projects!$C$17:$C$46+Projects!$D$17:$D$46)*Projects!$B$17:$B$46*Assumptions!$B$12/Projects!$D$17:$D$46*0.95)+SUMPRODUCT((Projects!$G$17:$G$46="Yes")*(20=Projects!$C$17:$C$46+Projects!$D$17:$D$46-1)*Projects!$B$17:$B$46*Assumptions!$B$12*0.05)</f>
        <v>0</v>
      </c>
      <c r="Z97" s="59">
        <f>Z96+SUMPRODUCT((Projects!$G$17:$G$46="Yes")*(21&gt;=Projects!$C$17:$C$46)*(21&lt;Projects!$C$17:$C$46+Projects!$D$17:$D$46)*Projects!$B$17:$B$46*Assumptions!$B$10/Projects!$D$17:$D$46*0.95)+SUMPRODUCT((Projects!$G$17:$G$46="Yes")*(21=Projects!$C$17:$C$46+Projects!$D$17:$D$46-1)*Projects!$B$17:$B$46*Assumptions!$B$10*0.05)+SUMPRODUCT((Projects!$G$17:$G$46="Yes")*(21&gt;=Projects!$C$17:$C$46)*(21&lt;Projects!$C$17:$C$46+Projects!$D$17:$D$46)*Projects!$B$17:$B$46*Assumptions!$B$11/Projects!$D$17:$D$46*0.95)+SUMPRODUCT((Projects!$G$17:$G$46="Yes")*(21=Projects!$C$17:$C$46+Projects!$D$17:$D$46-1)*Projects!$B$17:$B$46*Assumptions!$B$11*0.05)+SUMPRODUCT((Projects!$G$17:$G$46="Yes")*(21&gt;=Projects!$C$17:$C$46)*(21&lt;Projects!$C$17:$C$46+Projects!$D$17:$D$46)*Projects!$B$17:$B$46*Assumptions!$B$12/Projects!$D$17:$D$46*0.95)+SUMPRODUCT((Projects!$G$17:$G$46="Yes")*(21=Projects!$C$17:$C$46+Projects!$D$17:$D$46-1)*Projects!$B$17:$B$46*Assumptions!$B$12*0.05)</f>
        <v>0</v>
      </c>
      <c r="AA97" s="59">
        <f>AA96+SUMPRODUCT((Projects!$G$17:$G$46="Yes")*(22&gt;=Projects!$C$17:$C$46)*(22&lt;Projects!$C$17:$C$46+Projects!$D$17:$D$46)*Projects!$B$17:$B$46*Assumptions!$B$10/Projects!$D$17:$D$46*0.95)+SUMPRODUCT((Projects!$G$17:$G$46="Yes")*(22=Projects!$C$17:$C$46+Projects!$D$17:$D$46-1)*Projects!$B$17:$B$46*Assumptions!$B$10*0.05)+SUMPRODUCT((Projects!$G$17:$G$46="Yes")*(22&gt;=Projects!$C$17:$C$46)*(22&lt;Projects!$C$17:$C$46+Projects!$D$17:$D$46)*Projects!$B$17:$B$46*Assumptions!$B$11/Projects!$D$17:$D$46*0.95)+SUMPRODUCT((Projects!$G$17:$G$46="Yes")*(22=Projects!$C$17:$C$46+Projects!$D$17:$D$46-1)*Projects!$B$17:$B$46*Assumptions!$B$11*0.05)+SUMPRODUCT((Projects!$G$17:$G$46="Yes")*(22&gt;=Projects!$C$17:$C$46)*(22&lt;Projects!$C$17:$C$46+Projects!$D$17:$D$46)*Projects!$B$17:$B$46*Assumptions!$B$12/Projects!$D$17:$D$46*0.95)+SUMPRODUCT((Projects!$G$17:$G$46="Yes")*(22=Projects!$C$17:$C$46+Projects!$D$17:$D$46-1)*Projects!$B$17:$B$46*Assumptions!$B$12*0.05)</f>
        <v>0</v>
      </c>
      <c r="AB97" s="59">
        <f>AB96+SUMPRODUCT((Projects!$G$17:$G$46="Yes")*(23&gt;=Projects!$C$17:$C$46)*(23&lt;Projects!$C$17:$C$46+Projects!$D$17:$D$46)*Projects!$B$17:$B$46*Assumptions!$B$10/Projects!$D$17:$D$46*0.95)+SUMPRODUCT((Projects!$G$17:$G$46="Yes")*(23=Projects!$C$17:$C$46+Projects!$D$17:$D$46-1)*Projects!$B$17:$B$46*Assumptions!$B$10*0.05)+SUMPRODUCT((Projects!$G$17:$G$46="Yes")*(23&gt;=Projects!$C$17:$C$46)*(23&lt;Projects!$C$17:$C$46+Projects!$D$17:$D$46)*Projects!$B$17:$B$46*Assumptions!$B$11/Projects!$D$17:$D$46*0.95)+SUMPRODUCT((Projects!$G$17:$G$46="Yes")*(23=Projects!$C$17:$C$46+Projects!$D$17:$D$46-1)*Projects!$B$17:$B$46*Assumptions!$B$11*0.05)+SUMPRODUCT((Projects!$G$17:$G$46="Yes")*(23&gt;=Projects!$C$17:$C$46)*(23&lt;Projects!$C$17:$C$46+Projects!$D$17:$D$46)*Projects!$B$17:$B$46*Assumptions!$B$12/Projects!$D$17:$D$46*0.95)+SUMPRODUCT((Projects!$G$17:$G$46="Yes")*(23=Projects!$C$17:$C$46+Projects!$D$17:$D$46-1)*Projects!$B$17:$B$46*Assumptions!$B$12*0.05)</f>
        <v>0</v>
      </c>
      <c r="AC97" s="59">
        <f>AC96+SUMPRODUCT((Projects!$G$17:$G$46="Yes")*(24&gt;=Projects!$C$17:$C$46)*(24&lt;Projects!$C$17:$C$46+Projects!$D$17:$D$46)*Projects!$B$17:$B$46*Assumptions!$B$10/Projects!$D$17:$D$46*0.95)+SUMPRODUCT((Projects!$G$17:$G$46="Yes")*(24=Projects!$C$17:$C$46+Projects!$D$17:$D$46-1)*Projects!$B$17:$B$46*Assumptions!$B$10*0.05)+SUMPRODUCT((Projects!$G$17:$G$46="Yes")*(24&gt;=Projects!$C$17:$C$46)*(24&lt;Projects!$C$17:$C$46+Projects!$D$17:$D$46)*Projects!$B$17:$B$46*Assumptions!$B$11/Projects!$D$17:$D$46*0.95)+SUMPRODUCT((Projects!$G$17:$G$46="Yes")*(24=Projects!$C$17:$C$46+Projects!$D$17:$D$46-1)*Projects!$B$17:$B$46*Assumptions!$B$11*0.05)+SUMPRODUCT((Projects!$G$17:$G$46="Yes")*(24&gt;=Projects!$C$17:$C$46)*(24&lt;Projects!$C$17:$C$46+Projects!$D$17:$D$46)*Projects!$B$17:$B$46*Assumptions!$B$12/Projects!$D$17:$D$46*0.95)+SUMPRODUCT((Projects!$G$17:$G$46="Yes")*(24=Projects!$C$17:$C$46+Projects!$D$17:$D$46-1)*Projects!$B$17:$B$46*Assumptions!$B$12*0.05)</f>
        <v>0</v>
      </c>
      <c r="AD97" s="59">
        <f>AD96+SUMPRODUCT((Projects!$G$17:$G$46="Yes")*(25&gt;=Projects!$C$17:$C$46)*(25&lt;Projects!$C$17:$C$46+Projects!$D$17:$D$46)*Projects!$B$17:$B$46*Assumptions!$B$10/Projects!$D$17:$D$46*0.95)+SUMPRODUCT((Projects!$G$17:$G$46="Yes")*(25=Projects!$C$17:$C$46+Projects!$D$17:$D$46-1)*Projects!$B$17:$B$46*Assumptions!$B$10*0.05)+SUMPRODUCT((Projects!$G$17:$G$46="Yes")*(25&gt;=Projects!$C$17:$C$46)*(25&lt;Projects!$C$17:$C$46+Projects!$D$17:$D$46)*Projects!$B$17:$B$46*Assumptions!$B$11/Projects!$D$17:$D$46*0.95)+SUMPRODUCT((Projects!$G$17:$G$46="Yes")*(25=Projects!$C$17:$C$46+Projects!$D$17:$D$46-1)*Projects!$B$17:$B$46*Assumptions!$B$11*0.05)+SUMPRODUCT((Projects!$G$17:$G$46="Yes")*(25&gt;=Projects!$C$17:$C$46)*(25&lt;Projects!$C$17:$C$46+Projects!$D$17:$D$46)*Projects!$B$17:$B$46*Assumptions!$B$12/Projects!$D$17:$D$46*0.95)+SUMPRODUCT((Projects!$G$17:$G$46="Yes")*(25=Projects!$C$17:$C$46+Projects!$D$17:$D$46-1)*Projects!$B$17:$B$46*Assumptions!$B$12*0.05)</f>
        <v>0</v>
      </c>
      <c r="AE97" s="59">
        <f>AE96+SUMPRODUCT((Projects!$G$17:$G$46="Yes")*(26&gt;=Projects!$C$17:$C$46)*(26&lt;Projects!$C$17:$C$46+Projects!$D$17:$D$46)*Projects!$B$17:$B$46*Assumptions!$B$10/Projects!$D$17:$D$46*0.95)+SUMPRODUCT((Projects!$G$17:$G$46="Yes")*(26=Projects!$C$17:$C$46+Projects!$D$17:$D$46-1)*Projects!$B$17:$B$46*Assumptions!$B$10*0.05)+SUMPRODUCT((Projects!$G$17:$G$46="Yes")*(26&gt;=Projects!$C$17:$C$46)*(26&lt;Projects!$C$17:$C$46+Projects!$D$17:$D$46)*Projects!$B$17:$B$46*Assumptions!$B$11/Projects!$D$17:$D$46*0.95)+SUMPRODUCT((Projects!$G$17:$G$46="Yes")*(26=Projects!$C$17:$C$46+Projects!$D$17:$D$46-1)*Projects!$B$17:$B$46*Assumptions!$B$11*0.05)+SUMPRODUCT((Projects!$G$17:$G$46="Yes")*(26&gt;=Projects!$C$17:$C$46)*(26&lt;Projects!$C$17:$C$46+Projects!$D$17:$D$46)*Projects!$B$17:$B$46*Assumptions!$B$12/Projects!$D$17:$D$46*0.95)+SUMPRODUCT((Projects!$G$17:$G$46="Yes")*(26=Projects!$C$17:$C$46+Projects!$D$17:$D$46-1)*Projects!$B$17:$B$46*Assumptions!$B$12*0.05)</f>
        <v>0</v>
      </c>
      <c r="AF97" s="59">
        <f>AF96+SUMPRODUCT((Projects!$G$17:$G$46="Yes")*(27&gt;=Projects!$C$17:$C$46)*(27&lt;Projects!$C$17:$C$46+Projects!$D$17:$D$46)*Projects!$B$17:$B$46*Assumptions!$B$10/Projects!$D$17:$D$46*0.95)+SUMPRODUCT((Projects!$G$17:$G$46="Yes")*(27=Projects!$C$17:$C$46+Projects!$D$17:$D$46-1)*Projects!$B$17:$B$46*Assumptions!$B$10*0.05)+SUMPRODUCT((Projects!$G$17:$G$46="Yes")*(27&gt;=Projects!$C$17:$C$46)*(27&lt;Projects!$C$17:$C$46+Projects!$D$17:$D$46)*Projects!$B$17:$B$46*Assumptions!$B$11/Projects!$D$17:$D$46*0.95)+SUMPRODUCT((Projects!$G$17:$G$46="Yes")*(27=Projects!$C$17:$C$46+Projects!$D$17:$D$46-1)*Projects!$B$17:$B$46*Assumptions!$B$11*0.05)+SUMPRODUCT((Projects!$G$17:$G$46="Yes")*(27&gt;=Projects!$C$17:$C$46)*(27&lt;Projects!$C$17:$C$46+Projects!$D$17:$D$46)*Projects!$B$17:$B$46*Assumptions!$B$12/Projects!$D$17:$D$46*0.95)+SUMPRODUCT((Projects!$G$17:$G$46="Yes")*(27=Projects!$C$17:$C$46+Projects!$D$17:$D$46-1)*Projects!$B$17:$B$46*Assumptions!$B$12*0.05)</f>
        <v>0</v>
      </c>
      <c r="AG97" s="59">
        <f>AG96+SUMPRODUCT((Projects!$G$17:$G$46="Yes")*(28&gt;=Projects!$C$17:$C$46)*(28&lt;Projects!$C$17:$C$46+Projects!$D$17:$D$46)*Projects!$B$17:$B$46*Assumptions!$B$10/Projects!$D$17:$D$46*0.95)+SUMPRODUCT((Projects!$G$17:$G$46="Yes")*(28=Projects!$C$17:$C$46+Projects!$D$17:$D$46-1)*Projects!$B$17:$B$46*Assumptions!$B$10*0.05)+SUMPRODUCT((Projects!$G$17:$G$46="Yes")*(28&gt;=Projects!$C$17:$C$46)*(28&lt;Projects!$C$17:$C$46+Projects!$D$17:$D$46)*Projects!$B$17:$B$46*Assumptions!$B$11/Projects!$D$17:$D$46*0.95)+SUMPRODUCT((Projects!$G$17:$G$46="Yes")*(28=Projects!$C$17:$C$46+Projects!$D$17:$D$46-1)*Projects!$B$17:$B$46*Assumptions!$B$11*0.05)+SUMPRODUCT((Projects!$G$17:$G$46="Yes")*(28&gt;=Projects!$C$17:$C$46)*(28&lt;Projects!$C$17:$C$46+Projects!$D$17:$D$46)*Projects!$B$17:$B$46*Assumptions!$B$12/Projects!$D$17:$D$46*0.95)+SUMPRODUCT((Projects!$G$17:$G$46="Yes")*(28=Projects!$C$17:$C$46+Projects!$D$17:$D$46-1)*Projects!$B$17:$B$46*Assumptions!$B$12*0.05)</f>
        <v>0</v>
      </c>
      <c r="AH97" s="59">
        <f>AH96+SUMPRODUCT((Projects!$G$17:$G$46="Yes")*(29&gt;=Projects!$C$17:$C$46)*(29&lt;Projects!$C$17:$C$46+Projects!$D$17:$D$46)*Projects!$B$17:$B$46*Assumptions!$B$10/Projects!$D$17:$D$46*0.95)+SUMPRODUCT((Projects!$G$17:$G$46="Yes")*(29=Projects!$C$17:$C$46+Projects!$D$17:$D$46-1)*Projects!$B$17:$B$46*Assumptions!$B$10*0.05)+SUMPRODUCT((Projects!$G$17:$G$46="Yes")*(29&gt;=Projects!$C$17:$C$46)*(29&lt;Projects!$C$17:$C$46+Projects!$D$17:$D$46)*Projects!$B$17:$B$46*Assumptions!$B$11/Projects!$D$17:$D$46*0.95)+SUMPRODUCT((Projects!$G$17:$G$46="Yes")*(29=Projects!$C$17:$C$46+Projects!$D$17:$D$46-1)*Projects!$B$17:$B$46*Assumptions!$B$11*0.05)+SUMPRODUCT((Projects!$G$17:$G$46="Yes")*(29&gt;=Projects!$C$17:$C$46)*(29&lt;Projects!$C$17:$C$46+Projects!$D$17:$D$46)*Projects!$B$17:$B$46*Assumptions!$B$12/Projects!$D$17:$D$46*0.95)+SUMPRODUCT((Projects!$G$17:$G$46="Yes")*(29=Projects!$C$17:$C$46+Projects!$D$17:$D$46-1)*Projects!$B$17:$B$46*Assumptions!$B$12*0.05)</f>
        <v>0</v>
      </c>
      <c r="AI97" s="59">
        <f>AI96+SUMPRODUCT((Projects!$G$17:$G$46="Yes")*(30&gt;=Projects!$C$17:$C$46)*(30&lt;Projects!$C$17:$C$46+Projects!$D$17:$D$46)*Projects!$B$17:$B$46*Assumptions!$B$10/Projects!$D$17:$D$46*0.95)+SUMPRODUCT((Projects!$G$17:$G$46="Yes")*(30=Projects!$C$17:$C$46+Projects!$D$17:$D$46-1)*Projects!$B$17:$B$46*Assumptions!$B$10*0.05)+SUMPRODUCT((Projects!$G$17:$G$46="Yes")*(30&gt;=Projects!$C$17:$C$46)*(30&lt;Projects!$C$17:$C$46+Projects!$D$17:$D$46)*Projects!$B$17:$B$46*Assumptions!$B$11/Projects!$D$17:$D$46*0.95)+SUMPRODUCT((Projects!$G$17:$G$46="Yes")*(30=Projects!$C$17:$C$46+Projects!$D$17:$D$46-1)*Projects!$B$17:$B$46*Assumptions!$B$11*0.05)+SUMPRODUCT((Projects!$G$17:$G$46="Yes")*(30&gt;=Projects!$C$17:$C$46)*(30&lt;Projects!$C$17:$C$46+Projects!$D$17:$D$46)*Projects!$B$17:$B$46*Assumptions!$B$12/Projects!$D$17:$D$46*0.95)+SUMPRODUCT((Projects!$G$17:$G$46="Yes")*(30=Projects!$C$17:$C$46+Projects!$D$17:$D$46-1)*Projects!$B$17:$B$46*Assumptions!$B$12*0.05)</f>
        <v>0</v>
      </c>
      <c r="AJ97" s="59">
        <f>AJ96+SUMPRODUCT((Projects!$G$17:$G$46="Yes")*(31&gt;=Projects!$C$17:$C$46)*(31&lt;Projects!$C$17:$C$46+Projects!$D$17:$D$46)*Projects!$B$17:$B$46*Assumptions!$B$10/Projects!$D$17:$D$46*0.95)+SUMPRODUCT((Projects!$G$17:$G$46="Yes")*(31=Projects!$C$17:$C$46+Projects!$D$17:$D$46-1)*Projects!$B$17:$B$46*Assumptions!$B$10*0.05)+SUMPRODUCT((Projects!$G$17:$G$46="Yes")*(31&gt;=Projects!$C$17:$C$46)*(31&lt;Projects!$C$17:$C$46+Projects!$D$17:$D$46)*Projects!$B$17:$B$46*Assumptions!$B$11/Projects!$D$17:$D$46*0.95)+SUMPRODUCT((Projects!$G$17:$G$46="Yes")*(31=Projects!$C$17:$C$46+Projects!$D$17:$D$46-1)*Projects!$B$17:$B$46*Assumptions!$B$11*0.05)+SUMPRODUCT((Projects!$G$17:$G$46="Yes")*(31&gt;=Projects!$C$17:$C$46)*(31&lt;Projects!$C$17:$C$46+Projects!$D$17:$D$46)*Projects!$B$17:$B$46*Assumptions!$B$12/Projects!$D$17:$D$46*0.95)+SUMPRODUCT((Projects!$G$17:$G$46="Yes")*(31=Projects!$C$17:$C$46+Projects!$D$17:$D$46-1)*Projects!$B$17:$B$46*Assumptions!$B$12*0.05)</f>
        <v>488048.25</v>
      </c>
      <c r="AK97" s="59">
        <f>AK96+SUMPRODUCT((Projects!$G$17:$G$46="Yes")*(32&gt;=Projects!$C$17:$C$46)*(32&lt;Projects!$C$17:$C$46+Projects!$D$17:$D$46)*Projects!$B$17:$B$46*Assumptions!$B$10/Projects!$D$17:$D$46*0.95)+SUMPRODUCT((Projects!$G$17:$G$46="Yes")*(32=Projects!$C$17:$C$46+Projects!$D$17:$D$46-1)*Projects!$B$17:$B$46*Assumptions!$B$10*0.05)+SUMPRODUCT((Projects!$G$17:$G$46="Yes")*(32&gt;=Projects!$C$17:$C$46)*(32&lt;Projects!$C$17:$C$46+Projects!$D$17:$D$46)*Projects!$B$17:$B$46*Assumptions!$B$11/Projects!$D$17:$D$46*0.95)+SUMPRODUCT((Projects!$G$17:$G$46="Yes")*(32=Projects!$C$17:$C$46+Projects!$D$17:$D$46-1)*Projects!$B$17:$B$46*Assumptions!$B$11*0.05)+SUMPRODUCT((Projects!$G$17:$G$46="Yes")*(32&gt;=Projects!$C$17:$C$46)*(32&lt;Projects!$C$17:$C$46+Projects!$D$17:$D$46)*Projects!$B$17:$B$46*Assumptions!$B$12/Projects!$D$17:$D$46*0.95)+SUMPRODUCT((Projects!$G$17:$G$46="Yes")*(32=Projects!$C$17:$C$46+Projects!$D$17:$D$46-1)*Projects!$B$17:$B$46*Assumptions!$B$12*0.05)</f>
        <v>581708.25</v>
      </c>
      <c r="AL97" s="59">
        <f>AL96+SUMPRODUCT((Projects!$G$17:$G$46="Yes")*(33&gt;=Projects!$C$17:$C$46)*(33&lt;Projects!$C$17:$C$46+Projects!$D$17:$D$46)*Projects!$B$17:$B$46*Assumptions!$B$10/Projects!$D$17:$D$46*0.95)+SUMPRODUCT((Projects!$G$17:$G$46="Yes")*(33=Projects!$C$17:$C$46+Projects!$D$17:$D$46-1)*Projects!$B$17:$B$46*Assumptions!$B$10*0.05)+SUMPRODUCT((Projects!$G$17:$G$46="Yes")*(33&gt;=Projects!$C$17:$C$46)*(33&lt;Projects!$C$17:$C$46+Projects!$D$17:$D$46)*Projects!$B$17:$B$46*Assumptions!$B$11/Projects!$D$17:$D$46*0.95)+SUMPRODUCT((Projects!$G$17:$G$46="Yes")*(33=Projects!$C$17:$C$46+Projects!$D$17:$D$46-1)*Projects!$B$17:$B$46*Assumptions!$B$11*0.05)+SUMPRODUCT((Projects!$G$17:$G$46="Yes")*(33&gt;=Projects!$C$17:$C$46)*(33&lt;Projects!$C$17:$C$46+Projects!$D$17:$D$46)*Projects!$B$17:$B$46*Assumptions!$B$12/Projects!$D$17:$D$46*0.95)+SUMPRODUCT((Projects!$G$17:$G$46="Yes")*(33=Projects!$C$17:$C$46+Projects!$D$17:$D$46-1)*Projects!$B$17:$B$46*Assumptions!$B$12*0.05)</f>
        <v>682523.25</v>
      </c>
      <c r="AM97" s="59">
        <f>AM96+SUMPRODUCT((Projects!$G$17:$G$46="Yes")*(34&gt;=Projects!$C$17:$C$46)*(34&lt;Projects!$C$17:$C$46+Projects!$D$17:$D$46)*Projects!$B$17:$B$46*Assumptions!$B$10/Projects!$D$17:$D$46*0.95)+SUMPRODUCT((Projects!$G$17:$G$46="Yes")*(34=Projects!$C$17:$C$46+Projects!$D$17:$D$46-1)*Projects!$B$17:$B$46*Assumptions!$B$10*0.05)+SUMPRODUCT((Projects!$G$17:$G$46="Yes")*(34&gt;=Projects!$C$17:$C$46)*(34&lt;Projects!$C$17:$C$46+Projects!$D$17:$D$46)*Projects!$B$17:$B$46*Assumptions!$B$11/Projects!$D$17:$D$46*0.95)+SUMPRODUCT((Projects!$G$17:$G$46="Yes")*(34=Projects!$C$17:$C$46+Projects!$D$17:$D$46-1)*Projects!$B$17:$B$46*Assumptions!$B$11*0.05)+SUMPRODUCT((Projects!$G$17:$G$46="Yes")*(34&gt;=Projects!$C$17:$C$46)*(34&lt;Projects!$C$17:$C$46+Projects!$D$17:$D$46)*Projects!$B$17:$B$46*Assumptions!$B$12/Projects!$D$17:$D$46*0.95)+SUMPRODUCT((Projects!$G$17:$G$46="Yes")*(34=Projects!$C$17:$C$46+Projects!$D$17:$D$46-1)*Projects!$B$17:$B$46*Assumptions!$B$12*0.05)</f>
        <v>1274521.5</v>
      </c>
      <c r="AN97" s="59">
        <f>AN96+SUMPRODUCT((Projects!$G$17:$G$46="Yes")*(35&gt;=Projects!$C$17:$C$46)*(35&lt;Projects!$C$17:$C$46+Projects!$D$17:$D$46)*Projects!$B$17:$B$46*Assumptions!$B$10/Projects!$D$17:$D$46*0.95)+SUMPRODUCT((Projects!$G$17:$G$46="Yes")*(35=Projects!$C$17:$C$46+Projects!$D$17:$D$46-1)*Projects!$B$17:$B$46*Assumptions!$B$10*0.05)+SUMPRODUCT((Projects!$G$17:$G$46="Yes")*(35&gt;=Projects!$C$17:$C$46)*(35&lt;Projects!$C$17:$C$46+Projects!$D$17:$D$46)*Projects!$B$17:$B$46*Assumptions!$B$11/Projects!$D$17:$D$46*0.95)+SUMPRODUCT((Projects!$G$17:$G$46="Yes")*(35=Projects!$C$17:$C$46+Projects!$D$17:$D$46-1)*Projects!$B$17:$B$46*Assumptions!$B$11*0.05)+SUMPRODUCT((Projects!$G$17:$G$46="Yes")*(35&gt;=Projects!$C$17:$C$46)*(35&lt;Projects!$C$17:$C$46+Projects!$D$17:$D$46)*Projects!$B$17:$B$46*Assumptions!$B$12/Projects!$D$17:$D$46*0.95)+SUMPRODUCT((Projects!$G$17:$G$46="Yes")*(35=Projects!$C$17:$C$46+Projects!$D$17:$D$46-1)*Projects!$B$17:$B$46*Assumptions!$B$12*0.05)</f>
        <v>1470271.5</v>
      </c>
      <c r="AO97" s="59">
        <f>AO96+SUMPRODUCT((Projects!$G$17:$G$46="Yes")*(36&gt;=Projects!$C$17:$C$46)*(36&lt;Projects!$C$17:$C$46+Projects!$D$17:$D$46)*Projects!$B$17:$B$46*Assumptions!$B$10/Projects!$D$17:$D$46*0.95)+SUMPRODUCT((Projects!$G$17:$G$46="Yes")*(36=Projects!$C$17:$C$46+Projects!$D$17:$D$46-1)*Projects!$B$17:$B$46*Assumptions!$B$10*0.05)+SUMPRODUCT((Projects!$G$17:$G$46="Yes")*(36&gt;=Projects!$C$17:$C$46)*(36&lt;Projects!$C$17:$C$46+Projects!$D$17:$D$46)*Projects!$B$17:$B$46*Assumptions!$B$11/Projects!$D$17:$D$46*0.95)+SUMPRODUCT((Projects!$G$17:$G$46="Yes")*(36=Projects!$C$17:$C$46+Projects!$D$17:$D$46-1)*Projects!$B$17:$B$46*Assumptions!$B$11*0.05)+SUMPRODUCT((Projects!$G$17:$G$46="Yes")*(36&gt;=Projects!$C$17:$C$46)*(36&lt;Projects!$C$17:$C$46+Projects!$D$17:$D$46)*Projects!$B$17:$B$46*Assumptions!$B$12/Projects!$D$17:$D$46*0.95)+SUMPRODUCT((Projects!$G$17:$G$46="Yes")*(36=Projects!$C$17:$C$46+Projects!$D$17:$D$46-1)*Projects!$B$17:$B$46*Assumptions!$B$12*0.05)</f>
        <v>1665646.5</v>
      </c>
      <c r="AP97" s="59">
        <f>AP96+SUMPRODUCT((Projects!$G$17:$G$46="Yes")*(37&gt;=Projects!$C$17:$C$46)*(37&lt;Projects!$C$17:$C$46+Projects!$D$17:$D$46)*Projects!$B$17:$B$46*Assumptions!$B$10/Projects!$D$17:$D$46*0.95)+SUMPRODUCT((Projects!$G$17:$G$46="Yes")*(37=Projects!$C$17:$C$46+Projects!$D$17:$D$46-1)*Projects!$B$17:$B$46*Assumptions!$B$10*0.05)+SUMPRODUCT((Projects!$G$17:$G$46="Yes")*(37&gt;=Projects!$C$17:$C$46)*(37&lt;Projects!$C$17:$C$46+Projects!$D$17:$D$46)*Projects!$B$17:$B$46*Assumptions!$B$11/Projects!$D$17:$D$46*0.95)+SUMPRODUCT((Projects!$G$17:$G$46="Yes")*(37=Projects!$C$17:$C$46+Projects!$D$17:$D$46-1)*Projects!$B$17:$B$46*Assumptions!$B$11*0.05)+SUMPRODUCT((Projects!$G$17:$G$46="Yes")*(37&gt;=Projects!$C$17:$C$46)*(37&lt;Projects!$C$17:$C$46+Projects!$D$17:$D$46)*Projects!$B$17:$B$46*Assumptions!$B$12/Projects!$D$17:$D$46*0.95)+SUMPRODUCT((Projects!$G$17:$G$46="Yes")*(37=Projects!$C$17:$C$46+Projects!$D$17:$D$46-1)*Projects!$B$17:$B$46*Assumptions!$B$12*0.05)</f>
        <v>2436479.4</v>
      </c>
      <c r="AQ97" s="59">
        <f>AQ96+SUMPRODUCT((Projects!$G$17:$G$46="Yes")*(38&gt;=Projects!$C$17:$C$46)*(38&lt;Projects!$C$17:$C$46+Projects!$D$17:$D$46)*Projects!$B$17:$B$46*Assumptions!$B$10/Projects!$D$17:$D$46*0.95)+SUMPRODUCT((Projects!$G$17:$G$46="Yes")*(38=Projects!$C$17:$C$46+Projects!$D$17:$D$46-1)*Projects!$B$17:$B$46*Assumptions!$B$10*0.05)+SUMPRODUCT((Projects!$G$17:$G$46="Yes")*(38&gt;=Projects!$C$17:$C$46)*(38&lt;Projects!$C$17:$C$46+Projects!$D$17:$D$46)*Projects!$B$17:$B$46*Assumptions!$B$11/Projects!$D$17:$D$46*0.95)+SUMPRODUCT((Projects!$G$17:$G$46="Yes")*(38=Projects!$C$17:$C$46+Projects!$D$17:$D$46-1)*Projects!$B$17:$B$46*Assumptions!$B$11*0.05)+SUMPRODUCT((Projects!$G$17:$G$46="Yes")*(38&gt;=Projects!$C$17:$C$46)*(38&lt;Projects!$C$17:$C$46+Projects!$D$17:$D$46)*Projects!$B$17:$B$46*Assumptions!$B$12/Projects!$D$17:$D$46*0.95)+SUMPRODUCT((Projects!$G$17:$G$46="Yes")*(38=Projects!$C$17:$C$46+Projects!$D$17:$D$46-1)*Projects!$B$17:$B$46*Assumptions!$B$12*0.05)</f>
        <v>2713466.4</v>
      </c>
      <c r="AR97" s="59">
        <f>AR96+SUMPRODUCT((Projects!$G$17:$G$46="Yes")*(39&gt;=Projects!$C$17:$C$46)*(39&lt;Projects!$C$17:$C$46+Projects!$D$17:$D$46)*Projects!$B$17:$B$46*Assumptions!$B$10/Projects!$D$17:$D$46*0.95)+SUMPRODUCT((Projects!$G$17:$G$46="Yes")*(39=Projects!$C$17:$C$46+Projects!$D$17:$D$46-1)*Projects!$B$17:$B$46*Assumptions!$B$10*0.05)+SUMPRODUCT((Projects!$G$17:$G$46="Yes")*(39&gt;=Projects!$C$17:$C$46)*(39&lt;Projects!$C$17:$C$46+Projects!$D$17:$D$46)*Projects!$B$17:$B$46*Assumptions!$B$11/Projects!$D$17:$D$46*0.95)+SUMPRODUCT((Projects!$G$17:$G$46="Yes")*(39=Projects!$C$17:$C$46+Projects!$D$17:$D$46-1)*Projects!$B$17:$B$46*Assumptions!$B$11*0.05)+SUMPRODUCT((Projects!$G$17:$G$46="Yes")*(39&gt;=Projects!$C$17:$C$46)*(39&lt;Projects!$C$17:$C$46+Projects!$D$17:$D$46)*Projects!$B$17:$B$46*Assumptions!$B$12/Projects!$D$17:$D$46*0.95)+SUMPRODUCT((Projects!$G$17:$G$46="Yes")*(39=Projects!$C$17:$C$46+Projects!$D$17:$D$46-1)*Projects!$B$17:$B$46*Assumptions!$B$12*0.05)</f>
        <v>2968424.4</v>
      </c>
      <c r="AS97" s="59">
        <f>AS96+SUMPRODUCT((Projects!$G$17:$G$46="Yes")*(40&gt;=Projects!$C$17:$C$46)*(40&lt;Projects!$C$17:$C$46+Projects!$D$17:$D$46)*Projects!$B$17:$B$46*Assumptions!$B$10/Projects!$D$17:$D$46*0.95)+SUMPRODUCT((Projects!$G$17:$G$46="Yes")*(40=Projects!$C$17:$C$46+Projects!$D$17:$D$46-1)*Projects!$B$17:$B$46*Assumptions!$B$10*0.05)+SUMPRODUCT((Projects!$G$17:$G$46="Yes")*(40&gt;=Projects!$C$17:$C$46)*(40&lt;Projects!$C$17:$C$46+Projects!$D$17:$D$46)*Projects!$B$17:$B$46*Assumptions!$B$11/Projects!$D$17:$D$46*0.95)+SUMPRODUCT((Projects!$G$17:$G$46="Yes")*(40=Projects!$C$17:$C$46+Projects!$D$17:$D$46-1)*Projects!$B$17:$B$46*Assumptions!$B$11*0.05)+SUMPRODUCT((Projects!$G$17:$G$46="Yes")*(40&gt;=Projects!$C$17:$C$46)*(40&lt;Projects!$C$17:$C$46+Projects!$D$17:$D$46)*Projects!$B$17:$B$46*Assumptions!$B$12/Projects!$D$17:$D$46*0.95)+SUMPRODUCT((Projects!$G$17:$G$46="Yes")*(40=Projects!$C$17:$C$46+Projects!$D$17:$D$46-1)*Projects!$B$17:$B$46*Assumptions!$B$12*0.05)</f>
        <v>3773517.3</v>
      </c>
      <c r="AT97" s="59">
        <f>AT96+SUMPRODUCT((Projects!$G$17:$G$46="Yes")*(41&gt;=Projects!$C$17:$C$46)*(41&lt;Projects!$C$17:$C$46+Projects!$D$17:$D$46)*Projects!$B$17:$B$46*Assumptions!$B$10/Projects!$D$17:$D$46*0.95)+SUMPRODUCT((Projects!$G$17:$G$46="Yes")*(41=Projects!$C$17:$C$46+Projects!$D$17:$D$46-1)*Projects!$B$17:$B$46*Assumptions!$B$10*0.05)+SUMPRODUCT((Projects!$G$17:$G$46="Yes")*(41&gt;=Projects!$C$17:$C$46)*(41&lt;Projects!$C$17:$C$46+Projects!$D$17:$D$46)*Projects!$B$17:$B$46*Assumptions!$B$11/Projects!$D$17:$D$46*0.95)+SUMPRODUCT((Projects!$G$17:$G$46="Yes")*(41=Projects!$C$17:$C$46+Projects!$D$17:$D$46-1)*Projects!$B$17:$B$46*Assumptions!$B$11*0.05)+SUMPRODUCT((Projects!$G$17:$G$46="Yes")*(41&gt;=Projects!$C$17:$C$46)*(41&lt;Projects!$C$17:$C$46+Projects!$D$17:$D$46)*Projects!$B$17:$B$46*Assumptions!$B$12/Projects!$D$17:$D$46*0.95)+SUMPRODUCT((Projects!$G$17:$G$46="Yes")*(41=Projects!$C$17:$C$46+Projects!$D$17:$D$46-1)*Projects!$B$17:$B$46*Assumptions!$B$12*0.05)</f>
        <v>4057452.3</v>
      </c>
      <c r="AU97" s="59">
        <f>AU96+SUMPRODUCT((Projects!$G$17:$G$46="Yes")*(42&gt;=Projects!$C$17:$C$46)*(42&lt;Projects!$C$17:$C$46+Projects!$D$17:$D$46)*Projects!$B$17:$B$46*Assumptions!$B$10/Projects!$D$17:$D$46*0.95)+SUMPRODUCT((Projects!$G$17:$G$46="Yes")*(42=Projects!$C$17:$C$46+Projects!$D$17:$D$46-1)*Projects!$B$17:$B$46*Assumptions!$B$10*0.05)+SUMPRODUCT((Projects!$G$17:$G$46="Yes")*(42&gt;=Projects!$C$17:$C$46)*(42&lt;Projects!$C$17:$C$46+Projects!$D$17:$D$46)*Projects!$B$17:$B$46*Assumptions!$B$11/Projects!$D$17:$D$46*0.95)+SUMPRODUCT((Projects!$G$17:$G$46="Yes")*(42=Projects!$C$17:$C$46+Projects!$D$17:$D$46-1)*Projects!$B$17:$B$46*Assumptions!$B$11*0.05)+SUMPRODUCT((Projects!$G$17:$G$46="Yes")*(42&gt;=Projects!$C$17:$C$46)*(42&lt;Projects!$C$17:$C$46+Projects!$D$17:$D$46)*Projects!$B$17:$B$46*Assumptions!$B$12/Projects!$D$17:$D$46*0.95)+SUMPRODUCT((Projects!$G$17:$G$46="Yes")*(42=Projects!$C$17:$C$46+Projects!$D$17:$D$46-1)*Projects!$B$17:$B$46*Assumptions!$B$12*0.05)</f>
        <v>4291902.3</v>
      </c>
      <c r="AV97" s="59">
        <f>AV96+SUMPRODUCT((Projects!$G$17:$G$46="Yes")*(43&gt;=Projects!$C$17:$C$46)*(43&lt;Projects!$C$17:$C$46+Projects!$D$17:$D$46)*Projects!$B$17:$B$46*Assumptions!$B$10/Projects!$D$17:$D$46*0.95)+SUMPRODUCT((Projects!$G$17:$G$46="Yes")*(43=Projects!$C$17:$C$46+Projects!$D$17:$D$46-1)*Projects!$B$17:$B$46*Assumptions!$B$10*0.05)+SUMPRODUCT((Projects!$G$17:$G$46="Yes")*(43&gt;=Projects!$C$17:$C$46)*(43&lt;Projects!$C$17:$C$46+Projects!$D$17:$D$46)*Projects!$B$17:$B$46*Assumptions!$B$11/Projects!$D$17:$D$46*0.95)+SUMPRODUCT((Projects!$G$17:$G$46="Yes")*(43=Projects!$C$17:$C$46+Projects!$D$17:$D$46-1)*Projects!$B$17:$B$46*Assumptions!$B$11*0.05)+SUMPRODUCT((Projects!$G$17:$G$46="Yes")*(43&gt;=Projects!$C$17:$C$46)*(43&lt;Projects!$C$17:$C$46+Projects!$D$17:$D$46)*Projects!$B$17:$B$46*Assumptions!$B$12/Projects!$D$17:$D$46*0.95)+SUMPRODUCT((Projects!$G$17:$G$46="Yes")*(43=Projects!$C$17:$C$46+Projects!$D$17:$D$46-1)*Projects!$B$17:$B$46*Assumptions!$B$12*0.05)</f>
        <v>4465077.3</v>
      </c>
      <c r="AW97" s="59">
        <f>AW96+SUMPRODUCT((Projects!$G$17:$G$46="Yes")*(44&gt;=Projects!$C$17:$C$46)*(44&lt;Projects!$C$17:$C$46+Projects!$D$17:$D$46)*Projects!$B$17:$B$46*Assumptions!$B$10/Projects!$D$17:$D$46*0.95)+SUMPRODUCT((Projects!$G$17:$G$46="Yes")*(44=Projects!$C$17:$C$46+Projects!$D$17:$D$46-1)*Projects!$B$17:$B$46*Assumptions!$B$10*0.05)+SUMPRODUCT((Projects!$G$17:$G$46="Yes")*(44&gt;=Projects!$C$17:$C$46)*(44&lt;Projects!$C$17:$C$46+Projects!$D$17:$D$46)*Projects!$B$17:$B$46*Assumptions!$B$11/Projects!$D$17:$D$46*0.95)+SUMPRODUCT((Projects!$G$17:$G$46="Yes")*(44=Projects!$C$17:$C$46+Projects!$D$17:$D$46-1)*Projects!$B$17:$B$46*Assumptions!$B$11*0.05)+SUMPRODUCT((Projects!$G$17:$G$46="Yes")*(44&gt;=Projects!$C$17:$C$46)*(44&lt;Projects!$C$17:$C$46+Projects!$D$17:$D$46)*Projects!$B$17:$B$46*Assumptions!$B$12/Projects!$D$17:$D$46*0.95)+SUMPRODUCT((Projects!$G$17:$G$46="Yes")*(44=Projects!$C$17:$C$46+Projects!$D$17:$D$46-1)*Projects!$B$17:$B$46*Assumptions!$B$12*0.05)</f>
        <v>4567896.3</v>
      </c>
      <c r="AX97" s="59">
        <f>AX96+SUMPRODUCT((Projects!$G$17:$G$46="Yes")*(45&gt;=Projects!$C$17:$C$46)*(45&lt;Projects!$C$17:$C$46+Projects!$D$17:$D$46)*Projects!$B$17:$B$46*Assumptions!$B$10/Projects!$D$17:$D$46*0.95)+SUMPRODUCT((Projects!$G$17:$G$46="Yes")*(45=Projects!$C$17:$C$46+Projects!$D$17:$D$46-1)*Projects!$B$17:$B$46*Assumptions!$B$10*0.05)+SUMPRODUCT((Projects!$G$17:$G$46="Yes")*(45&gt;=Projects!$C$17:$C$46)*(45&lt;Projects!$C$17:$C$46+Projects!$D$17:$D$46)*Projects!$B$17:$B$46*Assumptions!$B$11/Projects!$D$17:$D$46*0.95)+SUMPRODUCT((Projects!$G$17:$G$46="Yes")*(45=Projects!$C$17:$C$46+Projects!$D$17:$D$46-1)*Projects!$B$17:$B$46*Assumptions!$B$11*0.05)+SUMPRODUCT((Projects!$G$17:$G$46="Yes")*(45&gt;=Projects!$C$17:$C$46)*(45&lt;Projects!$C$17:$C$46+Projects!$D$17:$D$46)*Projects!$B$17:$B$46*Assumptions!$B$12/Projects!$D$17:$D$46*0.95)+SUMPRODUCT((Projects!$G$17:$G$46="Yes")*(45=Projects!$C$17:$C$46+Projects!$D$17:$D$46-1)*Projects!$B$17:$B$46*Assumptions!$B$12*0.05)</f>
        <v>4594692.3</v>
      </c>
      <c r="AY97" s="59">
        <f>AY96+SUMPRODUCT((Projects!$G$17:$G$46="Yes")*(46&gt;=Projects!$C$17:$C$46)*(46&lt;Projects!$C$17:$C$46+Projects!$D$17:$D$46)*Projects!$B$17:$B$46*Assumptions!$B$10/Projects!$D$17:$D$46*0.95)+SUMPRODUCT((Projects!$G$17:$G$46="Yes")*(46=Projects!$C$17:$C$46+Projects!$D$17:$D$46-1)*Projects!$B$17:$B$46*Assumptions!$B$10*0.05)+SUMPRODUCT((Projects!$G$17:$G$46="Yes")*(46&gt;=Projects!$C$17:$C$46)*(46&lt;Projects!$C$17:$C$46+Projects!$D$17:$D$46)*Projects!$B$17:$B$46*Assumptions!$B$11/Projects!$D$17:$D$46*0.95)+SUMPRODUCT((Projects!$G$17:$G$46="Yes")*(46=Projects!$C$17:$C$46+Projects!$D$17:$D$46-1)*Projects!$B$17:$B$46*Assumptions!$B$11*0.05)+SUMPRODUCT((Projects!$G$17:$G$46="Yes")*(46&gt;=Projects!$C$17:$C$46)*(46&lt;Projects!$C$17:$C$46+Projects!$D$17:$D$46)*Projects!$B$17:$B$46*Assumptions!$B$12/Projects!$D$17:$D$46*0.95)+SUMPRODUCT((Projects!$G$17:$G$46="Yes")*(46=Projects!$C$17:$C$46+Projects!$D$17:$D$46-1)*Projects!$B$17:$B$46*Assumptions!$B$12*0.05)</f>
        <v>4543731.3</v>
      </c>
      <c r="AZ97" s="59">
        <f>AZ96+SUMPRODUCT((Projects!$G$17:$G$46="Yes")*(47&gt;=Projects!$C$17:$C$46)*(47&lt;Projects!$C$17:$C$46+Projects!$D$17:$D$46)*Projects!$B$17:$B$46*Assumptions!$B$10/Projects!$D$17:$D$46*0.95)+SUMPRODUCT((Projects!$G$17:$G$46="Yes")*(47=Projects!$C$17:$C$46+Projects!$D$17:$D$46-1)*Projects!$B$17:$B$46*Assumptions!$B$10*0.05)+SUMPRODUCT((Projects!$G$17:$G$46="Yes")*(47&gt;=Projects!$C$17:$C$46)*(47&lt;Projects!$C$17:$C$46+Projects!$D$17:$D$46)*Projects!$B$17:$B$46*Assumptions!$B$11/Projects!$D$17:$D$46*0.95)+SUMPRODUCT((Projects!$G$17:$G$46="Yes")*(47=Projects!$C$17:$C$46+Projects!$D$17:$D$46-1)*Projects!$B$17:$B$46*Assumptions!$B$11*0.05)+SUMPRODUCT((Projects!$G$17:$G$46="Yes")*(47&gt;=Projects!$C$17:$C$46)*(47&lt;Projects!$C$17:$C$46+Projects!$D$17:$D$46)*Projects!$B$17:$B$46*Assumptions!$B$12/Projects!$D$17:$D$46*0.95)+SUMPRODUCT((Projects!$G$17:$G$46="Yes")*(47=Projects!$C$17:$C$46+Projects!$D$17:$D$46-1)*Projects!$B$17:$B$46*Assumptions!$B$12*0.05)</f>
        <v>4417398.3</v>
      </c>
      <c r="BA97" s="59">
        <f>BA96+SUMPRODUCT((Projects!$G$17:$G$46="Yes")*(48&gt;=Projects!$C$17:$C$46)*(48&lt;Projects!$C$17:$C$46+Projects!$D$17:$D$46)*Projects!$B$17:$B$46*Assumptions!$B$10/Projects!$D$17:$D$46*0.95)+SUMPRODUCT((Projects!$G$17:$G$46="Yes")*(48=Projects!$C$17:$C$46+Projects!$D$17:$D$46-1)*Projects!$B$17:$B$46*Assumptions!$B$10*0.05)+SUMPRODUCT((Projects!$G$17:$G$46="Yes")*(48&gt;=Projects!$C$17:$C$46)*(48&lt;Projects!$C$17:$C$46+Projects!$D$17:$D$46)*Projects!$B$17:$B$46*Assumptions!$B$11/Projects!$D$17:$D$46*0.95)+SUMPRODUCT((Projects!$G$17:$G$46="Yes")*(48=Projects!$C$17:$C$46+Projects!$D$17:$D$46-1)*Projects!$B$17:$B$46*Assumptions!$B$11*0.05)+SUMPRODUCT((Projects!$G$17:$G$46="Yes")*(48&gt;=Projects!$C$17:$C$46)*(48&lt;Projects!$C$17:$C$46+Projects!$D$17:$D$46)*Projects!$B$17:$B$46*Assumptions!$B$12/Projects!$D$17:$D$46*0.95)+SUMPRODUCT((Projects!$G$17:$G$46="Yes")*(48=Projects!$C$17:$C$46+Projects!$D$17:$D$46-1)*Projects!$B$17:$B$46*Assumptions!$B$12*0.05)</f>
        <v>4710071.55</v>
      </c>
      <c r="BB97" s="59">
        <f>BB96+SUMPRODUCT((Projects!$G$17:$G$46="Yes")*(49&gt;=Projects!$C$17:$C$46)*(49&lt;Projects!$C$17:$C$46+Projects!$D$17:$D$46)*Projects!$B$17:$B$46*Assumptions!$B$10/Projects!$D$17:$D$46*0.95)+SUMPRODUCT((Projects!$G$17:$G$46="Yes")*(49=Projects!$C$17:$C$46+Projects!$D$17:$D$46-1)*Projects!$B$17:$B$46*Assumptions!$B$10*0.05)+SUMPRODUCT((Projects!$G$17:$G$46="Yes")*(49&gt;=Projects!$C$17:$C$46)*(49&lt;Projects!$C$17:$C$46+Projects!$D$17:$D$46)*Projects!$B$17:$B$46*Assumptions!$B$11/Projects!$D$17:$D$46*0.95)+SUMPRODUCT((Projects!$G$17:$G$46="Yes")*(49=Projects!$C$17:$C$46+Projects!$D$17:$D$46-1)*Projects!$B$17:$B$46*Assumptions!$B$11*0.05)+SUMPRODUCT((Projects!$G$17:$G$46="Yes")*(49&gt;=Projects!$C$17:$C$46)*(49&lt;Projects!$C$17:$C$46+Projects!$D$17:$D$46)*Projects!$B$17:$B$46*Assumptions!$B$12/Projects!$D$17:$D$46*0.95)+SUMPRODUCT((Projects!$G$17:$G$46="Yes")*(49=Projects!$C$17:$C$46+Projects!$D$17:$D$46-1)*Projects!$B$17:$B$46*Assumptions!$B$12*0.05)</f>
        <v>4639432.8</v>
      </c>
      <c r="BC97" s="59">
        <f>BC96+SUMPRODUCT((Projects!$G$17:$G$46="Yes")*(50&gt;=Projects!$C$17:$C$46)*(50&lt;Projects!$C$17:$C$46+Projects!$D$17:$D$46)*Projects!$B$17:$B$46*Assumptions!$B$10/Projects!$D$17:$D$46*0.95)+SUMPRODUCT((Projects!$G$17:$G$46="Yes")*(50=Projects!$C$17:$C$46+Projects!$D$17:$D$46-1)*Projects!$B$17:$B$46*Assumptions!$B$10*0.05)+SUMPRODUCT((Projects!$G$17:$G$46="Yes")*(50&gt;=Projects!$C$17:$C$46)*(50&lt;Projects!$C$17:$C$46+Projects!$D$17:$D$46)*Projects!$B$17:$B$46*Assumptions!$B$11/Projects!$D$17:$D$46*0.95)+SUMPRODUCT((Projects!$G$17:$G$46="Yes")*(50=Projects!$C$17:$C$46+Projects!$D$17:$D$46-1)*Projects!$B$17:$B$46*Assumptions!$B$11*0.05)+SUMPRODUCT((Projects!$G$17:$G$46="Yes")*(50&gt;=Projects!$C$17:$C$46)*(50&lt;Projects!$C$17:$C$46+Projects!$D$17:$D$46)*Projects!$B$17:$B$46*Assumptions!$B$12/Projects!$D$17:$D$46*0.95)+SUMPRODUCT((Projects!$G$17:$G$46="Yes")*(50=Projects!$C$17:$C$46+Projects!$D$17:$D$46-1)*Projects!$B$17:$B$46*Assumptions!$B$12*0.05)</f>
        <v>3944322.3</v>
      </c>
      <c r="BD97" s="59">
        <f>BD96+SUMPRODUCT((Projects!$G$17:$G$46="Yes")*(51&gt;=Projects!$C$17:$C$46)*(51&lt;Projects!$C$17:$C$46+Projects!$D$17:$D$46)*Projects!$B$17:$B$46*Assumptions!$B$10/Projects!$D$17:$D$46*0.95)+SUMPRODUCT((Projects!$G$17:$G$46="Yes")*(51=Projects!$C$17:$C$46+Projects!$D$17:$D$46-1)*Projects!$B$17:$B$46*Assumptions!$B$10*0.05)+SUMPRODUCT((Projects!$G$17:$G$46="Yes")*(51&gt;=Projects!$C$17:$C$46)*(51&lt;Projects!$C$17:$C$46+Projects!$D$17:$D$46)*Projects!$B$17:$B$46*Assumptions!$B$11/Projects!$D$17:$D$46*0.95)+SUMPRODUCT((Projects!$G$17:$G$46="Yes")*(51=Projects!$C$17:$C$46+Projects!$D$17:$D$46-1)*Projects!$B$17:$B$46*Assumptions!$B$11*0.05)+SUMPRODUCT((Projects!$G$17:$G$46="Yes")*(51&gt;=Projects!$C$17:$C$46)*(51&lt;Projects!$C$17:$C$46+Projects!$D$17:$D$46)*Projects!$B$17:$B$46*Assumptions!$B$12/Projects!$D$17:$D$46*0.95)+SUMPRODUCT((Projects!$G$17:$G$46="Yes")*(51=Projects!$C$17:$C$46+Projects!$D$17:$D$46-1)*Projects!$B$17:$B$46*Assumptions!$B$12*0.05)</f>
        <v>3786681.3</v>
      </c>
      <c r="BE97" s="59">
        <f>BE96+SUMPRODUCT((Projects!$G$17:$G$46="Yes")*(52&gt;=Projects!$C$17:$C$46)*(52&lt;Projects!$C$17:$C$46+Projects!$D$17:$D$46)*Projects!$B$17:$B$46*Assumptions!$B$10/Projects!$D$17:$D$46*0.95)+SUMPRODUCT((Projects!$G$17:$G$46="Yes")*(52=Projects!$C$17:$C$46+Projects!$D$17:$D$46-1)*Projects!$B$17:$B$46*Assumptions!$B$10*0.05)+SUMPRODUCT((Projects!$G$17:$G$46="Yes")*(52&gt;=Projects!$C$17:$C$46)*(52&lt;Projects!$C$17:$C$46+Projects!$D$17:$D$46)*Projects!$B$17:$B$46*Assumptions!$B$11/Projects!$D$17:$D$46*0.95)+SUMPRODUCT((Projects!$G$17:$G$46="Yes")*(52=Projects!$C$17:$C$46+Projects!$D$17:$D$46-1)*Projects!$B$17:$B$46*Assumptions!$B$11*0.05)+SUMPRODUCT((Projects!$G$17:$G$46="Yes")*(52&gt;=Projects!$C$17:$C$46)*(52&lt;Projects!$C$17:$C$46+Projects!$D$17:$D$46)*Projects!$B$17:$B$46*Assumptions!$B$12/Projects!$D$17:$D$46*0.95)+SUMPRODUCT((Projects!$G$17:$G$46="Yes")*(52=Projects!$C$17:$C$46+Projects!$D$17:$D$46-1)*Projects!$B$17:$B$46*Assumptions!$B$12*0.05)</f>
        <v>4273548.45</v>
      </c>
      <c r="BF97" s="59">
        <f>BF96+SUMPRODUCT((Projects!$G$17:$G$46="Yes")*(53&gt;=Projects!$C$17:$C$46)*(53&lt;Projects!$C$17:$C$46+Projects!$D$17:$D$46)*Projects!$B$17:$B$46*Assumptions!$B$10/Projects!$D$17:$D$46*0.95)+SUMPRODUCT((Projects!$G$17:$G$46="Yes")*(53=Projects!$C$17:$C$46+Projects!$D$17:$D$46-1)*Projects!$B$17:$B$46*Assumptions!$B$10*0.05)+SUMPRODUCT((Projects!$G$17:$G$46="Yes")*(53&gt;=Projects!$C$17:$C$46)*(53&lt;Projects!$C$17:$C$46+Projects!$D$17:$D$46)*Projects!$B$17:$B$46*Assumptions!$B$11/Projects!$D$17:$D$46*0.95)+SUMPRODUCT((Projects!$G$17:$G$46="Yes")*(53=Projects!$C$17:$C$46+Projects!$D$17:$D$46-1)*Projects!$B$17:$B$46*Assumptions!$B$11*0.05)+SUMPRODUCT((Projects!$G$17:$G$46="Yes")*(53&gt;=Projects!$C$17:$C$46)*(53&lt;Projects!$C$17:$C$46+Projects!$D$17:$D$46)*Projects!$B$17:$B$46*Assumptions!$B$12/Projects!$D$17:$D$46*0.95)+SUMPRODUCT((Projects!$G$17:$G$46="Yes")*(53=Projects!$C$17:$C$46+Projects!$D$17:$D$46-1)*Projects!$B$17:$B$46*Assumptions!$B$12*0.05)</f>
        <v>3679948.95</v>
      </c>
      <c r="BG97" s="59">
        <f>BG96+SUMPRODUCT((Projects!$G$17:$G$46="Yes")*(54&gt;=Projects!$C$17:$C$46)*(54&lt;Projects!$C$17:$C$46+Projects!$D$17:$D$46)*Projects!$B$17:$B$46*Assumptions!$B$10/Projects!$D$17:$D$46*0.95)+SUMPRODUCT((Projects!$G$17:$G$46="Yes")*(54=Projects!$C$17:$C$46+Projects!$D$17:$D$46-1)*Projects!$B$17:$B$46*Assumptions!$B$10*0.05)+SUMPRODUCT((Projects!$G$17:$G$46="Yes")*(54&gt;=Projects!$C$17:$C$46)*(54&lt;Projects!$C$17:$C$46+Projects!$D$17:$D$46)*Projects!$B$17:$B$46*Assumptions!$B$11/Projects!$D$17:$D$46*0.95)+SUMPRODUCT((Projects!$G$17:$G$46="Yes")*(54=Projects!$C$17:$C$46+Projects!$D$17:$D$46-1)*Projects!$B$17:$B$46*Assumptions!$B$11*0.05)+SUMPRODUCT((Projects!$G$17:$G$46="Yes")*(54&gt;=Projects!$C$17:$C$46)*(54&lt;Projects!$C$17:$C$46+Projects!$D$17:$D$46)*Projects!$B$17:$B$46*Assumptions!$B$12/Projects!$D$17:$D$46*0.95)+SUMPRODUCT((Projects!$G$17:$G$46="Yes")*(54=Projects!$C$17:$C$46+Projects!$D$17:$D$46-1)*Projects!$B$17:$B$46*Assumptions!$B$12*0.05)</f>
        <v>4135750.2</v>
      </c>
      <c r="BH97" s="59">
        <f>BH96+SUMPRODUCT((Projects!$G$17:$G$46="Yes")*(55&gt;=Projects!$C$17:$C$46)*(55&lt;Projects!$C$17:$C$46+Projects!$D$17:$D$46)*Projects!$B$17:$B$46*Assumptions!$B$10/Projects!$D$17:$D$46*0.95)+SUMPRODUCT((Projects!$G$17:$G$46="Yes")*(55=Projects!$C$17:$C$46+Projects!$D$17:$D$46-1)*Projects!$B$17:$B$46*Assumptions!$B$10*0.05)+SUMPRODUCT((Projects!$G$17:$G$46="Yes")*(55&gt;=Projects!$C$17:$C$46)*(55&lt;Projects!$C$17:$C$46+Projects!$D$17:$D$46)*Projects!$B$17:$B$46*Assumptions!$B$11/Projects!$D$17:$D$46*0.95)+SUMPRODUCT((Projects!$G$17:$G$46="Yes")*(55=Projects!$C$17:$C$46+Projects!$D$17:$D$46-1)*Projects!$B$17:$B$46*Assumptions!$B$11*0.05)+SUMPRODUCT((Projects!$G$17:$G$46="Yes")*(55&gt;=Projects!$C$17:$C$46)*(55&lt;Projects!$C$17:$C$46+Projects!$D$17:$D$46)*Projects!$B$17:$B$46*Assumptions!$B$12/Projects!$D$17:$D$46*0.95)+SUMPRODUCT((Projects!$G$17:$G$46="Yes")*(55=Projects!$C$17:$C$46+Projects!$D$17:$D$46-1)*Projects!$B$17:$B$46*Assumptions!$B$12*0.05)</f>
        <v>4290107.0999999996</v>
      </c>
      <c r="BI97" s="59">
        <f>BI96+SUMPRODUCT((Projects!$G$17:$G$46="Yes")*(56&gt;=Projects!$C$17:$C$46)*(56&lt;Projects!$C$17:$C$46+Projects!$D$17:$D$46)*Projects!$B$17:$B$46*Assumptions!$B$10/Projects!$D$17:$D$46*0.95)+SUMPRODUCT((Projects!$G$17:$G$46="Yes")*(56=Projects!$C$17:$C$46+Projects!$D$17:$D$46-1)*Projects!$B$17:$B$46*Assumptions!$B$10*0.05)+SUMPRODUCT((Projects!$G$17:$G$46="Yes")*(56&gt;=Projects!$C$17:$C$46)*(56&lt;Projects!$C$17:$C$46+Projects!$D$17:$D$46)*Projects!$B$17:$B$46*Assumptions!$B$11/Projects!$D$17:$D$46*0.95)+SUMPRODUCT((Projects!$G$17:$G$46="Yes")*(56=Projects!$C$17:$C$46+Projects!$D$17:$D$46-1)*Projects!$B$17:$B$46*Assumptions!$B$11*0.05)+SUMPRODUCT((Projects!$G$17:$G$46="Yes")*(56&gt;=Projects!$C$17:$C$46)*(56&lt;Projects!$C$17:$C$46+Projects!$D$17:$D$46)*Projects!$B$17:$B$46*Assumptions!$B$12/Projects!$D$17:$D$46*0.95)+SUMPRODUCT((Projects!$G$17:$G$46="Yes")*(56=Projects!$C$17:$C$46+Projects!$D$17:$D$46-1)*Projects!$B$17:$B$46*Assumptions!$B$12*0.05)</f>
        <v>4222148.55</v>
      </c>
      <c r="BJ97" s="59">
        <f>BJ96+SUMPRODUCT((Projects!$G$17:$G$46="Yes")*(57&gt;=Projects!$C$17:$C$46)*(57&lt;Projects!$C$17:$C$46+Projects!$D$17:$D$46)*Projects!$B$17:$B$46*Assumptions!$B$10/Projects!$D$17:$D$46*0.95)+SUMPRODUCT((Projects!$G$17:$G$46="Yes")*(57=Projects!$C$17:$C$46+Projects!$D$17:$D$46-1)*Projects!$B$17:$B$46*Assumptions!$B$10*0.05)+SUMPRODUCT((Projects!$G$17:$G$46="Yes")*(57&gt;=Projects!$C$17:$C$46)*(57&lt;Projects!$C$17:$C$46+Projects!$D$17:$D$46)*Projects!$B$17:$B$46*Assumptions!$B$11/Projects!$D$17:$D$46*0.95)+SUMPRODUCT((Projects!$G$17:$G$46="Yes")*(57=Projects!$C$17:$C$46+Projects!$D$17:$D$46-1)*Projects!$B$17:$B$46*Assumptions!$B$11*0.05)+SUMPRODUCT((Projects!$G$17:$G$46="Yes")*(57&gt;=Projects!$C$17:$C$46)*(57&lt;Projects!$C$17:$C$46+Projects!$D$17:$D$46)*Projects!$B$17:$B$46*Assumptions!$B$12/Projects!$D$17:$D$46*0.95)+SUMPRODUCT((Projects!$G$17:$G$46="Yes")*(57=Projects!$C$17:$C$46+Projects!$D$17:$D$46-1)*Projects!$B$17:$B$46*Assumptions!$B$12*0.05)</f>
        <v>4425722.55</v>
      </c>
      <c r="BK97" s="59">
        <f>BK96+SUMPRODUCT((Projects!$G$17:$G$46="Yes")*(58&gt;=Projects!$C$17:$C$46)*(58&lt;Projects!$C$17:$C$46+Projects!$D$17:$D$46)*Projects!$B$17:$B$46*Assumptions!$B$10/Projects!$D$17:$D$46*0.95)+SUMPRODUCT((Projects!$G$17:$G$46="Yes")*(58=Projects!$C$17:$C$46+Projects!$D$17:$D$46-1)*Projects!$B$17:$B$46*Assumptions!$B$10*0.05)+SUMPRODUCT((Projects!$G$17:$G$46="Yes")*(58&gt;=Projects!$C$17:$C$46)*(58&lt;Projects!$C$17:$C$46+Projects!$D$17:$D$46)*Projects!$B$17:$B$46*Assumptions!$B$11/Projects!$D$17:$D$46*0.95)+SUMPRODUCT((Projects!$G$17:$G$46="Yes")*(58=Projects!$C$17:$C$46+Projects!$D$17:$D$46-1)*Projects!$B$17:$B$46*Assumptions!$B$11*0.05)+SUMPRODUCT((Projects!$G$17:$G$46="Yes")*(58&gt;=Projects!$C$17:$C$46)*(58&lt;Projects!$C$17:$C$46+Projects!$D$17:$D$46)*Projects!$B$17:$B$46*Assumptions!$B$12/Projects!$D$17:$D$46*0.95)+SUMPRODUCT((Projects!$G$17:$G$46="Yes")*(58=Projects!$C$17:$C$46+Projects!$D$17:$D$46-1)*Projects!$B$17:$B$46*Assumptions!$B$12*0.05)</f>
        <v>5294245.3500000006</v>
      </c>
      <c r="BL97" s="59">
        <f>BL96+SUMPRODUCT((Projects!$G$17:$G$46="Yes")*(59&gt;=Projects!$C$17:$C$46)*(59&lt;Projects!$C$17:$C$46+Projects!$D$17:$D$46)*Projects!$B$17:$B$46*Assumptions!$B$10/Projects!$D$17:$D$46*0.95)+SUMPRODUCT((Projects!$G$17:$G$46="Yes")*(59=Projects!$C$17:$C$46+Projects!$D$17:$D$46-1)*Projects!$B$17:$B$46*Assumptions!$B$10*0.05)+SUMPRODUCT((Projects!$G$17:$G$46="Yes")*(59&gt;=Projects!$C$17:$C$46)*(59&lt;Projects!$C$17:$C$46+Projects!$D$17:$D$46)*Projects!$B$17:$B$46*Assumptions!$B$11/Projects!$D$17:$D$46*0.95)+SUMPRODUCT((Projects!$G$17:$G$46="Yes")*(59=Projects!$C$17:$C$46+Projects!$D$17:$D$46-1)*Projects!$B$17:$B$46*Assumptions!$B$11*0.05)+SUMPRODUCT((Projects!$G$17:$G$46="Yes")*(59&gt;=Projects!$C$17:$C$46)*(59&lt;Projects!$C$17:$C$46+Projects!$D$17:$D$46)*Projects!$B$17:$B$46*Assumptions!$B$12/Projects!$D$17:$D$46*0.95)+SUMPRODUCT((Projects!$G$17:$G$46="Yes")*(59=Projects!$C$17:$C$46+Projects!$D$17:$D$46-1)*Projects!$B$17:$B$46*Assumptions!$B$12*0.05)</f>
        <v>4946723.55</v>
      </c>
      <c r="BM97" s="59">
        <f>BM96+SUMPRODUCT((Projects!$G$17:$G$46="Yes")*(60&gt;=Projects!$C$17:$C$46)*(60&lt;Projects!$C$17:$C$46+Projects!$D$17:$D$46)*Projects!$B$17:$B$46*Assumptions!$B$10/Projects!$D$17:$D$46*0.95)+SUMPRODUCT((Projects!$G$17:$G$46="Yes")*(60=Projects!$C$17:$C$46+Projects!$D$17:$D$46-1)*Projects!$B$17:$B$46*Assumptions!$B$10*0.05)+SUMPRODUCT((Projects!$G$17:$G$46="Yes")*(60&gt;=Projects!$C$17:$C$46)*(60&lt;Projects!$C$17:$C$46+Projects!$D$17:$D$46)*Projects!$B$17:$B$46*Assumptions!$B$11/Projects!$D$17:$D$46*0.95)+SUMPRODUCT((Projects!$G$17:$G$46="Yes")*(60=Projects!$C$17:$C$46+Projects!$D$17:$D$46-1)*Projects!$B$17:$B$46*Assumptions!$B$11*0.05)+SUMPRODUCT((Projects!$G$17:$G$46="Yes")*(60&gt;=Projects!$C$17:$C$46)*(60&lt;Projects!$C$17:$C$46+Projects!$D$17:$D$46)*Projects!$B$17:$B$46*Assumptions!$B$12/Projects!$D$17:$D$46*0.95)+SUMPRODUCT((Projects!$G$17:$G$46="Yes")*(60=Projects!$C$17:$C$46+Projects!$D$17:$D$46-1)*Projects!$B$17:$B$46*Assumptions!$B$12*0.05)</f>
        <v>5723863.7999999998</v>
      </c>
      <c r="BN97" s="59">
        <f>BN96+SUMPRODUCT((Projects!$G$17:$G$46="Yes")*(61&gt;=Projects!$C$17:$C$46)*(61&lt;Projects!$C$17:$C$46+Projects!$D$17:$D$46)*Projects!$B$17:$B$46*Assumptions!$B$10/Projects!$D$17:$D$46*0.95)+SUMPRODUCT((Projects!$G$17:$G$46="Yes")*(61=Projects!$C$17:$C$46+Projects!$D$17:$D$46-1)*Projects!$B$17:$B$46*Assumptions!$B$10*0.05)+SUMPRODUCT((Projects!$G$17:$G$46="Yes")*(61&gt;=Projects!$C$17:$C$46)*(61&lt;Projects!$C$17:$C$46+Projects!$D$17:$D$46)*Projects!$B$17:$B$46*Assumptions!$B$11/Projects!$D$17:$D$46*0.95)+SUMPRODUCT((Projects!$G$17:$G$46="Yes")*(61=Projects!$C$17:$C$46+Projects!$D$17:$D$46-1)*Projects!$B$17:$B$46*Assumptions!$B$11*0.05)+SUMPRODUCT((Projects!$G$17:$G$46="Yes")*(61&gt;=Projects!$C$17:$C$46)*(61&lt;Projects!$C$17:$C$46+Projects!$D$17:$D$46)*Projects!$B$17:$B$46*Assumptions!$B$12/Projects!$D$17:$D$46*0.95)+SUMPRODUCT((Projects!$G$17:$G$46="Yes")*(61=Projects!$C$17:$C$46+Projects!$D$17:$D$46-1)*Projects!$B$17:$B$46*Assumptions!$B$12*0.05)</f>
        <v>6034267.7999999998</v>
      </c>
      <c r="BO97" s="59">
        <f>BO96+SUMPRODUCT((Projects!$G$17:$G$46="Yes")*(62&gt;=Projects!$C$17:$C$46)*(62&lt;Projects!$C$17:$C$46+Projects!$D$17:$D$46)*Projects!$B$17:$B$46*Assumptions!$B$10/Projects!$D$17:$D$46*0.95)+SUMPRODUCT((Projects!$G$17:$G$46="Yes")*(62=Projects!$C$17:$C$46+Projects!$D$17:$D$46-1)*Projects!$B$17:$B$46*Assumptions!$B$10*0.05)+SUMPRODUCT((Projects!$G$17:$G$46="Yes")*(62&gt;=Projects!$C$17:$C$46)*(62&lt;Projects!$C$17:$C$46+Projects!$D$17:$D$46)*Projects!$B$17:$B$46*Assumptions!$B$11/Projects!$D$17:$D$46*0.95)+SUMPRODUCT((Projects!$G$17:$G$46="Yes")*(62=Projects!$C$17:$C$46+Projects!$D$17:$D$46-1)*Projects!$B$17:$B$46*Assumptions!$B$11*0.05)+SUMPRODUCT((Projects!$G$17:$G$46="Yes")*(62&gt;=Projects!$C$17:$C$46)*(62&lt;Projects!$C$17:$C$46+Projects!$D$17:$D$46)*Projects!$B$17:$B$46*Assumptions!$B$12/Projects!$D$17:$D$46*0.95)+SUMPRODUCT((Projects!$G$17:$G$46="Yes")*(62=Projects!$C$17:$C$46+Projects!$D$17:$D$46-1)*Projects!$B$17:$B$46*Assumptions!$B$12*0.05)</f>
        <v>6853169.7000000002</v>
      </c>
      <c r="BP97" s="59">
        <f>BP96+SUMPRODUCT((Projects!$G$17:$G$46="Yes")*(63&gt;=Projects!$C$17:$C$46)*(63&lt;Projects!$C$17:$C$46+Projects!$D$17:$D$46)*Projects!$B$17:$B$46*Assumptions!$B$10/Projects!$D$17:$D$46*0.95)+SUMPRODUCT((Projects!$G$17:$G$46="Yes")*(63=Projects!$C$17:$C$46+Projects!$D$17:$D$46-1)*Projects!$B$17:$B$46*Assumptions!$B$10*0.05)+SUMPRODUCT((Projects!$G$17:$G$46="Yes")*(63&gt;=Projects!$C$17:$C$46)*(63&lt;Projects!$C$17:$C$46+Projects!$D$17:$D$46)*Projects!$B$17:$B$46*Assumptions!$B$11/Projects!$D$17:$D$46*0.95)+SUMPRODUCT((Projects!$G$17:$G$46="Yes")*(63=Projects!$C$17:$C$46+Projects!$D$17:$D$46-1)*Projects!$B$17:$B$46*Assumptions!$B$11*0.05)+SUMPRODUCT((Projects!$G$17:$G$46="Yes")*(63&gt;=Projects!$C$17:$C$46)*(63&lt;Projects!$C$17:$C$46+Projects!$D$17:$D$46)*Projects!$B$17:$B$46*Assumptions!$B$12/Projects!$D$17:$D$46*0.95)+SUMPRODUCT((Projects!$G$17:$G$46="Yes")*(63=Projects!$C$17:$C$46+Projects!$D$17:$D$46-1)*Projects!$B$17:$B$46*Assumptions!$B$12*0.05)</f>
        <v>7109564.7000000002</v>
      </c>
      <c r="BQ97" s="59">
        <f>BQ96+SUMPRODUCT((Projects!$G$17:$G$46="Yes")*(64&gt;=Projects!$C$17:$C$46)*(64&lt;Projects!$C$17:$C$46+Projects!$D$17:$D$46)*Projects!$B$17:$B$46*Assumptions!$B$10/Projects!$D$17:$D$46*0.95)+SUMPRODUCT((Projects!$G$17:$G$46="Yes")*(64=Projects!$C$17:$C$46+Projects!$D$17:$D$46-1)*Projects!$B$17:$B$46*Assumptions!$B$10*0.05)+SUMPRODUCT((Projects!$G$17:$G$46="Yes")*(64&gt;=Projects!$C$17:$C$46)*(64&lt;Projects!$C$17:$C$46+Projects!$D$17:$D$46)*Projects!$B$17:$B$46*Assumptions!$B$11/Projects!$D$17:$D$46*0.95)+SUMPRODUCT((Projects!$G$17:$G$46="Yes")*(64=Projects!$C$17:$C$46+Projects!$D$17:$D$46-1)*Projects!$B$17:$B$46*Assumptions!$B$11*0.05)+SUMPRODUCT((Projects!$G$17:$G$46="Yes")*(64&gt;=Projects!$C$17:$C$46)*(64&lt;Projects!$C$17:$C$46+Projects!$D$17:$D$46)*Projects!$B$17:$B$46*Assumptions!$B$12/Projects!$D$17:$D$46*0.95)+SUMPRODUCT((Projects!$G$17:$G$46="Yes")*(64=Projects!$C$17:$C$46+Projects!$D$17:$D$46-1)*Projects!$B$17:$B$46*Assumptions!$B$12*0.05)</f>
        <v>7277096.7000000002</v>
      </c>
      <c r="BR97" s="59">
        <f>BR96+SUMPRODUCT((Projects!$G$17:$G$46="Yes")*(65&gt;=Projects!$C$17:$C$46)*(65&lt;Projects!$C$17:$C$46+Projects!$D$17:$D$46)*Projects!$B$17:$B$46*Assumptions!$B$10/Projects!$D$17:$D$46*0.95)+SUMPRODUCT((Projects!$G$17:$G$46="Yes")*(65=Projects!$C$17:$C$46+Projects!$D$17:$D$46-1)*Projects!$B$17:$B$46*Assumptions!$B$10*0.05)+SUMPRODUCT((Projects!$G$17:$G$46="Yes")*(65&gt;=Projects!$C$17:$C$46)*(65&lt;Projects!$C$17:$C$46+Projects!$D$17:$D$46)*Projects!$B$17:$B$46*Assumptions!$B$11/Projects!$D$17:$D$46*0.95)+SUMPRODUCT((Projects!$G$17:$G$46="Yes")*(65=Projects!$C$17:$C$46+Projects!$D$17:$D$46-1)*Projects!$B$17:$B$46*Assumptions!$B$11*0.05)+SUMPRODUCT((Projects!$G$17:$G$46="Yes")*(65&gt;=Projects!$C$17:$C$46)*(65&lt;Projects!$C$17:$C$46+Projects!$D$17:$D$46)*Projects!$B$17:$B$46*Assumptions!$B$12/Projects!$D$17:$D$46*0.95)+SUMPRODUCT((Projects!$G$17:$G$46="Yes")*(65=Projects!$C$17:$C$46+Projects!$D$17:$D$46-1)*Projects!$B$17:$B$46*Assumptions!$B$12*0.05)</f>
        <v>7347167.7000000002</v>
      </c>
      <c r="BS97" s="59">
        <f>BS96+SUMPRODUCT((Projects!$G$17:$G$46="Yes")*(66&gt;=Projects!$C$17:$C$46)*(66&lt;Projects!$C$17:$C$46+Projects!$D$17:$D$46)*Projects!$B$17:$B$46*Assumptions!$B$10/Projects!$D$17:$D$46*0.95)+SUMPRODUCT((Projects!$G$17:$G$46="Yes")*(66=Projects!$C$17:$C$46+Projects!$D$17:$D$46-1)*Projects!$B$17:$B$46*Assumptions!$B$10*0.05)+SUMPRODUCT((Projects!$G$17:$G$46="Yes")*(66&gt;=Projects!$C$17:$C$46)*(66&lt;Projects!$C$17:$C$46+Projects!$D$17:$D$46)*Projects!$B$17:$B$46*Assumptions!$B$11/Projects!$D$17:$D$46*0.95)+SUMPRODUCT((Projects!$G$17:$G$46="Yes")*(66=Projects!$C$17:$C$46+Projects!$D$17:$D$46-1)*Projects!$B$17:$B$46*Assumptions!$B$11*0.05)+SUMPRODUCT((Projects!$G$17:$G$46="Yes")*(66&gt;=Projects!$C$17:$C$46)*(66&lt;Projects!$C$17:$C$46+Projects!$D$17:$D$46)*Projects!$B$17:$B$46*Assumptions!$B$12/Projects!$D$17:$D$46*0.95)+SUMPRODUCT((Projects!$G$17:$G$46="Yes")*(66=Projects!$C$17:$C$46+Projects!$D$17:$D$46-1)*Projects!$B$17:$B$46*Assumptions!$B$12*0.05)</f>
        <v>7405390.9500000002</v>
      </c>
      <c r="BT97" s="59">
        <f>BT96+SUMPRODUCT((Projects!$G$17:$G$46="Yes")*(67&gt;=Projects!$C$17:$C$46)*(67&lt;Projects!$C$17:$C$46+Projects!$D$17:$D$46)*Projects!$B$17:$B$46*Assumptions!$B$10/Projects!$D$17:$D$46*0.95)+SUMPRODUCT((Projects!$G$17:$G$46="Yes")*(67=Projects!$C$17:$C$46+Projects!$D$17:$D$46-1)*Projects!$B$17:$B$46*Assumptions!$B$10*0.05)+SUMPRODUCT((Projects!$G$17:$G$46="Yes")*(67&gt;=Projects!$C$17:$C$46)*(67&lt;Projects!$C$17:$C$46+Projects!$D$17:$D$46)*Projects!$B$17:$B$46*Assumptions!$B$11/Projects!$D$17:$D$46*0.95)+SUMPRODUCT((Projects!$G$17:$G$46="Yes")*(67=Projects!$C$17:$C$46+Projects!$D$17:$D$46-1)*Projects!$B$17:$B$46*Assumptions!$B$11*0.05)+SUMPRODUCT((Projects!$G$17:$G$46="Yes")*(67&gt;=Projects!$C$17:$C$46)*(67&lt;Projects!$C$17:$C$46+Projects!$D$17:$D$46)*Projects!$B$17:$B$46*Assumptions!$B$12/Projects!$D$17:$D$46*0.95)+SUMPRODUCT((Projects!$G$17:$G$46="Yes")*(67=Projects!$C$17:$C$46+Projects!$D$17:$D$46-1)*Projects!$B$17:$B$46*Assumptions!$B$12*0.05)</f>
        <v>6776037.4500000002</v>
      </c>
      <c r="BU97" s="59">
        <f>BU96+SUMPRODUCT((Projects!$G$17:$G$46="Yes")*(68&gt;=Projects!$C$17:$C$46)*(68&lt;Projects!$C$17:$C$46+Projects!$D$17:$D$46)*Projects!$B$17:$B$46*Assumptions!$B$10/Projects!$D$17:$D$46*0.95)+SUMPRODUCT((Projects!$G$17:$G$46="Yes")*(68=Projects!$C$17:$C$46+Projects!$D$17:$D$46-1)*Projects!$B$17:$B$46*Assumptions!$B$10*0.05)+SUMPRODUCT((Projects!$G$17:$G$46="Yes")*(68&gt;=Projects!$C$17:$C$46)*(68&lt;Projects!$C$17:$C$46+Projects!$D$17:$D$46)*Projects!$B$17:$B$46*Assumptions!$B$11/Projects!$D$17:$D$46*0.95)+SUMPRODUCT((Projects!$G$17:$G$46="Yes")*(68=Projects!$C$17:$C$46+Projects!$D$17:$D$46-1)*Projects!$B$17:$B$46*Assumptions!$B$11*0.05)+SUMPRODUCT((Projects!$G$17:$G$46="Yes")*(68&gt;=Projects!$C$17:$C$46)*(68&lt;Projects!$C$17:$C$46+Projects!$D$17:$D$46)*Projects!$B$17:$B$46*Assumptions!$B$12/Projects!$D$17:$D$46*0.95)+SUMPRODUCT((Projects!$G$17:$G$46="Yes")*(68=Projects!$C$17:$C$46+Projects!$D$17:$D$46-1)*Projects!$B$17:$B$46*Assumptions!$B$12*0.05)</f>
        <v>7200616.3499999996</v>
      </c>
      <c r="BV97" s="59">
        <f>BV96+SUMPRODUCT((Projects!$G$17:$G$46="Yes")*(69&gt;=Projects!$C$17:$C$46)*(69&lt;Projects!$C$17:$C$46+Projects!$D$17:$D$46)*Projects!$B$17:$B$46*Assumptions!$B$10/Projects!$D$17:$D$46*0.95)+SUMPRODUCT((Projects!$G$17:$G$46="Yes")*(69=Projects!$C$17:$C$46+Projects!$D$17:$D$46-1)*Projects!$B$17:$B$46*Assumptions!$B$10*0.05)+SUMPRODUCT((Projects!$G$17:$G$46="Yes")*(69&gt;=Projects!$C$17:$C$46)*(69&lt;Projects!$C$17:$C$46+Projects!$D$17:$D$46)*Projects!$B$17:$B$46*Assumptions!$B$11/Projects!$D$17:$D$46*0.95)+SUMPRODUCT((Projects!$G$17:$G$46="Yes")*(69=Projects!$C$17:$C$46+Projects!$D$17:$D$46-1)*Projects!$B$17:$B$46*Assumptions!$B$11*0.05)+SUMPRODUCT((Projects!$G$17:$G$46="Yes")*(69&gt;=Projects!$C$17:$C$46)*(69&lt;Projects!$C$17:$C$46+Projects!$D$17:$D$46)*Projects!$B$17:$B$46*Assumptions!$B$12/Projects!$D$17:$D$46*0.95)+SUMPRODUCT((Projects!$G$17:$G$46="Yes")*(69=Projects!$C$17:$C$46+Projects!$D$17:$D$46-1)*Projects!$B$17:$B$46*Assumptions!$B$12*0.05)</f>
        <v>7049887.3499999996</v>
      </c>
      <c r="BW97" s="59">
        <f>BW96+SUMPRODUCT((Projects!$G$17:$G$46="Yes")*(70&gt;=Projects!$C$17:$C$46)*(70&lt;Projects!$C$17:$C$46+Projects!$D$17:$D$46)*Projects!$B$17:$B$46*Assumptions!$B$10/Projects!$D$17:$D$46*0.95)+SUMPRODUCT((Projects!$G$17:$G$46="Yes")*(70=Projects!$C$17:$C$46+Projects!$D$17:$D$46-1)*Projects!$B$17:$B$46*Assumptions!$B$10*0.05)+SUMPRODUCT((Projects!$G$17:$G$46="Yes")*(70&gt;=Projects!$C$17:$C$46)*(70&lt;Projects!$C$17:$C$46+Projects!$D$17:$D$46)*Projects!$B$17:$B$46*Assumptions!$B$11/Projects!$D$17:$D$46*0.95)+SUMPRODUCT((Projects!$G$17:$G$46="Yes")*(70=Projects!$C$17:$C$46+Projects!$D$17:$D$46-1)*Projects!$B$17:$B$46*Assumptions!$B$11*0.05)+SUMPRODUCT((Projects!$G$17:$G$46="Yes")*(70&gt;=Projects!$C$17:$C$46)*(70&lt;Projects!$C$17:$C$46+Projects!$D$17:$D$46)*Projects!$B$17:$B$46*Assumptions!$B$12/Projects!$D$17:$D$46*0.95)+SUMPRODUCT((Projects!$G$17:$G$46="Yes")*(70=Projects!$C$17:$C$46+Projects!$D$17:$D$46-1)*Projects!$B$17:$B$46*Assumptions!$B$12*0.05)</f>
        <v>6927143.25</v>
      </c>
      <c r="BX97" s="59">
        <f>BX96+SUMPRODUCT((Projects!$G$17:$G$46="Yes")*(71&gt;=Projects!$C$17:$C$46)*(71&lt;Projects!$C$17:$C$46+Projects!$D$17:$D$46)*Projects!$B$17:$B$46*Assumptions!$B$10/Projects!$D$17:$D$46*0.95)+SUMPRODUCT((Projects!$G$17:$G$46="Yes")*(71=Projects!$C$17:$C$46+Projects!$D$17:$D$46-1)*Projects!$B$17:$B$46*Assumptions!$B$10*0.05)+SUMPRODUCT((Projects!$G$17:$G$46="Yes")*(71&gt;=Projects!$C$17:$C$46)*(71&lt;Projects!$C$17:$C$46+Projects!$D$17:$D$46)*Projects!$B$17:$B$46*Assumptions!$B$11/Projects!$D$17:$D$46*0.95)+SUMPRODUCT((Projects!$G$17:$G$46="Yes")*(71=Projects!$C$17:$C$46+Projects!$D$17:$D$46-1)*Projects!$B$17:$B$46*Assumptions!$B$11*0.05)+SUMPRODUCT((Projects!$G$17:$G$46="Yes")*(71&gt;=Projects!$C$17:$C$46)*(71&lt;Projects!$C$17:$C$46+Projects!$D$17:$D$46)*Projects!$B$17:$B$46*Assumptions!$B$12/Projects!$D$17:$D$46*0.95)+SUMPRODUCT((Projects!$G$17:$G$46="Yes")*(71=Projects!$C$17:$C$46+Projects!$D$17:$D$46-1)*Projects!$B$17:$B$46*Assumptions!$B$12*0.05)</f>
        <v>6034242.4500000002</v>
      </c>
      <c r="BY97" s="59">
        <f>BY96+SUMPRODUCT((Projects!$G$17:$G$46="Yes")*(72&gt;=Projects!$C$17:$C$46)*(72&lt;Projects!$C$17:$C$46+Projects!$D$17:$D$46)*Projects!$B$17:$B$46*Assumptions!$B$10/Projects!$D$17:$D$46*0.95)+SUMPRODUCT((Projects!$G$17:$G$46="Yes")*(72=Projects!$C$17:$C$46+Projects!$D$17:$D$46-1)*Projects!$B$17:$B$46*Assumptions!$B$10*0.05)+SUMPRODUCT((Projects!$G$17:$G$46="Yes")*(72&gt;=Projects!$C$17:$C$46)*(72&lt;Projects!$C$17:$C$46+Projects!$D$17:$D$46)*Projects!$B$17:$B$46*Assumptions!$B$11/Projects!$D$17:$D$46*0.95)+SUMPRODUCT((Projects!$G$17:$G$46="Yes")*(72=Projects!$C$17:$C$46+Projects!$D$17:$D$46-1)*Projects!$B$17:$B$46*Assumptions!$B$11*0.05)+SUMPRODUCT((Projects!$G$17:$G$46="Yes")*(72&gt;=Projects!$C$17:$C$46)*(72&lt;Projects!$C$17:$C$46+Projects!$D$17:$D$46)*Projects!$B$17:$B$46*Assumptions!$B$12/Projects!$D$17:$D$46*0.95)+SUMPRODUCT((Projects!$G$17:$G$46="Yes")*(72=Projects!$C$17:$C$46+Projects!$D$17:$D$46-1)*Projects!$B$17:$B$46*Assumptions!$B$12*0.05)</f>
        <v>5857292.7000000002</v>
      </c>
      <c r="BZ97" s="59">
        <f>BZ96+SUMPRODUCT((Projects!$G$17:$G$46="Yes")*(73&gt;=Projects!$C$17:$C$46)*(73&lt;Projects!$C$17:$C$46+Projects!$D$17:$D$46)*Projects!$B$17:$B$46*Assumptions!$B$10/Projects!$D$17:$D$46*0.95)+SUMPRODUCT((Projects!$G$17:$G$46="Yes")*(73=Projects!$C$17:$C$46+Projects!$D$17:$D$46-1)*Projects!$B$17:$B$46*Assumptions!$B$10*0.05)+SUMPRODUCT((Projects!$G$17:$G$46="Yes")*(73&gt;=Projects!$C$17:$C$46)*(73&lt;Projects!$C$17:$C$46+Projects!$D$17:$D$46)*Projects!$B$17:$B$46*Assumptions!$B$11/Projects!$D$17:$D$46*0.95)+SUMPRODUCT((Projects!$G$17:$G$46="Yes")*(73=Projects!$C$17:$C$46+Projects!$D$17:$D$46-1)*Projects!$B$17:$B$46*Assumptions!$B$11*0.05)+SUMPRODUCT((Projects!$G$17:$G$46="Yes")*(73&gt;=Projects!$C$17:$C$46)*(73&lt;Projects!$C$17:$C$46+Projects!$D$17:$D$46)*Projects!$B$17:$B$46*Assumptions!$B$12/Projects!$D$17:$D$46*0.95)+SUMPRODUCT((Projects!$G$17:$G$46="Yes")*(73=Projects!$C$17:$C$46+Projects!$D$17:$D$46-1)*Projects!$B$17:$B$46*Assumptions!$B$12*0.05)</f>
        <v>5040571.2</v>
      </c>
      <c r="CA97" s="59">
        <f>CA96+SUMPRODUCT((Projects!$G$17:$G$46="Yes")*(74&gt;=Projects!$C$17:$C$46)*(74&lt;Projects!$C$17:$C$46+Projects!$D$17:$D$46)*Projects!$B$17:$B$46*Assumptions!$B$10/Projects!$D$17:$D$46*0.95)+SUMPRODUCT((Projects!$G$17:$G$46="Yes")*(74=Projects!$C$17:$C$46+Projects!$D$17:$D$46-1)*Projects!$B$17:$B$46*Assumptions!$B$10*0.05)+SUMPRODUCT((Projects!$G$17:$G$46="Yes")*(74&gt;=Projects!$C$17:$C$46)*(74&lt;Projects!$C$17:$C$46+Projects!$D$17:$D$46)*Projects!$B$17:$B$46*Assumptions!$B$11/Projects!$D$17:$D$46*0.95)+SUMPRODUCT((Projects!$G$17:$G$46="Yes")*(74=Projects!$C$17:$C$46+Projects!$D$17:$D$46-1)*Projects!$B$17:$B$46*Assumptions!$B$11*0.05)+SUMPRODUCT((Projects!$G$17:$G$46="Yes")*(74&gt;=Projects!$C$17:$C$46)*(74&lt;Projects!$C$17:$C$46+Projects!$D$17:$D$46)*Projects!$B$17:$B$46*Assumptions!$B$12/Projects!$D$17:$D$46*0.95)+SUMPRODUCT((Projects!$G$17:$G$46="Yes")*(74=Projects!$C$17:$C$46+Projects!$D$17:$D$46-1)*Projects!$B$17:$B$46*Assumptions!$B$12*0.05)</f>
        <v>5426026.3499999996</v>
      </c>
      <c r="CB97" s="59">
        <f>CB96+SUMPRODUCT((Projects!$G$17:$G$46="Yes")*(75&gt;=Projects!$C$17:$C$46)*(75&lt;Projects!$C$17:$C$46+Projects!$D$17:$D$46)*Projects!$B$17:$B$46*Assumptions!$B$10/Projects!$D$17:$D$46*0.95)+SUMPRODUCT((Projects!$G$17:$G$46="Yes")*(75=Projects!$C$17:$C$46+Projects!$D$17:$D$46-1)*Projects!$B$17:$B$46*Assumptions!$B$10*0.05)+SUMPRODUCT((Projects!$G$17:$G$46="Yes")*(75&gt;=Projects!$C$17:$C$46)*(75&lt;Projects!$C$17:$C$46+Projects!$D$17:$D$46)*Projects!$B$17:$B$46*Assumptions!$B$11/Projects!$D$17:$D$46*0.95)+SUMPRODUCT((Projects!$G$17:$G$46="Yes")*(75=Projects!$C$17:$C$46+Projects!$D$17:$D$46-1)*Projects!$B$17:$B$46*Assumptions!$B$11*0.05)+SUMPRODUCT((Projects!$G$17:$G$46="Yes")*(75&gt;=Projects!$C$17:$C$46)*(75&lt;Projects!$C$17:$C$46+Projects!$D$17:$D$46)*Projects!$B$17:$B$46*Assumptions!$B$12/Projects!$D$17:$D$46*0.95)+SUMPRODUCT((Projects!$G$17:$G$46="Yes")*(75=Projects!$C$17:$C$46+Projects!$D$17:$D$46-1)*Projects!$B$17:$B$46*Assumptions!$B$12*0.05)</f>
        <v>4714544.8499999996</v>
      </c>
      <c r="CC97" s="59">
        <f>CC96+SUMPRODUCT((Projects!$G$17:$G$46="Yes")*(76&gt;=Projects!$C$17:$C$46)*(76&lt;Projects!$C$17:$C$46+Projects!$D$17:$D$46)*Projects!$B$17:$B$46*Assumptions!$B$10/Projects!$D$17:$D$46*0.95)+SUMPRODUCT((Projects!$G$17:$G$46="Yes")*(76=Projects!$C$17:$C$46+Projects!$D$17:$D$46-1)*Projects!$B$17:$B$46*Assumptions!$B$10*0.05)+SUMPRODUCT((Projects!$G$17:$G$46="Yes")*(76&gt;=Projects!$C$17:$C$46)*(76&lt;Projects!$C$17:$C$46+Projects!$D$17:$D$46)*Projects!$B$17:$B$46*Assumptions!$B$11/Projects!$D$17:$D$46*0.95)+SUMPRODUCT((Projects!$G$17:$G$46="Yes")*(76=Projects!$C$17:$C$46+Projects!$D$17:$D$46-1)*Projects!$B$17:$B$46*Assumptions!$B$11*0.05)+SUMPRODUCT((Projects!$G$17:$G$46="Yes")*(76&gt;=Projects!$C$17:$C$46)*(76&lt;Projects!$C$17:$C$46+Projects!$D$17:$D$46)*Projects!$B$17:$B$46*Assumptions!$B$12/Projects!$D$17:$D$46*0.95)+SUMPRODUCT((Projects!$G$17:$G$46="Yes")*(76=Projects!$C$17:$C$46+Projects!$D$17:$D$46-1)*Projects!$B$17:$B$46*Assumptions!$B$12*0.05)</f>
        <v>5149413</v>
      </c>
      <c r="CD97" s="59">
        <f>CD96+SUMPRODUCT((Projects!$G$17:$G$46="Yes")*(77&gt;=Projects!$C$17:$C$46)*(77&lt;Projects!$C$17:$C$46+Projects!$D$17:$D$46)*Projects!$B$17:$B$46*Assumptions!$B$10/Projects!$D$17:$D$46*0.95)+SUMPRODUCT((Projects!$G$17:$G$46="Yes")*(77=Projects!$C$17:$C$46+Projects!$D$17:$D$46-1)*Projects!$B$17:$B$46*Assumptions!$B$10*0.05)+SUMPRODUCT((Projects!$G$17:$G$46="Yes")*(77&gt;=Projects!$C$17:$C$46)*(77&lt;Projects!$C$17:$C$46+Projects!$D$17:$D$46)*Projects!$B$17:$B$46*Assumptions!$B$11/Projects!$D$17:$D$46*0.95)+SUMPRODUCT((Projects!$G$17:$G$46="Yes")*(77=Projects!$C$17:$C$46+Projects!$D$17:$D$46-1)*Projects!$B$17:$B$46*Assumptions!$B$11*0.05)+SUMPRODUCT((Projects!$G$17:$G$46="Yes")*(77&gt;=Projects!$C$17:$C$46)*(77&lt;Projects!$C$17:$C$46+Projects!$D$17:$D$46)*Projects!$B$17:$B$46*Assumptions!$B$12/Projects!$D$17:$D$46*0.95)+SUMPRODUCT((Projects!$G$17:$G$46="Yes")*(77=Projects!$C$17:$C$46+Projects!$D$17:$D$46-1)*Projects!$B$17:$B$46*Assumptions!$B$12*0.05)</f>
        <v>4466644.2</v>
      </c>
      <c r="CE97" s="59">
        <f>CE96+SUMPRODUCT((Projects!$G$17:$G$46="Yes")*(78&gt;=Projects!$C$17:$C$46)*(78&lt;Projects!$C$17:$C$46+Projects!$D$17:$D$46)*Projects!$B$17:$B$46*Assumptions!$B$10/Projects!$D$17:$D$46*0.95)+SUMPRODUCT((Projects!$G$17:$G$46="Yes")*(78=Projects!$C$17:$C$46+Projects!$D$17:$D$46-1)*Projects!$B$17:$B$46*Assumptions!$B$10*0.05)+SUMPRODUCT((Projects!$G$17:$G$46="Yes")*(78&gt;=Projects!$C$17:$C$46)*(78&lt;Projects!$C$17:$C$46+Projects!$D$17:$D$46)*Projects!$B$17:$B$46*Assumptions!$B$11/Projects!$D$17:$D$46*0.95)+SUMPRODUCT((Projects!$G$17:$G$46="Yes")*(78=Projects!$C$17:$C$46+Projects!$D$17:$D$46-1)*Projects!$B$17:$B$46*Assumptions!$B$11*0.05)+SUMPRODUCT((Projects!$G$17:$G$46="Yes")*(78&gt;=Projects!$C$17:$C$46)*(78&lt;Projects!$C$17:$C$46+Projects!$D$17:$D$46)*Projects!$B$17:$B$46*Assumptions!$B$12/Projects!$D$17:$D$46*0.95)+SUMPRODUCT((Projects!$G$17:$G$46="Yes")*(78=Projects!$C$17:$C$46+Projects!$D$17:$D$46-1)*Projects!$B$17:$B$46*Assumptions!$B$12*0.05)</f>
        <v>5033744.7</v>
      </c>
      <c r="CF97" s="59">
        <f>CF96+SUMPRODUCT((Projects!$G$17:$G$46="Yes")*(79&gt;=Projects!$C$17:$C$46)*(79&lt;Projects!$C$17:$C$46+Projects!$D$17:$D$46)*Projects!$B$17:$B$46*Assumptions!$B$10/Projects!$D$17:$D$46*0.95)+SUMPRODUCT((Projects!$G$17:$G$46="Yes")*(79=Projects!$C$17:$C$46+Projects!$D$17:$D$46-1)*Projects!$B$17:$B$46*Assumptions!$B$10*0.05)+SUMPRODUCT((Projects!$G$17:$G$46="Yes")*(79&gt;=Projects!$C$17:$C$46)*(79&lt;Projects!$C$17:$C$46+Projects!$D$17:$D$46)*Projects!$B$17:$B$46*Assumptions!$B$11/Projects!$D$17:$D$46*0.95)+SUMPRODUCT((Projects!$G$17:$G$46="Yes")*(79=Projects!$C$17:$C$46+Projects!$D$17:$D$46-1)*Projects!$B$17:$B$46*Assumptions!$B$11*0.05)+SUMPRODUCT((Projects!$G$17:$G$46="Yes")*(79&gt;=Projects!$C$17:$C$46)*(79&lt;Projects!$C$17:$C$46+Projects!$D$17:$D$46)*Projects!$B$17:$B$46*Assumptions!$B$12/Projects!$D$17:$D$46*0.95)+SUMPRODUCT((Projects!$G$17:$G$46="Yes")*(79=Projects!$C$17:$C$46+Projects!$D$17:$D$46-1)*Projects!$B$17:$B$46*Assumptions!$B$12*0.05)</f>
        <v>4598203.2</v>
      </c>
      <c r="CG97" s="59">
        <f>CG96+SUMPRODUCT((Projects!$G$17:$G$46="Yes")*(80&gt;=Projects!$C$17:$C$46)*(80&lt;Projects!$C$17:$C$46+Projects!$D$17:$D$46)*Projects!$B$17:$B$46*Assumptions!$B$10/Projects!$D$17:$D$46*0.95)+SUMPRODUCT((Projects!$G$17:$G$46="Yes")*(80=Projects!$C$17:$C$46+Projects!$D$17:$D$46-1)*Projects!$B$17:$B$46*Assumptions!$B$10*0.05)+SUMPRODUCT((Projects!$G$17:$G$46="Yes")*(80&gt;=Projects!$C$17:$C$46)*(80&lt;Projects!$C$17:$C$46+Projects!$D$17:$D$46)*Projects!$B$17:$B$46*Assumptions!$B$11/Projects!$D$17:$D$46*0.95)+SUMPRODUCT((Projects!$G$17:$G$46="Yes")*(80=Projects!$C$17:$C$46+Projects!$D$17:$D$46-1)*Projects!$B$17:$B$46*Assumptions!$B$11*0.05)+SUMPRODUCT((Projects!$G$17:$G$46="Yes")*(80&gt;=Projects!$C$17:$C$46)*(80&lt;Projects!$C$17:$C$46+Projects!$D$17:$D$46)*Projects!$B$17:$B$46*Assumptions!$B$12/Projects!$D$17:$D$46*0.95)+SUMPRODUCT((Projects!$G$17:$G$46="Yes")*(80=Projects!$C$17:$C$46+Projects!$D$17:$D$46-1)*Projects!$B$17:$B$46*Assumptions!$B$12*0.05)</f>
        <v>5405190</v>
      </c>
      <c r="CH97" s="59">
        <f>CH96+SUMPRODUCT((Projects!$G$17:$G$46="Yes")*(81&gt;=Projects!$C$17:$C$46)*(81&lt;Projects!$C$17:$C$46+Projects!$D$17:$D$46)*Projects!$B$17:$B$46*Assumptions!$B$10/Projects!$D$17:$D$46*0.95)+SUMPRODUCT((Projects!$G$17:$G$46="Yes")*(81=Projects!$C$17:$C$46+Projects!$D$17:$D$46-1)*Projects!$B$17:$B$46*Assumptions!$B$10*0.05)+SUMPRODUCT((Projects!$G$17:$G$46="Yes")*(81&gt;=Projects!$C$17:$C$46)*(81&lt;Projects!$C$17:$C$46+Projects!$D$17:$D$46)*Projects!$B$17:$B$46*Assumptions!$B$11/Projects!$D$17:$D$46*0.95)+SUMPRODUCT((Projects!$G$17:$G$46="Yes")*(81=Projects!$C$17:$C$46+Projects!$D$17:$D$46-1)*Projects!$B$17:$B$46*Assumptions!$B$11*0.05)+SUMPRODUCT((Projects!$G$17:$G$46="Yes")*(81&gt;=Projects!$C$17:$C$46)*(81&lt;Projects!$C$17:$C$46+Projects!$D$17:$D$46)*Projects!$B$17:$B$46*Assumptions!$B$12/Projects!$D$17:$D$46*0.95)+SUMPRODUCT((Projects!$G$17:$G$46="Yes")*(81=Projects!$C$17:$C$46+Projects!$D$17:$D$46-1)*Projects!$B$17:$B$46*Assumptions!$B$12*0.05)</f>
        <v>4999618.2</v>
      </c>
      <c r="CI97" s="59">
        <f>CI96+SUMPRODUCT((Projects!$G$17:$G$46="Yes")*(82&gt;=Projects!$C$17:$C$46)*(82&lt;Projects!$C$17:$C$46+Projects!$D$17:$D$46)*Projects!$B$17:$B$46*Assumptions!$B$10/Projects!$D$17:$D$46*0.95)+SUMPRODUCT((Projects!$G$17:$G$46="Yes")*(82=Projects!$C$17:$C$46+Projects!$D$17:$D$46-1)*Projects!$B$17:$B$46*Assumptions!$B$10*0.05)+SUMPRODUCT((Projects!$G$17:$G$46="Yes")*(82&gt;=Projects!$C$17:$C$46)*(82&lt;Projects!$C$17:$C$46+Projects!$D$17:$D$46)*Projects!$B$17:$B$46*Assumptions!$B$11/Projects!$D$17:$D$46*0.95)+SUMPRODUCT((Projects!$G$17:$G$46="Yes")*(82=Projects!$C$17:$C$46+Projects!$D$17:$D$46-1)*Projects!$B$17:$B$46*Assumptions!$B$11*0.05)+SUMPRODUCT((Projects!$G$17:$G$46="Yes")*(82&gt;=Projects!$C$17:$C$46)*(82&lt;Projects!$C$17:$C$46+Projects!$D$17:$D$46)*Projects!$B$17:$B$46*Assumptions!$B$12/Projects!$D$17:$D$46*0.95)+SUMPRODUCT((Projects!$G$17:$G$46="Yes")*(82=Projects!$C$17:$C$46+Projects!$D$17:$D$46-1)*Projects!$B$17:$B$46*Assumptions!$B$12*0.05)</f>
        <v>5725791.4500000002</v>
      </c>
      <c r="CJ97" s="59">
        <f>CJ96+SUMPRODUCT((Projects!$G$17:$G$46="Yes")*(83&gt;=Projects!$C$17:$C$46)*(83&lt;Projects!$C$17:$C$46+Projects!$D$17:$D$46)*Projects!$B$17:$B$46*Assumptions!$B$10/Projects!$D$17:$D$46*0.95)+SUMPRODUCT((Projects!$G$17:$G$46="Yes")*(83=Projects!$C$17:$C$46+Projects!$D$17:$D$46-1)*Projects!$B$17:$B$46*Assumptions!$B$10*0.05)+SUMPRODUCT((Projects!$G$17:$G$46="Yes")*(83&gt;=Projects!$C$17:$C$46)*(83&lt;Projects!$C$17:$C$46+Projects!$D$17:$D$46)*Projects!$B$17:$B$46*Assumptions!$B$11/Projects!$D$17:$D$46*0.95)+SUMPRODUCT((Projects!$G$17:$G$46="Yes")*(83=Projects!$C$17:$C$46+Projects!$D$17:$D$46-1)*Projects!$B$17:$B$46*Assumptions!$B$11*0.05)+SUMPRODUCT((Projects!$G$17:$G$46="Yes")*(83&gt;=Projects!$C$17:$C$46)*(83&lt;Projects!$C$17:$C$46+Projects!$D$17:$D$46)*Projects!$B$17:$B$46*Assumptions!$B$12/Projects!$D$17:$D$46*0.95)+SUMPRODUCT((Projects!$G$17:$G$46="Yes")*(83=Projects!$C$17:$C$46+Projects!$D$17:$D$46-1)*Projects!$B$17:$B$46*Assumptions!$B$12*0.05)</f>
        <v>5994912.4500000002</v>
      </c>
      <c r="CK97" s="59">
        <f>CK96+SUMPRODUCT((Projects!$G$17:$G$46="Yes")*(84&gt;=Projects!$C$17:$C$46)*(84&lt;Projects!$C$17:$C$46+Projects!$D$17:$D$46)*Projects!$B$17:$B$46*Assumptions!$B$10/Projects!$D$17:$D$46*0.95)+SUMPRODUCT((Projects!$G$17:$G$46="Yes")*(84=Projects!$C$17:$C$46+Projects!$D$17:$D$46-1)*Projects!$B$17:$B$46*Assumptions!$B$10*0.05)+SUMPRODUCT((Projects!$G$17:$G$46="Yes")*(84&gt;=Projects!$C$17:$C$46)*(84&lt;Projects!$C$17:$C$46+Projects!$D$17:$D$46)*Projects!$B$17:$B$46*Assumptions!$B$11/Projects!$D$17:$D$46*0.95)+SUMPRODUCT((Projects!$G$17:$G$46="Yes")*(84=Projects!$C$17:$C$46+Projects!$D$17:$D$46-1)*Projects!$B$17:$B$46*Assumptions!$B$11*0.05)+SUMPRODUCT((Projects!$G$17:$G$46="Yes")*(84&gt;=Projects!$C$17:$C$46)*(84&lt;Projects!$C$17:$C$46+Projects!$D$17:$D$46)*Projects!$B$17:$B$46*Assumptions!$B$12/Projects!$D$17:$D$46*0.95)+SUMPRODUCT((Projects!$G$17:$G$46="Yes")*(84=Projects!$C$17:$C$46+Projects!$D$17:$D$46-1)*Projects!$B$17:$B$46*Assumptions!$B$12*0.05)</f>
        <v>6197976.4500000002</v>
      </c>
      <c r="CL97" s="59">
        <f>CL96+SUMPRODUCT((Projects!$G$17:$G$46="Yes")*(85&gt;=Projects!$C$17:$C$46)*(85&lt;Projects!$C$17:$C$46+Projects!$D$17:$D$46)*Projects!$B$17:$B$46*Assumptions!$B$10/Projects!$D$17:$D$46*0.95)+SUMPRODUCT((Projects!$G$17:$G$46="Yes")*(85=Projects!$C$17:$C$46+Projects!$D$17:$D$46-1)*Projects!$B$17:$B$46*Assumptions!$B$10*0.05)+SUMPRODUCT((Projects!$G$17:$G$46="Yes")*(85&gt;=Projects!$C$17:$C$46)*(85&lt;Projects!$C$17:$C$46+Projects!$D$17:$D$46)*Projects!$B$17:$B$46*Assumptions!$B$11/Projects!$D$17:$D$46*0.95)+SUMPRODUCT((Projects!$G$17:$G$46="Yes")*(85=Projects!$C$17:$C$46+Projects!$D$17:$D$46-1)*Projects!$B$17:$B$46*Assumptions!$B$11*0.05)+SUMPRODUCT((Projects!$G$17:$G$46="Yes")*(85&gt;=Projects!$C$17:$C$46)*(85&lt;Projects!$C$17:$C$46+Projects!$D$17:$D$46)*Projects!$B$17:$B$46*Assumptions!$B$12/Projects!$D$17:$D$46*0.95)+SUMPRODUCT((Projects!$G$17:$G$46="Yes")*(85=Projects!$C$17:$C$46+Projects!$D$17:$D$46-1)*Projects!$B$17:$B$46*Assumptions!$B$12*0.05)</f>
        <v>6323091.4500000002</v>
      </c>
      <c r="CM97" s="59">
        <f>CM96+SUMPRODUCT((Projects!$G$17:$G$46="Yes")*(86&gt;=Projects!$C$17:$C$46)*(86&lt;Projects!$C$17:$C$46+Projects!$D$17:$D$46)*Projects!$B$17:$B$46*Assumptions!$B$10/Projects!$D$17:$D$46*0.95)+SUMPRODUCT((Projects!$G$17:$G$46="Yes")*(86=Projects!$C$17:$C$46+Projects!$D$17:$D$46-1)*Projects!$B$17:$B$46*Assumptions!$B$10*0.05)+SUMPRODUCT((Projects!$G$17:$G$46="Yes")*(86&gt;=Projects!$C$17:$C$46)*(86&lt;Projects!$C$17:$C$46+Projects!$D$17:$D$46)*Projects!$B$17:$B$46*Assumptions!$B$11/Projects!$D$17:$D$46*0.95)+SUMPRODUCT((Projects!$G$17:$G$46="Yes")*(86=Projects!$C$17:$C$46+Projects!$D$17:$D$46-1)*Projects!$B$17:$B$46*Assumptions!$B$11*0.05)+SUMPRODUCT((Projects!$G$17:$G$46="Yes")*(86&gt;=Projects!$C$17:$C$46)*(86&lt;Projects!$C$17:$C$46+Projects!$D$17:$D$46)*Projects!$B$17:$B$46*Assumptions!$B$12/Projects!$D$17:$D$46*0.95)+SUMPRODUCT((Projects!$G$17:$G$46="Yes")*(86=Projects!$C$17:$C$46+Projects!$D$17:$D$46-1)*Projects!$B$17:$B$46*Assumptions!$B$12*0.05)</f>
        <v>6469555.3500000006</v>
      </c>
      <c r="CN97" s="59">
        <f>CN96+SUMPRODUCT((Projects!$G$17:$G$46="Yes")*(87&gt;=Projects!$C$17:$C$46)*(87&lt;Projects!$C$17:$C$46+Projects!$D$17:$D$46)*Projects!$B$17:$B$46*Assumptions!$B$10/Projects!$D$17:$D$46*0.95)+SUMPRODUCT((Projects!$G$17:$G$46="Yes")*(87=Projects!$C$17:$C$46+Projects!$D$17:$D$46-1)*Projects!$B$17:$B$46*Assumptions!$B$10*0.05)+SUMPRODUCT((Projects!$G$17:$G$46="Yes")*(87&gt;=Projects!$C$17:$C$46)*(87&lt;Projects!$C$17:$C$46+Projects!$D$17:$D$46)*Projects!$B$17:$B$46*Assumptions!$B$11/Projects!$D$17:$D$46*0.95)+SUMPRODUCT((Projects!$G$17:$G$46="Yes")*(87=Projects!$C$17:$C$46+Projects!$D$17:$D$46-1)*Projects!$B$17:$B$46*Assumptions!$B$11*0.05)+SUMPRODUCT((Projects!$G$17:$G$46="Yes")*(87&gt;=Projects!$C$17:$C$46)*(87&lt;Projects!$C$17:$C$46+Projects!$D$17:$D$46)*Projects!$B$17:$B$46*Assumptions!$B$12/Projects!$D$17:$D$46*0.95)+SUMPRODUCT((Projects!$G$17:$G$46="Yes")*(87=Projects!$C$17:$C$46+Projects!$D$17:$D$46-1)*Projects!$B$17:$B$46*Assumptions!$B$12*0.05)</f>
        <v>5821691.5499999998</v>
      </c>
      <c r="CO97" s="59">
        <f>CO96+SUMPRODUCT((Projects!$G$17:$G$46="Yes")*(88&gt;=Projects!$C$17:$C$46)*(88&lt;Projects!$C$17:$C$46+Projects!$D$17:$D$46)*Projects!$B$17:$B$46*Assumptions!$B$10/Projects!$D$17:$D$46*0.95)+SUMPRODUCT((Projects!$G$17:$G$46="Yes")*(88=Projects!$C$17:$C$46+Projects!$D$17:$D$46-1)*Projects!$B$17:$B$46*Assumptions!$B$10*0.05)+SUMPRODUCT((Projects!$G$17:$G$46="Yes")*(88&gt;=Projects!$C$17:$C$46)*(88&lt;Projects!$C$17:$C$46+Projects!$D$17:$D$46)*Projects!$B$17:$B$46*Assumptions!$B$11/Projects!$D$17:$D$46*0.95)+SUMPRODUCT((Projects!$G$17:$G$46="Yes")*(88=Projects!$C$17:$C$46+Projects!$D$17:$D$46-1)*Projects!$B$17:$B$46*Assumptions!$B$11*0.05)+SUMPRODUCT((Projects!$G$17:$G$46="Yes")*(88&gt;=Projects!$C$17:$C$46)*(88&lt;Projects!$C$17:$C$46+Projects!$D$17:$D$46)*Projects!$B$17:$B$46*Assumptions!$B$12/Projects!$D$17:$D$46*0.95)+SUMPRODUCT((Projects!$G$17:$G$46="Yes")*(88=Projects!$C$17:$C$46+Projects!$D$17:$D$46-1)*Projects!$B$17:$B$46*Assumptions!$B$12*0.05)</f>
        <v>5760773.5499999998</v>
      </c>
      <c r="CP97" s="59">
        <f>CP96+SUMPRODUCT((Projects!$G$17:$G$46="Yes")*(89&gt;=Projects!$C$17:$C$46)*(89&lt;Projects!$C$17:$C$46+Projects!$D$17:$D$46)*Projects!$B$17:$B$46*Assumptions!$B$10/Projects!$D$17:$D$46*0.95)+SUMPRODUCT((Projects!$G$17:$G$46="Yes")*(89=Projects!$C$17:$C$46+Projects!$D$17:$D$46-1)*Projects!$B$17:$B$46*Assumptions!$B$10*0.05)+SUMPRODUCT((Projects!$G$17:$G$46="Yes")*(89&gt;=Projects!$C$17:$C$46)*(89&lt;Projects!$C$17:$C$46+Projects!$D$17:$D$46)*Projects!$B$17:$B$46*Assumptions!$B$11/Projects!$D$17:$D$46*0.95)+SUMPRODUCT((Projects!$G$17:$G$46="Yes")*(89=Projects!$C$17:$C$46+Projects!$D$17:$D$46-1)*Projects!$B$17:$B$46*Assumptions!$B$11*0.05)+SUMPRODUCT((Projects!$G$17:$G$46="Yes")*(89&gt;=Projects!$C$17:$C$46)*(89&lt;Projects!$C$17:$C$46+Projects!$D$17:$D$46)*Projects!$B$17:$B$46*Assumptions!$B$12/Projects!$D$17:$D$46*0.95)+SUMPRODUCT((Projects!$G$17:$G$46="Yes")*(89=Projects!$C$17:$C$46+Projects!$D$17:$D$46-1)*Projects!$B$17:$B$46*Assumptions!$B$12*0.05)</f>
        <v>5596289.5499999998</v>
      </c>
      <c r="CQ97" s="59">
        <f>CQ96+SUMPRODUCT((Projects!$G$17:$G$46="Yes")*(90&gt;=Projects!$C$17:$C$46)*(90&lt;Projects!$C$17:$C$46+Projects!$D$17:$D$46)*Projects!$B$17:$B$46*Assumptions!$B$10/Projects!$D$17:$D$46*0.95)+SUMPRODUCT((Projects!$G$17:$G$46="Yes")*(90=Projects!$C$17:$C$46+Projects!$D$17:$D$46-1)*Projects!$B$17:$B$46*Assumptions!$B$10*0.05)+SUMPRODUCT((Projects!$G$17:$G$46="Yes")*(90&gt;=Projects!$C$17:$C$46)*(90&lt;Projects!$C$17:$C$46+Projects!$D$17:$D$46)*Projects!$B$17:$B$46*Assumptions!$B$11/Projects!$D$17:$D$46*0.95)+SUMPRODUCT((Projects!$G$17:$G$46="Yes")*(90=Projects!$C$17:$C$46+Projects!$D$17:$D$46-1)*Projects!$B$17:$B$46*Assumptions!$B$11*0.05)+SUMPRODUCT((Projects!$G$17:$G$46="Yes")*(90&gt;=Projects!$C$17:$C$46)*(90&lt;Projects!$C$17:$C$46+Projects!$D$17:$D$46)*Projects!$B$17:$B$46*Assumptions!$B$12/Projects!$D$17:$D$46*0.95)+SUMPRODUCT((Projects!$G$17:$G$46="Yes")*(90=Projects!$C$17:$C$46+Projects!$D$17:$D$46-1)*Projects!$B$17:$B$46*Assumptions!$B$12*0.05)</f>
        <v>5337740.55</v>
      </c>
      <c r="CR97" s="59">
        <f>CR96+SUMPRODUCT((Projects!$G$17:$G$46="Yes")*(91&gt;=Projects!$C$17:$C$46)*(91&lt;Projects!$C$17:$C$46+Projects!$D$17:$D$46)*Projects!$B$17:$B$46*Assumptions!$B$10/Projects!$D$17:$D$46*0.95)+SUMPRODUCT((Projects!$G$17:$G$46="Yes")*(91=Projects!$C$17:$C$46+Projects!$D$17:$D$46-1)*Projects!$B$17:$B$46*Assumptions!$B$10*0.05)+SUMPRODUCT((Projects!$G$17:$G$46="Yes")*(91&gt;=Projects!$C$17:$C$46)*(91&lt;Projects!$C$17:$C$46+Projects!$D$17:$D$46)*Projects!$B$17:$B$46*Assumptions!$B$11/Projects!$D$17:$D$46*0.95)+SUMPRODUCT((Projects!$G$17:$G$46="Yes")*(91=Projects!$C$17:$C$46+Projects!$D$17:$D$46-1)*Projects!$B$17:$B$46*Assumptions!$B$11*0.05)+SUMPRODUCT((Projects!$G$17:$G$46="Yes")*(91&gt;=Projects!$C$17:$C$46)*(91&lt;Projects!$C$17:$C$46+Projects!$D$17:$D$46)*Projects!$B$17:$B$46*Assumptions!$B$12/Projects!$D$17:$D$46*0.95)+SUMPRODUCT((Projects!$G$17:$G$46="Yes")*(91=Projects!$C$17:$C$46+Projects!$D$17:$D$46-1)*Projects!$B$17:$B$46*Assumptions!$B$12*0.05)</f>
        <v>4999613.55</v>
      </c>
      <c r="CS97" s="59">
        <f>CS96+SUMPRODUCT((Projects!$G$17:$G$46="Yes")*(92&gt;=Projects!$C$17:$C$46)*(92&lt;Projects!$C$17:$C$46+Projects!$D$17:$D$46)*Projects!$B$17:$B$46*Assumptions!$B$10/Projects!$D$17:$D$46*0.95)+SUMPRODUCT((Projects!$G$17:$G$46="Yes")*(92=Projects!$C$17:$C$46+Projects!$D$17:$D$46-1)*Projects!$B$17:$B$46*Assumptions!$B$10*0.05)+SUMPRODUCT((Projects!$G$17:$G$46="Yes")*(92&gt;=Projects!$C$17:$C$46)*(92&lt;Projects!$C$17:$C$46+Projects!$D$17:$D$46)*Projects!$B$17:$B$46*Assumptions!$B$11/Projects!$D$17:$D$46*0.95)+SUMPRODUCT((Projects!$G$17:$G$46="Yes")*(92=Projects!$C$17:$C$46+Projects!$D$17:$D$46-1)*Projects!$B$17:$B$46*Assumptions!$B$11*0.05)+SUMPRODUCT((Projects!$G$17:$G$46="Yes")*(92&gt;=Projects!$C$17:$C$46)*(92&lt;Projects!$C$17:$C$46+Projects!$D$17:$D$46)*Projects!$B$17:$B$46*Assumptions!$B$12/Projects!$D$17:$D$46*0.95)+SUMPRODUCT((Projects!$G$17:$G$46="Yes")*(92=Projects!$C$17:$C$46+Projects!$D$17:$D$46-1)*Projects!$B$17:$B$46*Assumptions!$B$12*0.05)</f>
        <v>4708587.45</v>
      </c>
      <c r="CT97" s="59">
        <f>CT96+SUMPRODUCT((Projects!$G$17:$G$46="Yes")*(93&gt;=Projects!$C$17:$C$46)*(93&lt;Projects!$C$17:$C$46+Projects!$D$17:$D$46)*Projects!$B$17:$B$46*Assumptions!$B$10/Projects!$D$17:$D$46*0.95)+SUMPRODUCT((Projects!$G$17:$G$46="Yes")*(93=Projects!$C$17:$C$46+Projects!$D$17:$D$46-1)*Projects!$B$17:$B$46*Assumptions!$B$10*0.05)+SUMPRODUCT((Projects!$G$17:$G$46="Yes")*(93&gt;=Projects!$C$17:$C$46)*(93&lt;Projects!$C$17:$C$46+Projects!$D$17:$D$46)*Projects!$B$17:$B$46*Assumptions!$B$11/Projects!$D$17:$D$46*0.95)+SUMPRODUCT((Projects!$G$17:$G$46="Yes")*(93=Projects!$C$17:$C$46+Projects!$D$17:$D$46-1)*Projects!$B$17:$B$46*Assumptions!$B$11*0.05)+SUMPRODUCT((Projects!$G$17:$G$46="Yes")*(93&gt;=Projects!$C$17:$C$46)*(93&lt;Projects!$C$17:$C$46+Projects!$D$17:$D$46)*Projects!$B$17:$B$46*Assumptions!$B$12/Projects!$D$17:$D$46*0.95)+SUMPRODUCT((Projects!$G$17:$G$46="Yes")*(93=Projects!$C$17:$C$46+Projects!$D$17:$D$46-1)*Projects!$B$17:$B$46*Assumptions!$B$12*0.05)</f>
        <v>3674782.65</v>
      </c>
      <c r="CU97" s="59">
        <f>CU96+SUMPRODUCT((Projects!$G$17:$G$46="Yes")*(94&gt;=Projects!$C$17:$C$46)*(94&lt;Projects!$C$17:$C$46+Projects!$D$17:$D$46)*Projects!$B$17:$B$46*Assumptions!$B$10/Projects!$D$17:$D$46*0.95)+SUMPRODUCT((Projects!$G$17:$G$46="Yes")*(94=Projects!$C$17:$C$46+Projects!$D$17:$D$46-1)*Projects!$B$17:$B$46*Assumptions!$B$10*0.05)+SUMPRODUCT((Projects!$G$17:$G$46="Yes")*(94&gt;=Projects!$C$17:$C$46)*(94&lt;Projects!$C$17:$C$46+Projects!$D$17:$D$46)*Projects!$B$17:$B$46*Assumptions!$B$11/Projects!$D$17:$D$46*0.95)+SUMPRODUCT((Projects!$G$17:$G$46="Yes")*(94=Projects!$C$17:$C$46+Projects!$D$17:$D$46-1)*Projects!$B$17:$B$46*Assumptions!$B$11*0.05)+SUMPRODUCT((Projects!$G$17:$G$46="Yes")*(94&gt;=Projects!$C$17:$C$46)*(94&lt;Projects!$C$17:$C$46+Projects!$D$17:$D$46)*Projects!$B$17:$B$46*Assumptions!$B$12/Projects!$D$17:$D$46*0.95)+SUMPRODUCT((Projects!$G$17:$G$46="Yes")*(94=Projects!$C$17:$C$46+Projects!$D$17:$D$46-1)*Projects!$B$17:$B$46*Assumptions!$B$12*0.05)</f>
        <v>3391488.9</v>
      </c>
      <c r="CV97" s="59">
        <f>CV96+SUMPRODUCT((Projects!$G$17:$G$46="Yes")*(95&gt;=Projects!$C$17:$C$46)*(95&lt;Projects!$C$17:$C$46+Projects!$D$17:$D$46)*Projects!$B$17:$B$46*Assumptions!$B$10/Projects!$D$17:$D$46*0.95)+SUMPRODUCT((Projects!$G$17:$G$46="Yes")*(95=Projects!$C$17:$C$46+Projects!$D$17:$D$46-1)*Projects!$B$17:$B$46*Assumptions!$B$10*0.05)+SUMPRODUCT((Projects!$G$17:$G$46="Yes")*(95&gt;=Projects!$C$17:$C$46)*(95&lt;Projects!$C$17:$C$46+Projects!$D$17:$D$46)*Projects!$B$17:$B$46*Assumptions!$B$11/Projects!$D$17:$D$46*0.95)+SUMPRODUCT((Projects!$G$17:$G$46="Yes")*(95=Projects!$C$17:$C$46+Projects!$D$17:$D$46-1)*Projects!$B$17:$B$46*Assumptions!$B$11*0.05)+SUMPRODUCT((Projects!$G$17:$G$46="Yes")*(95&gt;=Projects!$C$17:$C$46)*(95&lt;Projects!$C$17:$C$46+Projects!$D$17:$D$46)*Projects!$B$17:$B$46*Assumptions!$B$12/Projects!$D$17:$D$46*0.95)+SUMPRODUCT((Projects!$G$17:$G$46="Yes")*(95=Projects!$C$17:$C$46+Projects!$D$17:$D$46-1)*Projects!$B$17:$B$46*Assumptions!$B$12*0.05)</f>
        <v>2508599.4</v>
      </c>
      <c r="CW97" s="59">
        <f>CW96+SUMPRODUCT((Projects!$G$17:$G$46="Yes")*(96&gt;=Projects!$C$17:$C$46)*(96&lt;Projects!$C$17:$C$46+Projects!$D$17:$D$46)*Projects!$B$17:$B$46*Assumptions!$B$10/Projects!$D$17:$D$46*0.95)+SUMPRODUCT((Projects!$G$17:$G$46="Yes")*(96=Projects!$C$17:$C$46+Projects!$D$17:$D$46-1)*Projects!$B$17:$B$46*Assumptions!$B$10*0.05)+SUMPRODUCT((Projects!$G$17:$G$46="Yes")*(96&gt;=Projects!$C$17:$C$46)*(96&lt;Projects!$C$17:$C$46+Projects!$D$17:$D$46)*Projects!$B$17:$B$46*Assumptions!$B$11/Projects!$D$17:$D$46*0.95)+SUMPRODUCT((Projects!$G$17:$G$46="Yes")*(96=Projects!$C$17:$C$46+Projects!$D$17:$D$46-1)*Projects!$B$17:$B$46*Assumptions!$B$11*0.05)+SUMPRODUCT((Projects!$G$17:$G$46="Yes")*(96&gt;=Projects!$C$17:$C$46)*(96&lt;Projects!$C$17:$C$46+Projects!$D$17:$D$46)*Projects!$B$17:$B$46*Assumptions!$B$12/Projects!$D$17:$D$46*0.95)+SUMPRODUCT((Projects!$G$17:$G$46="Yes")*(96=Projects!$C$17:$C$46+Projects!$D$17:$D$46-1)*Projects!$B$17:$B$46*Assumptions!$B$12*0.05)</f>
        <v>2285932.65</v>
      </c>
      <c r="CX97" s="59">
        <f>CX96+SUMPRODUCT((Projects!$G$17:$G$46="Yes")*(97&gt;=Projects!$C$17:$C$46)*(97&lt;Projects!$C$17:$C$46+Projects!$D$17:$D$46)*Projects!$B$17:$B$46*Assumptions!$B$10/Projects!$D$17:$D$46*0.95)+SUMPRODUCT((Projects!$G$17:$G$46="Yes")*(97=Projects!$C$17:$C$46+Projects!$D$17:$D$46-1)*Projects!$B$17:$B$46*Assumptions!$B$10*0.05)+SUMPRODUCT((Projects!$G$17:$G$46="Yes")*(97&gt;=Projects!$C$17:$C$46)*(97&lt;Projects!$C$17:$C$46+Projects!$D$17:$D$46)*Projects!$B$17:$B$46*Assumptions!$B$11/Projects!$D$17:$D$46*0.95)+SUMPRODUCT((Projects!$G$17:$G$46="Yes")*(97=Projects!$C$17:$C$46+Projects!$D$17:$D$46-1)*Projects!$B$17:$B$46*Assumptions!$B$11*0.05)+SUMPRODUCT((Projects!$G$17:$G$46="Yes")*(97&gt;=Projects!$C$17:$C$46)*(97&lt;Projects!$C$17:$C$46+Projects!$D$17:$D$46)*Projects!$B$17:$B$46*Assumptions!$B$12/Projects!$D$17:$D$46*0.95)+SUMPRODUCT((Projects!$G$17:$G$46="Yes")*(97=Projects!$C$17:$C$46+Projects!$D$17:$D$46-1)*Projects!$B$17:$B$46*Assumptions!$B$12*0.05)</f>
        <v>1484523.15</v>
      </c>
      <c r="CY97" s="59">
        <f>CY96+SUMPRODUCT((Projects!$G$17:$G$46="Yes")*(98&gt;=Projects!$C$17:$C$46)*(98&lt;Projects!$C$17:$C$46+Projects!$D$17:$D$46)*Projects!$B$17:$B$46*Assumptions!$B$10/Projects!$D$17:$D$46*0.95)+SUMPRODUCT((Projects!$G$17:$G$46="Yes")*(98=Projects!$C$17:$C$46+Projects!$D$17:$D$46-1)*Projects!$B$17:$B$46*Assumptions!$B$10*0.05)+SUMPRODUCT((Projects!$G$17:$G$46="Yes")*(98&gt;=Projects!$C$17:$C$46)*(98&lt;Projects!$C$17:$C$46+Projects!$D$17:$D$46)*Projects!$B$17:$B$46*Assumptions!$B$11/Projects!$D$17:$D$46*0.95)+SUMPRODUCT((Projects!$G$17:$G$46="Yes")*(98=Projects!$C$17:$C$46+Projects!$D$17:$D$46-1)*Projects!$B$17:$B$46*Assumptions!$B$11*0.05)+SUMPRODUCT((Projects!$G$17:$G$46="Yes")*(98&gt;=Projects!$C$17:$C$46)*(98&lt;Projects!$C$17:$C$46+Projects!$D$17:$D$46)*Projects!$B$17:$B$46*Assumptions!$B$12/Projects!$D$17:$D$46*0.95)+SUMPRODUCT((Projects!$G$17:$G$46="Yes")*(98=Projects!$C$17:$C$46+Projects!$D$17:$D$46-1)*Projects!$B$17:$B$46*Assumptions!$B$12*0.05)</f>
        <v>1376533.0499999998</v>
      </c>
      <c r="CZ97" s="59">
        <f>CZ96+SUMPRODUCT((Projects!$G$17:$G$46="Yes")*(99&gt;=Projects!$C$17:$C$46)*(99&lt;Projects!$C$17:$C$46+Projects!$D$17:$D$46)*Projects!$B$17:$B$46*Assumptions!$B$10/Projects!$D$17:$D$46*0.95)+SUMPRODUCT((Projects!$G$17:$G$46="Yes")*(99=Projects!$C$17:$C$46+Projects!$D$17:$D$46-1)*Projects!$B$17:$B$46*Assumptions!$B$10*0.05)+SUMPRODUCT((Projects!$G$17:$G$46="Yes")*(99&gt;=Projects!$C$17:$C$46)*(99&lt;Projects!$C$17:$C$46+Projects!$D$17:$D$46)*Projects!$B$17:$B$46*Assumptions!$B$11/Projects!$D$17:$D$46*0.95)+SUMPRODUCT((Projects!$G$17:$G$46="Yes")*(99=Projects!$C$17:$C$46+Projects!$D$17:$D$46-1)*Projects!$B$17:$B$46*Assumptions!$B$11*0.05)+SUMPRODUCT((Projects!$G$17:$G$46="Yes")*(99&gt;=Projects!$C$17:$C$46)*(99&lt;Projects!$C$17:$C$46+Projects!$D$17:$D$46)*Projects!$B$17:$B$46*Assumptions!$B$12/Projects!$D$17:$D$46*0.95)+SUMPRODUCT((Projects!$G$17:$G$46="Yes")*(99=Projects!$C$17:$C$46+Projects!$D$17:$D$46-1)*Projects!$B$17:$B$46*Assumptions!$B$12*0.05)</f>
        <v>581708.25</v>
      </c>
      <c r="DA97" s="59">
        <f>DA96+SUMPRODUCT((Projects!$G$17:$G$46="Yes")*(100&gt;=Projects!$C$17:$C$46)*(100&lt;Projects!$C$17:$C$46+Projects!$D$17:$D$46)*Projects!$B$17:$B$46*Assumptions!$B$10/Projects!$D$17:$D$46*0.95)+SUMPRODUCT((Projects!$G$17:$G$46="Yes")*(100=Projects!$C$17:$C$46+Projects!$D$17:$D$46-1)*Projects!$B$17:$B$46*Assumptions!$B$10*0.05)+SUMPRODUCT((Projects!$G$17:$G$46="Yes")*(100&gt;=Projects!$C$17:$C$46)*(100&lt;Projects!$C$17:$C$46+Projects!$D$17:$D$46)*Projects!$B$17:$B$46*Assumptions!$B$11/Projects!$D$17:$D$46*0.95)+SUMPRODUCT((Projects!$G$17:$G$46="Yes")*(100=Projects!$C$17:$C$46+Projects!$D$17:$D$46-1)*Projects!$B$17:$B$46*Assumptions!$B$11*0.05)+SUMPRODUCT((Projects!$G$17:$G$46="Yes")*(100&gt;=Projects!$C$17:$C$46)*(100&lt;Projects!$C$17:$C$46+Projects!$D$17:$D$46)*Projects!$B$17:$B$46*Assumptions!$B$12/Projects!$D$17:$D$46*0.95)+SUMPRODUCT((Projects!$G$17:$G$46="Yes")*(100=Projects!$C$17:$C$46+Projects!$D$17:$D$46-1)*Projects!$B$17:$B$46*Assumptions!$B$12*0.05)</f>
        <v>578341.5</v>
      </c>
      <c r="DB97" s="59">
        <f>DB96+SUMPRODUCT((Projects!$G$17:$G$46="Yes")*(101&gt;=Projects!$C$17:$C$46)*(101&lt;Projects!$C$17:$C$46+Projects!$D$17:$D$46)*Projects!$B$17:$B$46*Assumptions!$B$10/Projects!$D$17:$D$46*0.95)+SUMPRODUCT((Projects!$G$17:$G$46="Yes")*(101=Projects!$C$17:$C$46+Projects!$D$17:$D$46-1)*Projects!$B$17:$B$46*Assumptions!$B$10*0.05)+SUMPRODUCT((Projects!$G$17:$G$46="Yes")*(101&gt;=Projects!$C$17:$C$46)*(101&lt;Projects!$C$17:$C$46+Projects!$D$17:$D$46)*Projects!$B$17:$B$46*Assumptions!$B$11/Projects!$D$17:$D$46*0.95)+SUMPRODUCT((Projects!$G$17:$G$46="Yes")*(101=Projects!$C$17:$C$46+Projects!$D$17:$D$46-1)*Projects!$B$17:$B$46*Assumptions!$B$11*0.05)+SUMPRODUCT((Projects!$G$17:$G$46="Yes")*(101&gt;=Projects!$C$17:$C$46)*(101&lt;Projects!$C$17:$C$46+Projects!$D$17:$D$46)*Projects!$B$17:$B$46*Assumptions!$B$12/Projects!$D$17:$D$46*0.95)+SUMPRODUCT((Projects!$G$17:$G$46="Yes")*(101=Projects!$C$17:$C$46+Projects!$D$17:$D$46-1)*Projects!$B$17:$B$46*Assumptions!$B$12*0.05)</f>
        <v>0</v>
      </c>
      <c r="DC97" s="59">
        <f>DC96+SUMPRODUCT((Projects!$G$17:$G$46="Yes")*(102&gt;=Projects!$C$17:$C$46)*(102&lt;Projects!$C$17:$C$46+Projects!$D$17:$D$46)*Projects!$B$17:$B$46*Assumptions!$B$10/Projects!$D$17:$D$46*0.95)+SUMPRODUCT((Projects!$G$17:$G$46="Yes")*(102=Projects!$C$17:$C$46+Projects!$D$17:$D$46-1)*Projects!$B$17:$B$46*Assumptions!$B$10*0.05)+SUMPRODUCT((Projects!$G$17:$G$46="Yes")*(102&gt;=Projects!$C$17:$C$46)*(102&lt;Projects!$C$17:$C$46+Projects!$D$17:$D$46)*Projects!$B$17:$B$46*Assumptions!$B$11/Projects!$D$17:$D$46*0.95)+SUMPRODUCT((Projects!$G$17:$G$46="Yes")*(102=Projects!$C$17:$C$46+Projects!$D$17:$D$46-1)*Projects!$B$17:$B$46*Assumptions!$B$11*0.05)+SUMPRODUCT((Projects!$G$17:$G$46="Yes")*(102&gt;=Projects!$C$17:$C$46)*(102&lt;Projects!$C$17:$C$46+Projects!$D$17:$D$46)*Projects!$B$17:$B$46*Assumptions!$B$12/Projects!$D$17:$D$46*0.95)+SUMPRODUCT((Projects!$G$17:$G$46="Yes")*(102=Projects!$C$17:$C$46+Projects!$D$17:$D$46-1)*Projects!$B$17:$B$46*Assumptions!$B$12*0.05)</f>
        <v>0</v>
      </c>
      <c r="DD97" s="59">
        <f>DD96+SUMPRODUCT((Projects!$G$17:$G$46="Yes")*(103&gt;=Projects!$C$17:$C$46)*(103&lt;Projects!$C$17:$C$46+Projects!$D$17:$D$46)*Projects!$B$17:$B$46*Assumptions!$B$10/Projects!$D$17:$D$46*0.95)+SUMPRODUCT((Projects!$G$17:$G$46="Yes")*(103=Projects!$C$17:$C$46+Projects!$D$17:$D$46-1)*Projects!$B$17:$B$46*Assumptions!$B$10*0.05)+SUMPRODUCT((Projects!$G$17:$G$46="Yes")*(103&gt;=Projects!$C$17:$C$46)*(103&lt;Projects!$C$17:$C$46+Projects!$D$17:$D$46)*Projects!$B$17:$B$46*Assumptions!$B$11/Projects!$D$17:$D$46*0.95)+SUMPRODUCT((Projects!$G$17:$G$46="Yes")*(103=Projects!$C$17:$C$46+Projects!$D$17:$D$46-1)*Projects!$B$17:$B$46*Assumptions!$B$11*0.05)+SUMPRODUCT((Projects!$G$17:$G$46="Yes")*(103&gt;=Projects!$C$17:$C$46)*(103&lt;Projects!$C$17:$C$46+Projects!$D$17:$D$46)*Projects!$B$17:$B$46*Assumptions!$B$12/Projects!$D$17:$D$46*0.95)+SUMPRODUCT((Projects!$G$17:$G$46="Yes")*(103=Projects!$C$17:$C$46+Projects!$D$17:$D$46-1)*Projects!$B$17:$B$46*Assumptions!$B$12*0.05)</f>
        <v>0</v>
      </c>
      <c r="DE97" s="59">
        <f>DE96+SUMPRODUCT((Projects!$G$17:$G$46="Yes")*(104&gt;=Projects!$C$17:$C$46)*(104&lt;Projects!$C$17:$C$46+Projects!$D$17:$D$46)*Projects!$B$17:$B$46*Assumptions!$B$10/Projects!$D$17:$D$46*0.95)+SUMPRODUCT((Projects!$G$17:$G$46="Yes")*(104=Projects!$C$17:$C$46+Projects!$D$17:$D$46-1)*Projects!$B$17:$B$46*Assumptions!$B$10*0.05)+SUMPRODUCT((Projects!$G$17:$G$46="Yes")*(104&gt;=Projects!$C$17:$C$46)*(104&lt;Projects!$C$17:$C$46+Projects!$D$17:$D$46)*Projects!$B$17:$B$46*Assumptions!$B$11/Projects!$D$17:$D$46*0.95)+SUMPRODUCT((Projects!$G$17:$G$46="Yes")*(104=Projects!$C$17:$C$46+Projects!$D$17:$D$46-1)*Projects!$B$17:$B$46*Assumptions!$B$11*0.05)+SUMPRODUCT((Projects!$G$17:$G$46="Yes")*(104&gt;=Projects!$C$17:$C$46)*(104&lt;Projects!$C$17:$C$46+Projects!$D$17:$D$46)*Projects!$B$17:$B$46*Assumptions!$B$12/Projects!$D$17:$D$46*0.95)+SUMPRODUCT((Projects!$G$17:$G$46="Yes")*(104=Projects!$C$17:$C$46+Projects!$D$17:$D$46-1)*Projects!$B$17:$B$46*Assumptions!$B$12*0.05)</f>
        <v>0</v>
      </c>
      <c r="DF97" s="59">
        <f>DF96+SUMPRODUCT((Projects!$G$17:$G$46="Yes")*(105&gt;=Projects!$C$17:$C$46)*(105&lt;Projects!$C$17:$C$46+Projects!$D$17:$D$46)*Projects!$B$17:$B$46*Assumptions!$B$10/Projects!$D$17:$D$46*0.95)+SUMPRODUCT((Projects!$G$17:$G$46="Yes")*(105=Projects!$C$17:$C$46+Projects!$D$17:$D$46-1)*Projects!$B$17:$B$46*Assumptions!$B$10*0.05)+SUMPRODUCT((Projects!$G$17:$G$46="Yes")*(105&gt;=Projects!$C$17:$C$46)*(105&lt;Projects!$C$17:$C$46+Projects!$D$17:$D$46)*Projects!$B$17:$B$46*Assumptions!$B$11/Projects!$D$17:$D$46*0.95)+SUMPRODUCT((Projects!$G$17:$G$46="Yes")*(105=Projects!$C$17:$C$46+Projects!$D$17:$D$46-1)*Projects!$B$17:$B$46*Assumptions!$B$11*0.05)+SUMPRODUCT((Projects!$G$17:$G$46="Yes")*(105&gt;=Projects!$C$17:$C$46)*(105&lt;Projects!$C$17:$C$46+Projects!$D$17:$D$46)*Projects!$B$17:$B$46*Assumptions!$B$12/Projects!$D$17:$D$46*0.95)+SUMPRODUCT((Projects!$G$17:$G$46="Yes")*(105=Projects!$C$17:$C$46+Projects!$D$17:$D$46-1)*Projects!$B$17:$B$46*Assumptions!$B$12*0.05)</f>
        <v>0</v>
      </c>
    </row>
    <row r="98" spans="1:110" x14ac:dyDescent="0.25">
      <c r="A98" s="56" t="s">
        <v>831</v>
      </c>
      <c r="C98" s="60">
        <f>IFERROR((C97-C96)/(Model!C20-IF(AND(Projects!$G$14="Yes",Model!C$3&gt;=Projects!$C$14),Model!C18+Model!C19,0)),0)</f>
        <v>0</v>
      </c>
      <c r="D98" s="60">
        <f>IFERROR((D97-D96)/(Model!D20-IF(AND(Projects!$G$14="Yes",Model!D$3&gt;=Projects!$C$14),Model!D18+Model!D19,0)),0)</f>
        <v>0</v>
      </c>
      <c r="E98" s="60">
        <f>IFERROR((E97-E96)/(Model!E20-IF(AND(Projects!$G$14="Yes",Model!E$3&gt;=Projects!$C$14),Model!E18+Model!E19,0)),0)</f>
        <v>0</v>
      </c>
      <c r="F98" s="60">
        <f>IFERROR((F97-F96)/(Model!F20-IF(AND(Projects!$G$14="Yes",Model!F$3&gt;=Projects!$C$14),Model!F18+Model!F19,0)),0)</f>
        <v>0</v>
      </c>
      <c r="G98" s="60">
        <f>IFERROR((G97-G96)/(Model!G20-IF(AND(Projects!$G$14="Yes",Model!G$3&gt;=Projects!$C$14),Model!G18+Model!G19,0)),0)</f>
        <v>0</v>
      </c>
      <c r="H98" s="60">
        <f>IFERROR((H97-H96)/(Model!H20-IF(AND(Projects!$G$14="Yes",Model!H$3&gt;=Projects!$C$14),Model!H18+Model!H19,0)),0)</f>
        <v>0</v>
      </c>
      <c r="I98" s="60">
        <f>IFERROR((I97-I96)/(Model!I20-IF(AND(Projects!$G$14="Yes",Model!I$3&gt;=Projects!$C$14),Model!I18+Model!I19,0)),0)</f>
        <v>0</v>
      </c>
      <c r="J98" s="60">
        <f>IFERROR((J97-J96)/(Model!J20-IF(AND(Projects!$G$14="Yes",Model!J$3&gt;=Projects!$C$14),Model!J18+Model!J19,0)),0)</f>
        <v>0</v>
      </c>
      <c r="K98" s="60">
        <f>IFERROR((K97-K96)/(Model!K20-IF(AND(Projects!$G$14="Yes",Model!K$3&gt;=Projects!$C$14),Model!K18+Model!K19,0)),0)</f>
        <v>0</v>
      </c>
      <c r="L98" s="60">
        <f>IFERROR((L97-L96)/(Model!L20-IF(AND(Projects!$G$14="Yes",Model!L$3&gt;=Projects!$C$14),Model!L18+Model!L19,0)),0)</f>
        <v>0</v>
      </c>
      <c r="M98" s="60">
        <f>IFERROR((M97-M96)/(Model!M20-IF(AND(Projects!$G$14="Yes",Model!M$3&gt;=Projects!$C$14),Model!M18+Model!M19,0)),0)</f>
        <v>0</v>
      </c>
      <c r="N98" s="60">
        <f>IFERROR((N97-N96)/(Model!N20-IF(AND(Projects!$G$14="Yes",Model!N$3&gt;=Projects!$C$14),Model!N18+Model!N19,0)),0)</f>
        <v>0</v>
      </c>
      <c r="O98" s="60">
        <f>IFERROR((O97-O96)/(Model!O20-IF(AND(Projects!$G$14="Yes",Model!O$3&gt;=Projects!$C$14),Model!O18+Model!O19,0)),0)</f>
        <v>0</v>
      </c>
      <c r="P98" s="60">
        <f>IFERROR((P97-P96)/(Model!P20-IF(AND(Projects!$G$14="Yes",Model!P$3&gt;=Projects!$C$14),Model!P18+Model!P19,0)),0)</f>
        <v>0</v>
      </c>
      <c r="Q98" s="60">
        <f>IFERROR((Q97-Q96)/(Model!Q20-IF(AND(Projects!$G$14="Yes",Model!Q$3&gt;=Projects!$C$14),Model!Q18+Model!Q19,0)),0)</f>
        <v>0</v>
      </c>
      <c r="R98" s="60">
        <f>IFERROR((R97-R96)/(Model!R20-IF(AND(Projects!$G$14="Yes",Model!R$3&gt;=Projects!$C$14),Model!R18+Model!R19,0)),0)</f>
        <v>0</v>
      </c>
      <c r="S98" s="60">
        <f>IFERROR((S97-S96)/(Model!S20-IF(AND(Projects!$G$14="Yes",Model!S$3&gt;=Projects!$C$14),Model!S18+Model!S19,0)),0)</f>
        <v>0</v>
      </c>
      <c r="T98" s="60">
        <f>IFERROR((T97-T96)/(Model!T20-IF(AND(Projects!$G$14="Yes",Model!T$3&gt;=Projects!$C$14),Model!T18+Model!T19,0)),0)</f>
        <v>0</v>
      </c>
      <c r="U98" s="60">
        <f>IFERROR((U97-U96)/(Model!U20-IF(AND(Projects!$G$14="Yes",Model!U$3&gt;=Projects!$C$14),Model!U18+Model!U19,0)),0)</f>
        <v>0</v>
      </c>
      <c r="V98" s="60">
        <f>IFERROR((V97-V96)/(Model!V20-IF(AND(Projects!$G$14="Yes",Model!V$3&gt;=Projects!$C$14),Model!V18+Model!V19,0)),0)</f>
        <v>0</v>
      </c>
      <c r="W98" s="60">
        <f>IFERROR((W97-W96)/(Model!W20-IF(AND(Projects!$G$14="Yes",Model!W$3&gt;=Projects!$C$14),Model!W18+Model!W19,0)),0)</f>
        <v>0</v>
      </c>
      <c r="X98" s="60">
        <f>IFERROR((X97-X96)/(Model!X20-IF(AND(Projects!$G$14="Yes",Model!X$3&gt;=Projects!$C$14),Model!X18+Model!X19,0)),0)</f>
        <v>0</v>
      </c>
      <c r="Y98" s="60">
        <f>IFERROR((Y97-Y96)/(Model!Y20-IF(AND(Projects!$G$14="Yes",Model!Y$3&gt;=Projects!$C$14),Model!Y18+Model!Y19,0)),0)</f>
        <v>0</v>
      </c>
      <c r="Z98" s="60">
        <f>IFERROR((Z97-Z96)/(Model!Z20-IF(AND(Projects!$G$14="Yes",Model!Z$3&gt;=Projects!$C$14),Model!Z18+Model!Z19,0)),0)</f>
        <v>0</v>
      </c>
      <c r="AA98" s="60">
        <f>IFERROR((AA97-AA96)/(Model!AA20-IF(AND(Projects!$G$14="Yes",Model!AA$3&gt;=Projects!$C$14),Model!AA18+Model!AA19,0)),0)</f>
        <v>0</v>
      </c>
      <c r="AB98" s="60">
        <f>IFERROR((AB97-AB96)/(Model!AB20-IF(AND(Projects!$G$14="Yes",Model!AB$3&gt;=Projects!$C$14),Model!AB18+Model!AB19,0)),0)</f>
        <v>0</v>
      </c>
      <c r="AC98" s="60">
        <f>IFERROR((AC97-AC96)/(Model!AC20-IF(AND(Projects!$G$14="Yes",Model!AC$3&gt;=Projects!$C$14),Model!AC18+Model!AC19,0)),0)</f>
        <v>0</v>
      </c>
      <c r="AD98" s="60">
        <f>IFERROR((AD97-AD96)/(Model!AD20-IF(AND(Projects!$G$14="Yes",Model!AD$3&gt;=Projects!$C$14),Model!AD18+Model!AD19,0)),0)</f>
        <v>0</v>
      </c>
      <c r="AE98" s="60">
        <f>IFERROR((AE97-AE96)/(Model!AE20-IF(AND(Projects!$G$14="Yes",Model!AE$3&gt;=Projects!$C$14),Model!AE18+Model!AE19,0)),0)</f>
        <v>0</v>
      </c>
      <c r="AF98" s="60">
        <f>IFERROR((AF97-AF96)/(Model!AF20-IF(AND(Projects!$G$14="Yes",Model!AF$3&gt;=Projects!$C$14),Model!AF18+Model!AF19,0)),0)</f>
        <v>0</v>
      </c>
      <c r="AG98" s="60">
        <f>IFERROR((AG97-AG96)/(Model!AG20-IF(AND(Projects!$G$14="Yes",Model!AG$3&gt;=Projects!$C$14),Model!AG18+Model!AG19,0)),0)</f>
        <v>0</v>
      </c>
      <c r="AH98" s="60">
        <f>IFERROR((AH97-AH96)/(Model!AH20-IF(AND(Projects!$G$14="Yes",Model!AH$3&gt;=Projects!$C$14),Model!AH18+Model!AH19,0)),0)</f>
        <v>0</v>
      </c>
      <c r="AI98" s="60">
        <f>IFERROR((AI97-AI96)/(Model!AI20-IF(AND(Projects!$G$14="Yes",Model!AI$3&gt;=Projects!$C$14),Model!AI18+Model!AI19,0)),0)</f>
        <v>0</v>
      </c>
      <c r="AJ98" s="60">
        <f>IFERROR((AJ97-AJ96)/(Model!AJ20-IF(AND(Projects!$G$14="Yes",Model!AJ$3&gt;=Projects!$C$14),Model!AJ18+Model!AJ19,0)),0)</f>
        <v>0.10330180231894701</v>
      </c>
      <c r="AK98" s="60">
        <f>IFERROR((AK97-AK96)/(Model!AK20-IF(AND(Projects!$G$14="Yes",Model!AK$3&gt;=Projects!$C$14),Model!AK18+Model!AK19,0)),0)</f>
        <v>0.14004469299815842</v>
      </c>
      <c r="AL98" s="60">
        <f>IFERROR((AL97-AL96)/(Model!AL20-IF(AND(Projects!$G$14="Yes",Model!AL$3&gt;=Projects!$C$14),Model!AL18+Model!AL19,0)),0)</f>
        <v>9.9948618258849833E-2</v>
      </c>
      <c r="AM98" s="60">
        <f>IFERROR((AM97-AM96)/(Model!AM20-IF(AND(Projects!$G$14="Yes",Model!AM$3&gt;=Projects!$C$14),Model!AM18+Model!AM19,0)),0)</f>
        <v>0.31613784483277674</v>
      </c>
      <c r="AN98" s="60">
        <f>IFERROR((AN97-AN96)/(Model!AN20-IF(AND(Projects!$G$14="Yes",Model!AN$3&gt;=Projects!$C$14),Model!AN18+Model!AN19,0)),0)</f>
        <v>0.31613784483277674</v>
      </c>
      <c r="AO98" s="60">
        <f>IFERROR((AO97-AO96)/(Model!AO20-IF(AND(Projects!$G$14="Yes",Model!AO$3&gt;=Projects!$C$14),Model!AO18+Model!AO19,0)),0)</f>
        <v>0.2709043405905332</v>
      </c>
      <c r="AP98" s="60">
        <f>IFERROR((AP97-AP96)/(Model!AP20-IF(AND(Projects!$G$14="Yes",Model!AP$3&gt;=Projects!$C$14),Model!AP18+Model!AP19,0)),0)</f>
        <v>0.46665270022664307</v>
      </c>
      <c r="AQ98" s="60">
        <f>IFERROR((AQ97-AQ96)/(Model!AQ20-IF(AND(Projects!$G$14="Yes",Model!AQ$3&gt;=Projects!$C$14),Model!AQ18+Model!AQ19,0)),0)</f>
        <v>0.46665270022664307</v>
      </c>
      <c r="AR98" s="60">
        <f>IFERROR((AR97-AR96)/(Model!AR20-IF(AND(Projects!$G$14="Yes",Model!AR$3&gt;=Projects!$C$14),Model!AR18+Model!AR19,0)),0)</f>
        <v>0.46665270022664307</v>
      </c>
      <c r="AS98" s="60">
        <f>IFERROR((AS97-AS96)/(Model!AS20-IF(AND(Projects!$G$14="Yes",Model!AS$3&gt;=Projects!$C$14),Model!AS18+Model!AS19,0)),0)</f>
        <v>0.5460853811807711</v>
      </c>
      <c r="AT98" s="60">
        <f>IFERROR((AT97-AT96)/(Model!AT20-IF(AND(Projects!$G$14="Yes",Model!AT$3&gt;=Projects!$C$14),Model!AT18+Model!AT19,0)),0)</f>
        <v>0.5460853811807711</v>
      </c>
      <c r="AU98" s="60">
        <f>IFERROR((AU97-AU96)/(Model!AU20-IF(AND(Projects!$G$14="Yes",Model!AU$3&gt;=Projects!$C$14),Model!AU18+Model!AU19,0)),0)</f>
        <v>0.39728643429204669</v>
      </c>
      <c r="AV98" s="60">
        <f>IFERROR((AV97-AV96)/(Model!AV20-IF(AND(Projects!$G$14="Yes",Model!AV$3&gt;=Projects!$C$14),Model!AV18+Model!AV19,0)),0)</f>
        <v>0.71590295041423913</v>
      </c>
      <c r="AW98" s="60">
        <f>IFERROR((AW97-AW96)/(Model!AW20-IF(AND(Projects!$G$14="Yes",Model!AW$3&gt;=Projects!$C$14),Model!AW18+Model!AW19,0)),0)</f>
        <v>0.71590295041423913</v>
      </c>
      <c r="AX98" s="60">
        <f>IFERROR((AX97-AX96)/(Model!AX20-IF(AND(Projects!$G$14="Yes",Model!AX$3&gt;=Projects!$C$14),Model!AX18+Model!AX19,0)),0)</f>
        <v>0.7159029504142379</v>
      </c>
      <c r="AY98" s="60">
        <f>IFERROR((AY97-AY96)/(Model!AY20-IF(AND(Projects!$G$14="Yes",Model!AY$3&gt;=Projects!$C$14),Model!AY18+Model!AY19,0)),0)</f>
        <v>0.71590295041423913</v>
      </c>
      <c r="AZ98" s="60">
        <f>IFERROR((AZ97-AZ96)/(Model!AZ20-IF(AND(Projects!$G$14="Yes",Model!AZ$3&gt;=Projects!$C$14),Model!AZ18+Model!AZ19,0)),0)</f>
        <v>0.71590295041423913</v>
      </c>
      <c r="BA98" s="60">
        <f>IFERROR((BA97-BA96)/(Model!BA20-IF(AND(Projects!$G$14="Yes",Model!BA$3&gt;=Projects!$C$14),Model!BA18+Model!BA19,0)),0)</f>
        <v>0.75565857478275034</v>
      </c>
      <c r="BB98" s="60">
        <f>IFERROR((BB97-BB96)/(Model!BB20-IF(AND(Projects!$G$14="Yes",Model!BB$3&gt;=Projects!$C$14),Model!BB18+Model!BB19,0)),0)</f>
        <v>0.7856535283522097</v>
      </c>
      <c r="BC98" s="60">
        <f>IFERROR((BC97-BC96)/(Model!BC20-IF(AND(Projects!$G$14="Yes",Model!BC$3&gt;=Projects!$C$14),Model!BC18+Model!BC19,0)),0)</f>
        <v>0.71590295041423913</v>
      </c>
      <c r="BD98" s="60">
        <f>IFERROR((BD97-BD96)/(Model!BD20-IF(AND(Projects!$G$14="Yes",Model!BD$3&gt;=Projects!$C$14),Model!BD18+Model!BD19,0)),0)</f>
        <v>0.7159029504142379</v>
      </c>
      <c r="BE98" s="60">
        <f>IFERROR((BE97-BE96)/(Model!BE20-IF(AND(Projects!$G$14="Yes",Model!BE$3&gt;=Projects!$C$14),Model!BE18+Model!BE19,0)),0)</f>
        <v>0.79078998419849345</v>
      </c>
      <c r="BF98" s="60">
        <f>IFERROR((BF97-BF96)/(Model!BF20-IF(AND(Projects!$G$14="Yes",Model!BF$3&gt;=Projects!$C$14),Model!BF18+Model!BF19,0)),0)</f>
        <v>0.72485640986713407</v>
      </c>
      <c r="BG98" s="60">
        <f>IFERROR((BG97-BG96)/(Model!BG20-IF(AND(Projects!$G$14="Yes",Model!BG$3&gt;=Projects!$C$14),Model!BG18+Model!BG19,0)),0)</f>
        <v>0.76231086489658717</v>
      </c>
      <c r="BH98" s="60">
        <f>IFERROR((BH97-BH96)/(Model!BH20-IF(AND(Projects!$G$14="Yes",Model!BH$3&gt;=Projects!$C$14),Model!BH18+Model!BH19,0)),0)</f>
        <v>0.79568602791831122</v>
      </c>
      <c r="BI98" s="60">
        <f>IFERROR((BI97-BI96)/(Model!BI20-IF(AND(Projects!$G$14="Yes",Model!BI$3&gt;=Projects!$C$14),Model!BI18+Model!BI19,0)),0)</f>
        <v>0.54528600642386216</v>
      </c>
      <c r="BJ98" s="60">
        <f>IFERROR((BJ97-BJ96)/(Model!BJ20-IF(AND(Projects!$G$14="Yes",Model!BJ$3&gt;=Projects!$C$14),Model!BJ18+Model!BJ19,0)),0)</f>
        <v>1</v>
      </c>
      <c r="BK98" s="60">
        <f>IFERROR((BK97-BK96)/(Model!BK20-IF(AND(Projects!$G$14="Yes",Model!BK$3&gt;=Projects!$C$14),Model!BK18+Model!BK19,0)),0)</f>
        <v>1.0000000000000007</v>
      </c>
      <c r="BL98" s="60">
        <f>IFERROR((BL97-BL96)/(Model!BL20-IF(AND(Projects!$G$14="Yes",Model!BL$3&gt;=Projects!$C$14),Model!BL18+Model!BL19,0)),0)</f>
        <v>1</v>
      </c>
      <c r="BM98" s="60">
        <f>IFERROR((BM97-BM96)/(Model!BM20-IF(AND(Projects!$G$14="Yes",Model!BM$3&gt;=Projects!$C$14),Model!BM18+Model!BM19,0)),0)</f>
        <v>1</v>
      </c>
      <c r="BN98" s="60">
        <f>IFERROR((BN97-BN96)/(Model!BN20-IF(AND(Projects!$G$14="Yes",Model!BN$3&gt;=Projects!$C$14),Model!BN18+Model!BN19,0)),0)</f>
        <v>1</v>
      </c>
      <c r="BO98" s="60">
        <f>IFERROR((BO97-BO96)/(Model!BO20-IF(AND(Projects!$G$14="Yes",Model!BO$3&gt;=Projects!$C$14),Model!BO18+Model!BO19,0)),0)</f>
        <v>1</v>
      </c>
      <c r="BP98" s="60">
        <f>IFERROR((BP97-BP96)/(Model!BP20-IF(AND(Projects!$G$14="Yes",Model!BP$3&gt;=Projects!$C$14),Model!BP18+Model!BP19,0)),0)</f>
        <v>1</v>
      </c>
      <c r="BQ98" s="60">
        <f>IFERROR((BQ97-BQ96)/(Model!BQ20-IF(AND(Projects!$G$14="Yes",Model!BQ$3&gt;=Projects!$C$14),Model!BQ18+Model!BQ19,0)),0)</f>
        <v>1</v>
      </c>
      <c r="BR98" s="60">
        <f>IFERROR((BR97-BR96)/(Model!BR20-IF(AND(Projects!$G$14="Yes",Model!BR$3&gt;=Projects!$C$14),Model!BR18+Model!BR19,0)),0)</f>
        <v>1</v>
      </c>
      <c r="BS98" s="60">
        <f>IFERROR((BS97-BS96)/(Model!BS20-IF(AND(Projects!$G$14="Yes",Model!BS$3&gt;=Projects!$C$14),Model!BS18+Model!BS19,0)),0)</f>
        <v>1</v>
      </c>
      <c r="BT98" s="60">
        <f>IFERROR((BT97-BT96)/(Model!BT20-IF(AND(Projects!$G$14="Yes",Model!BT$3&gt;=Projects!$C$14),Model!BT18+Model!BT19,0)),0)</f>
        <v>1</v>
      </c>
      <c r="BU98" s="60">
        <f>IFERROR((BU97-BU96)/(Model!BU20-IF(AND(Projects!$G$14="Yes",Model!BU$3&gt;=Projects!$C$14),Model!BU18+Model!BU19,0)),0)</f>
        <v>1</v>
      </c>
      <c r="BV98" s="60">
        <f>IFERROR((BV97-BV96)/(Model!BV20-IF(AND(Projects!$G$14="Yes",Model!BV$3&gt;=Projects!$C$14),Model!BV18+Model!BV19,0)),0)</f>
        <v>1</v>
      </c>
      <c r="BW98" s="60">
        <f>IFERROR((BW97-BW96)/(Model!BW20-IF(AND(Projects!$G$14="Yes",Model!BW$3&gt;=Projects!$C$14),Model!BW18+Model!BW19,0)),0)</f>
        <v>1</v>
      </c>
      <c r="BX98" s="60">
        <f>IFERROR((BX97-BX96)/(Model!BX20-IF(AND(Projects!$G$14="Yes",Model!BX$3&gt;=Projects!$C$14),Model!BX18+Model!BX19,0)),0)</f>
        <v>1</v>
      </c>
      <c r="BY98" s="60">
        <f>IFERROR((BY97-BY96)/(Model!BY20-IF(AND(Projects!$G$14="Yes",Model!BY$3&gt;=Projects!$C$14),Model!BY18+Model!BY19,0)),0)</f>
        <v>1</v>
      </c>
      <c r="BZ98" s="60">
        <f>IFERROR((BZ97-BZ96)/(Model!BZ20-IF(AND(Projects!$G$14="Yes",Model!BZ$3&gt;=Projects!$C$14),Model!BZ18+Model!BZ19,0)),0)</f>
        <v>1</v>
      </c>
      <c r="CA98" s="60">
        <f>IFERROR((CA97-CA96)/(Model!CA20-IF(AND(Projects!$G$14="Yes",Model!CA$3&gt;=Projects!$C$14),Model!CA18+Model!CA19,0)),0)</f>
        <v>0.99999999999999933</v>
      </c>
      <c r="CB98" s="60">
        <f>IFERROR((CB97-CB96)/(Model!CB20-IF(AND(Projects!$G$14="Yes",Model!CB$3&gt;=Projects!$C$14),Model!CB18+Model!CB19,0)),0)</f>
        <v>0.99999999999999911</v>
      </c>
      <c r="CC98" s="60">
        <f>IFERROR((CC97-CC96)/(Model!CC20-IF(AND(Projects!$G$14="Yes",Model!CC$3&gt;=Projects!$C$14),Model!CC18+Model!CC19,0)),0)</f>
        <v>1</v>
      </c>
      <c r="CD98" s="60">
        <f>IFERROR((CD97-CD96)/(Model!CD20-IF(AND(Projects!$G$14="Yes",Model!CD$3&gt;=Projects!$C$14),Model!CD18+Model!CD19,0)),0)</f>
        <v>1</v>
      </c>
      <c r="CE98" s="60">
        <f>IFERROR((CE97-CE96)/(Model!CE20-IF(AND(Projects!$G$14="Yes",Model!CE$3&gt;=Projects!$C$14),Model!CE18+Model!CE19,0)),0)</f>
        <v>1</v>
      </c>
      <c r="CF98" s="60">
        <f>IFERROR((CF97-CF96)/(Model!CF20-IF(AND(Projects!$G$14="Yes",Model!CF$3&gt;=Projects!$C$14),Model!CF18+Model!CF19,0)),0)</f>
        <v>1</v>
      </c>
      <c r="CG98" s="60">
        <f>IFERROR((CG97-CG96)/(Model!CG20-IF(AND(Projects!$G$14="Yes",Model!CG$3&gt;=Projects!$C$14),Model!CG18+Model!CG19,0)),0)</f>
        <v>1</v>
      </c>
      <c r="CH98" s="60">
        <f>IFERROR((CH97-CH96)/(Model!CH20-IF(AND(Projects!$G$14="Yes",Model!CH$3&gt;=Projects!$C$14),Model!CH18+Model!CH19,0)),0)</f>
        <v>1</v>
      </c>
      <c r="CI98" s="60">
        <f>IFERROR((CI97-CI96)/(Model!CI20-IF(AND(Projects!$G$14="Yes",Model!CI$3&gt;=Projects!$C$14),Model!CI18+Model!CI19,0)),0)</f>
        <v>1</v>
      </c>
      <c r="CJ98" s="60">
        <f>IFERROR((CJ97-CJ96)/(Model!CJ20-IF(AND(Projects!$G$14="Yes",Model!CJ$3&gt;=Projects!$C$14),Model!CJ18+Model!CJ19,0)),0)</f>
        <v>1</v>
      </c>
      <c r="CK98" s="60">
        <f>IFERROR((CK97-CK96)/(Model!CK20-IF(AND(Projects!$G$14="Yes",Model!CK$3&gt;=Projects!$C$14),Model!CK18+Model!CK19,0)),0)</f>
        <v>1</v>
      </c>
      <c r="CL98" s="60">
        <f>IFERROR((CL97-CL96)/(Model!CL20-IF(AND(Projects!$G$14="Yes",Model!CL$3&gt;=Projects!$C$14),Model!CL18+Model!CL19,0)),0)</f>
        <v>1</v>
      </c>
      <c r="CM98" s="60">
        <f>IFERROR((CM97-CM96)/(Model!CM20-IF(AND(Projects!$G$14="Yes",Model!CM$3&gt;=Projects!$C$14),Model!CM18+Model!CM19,0)),0)</f>
        <v>1.0000000000000013</v>
      </c>
      <c r="CN98" s="60">
        <f>IFERROR((CN97-CN96)/(Model!CN20-IF(AND(Projects!$G$14="Yes",Model!CN$3&gt;=Projects!$C$14),Model!CN18+Model!CN19,0)),0)</f>
        <v>1</v>
      </c>
      <c r="CO98" s="60">
        <f>IFERROR((CO97-CO96)/(Model!CO20-IF(AND(Projects!$G$14="Yes",Model!CO$3&gt;=Projects!$C$14),Model!CO18+Model!CO19,0)),0)</f>
        <v>1</v>
      </c>
      <c r="CP98" s="60">
        <f>IFERROR((CP97-CP96)/(Model!CP20-IF(AND(Projects!$G$14="Yes",Model!CP$3&gt;=Projects!$C$14),Model!CP18+Model!CP19,0)),0)</f>
        <v>1</v>
      </c>
      <c r="CQ98" s="60">
        <f>IFERROR((CQ97-CQ96)/(Model!CQ20-IF(AND(Projects!$G$14="Yes",Model!CQ$3&gt;=Projects!$C$14),Model!CQ18+Model!CQ19,0)),0)</f>
        <v>1</v>
      </c>
      <c r="CR98" s="60">
        <f>IFERROR((CR97-CR96)/(Model!CR20-IF(AND(Projects!$G$14="Yes",Model!CR$3&gt;=Projects!$C$14),Model!CR18+Model!CR19,0)),0)</f>
        <v>1</v>
      </c>
      <c r="CS98" s="60">
        <f>IFERROR((CS97-CS96)/(Model!CS20-IF(AND(Projects!$G$14="Yes",Model!CS$3&gt;=Projects!$C$14),Model!CS18+Model!CS19,0)),0)</f>
        <v>1</v>
      </c>
      <c r="CT98" s="60">
        <f>IFERROR((CT97-CT96)/(Model!CT20-IF(AND(Projects!$G$14="Yes",Model!CT$3&gt;=Projects!$C$14),Model!CT18+Model!CT19,0)),0)</f>
        <v>1</v>
      </c>
      <c r="CU98" s="60">
        <f>IFERROR((CU97-CU96)/(Model!CU20-IF(AND(Projects!$G$14="Yes",Model!CU$3&gt;=Projects!$C$14),Model!CU18+Model!CU19,0)),0)</f>
        <v>1</v>
      </c>
      <c r="CV98" s="60">
        <f>IFERROR((CV97-CV96)/(Model!CV20-IF(AND(Projects!$G$14="Yes",Model!CV$3&gt;=Projects!$C$14),Model!CV18+Model!CV19,0)),0)</f>
        <v>1</v>
      </c>
      <c r="CW98" s="60">
        <f>IFERROR((CW97-CW96)/(Model!CW20-IF(AND(Projects!$G$14="Yes",Model!CW$3&gt;=Projects!$C$14),Model!CW18+Model!CW19,0)),0)</f>
        <v>1</v>
      </c>
      <c r="CX98" s="60">
        <f>IFERROR((CX97-CX96)/(Model!CX20-IF(AND(Projects!$G$14="Yes",Model!CX$3&gt;=Projects!$C$14),Model!CX18+Model!CX19,0)),0)</f>
        <v>1</v>
      </c>
      <c r="CY98" s="60">
        <f>IFERROR((CY97-CY96)/(Model!CY20-IF(AND(Projects!$G$14="Yes",Model!CY$3&gt;=Projects!$C$14),Model!CY18+Model!CY19,0)),0)</f>
        <v>0.99999999999999922</v>
      </c>
      <c r="CZ98" s="60">
        <f>IFERROR((CZ97-CZ96)/(Model!CZ20-IF(AND(Projects!$G$14="Yes",Model!CZ$3&gt;=Projects!$C$14),Model!CZ18+Model!CZ19,0)),0)</f>
        <v>1</v>
      </c>
      <c r="DA98" s="60">
        <f>IFERROR((DA97-DA96)/(Model!DA20-IF(AND(Projects!$G$14="Yes",Model!DA$3&gt;=Projects!$C$14),Model!DA18+Model!DA19,0)),0)</f>
        <v>1</v>
      </c>
      <c r="DB98" s="60">
        <f>IFERROR((DB97-DB96)/(Model!DB20-IF(AND(Projects!$G$14="Yes",Model!DB$3&gt;=Projects!$C$14),Model!DB18+Model!DB19,0)),0)</f>
        <v>0</v>
      </c>
      <c r="DC98" s="60">
        <f>IFERROR((DC97-DC96)/(Model!DC20-IF(AND(Projects!$G$14="Yes",Model!DC$3&gt;=Projects!$C$14),Model!DC18+Model!DC19,0)),0)</f>
        <v>0</v>
      </c>
      <c r="DD98" s="60">
        <f>IFERROR((DD97-DD96)/(Model!DD20-IF(AND(Projects!$G$14="Yes",Model!DD$3&gt;=Projects!$C$14),Model!DD18+Model!DD19,0)),0)</f>
        <v>0</v>
      </c>
      <c r="DE98" s="60">
        <f>IFERROR((DE97-DE96)/(Model!DE20-IF(AND(Projects!$G$14="Yes",Model!DE$3&gt;=Projects!$C$14),Model!DE18+Model!DE19,0)),0)</f>
        <v>0</v>
      </c>
      <c r="DF98" s="60">
        <f>IFERROR((DF97-DF96)/(Model!DF20-IF(AND(Projects!$G$14="Yes",Model!DF$3&gt;=Projects!$C$14),Model!DF18+Model!DF19,0)),0)</f>
        <v>0</v>
      </c>
    </row>
    <row r="99" spans="1:110" x14ac:dyDescent="0.25">
      <c r="A99" s="56" t="s">
        <v>832</v>
      </c>
      <c r="B99" s="57">
        <f>SUM(Actuals!C17:N17)</f>
        <v>1209292.1100000006</v>
      </c>
      <c r="C99" s="59">
        <f>Model!C20+SUM(Model!C23:'Model'!C53)+Model!C55-IF(AND(Projects!$G$14="Yes",Model!C$3&gt;=Projects!$C$14),Model!C18+Model!C19,0)</f>
        <v>-40238.779999999941</v>
      </c>
      <c r="D99" s="59">
        <f>Model!D20+SUM(Model!D23:'Model'!D53)+Model!D55-IF(AND(Projects!$G$14="Yes",Model!D$3&gt;=Projects!$C$14),Model!D18+Model!D19,0)</f>
        <v>-309702.09999999974</v>
      </c>
      <c r="E99" s="59">
        <f>Model!E20+SUM(Model!E23:'Model'!E53)+Model!E55-IF(AND(Projects!$G$14="Yes",Model!E$3&gt;=Projects!$C$14),Model!E18+Model!E19,0)</f>
        <v>243856.69000000021</v>
      </c>
      <c r="F99" s="59">
        <f>Model!F20+SUM(Model!F23:'Model'!F53)+Model!F55-IF(AND(Projects!$G$14="Yes",Model!F$3&gt;=Projects!$C$14),Model!F18+Model!F19,0)</f>
        <v>375536.59999999951</v>
      </c>
      <c r="G99" s="59">
        <f>Model!G20+SUM(Model!G23:'Model'!G53)+Model!G55-IF(AND(Projects!$G$14="Yes",Model!G$3&gt;=Projects!$C$14),Model!G18+Model!G19,0)</f>
        <v>4795.591254262863</v>
      </c>
      <c r="H99" s="59">
        <f>Model!H20+SUM(Model!H23:'Model'!H53)+Model!H55-IF(AND(Projects!$G$14="Yes",Model!H$3&gt;=Projects!$C$14),Model!H18+Model!H19,0)</f>
        <v>-24579.408745737135</v>
      </c>
      <c r="I99" s="59">
        <f>Model!I20+SUM(Model!I23:'Model'!I53)+Model!I55-IF(AND(Projects!$G$14="Yes",Model!I$3&gt;=Projects!$C$14),Model!I18+Model!I19,0)</f>
        <v>478888.7527879164</v>
      </c>
      <c r="J99" s="59">
        <f>Model!J20+SUM(Model!J23:'Model'!J53)+Model!J55-IF(AND(Projects!$G$14="Yes",Model!J$3&gt;=Projects!$C$14),Model!J18+Model!J19,0)</f>
        <v>171828.54798791648</v>
      </c>
      <c r="K99" s="59">
        <f>Model!K20+SUM(Model!K23:'Model'!K53)+Model!K55-IF(AND(Projects!$G$14="Yes",Model!K$3&gt;=Projects!$C$14),Model!K18+Model!K19,0)</f>
        <v>171828.54798791648</v>
      </c>
      <c r="L99" s="59">
        <f>Model!L20+SUM(Model!L23:'Model'!L53)+Model!L55-IF(AND(Projects!$G$14="Yes",Model!L$3&gt;=Projects!$C$14),Model!L18+Model!L19,0)</f>
        <v>476879.11662352737</v>
      </c>
      <c r="M99" s="59">
        <f>Model!M20+SUM(Model!M23:'Model'!M53)+Model!M55-IF(AND(Projects!$G$14="Yes",Model!M$3&gt;=Projects!$C$14),Model!M18+Model!M19,0)</f>
        <v>507880.05063091288</v>
      </c>
      <c r="N99" s="59">
        <f>Model!N20+SUM(Model!N23:'Model'!N53)+Model!N55-IF(AND(Projects!$G$14="Yes",Model!N$3&gt;=Projects!$C$14),Model!N18+Model!N19,0)</f>
        <v>255504.96654481933</v>
      </c>
      <c r="O99" s="59">
        <f>Model!O20+SUM(Model!O23:'Model'!O53)+Model!O55-IF(AND(Projects!$G$14="Yes",Model!O$3&gt;=Projects!$C$14),Model!O18+Model!O19,0)</f>
        <v>255504.96654481933</v>
      </c>
      <c r="P99" s="59">
        <f>Model!P20+SUM(Model!P23:'Model'!P53)+Model!P55-IF(AND(Projects!$G$14="Yes",Model!P$3&gt;=Projects!$C$14),Model!P18+Model!P19,0)</f>
        <v>255504.96654481933</v>
      </c>
      <c r="Q99" s="59">
        <f>Model!Q20+SUM(Model!Q23:'Model'!Q53)+Model!Q55-IF(AND(Projects!$G$14="Yes",Model!Q$3&gt;=Projects!$C$14),Model!Q18+Model!Q19,0)</f>
        <v>255504.96654481933</v>
      </c>
      <c r="R99" s="59">
        <f>Model!R20+SUM(Model!R23:'Model'!R53)+Model!R55-IF(AND(Projects!$G$14="Yes",Model!R$3&gt;=Projects!$C$14),Model!R18+Model!R19,0)</f>
        <v>-411966.09389796446</v>
      </c>
      <c r="S99" s="59">
        <f>Model!S20+SUM(Model!S23:'Model'!S53)+Model!S55-IF(AND(Projects!$G$14="Yes",Model!S$3&gt;=Projects!$C$14),Model!S18+Model!S19,0)</f>
        <v>404202.38110203599</v>
      </c>
      <c r="T99" s="59">
        <f>Model!T20+SUM(Model!T23:'Model'!T53)+Model!T55-IF(AND(Projects!$G$14="Yes",Model!T$3&gt;=Projects!$C$14),Model!T18+Model!T19,0)</f>
        <v>562864.25938823656</v>
      </c>
      <c r="U99" s="59">
        <f>Model!U20+SUM(Model!U23:'Model'!U53)+Model!U55-IF(AND(Projects!$G$14="Yes",Model!U$3&gt;=Projects!$C$14),Model!U18+Model!U19,0)</f>
        <v>324683.81218413287</v>
      </c>
      <c r="V99" s="59">
        <f>Model!V20+SUM(Model!V23:'Model'!V53)+Model!V55-IF(AND(Projects!$G$14="Yes",Model!V$3&gt;=Projects!$C$14),Model!V18+Model!V19,0)</f>
        <v>59005.060607367399</v>
      </c>
      <c r="W99" s="59">
        <f>Model!W20+SUM(Model!W23:'Model'!W53)+Model!W55-IF(AND(Projects!$G$14="Yes",Model!W$3&gt;=Projects!$C$14),Model!W18+Model!W19,0)</f>
        <v>59005.060607367399</v>
      </c>
      <c r="X99" s="59">
        <f>Model!X20+SUM(Model!X23:'Model'!X53)+Model!X55-IF(AND(Projects!$G$14="Yes",Model!X$3&gt;=Projects!$C$14),Model!X18+Model!X19,0)</f>
        <v>80815.365047116968</v>
      </c>
      <c r="Y99" s="59">
        <f>Model!Y20+SUM(Model!Y23:'Model'!Y53)+Model!Y55-IF(AND(Projects!$G$14="Yes",Model!Y$3&gt;=Projects!$C$14),Model!Y18+Model!Y19,0)</f>
        <v>37194.756167616899</v>
      </c>
      <c r="Z99" s="59">
        <f>Model!Z20+SUM(Model!Z23:'Model'!Z53)+Model!Z55-IF(AND(Projects!$G$14="Yes",Model!Z$3&gt;=Projects!$C$14),Model!Z18+Model!Z19,0)</f>
        <v>37194.756167616899</v>
      </c>
      <c r="AA99" s="59">
        <f>Model!AA20+SUM(Model!AA23:'Model'!AA53)+Model!AA55-IF(AND(Projects!$G$14="Yes",Model!AA$3&gt;=Projects!$C$14),Model!AA18+Model!AA19,0)</f>
        <v>37194.756167616899</v>
      </c>
      <c r="AB99" s="59">
        <f>Model!AB20+SUM(Model!AB23:'Model'!AB53)+Model!AB55-IF(AND(Projects!$G$14="Yes",Model!AB$3&gt;=Projects!$C$14),Model!AB18+Model!AB19,0)</f>
        <v>37194.756167616899</v>
      </c>
      <c r="AC99" s="59">
        <f>Model!AC20+SUM(Model!AC23:'Model'!AC53)+Model!AC55-IF(AND(Projects!$G$14="Yes",Model!AC$3&gt;=Projects!$C$14),Model!AC18+Model!AC19,0)</f>
        <v>37194.756167616899</v>
      </c>
      <c r="AD99" s="59">
        <f>Model!AD20+SUM(Model!AD23:'Model'!AD53)+Model!AD55-IF(AND(Projects!$G$14="Yes",Model!AD$3&gt;=Projects!$C$14),Model!AD18+Model!AD19,0)</f>
        <v>110433.44672021686</v>
      </c>
      <c r="AE99" s="59">
        <f>Model!AE20+SUM(Model!AE23:'Model'!AE53)+Model!AE55-IF(AND(Projects!$G$14="Yes",Model!AE$3&gt;=Projects!$C$14),Model!AE18+Model!AE19,0)</f>
        <v>-53608.584964982736</v>
      </c>
      <c r="AF99" s="59">
        <f>Model!AF20+SUM(Model!AF23:'Model'!AF53)+Model!AF55-IF(AND(Projects!$G$14="Yes",Model!AF$3&gt;=Projects!$C$14),Model!AF18+Model!AF19,0)</f>
        <v>104051.05590356374</v>
      </c>
      <c r="AG99" s="59">
        <f>Model!AG20+SUM(Model!AG23:'Model'!AG53)+Model!AG55-IF(AND(Projects!$G$14="Yes",Model!AG$3&gt;=Projects!$C$14),Model!AG18+Model!AG19,0)</f>
        <v>104051.05590356371</v>
      </c>
      <c r="AH99" s="59">
        <f>Model!AH20+SUM(Model!AH23:'Model'!AH53)+Model!AH55-IF(AND(Projects!$G$14="Yes",Model!AH$3&gt;=Projects!$C$14),Model!AH18+Model!AH19,0)</f>
        <v>104051.05590356371</v>
      </c>
      <c r="AI99" s="59">
        <f>Model!AI20+SUM(Model!AI23:'Model'!AI53)+Model!AI55-IF(AND(Projects!$G$14="Yes",Model!AI$3&gt;=Projects!$C$14),Model!AI18+Model!AI19,0)</f>
        <v>104051.05590356418</v>
      </c>
      <c r="AJ99" s="59">
        <f>Model!AJ20+SUM(Model!AJ23:'Model'!AJ53)+Model!AJ55-IF(AND(Projects!$G$14="Yes",Model!AJ$3&gt;=Projects!$C$14),Model!AJ18+Model!AJ19,0)</f>
        <v>322340.43547131395</v>
      </c>
      <c r="AK99" s="59">
        <f>Model!AK20+SUM(Model!AK23:'Model'!AK53)+Model!AK55-IF(AND(Projects!$G$14="Yes",Model!AK$3&gt;=Projects!$C$14),Model!AK18+Model!AK19,0)</f>
        <v>93014.036662428611</v>
      </c>
      <c r="AL99" s="59">
        <f>Model!AL20+SUM(Model!AL23:'Model'!AL53)+Model!AL55-IF(AND(Projects!$G$14="Yes",Model!AL$3&gt;=Projects!$C$14),Model!AL18+Model!AL19,0)</f>
        <v>351664.75782082876</v>
      </c>
      <c r="AM99" s="59">
        <f>Model!AM20+SUM(Model!AM23:'Model'!AM53)+Model!AM55-IF(AND(Projects!$G$14="Yes",Model!AM$3&gt;=Projects!$C$14),Model!AM18+Model!AM19,0)</f>
        <v>19495.16326210877</v>
      </c>
      <c r="AN99" s="59">
        <f>Model!AN20+SUM(Model!AN23:'Model'!AN53)+Model!AN55-IF(AND(Projects!$G$14="Yes",Model!AN$3&gt;=Projects!$C$14),Model!AN18+Model!AN19,0)</f>
        <v>19495.16326210877</v>
      </c>
      <c r="AO99" s="59">
        <f>Model!AO20+SUM(Model!AO23:'Model'!AO53)+Model!AO55-IF(AND(Projects!$G$14="Yes",Model!AO$3&gt;=Projects!$C$14),Model!AO18+Model!AO19,0)</f>
        <v>114874.22872475811</v>
      </c>
      <c r="AP99" s="59">
        <f>Model!AP20+SUM(Model!AP23:'Model'!AP53)+Model!AP55-IF(AND(Projects!$G$14="Yes",Model!AP$3&gt;=Projects!$C$14),Model!AP18+Model!AP19,0)</f>
        <v>58482.350006630113</v>
      </c>
      <c r="AQ99" s="59">
        <f>Model!AQ20+SUM(Model!AQ23:'Model'!AQ53)+Model!AQ55-IF(AND(Projects!$G$14="Yes",Model!AQ$3&gt;=Projects!$C$14),Model!AQ18+Model!AQ19,0)</f>
        <v>58482.350006630113</v>
      </c>
      <c r="AR99" s="59">
        <f>Model!AR20+SUM(Model!AR23:'Model'!AR53)+Model!AR55-IF(AND(Projects!$G$14="Yes",Model!AR$3&gt;=Projects!$C$14),Model!AR18+Model!AR19,0)</f>
        <v>58482.350006630113</v>
      </c>
      <c r="AS99" s="59">
        <f>Model!AS20+SUM(Model!AS23:'Model'!AS53)+Model!AS55-IF(AND(Projects!$G$14="Yes",Model!AS$3&gt;=Projects!$C$14),Model!AS18+Model!AS19,0)</f>
        <v>166834.25000662956</v>
      </c>
      <c r="AT99" s="59">
        <f>Model!AT20+SUM(Model!AT23:'Model'!AT53)+Model!AT55-IF(AND(Projects!$G$14="Yes",Model!AT$3&gt;=Projects!$C$14),Model!AT18+Model!AT19,0)</f>
        <v>166834.25000662956</v>
      </c>
      <c r="AU99" s="59">
        <f>Model!AU20+SUM(Model!AU23:'Model'!AU53)+Model!AU55-IF(AND(Projects!$G$14="Yes",Model!AU$3&gt;=Projects!$C$14),Model!AU18+Model!AU19,0)</f>
        <v>439319.83536012977</v>
      </c>
      <c r="AV99" s="59">
        <f>Model!AV20+SUM(Model!AV23:'Model'!AV53)+Model!AV55-IF(AND(Projects!$G$14="Yes",Model!AV$3&gt;=Projects!$C$14),Model!AV18+Model!AV19,0)</f>
        <v>-5739.9540505870882</v>
      </c>
      <c r="AW99" s="59">
        <f>Model!AW20+SUM(Model!AW23:'Model'!AW53)+Model!AW55-IF(AND(Projects!$G$14="Yes",Model!AW$3&gt;=Projects!$C$14),Model!AW18+Model!AW19,0)</f>
        <v>-5739.9540505870882</v>
      </c>
      <c r="AX99" s="59">
        <f>Model!AX20+SUM(Model!AX23:'Model'!AX53)+Model!AX55-IF(AND(Projects!$G$14="Yes",Model!AX$3&gt;=Projects!$C$14),Model!AX18+Model!AX19,0)</f>
        <v>-5739.9540505861569</v>
      </c>
      <c r="AY99" s="59">
        <f>Model!AY20+SUM(Model!AY23:'Model'!AY53)+Model!AY55-IF(AND(Projects!$G$14="Yes",Model!AY$3&gt;=Projects!$C$14),Model!AY18+Model!AY19,0)</f>
        <v>-5739.9540505870882</v>
      </c>
      <c r="AZ99" s="59">
        <f>Model!AZ20+SUM(Model!AZ23:'Model'!AZ53)+Model!AZ55-IF(AND(Projects!$G$14="Yes",Model!AZ$3&gt;=Projects!$C$14),Model!AZ18+Model!AZ19,0)</f>
        <v>-5739.9540505870882</v>
      </c>
      <c r="BA99" s="59">
        <f>Model!BA20+SUM(Model!BA23:'Model'!BA53)+Model!BA55-IF(AND(Projects!$G$14="Yes",Model!BA$3&gt;=Projects!$C$14),Model!BA18+Model!BA19,0)</f>
        <v>84553.295949412917</v>
      </c>
      <c r="BB99" s="59">
        <f>Model!BB20+SUM(Model!BB23:'Model'!BB53)+Model!BB55-IF(AND(Projects!$G$14="Yes",Model!BB$3&gt;=Projects!$C$14),Model!BB18+Model!BB19,0)</f>
        <v>165709.41471769716</v>
      </c>
      <c r="BC99" s="59">
        <f>Model!BC20+SUM(Model!BC23:'Model'!BC53)+Model!BC55-IF(AND(Projects!$G$14="Yes",Model!BC$3&gt;=Projects!$C$14),Model!BC18+Model!BC19,0)</f>
        <v>-14877.08528230284</v>
      </c>
      <c r="BD99" s="59">
        <f>Model!BD20+SUM(Model!BD23:'Model'!BD53)+Model!BD55-IF(AND(Projects!$G$14="Yes",Model!BD$3&gt;=Projects!$C$14),Model!BD18+Model!BD19,0)</f>
        <v>-14877.085282301909</v>
      </c>
      <c r="BE99" s="59">
        <f>Model!BE20+SUM(Model!BE23:'Model'!BE53)+Model!BE55-IF(AND(Projects!$G$14="Yes",Model!BE$3&gt;=Projects!$C$14),Model!BE18+Model!BE19,0)</f>
        <v>183768.06471769753</v>
      </c>
      <c r="BF99" s="59">
        <f>Model!BF20+SUM(Model!BF23:'Model'!BF53)+Model!BF55-IF(AND(Projects!$G$14="Yes",Model!BF$3&gt;=Projects!$C$14),Model!BF18+Model!BF19,0)</f>
        <v>3181.5647176975317</v>
      </c>
      <c r="BG99" s="59">
        <f>Model!BG20+SUM(Model!BG23:'Model'!BG53)+Model!BG55-IF(AND(Projects!$G$14="Yes",Model!BG$3&gt;=Projects!$C$14),Model!BG18+Model!BG19,0)</f>
        <v>93474.814717697533</v>
      </c>
      <c r="BH99" s="59">
        <f>Model!BH20+SUM(Model!BH23:'Model'!BH53)+Model!BH55-IF(AND(Projects!$G$14="Yes",Model!BH$3&gt;=Projects!$C$14),Model!BH18+Model!BH19,0)</f>
        <v>201826.71471769744</v>
      </c>
      <c r="BI99" s="59">
        <f>Model!BI20+SUM(Model!BI23:'Model'!BI53)+Model!BI55-IF(AND(Projects!$G$14="Yes",Model!BI$3&gt;=Projects!$C$14),Model!BI18+Model!BI19,0)</f>
        <v>324352.43977329746</v>
      </c>
      <c r="BJ99" s="59">
        <f>Model!BJ20+SUM(Model!BJ23:'Model'!BJ53)+Model!BJ55-IF(AND(Projects!$G$14="Yes",Model!BJ$3&gt;=Projects!$C$14),Model!BJ18+Model!BJ19,0)</f>
        <v>-82243.476150849281</v>
      </c>
      <c r="BK99" s="59">
        <f>Model!BK20+SUM(Model!BK23:'Model'!BK53)+Model!BK55-IF(AND(Projects!$G$14="Yes",Model!BK$3&gt;=Projects!$C$14),Model!BK18+Model!BK19,0)</f>
        <v>134460.323849151</v>
      </c>
      <c r="BL99" s="59">
        <f>Model!BL20+SUM(Model!BL23:'Model'!BL53)+Model!BL55-IF(AND(Projects!$G$14="Yes",Model!BL$3&gt;=Projects!$C$14),Model!BL18+Model!BL19,0)</f>
        <v>-82243.476150849281</v>
      </c>
      <c r="BM99" s="59">
        <f>Model!BM20+SUM(Model!BM23:'Model'!BM53)+Model!BM55-IF(AND(Projects!$G$14="Yes",Model!BM$3&gt;=Projects!$C$14),Model!BM18+Model!BM19,0)</f>
        <v>8049.773849150718</v>
      </c>
      <c r="BN99" s="59">
        <f>Model!BN20+SUM(Model!BN23:'Model'!BN53)+Model!BN55-IF(AND(Projects!$G$14="Yes",Model!BN$3&gt;=Projects!$C$14),Model!BN18+Model!BN19,0)</f>
        <v>-1270.1000071998178</v>
      </c>
      <c r="BO99" s="59">
        <f>Model!BO20+SUM(Model!BO23:'Model'!BO53)+Model!BO55-IF(AND(Projects!$G$14="Yes",Model!BO$3&gt;=Projects!$C$14),Model!BO18+Model!BO19,0)</f>
        <v>107081.79999280056</v>
      </c>
      <c r="BP99" s="59">
        <f>Model!BP20+SUM(Model!BP23:'Model'!BP53)+Model!BP55-IF(AND(Projects!$G$14="Yes",Model!BP$3&gt;=Projects!$C$14),Model!BP18+Model!BP19,0)</f>
        <v>107081.79999280056</v>
      </c>
      <c r="BQ99" s="59">
        <f>Model!BQ20+SUM(Model!BQ23:'Model'!BQ53)+Model!BQ55-IF(AND(Projects!$G$14="Yes",Model!BQ$3&gt;=Projects!$C$14),Model!BQ18+Model!BQ19,0)</f>
        <v>107081.79999280056</v>
      </c>
      <c r="BR99" s="59">
        <f>Model!BR20+SUM(Model!BR23:'Model'!BR53)+Model!BR55-IF(AND(Projects!$G$14="Yes",Model!BR$3&gt;=Projects!$C$14),Model!BR18+Model!BR19,0)</f>
        <v>107081.79999280056</v>
      </c>
      <c r="BS99" s="59">
        <f>Model!BS20+SUM(Model!BS23:'Model'!BS53)+Model!BS55-IF(AND(Projects!$G$14="Yes",Model!BS$3&gt;=Projects!$C$14),Model!BS18+Model!BS19,0)</f>
        <v>197375.04999280054</v>
      </c>
      <c r="BT99" s="59">
        <f>Model!BT20+SUM(Model!BT23:'Model'!BT53)+Model!BT55-IF(AND(Projects!$G$14="Yes",Model!BT$3&gt;=Projects!$C$14),Model!BT18+Model!BT19,0)</f>
        <v>16788.549992800556</v>
      </c>
      <c r="BU99" s="59">
        <f>Model!BU20+SUM(Model!BU23:'Model'!BU53)+Model!BU55-IF(AND(Projects!$G$14="Yes",Model!BU$3&gt;=Projects!$C$14),Model!BU18+Model!BU19,0)</f>
        <v>125140.4499928</v>
      </c>
      <c r="BV99" s="59">
        <f>Model!BV20+SUM(Model!BV23:'Model'!BV53)+Model!BV55-IF(AND(Projects!$G$14="Yes",Model!BV$3&gt;=Projects!$C$14),Model!BV18+Model!BV19,0)</f>
        <v>125140.4499928</v>
      </c>
      <c r="BW99" s="59">
        <f>Model!BW20+SUM(Model!BW23:'Model'!BW53)+Model!BW55-IF(AND(Projects!$G$14="Yes",Model!BW$3&gt;=Projects!$C$14),Model!BW18+Model!BW19,0)</f>
        <v>233492.34999280036</v>
      </c>
      <c r="BX99" s="59">
        <f>Model!BX20+SUM(Model!BX23:'Model'!BX53)+Model!BX55-IF(AND(Projects!$G$14="Yes",Model!BX$3&gt;=Projects!$C$14),Model!BX18+Model!BX19,0)</f>
        <v>16788.549992800556</v>
      </c>
      <c r="BY99" s="59">
        <f>Model!BY20+SUM(Model!BY23:'Model'!BY53)+Model!BY55-IF(AND(Projects!$G$14="Yes",Model!BY$3&gt;=Projects!$C$14),Model!BY18+Model!BY19,0)</f>
        <v>107081.79999280056</v>
      </c>
      <c r="BZ99" s="59">
        <f>Model!BZ20+SUM(Model!BZ23:'Model'!BZ53)+Model!BZ55-IF(AND(Projects!$G$14="Yes",Model!BZ$3&gt;=Projects!$C$14),Model!BZ18+Model!BZ19,0)</f>
        <v>-83010.971340676449</v>
      </c>
      <c r="CA99" s="59">
        <f>Model!CA20+SUM(Model!CA23:'Model'!CA53)+Model!CA55-IF(AND(Projects!$G$14="Yes",Model!CA$3&gt;=Projects!$C$14),Model!CA18+Model!CA19,0)</f>
        <v>115634.17865932346</v>
      </c>
      <c r="CB99" s="59">
        <f>Model!CB20+SUM(Model!CB23:'Model'!CB53)+Model!CB55-IF(AND(Projects!$G$14="Yes",Model!CB$3&gt;=Projects!$C$14),Model!CB18+Model!CB19,0)</f>
        <v>-64952.321340676543</v>
      </c>
      <c r="CC99" s="59">
        <f>Model!CC20+SUM(Model!CC23:'Model'!CC53)+Model!CC55-IF(AND(Projects!$G$14="Yes",Model!CC$3&gt;=Projects!$C$14),Model!CC18+Model!CC19,0)</f>
        <v>133692.82865932336</v>
      </c>
      <c r="CD99" s="59">
        <f>Model!CD20+SUM(Model!CD23:'Model'!CD53)+Model!CD55-IF(AND(Projects!$G$14="Yes",Model!CD$3&gt;=Projects!$C$14),Model!CD18+Model!CD19,0)</f>
        <v>-83010.971340676449</v>
      </c>
      <c r="CE99" s="59">
        <f>Model!CE20+SUM(Model!CE23:'Model'!CE53)+Model!CE55-IF(AND(Projects!$G$14="Yes",Model!CE$3&gt;=Projects!$C$14),Model!CE18+Model!CE19,0)</f>
        <v>97575.528659323551</v>
      </c>
      <c r="CF99" s="59">
        <f>Model!CF20+SUM(Model!CF23:'Model'!CF53)+Model!CF55-IF(AND(Projects!$G$14="Yes",Model!CF$3&gt;=Projects!$C$14),Model!CF18+Model!CF19,0)</f>
        <v>-83010.971340676449</v>
      </c>
      <c r="CG99" s="59">
        <f>Model!CG20+SUM(Model!CG23:'Model'!CG53)+Model!CG55-IF(AND(Projects!$G$14="Yes",Model!CG$3&gt;=Projects!$C$14),Model!CG18+Model!CG19,0)</f>
        <v>133692.82865932336</v>
      </c>
      <c r="CH99" s="59">
        <f>Model!CH20+SUM(Model!CH23:'Model'!CH53)+Model!CH55-IF(AND(Projects!$G$14="Yes",Model!CH$3&gt;=Projects!$C$14),Model!CH18+Model!CH19,0)</f>
        <v>-83010.971340676449</v>
      </c>
      <c r="CI99" s="59">
        <f>Model!CI20+SUM(Model!CI23:'Model'!CI53)+Model!CI55-IF(AND(Projects!$G$14="Yes",Model!CI$3&gt;=Projects!$C$14),Model!CI18+Model!CI19,0)</f>
        <v>7282.2786593235487</v>
      </c>
      <c r="CJ99" s="59">
        <f>Model!CJ20+SUM(Model!CJ23:'Model'!CJ53)+Model!CJ55-IF(AND(Projects!$G$14="Yes",Model!CJ$3&gt;=Projects!$C$14),Model!CJ18+Model!CJ19,0)</f>
        <v>7282.2786593235487</v>
      </c>
      <c r="CK99" s="59">
        <f>Model!CK20+SUM(Model!CK23:'Model'!CK53)+Model!CK55-IF(AND(Projects!$G$14="Yes",Model!CK$3&gt;=Projects!$C$14),Model!CK18+Model!CK19,0)</f>
        <v>7282.2786593235487</v>
      </c>
      <c r="CL99" s="59">
        <f>Model!CL20+SUM(Model!CL23:'Model'!CL53)+Model!CL55-IF(AND(Projects!$G$14="Yes",Model!CL$3&gt;=Projects!$C$14),Model!CL18+Model!CL19,0)</f>
        <v>-2414.1181008238864</v>
      </c>
      <c r="CM99" s="59">
        <f>Model!CM20+SUM(Model!CM23:'Model'!CM53)+Model!CM55-IF(AND(Projects!$G$14="Yes",Model!CM$3&gt;=Projects!$C$14),Model!CM18+Model!CM19,0)</f>
        <v>105937.78189917555</v>
      </c>
      <c r="CN99" s="59">
        <f>Model!CN20+SUM(Model!CN23:'Model'!CN53)+Model!CN55-IF(AND(Projects!$G$14="Yes",Model!CN$3&gt;=Projects!$C$14),Model!CN18+Model!CN19,0)</f>
        <v>-110766.01810082427</v>
      </c>
      <c r="CO99" s="59">
        <f>Model!CO20+SUM(Model!CO23:'Model'!CO53)+Model!CO55-IF(AND(Projects!$G$14="Yes",Model!CO$3&gt;=Projects!$C$14),Model!CO18+Model!CO19,0)</f>
        <v>-110766.01810082427</v>
      </c>
      <c r="CP99" s="59">
        <f>Model!CP20+SUM(Model!CP23:'Model'!CP53)+Model!CP55-IF(AND(Projects!$G$14="Yes",Model!CP$3&gt;=Projects!$C$14),Model!CP18+Model!CP19,0)</f>
        <v>-110766.01810082427</v>
      </c>
      <c r="CQ99" s="59">
        <f>Model!CQ20+SUM(Model!CQ23:'Model'!CQ53)+Model!CQ55-IF(AND(Projects!$G$14="Yes",Model!CQ$3&gt;=Projects!$C$14),Model!CQ18+Model!CQ19,0)</f>
        <v>-110766.01810082427</v>
      </c>
      <c r="CR99" s="59">
        <f>Model!CR20+SUM(Model!CR23:'Model'!CR53)+Model!CR55-IF(AND(Projects!$G$14="Yes",Model!CR$3&gt;=Projects!$C$14),Model!CR18+Model!CR19,0)</f>
        <v>-110766.01810082427</v>
      </c>
      <c r="CS99" s="59">
        <f>Model!CS20+SUM(Model!CS23:'Model'!CS53)+Model!CS55-IF(AND(Projects!$G$14="Yes",Model!CS$3&gt;=Projects!$C$14),Model!CS18+Model!CS19,0)</f>
        <v>-2414.1181008238864</v>
      </c>
      <c r="CT99" s="59">
        <f>Model!CT20+SUM(Model!CT23:'Model'!CT53)+Model!CT55-IF(AND(Projects!$G$14="Yes",Model!CT$3&gt;=Projects!$C$14),Model!CT18+Model!CT19,0)</f>
        <v>-219117.91810082417</v>
      </c>
      <c r="CU99" s="59">
        <f>Model!CU20+SUM(Model!CU23:'Model'!CU53)+Model!CU55-IF(AND(Projects!$G$14="Yes",Model!CU$3&gt;=Projects!$C$14),Model!CU18+Model!CU19,0)</f>
        <v>-71604.566733473621</v>
      </c>
      <c r="CV99" s="59">
        <f>Model!CV20+SUM(Model!CV23:'Model'!CV53)+Model!CV55-IF(AND(Projects!$G$14="Yes",Model!CV$3&gt;=Projects!$C$14),Model!CV18+Model!CV19,0)</f>
        <v>-252191.06673347362</v>
      </c>
      <c r="CW99" s="59">
        <f>Model!CW20+SUM(Model!CW23:'Model'!CW53)+Model!CW55-IF(AND(Projects!$G$14="Yes",Model!CW$3&gt;=Projects!$C$14),Model!CW18+Model!CW19,0)</f>
        <v>-161897.81673347362</v>
      </c>
      <c r="CX99" s="59">
        <f>Model!CX20+SUM(Model!CX23:'Model'!CX53)+Model!CX55-IF(AND(Projects!$G$14="Yes",Model!CX$3&gt;=Projects!$C$14),Model!CX18+Model!CX19,0)</f>
        <v>-351230.2394014764</v>
      </c>
      <c r="CY99" s="59">
        <f>Model!CY20+SUM(Model!CY23:'Model'!CY53)+Model!CY55-IF(AND(Projects!$G$14="Yes",Model!CY$3&gt;=Projects!$C$14),Model!CY18+Model!CY19,0)</f>
        <v>-242878.33940147626</v>
      </c>
      <c r="CZ99" s="59">
        <f>Model!CZ20+SUM(Model!CZ23:'Model'!CZ53)+Model!CZ55-IF(AND(Projects!$G$14="Yes",Model!CZ$3&gt;=Projects!$C$14),Model!CZ18+Model!CZ19,0)</f>
        <v>-459582.13940147631</v>
      </c>
      <c r="DA99" s="59">
        <f>Model!DA20+SUM(Model!DA23:'Model'!DA53)+Model!DA55-IF(AND(Projects!$G$14="Yes",Model!DA$3&gt;=Projects!$C$14),Model!DA18+Model!DA19,0)</f>
        <v>-369288.88940147631</v>
      </c>
      <c r="DB99" s="59">
        <f>Model!DB20+SUM(Model!DB23:'Model'!DB53)+Model!DB55-IF(AND(Projects!$G$14="Yes",Model!DB$3&gt;=Projects!$C$14),Model!DB18+Model!DB19,0)</f>
        <v>-549875.38940147625</v>
      </c>
      <c r="DC99" s="59">
        <f>Model!DC20+SUM(Model!DC23:'Model'!DC53)+Model!DC55-IF(AND(Projects!$G$14="Yes",Model!DC$3&gt;=Projects!$C$14),Model!DC18+Model!DC19,0)</f>
        <v>-549875.38940147625</v>
      </c>
      <c r="DD99" s="59">
        <f>Model!DD20+SUM(Model!DD23:'Model'!DD53)+Model!DD55-IF(AND(Projects!$G$14="Yes",Model!DD$3&gt;=Projects!$C$14),Model!DD18+Model!DD19,0)</f>
        <v>-549875.38940147625</v>
      </c>
      <c r="DE99" s="59">
        <f>Model!DE20+SUM(Model!DE23:'Model'!DE53)+Model!DE55-IF(AND(Projects!$G$14="Yes",Model!DE$3&gt;=Projects!$C$14),Model!DE18+Model!DE19,0)</f>
        <v>-549875.38940147625</v>
      </c>
      <c r="DF99" s="59">
        <f>Model!DF20+SUM(Model!DF23:'Model'!DF53)+Model!DF55-IF(AND(Projects!$G$14="Yes",Model!DF$3&gt;=Projects!$C$14),Model!DF18+Model!DF19,0)</f>
        <v>-549875.38940147625</v>
      </c>
    </row>
    <row r="100" spans="1:110" x14ac:dyDescent="0.25">
      <c r="A100" s="56" t="s">
        <v>833</v>
      </c>
      <c r="B100" s="57">
        <f>SUM(Actuals!C54:N54)</f>
        <v>-939839.70000000007</v>
      </c>
      <c r="C100" s="61">
        <f t="shared" ref="C100:AH100" si="26">C98*C99</f>
        <v>0</v>
      </c>
      <c r="D100" s="61">
        <f t="shared" si="26"/>
        <v>0</v>
      </c>
      <c r="E100" s="61">
        <f t="shared" si="26"/>
        <v>0</v>
      </c>
      <c r="F100" s="61">
        <f t="shared" si="26"/>
        <v>0</v>
      </c>
      <c r="G100" s="61">
        <f t="shared" si="26"/>
        <v>0</v>
      </c>
      <c r="H100" s="61">
        <f t="shared" si="26"/>
        <v>0</v>
      </c>
      <c r="I100" s="61">
        <f t="shared" si="26"/>
        <v>0</v>
      </c>
      <c r="J100" s="61">
        <f t="shared" si="26"/>
        <v>0</v>
      </c>
      <c r="K100" s="61">
        <f t="shared" si="26"/>
        <v>0</v>
      </c>
      <c r="L100" s="61">
        <f t="shared" si="26"/>
        <v>0</v>
      </c>
      <c r="M100" s="61">
        <f t="shared" si="26"/>
        <v>0</v>
      </c>
      <c r="N100" s="61">
        <f t="shared" si="26"/>
        <v>0</v>
      </c>
      <c r="O100" s="61">
        <f t="shared" si="26"/>
        <v>0</v>
      </c>
      <c r="P100" s="61">
        <f t="shared" si="26"/>
        <v>0</v>
      </c>
      <c r="Q100" s="61">
        <f t="shared" si="26"/>
        <v>0</v>
      </c>
      <c r="R100" s="61">
        <f t="shared" si="26"/>
        <v>0</v>
      </c>
      <c r="S100" s="61">
        <f t="shared" si="26"/>
        <v>0</v>
      </c>
      <c r="T100" s="61">
        <f t="shared" si="26"/>
        <v>0</v>
      </c>
      <c r="U100" s="61">
        <f t="shared" si="26"/>
        <v>0</v>
      </c>
      <c r="V100" s="61">
        <f t="shared" si="26"/>
        <v>0</v>
      </c>
      <c r="W100" s="61">
        <f t="shared" si="26"/>
        <v>0</v>
      </c>
      <c r="X100" s="61">
        <f t="shared" si="26"/>
        <v>0</v>
      </c>
      <c r="Y100" s="61">
        <f t="shared" si="26"/>
        <v>0</v>
      </c>
      <c r="Z100" s="61">
        <f t="shared" si="26"/>
        <v>0</v>
      </c>
      <c r="AA100" s="61">
        <f t="shared" si="26"/>
        <v>0</v>
      </c>
      <c r="AB100" s="61">
        <f t="shared" si="26"/>
        <v>0</v>
      </c>
      <c r="AC100" s="61">
        <f t="shared" si="26"/>
        <v>0</v>
      </c>
      <c r="AD100" s="61">
        <f t="shared" si="26"/>
        <v>0</v>
      </c>
      <c r="AE100" s="61">
        <f t="shared" si="26"/>
        <v>0</v>
      </c>
      <c r="AF100" s="61">
        <f t="shared" si="26"/>
        <v>0</v>
      </c>
      <c r="AG100" s="61">
        <f t="shared" si="26"/>
        <v>0</v>
      </c>
      <c r="AH100" s="61">
        <f t="shared" si="26"/>
        <v>0</v>
      </c>
      <c r="AI100" s="61">
        <f t="shared" ref="AI100:BN100" si="27">AI98*AI99</f>
        <v>0</v>
      </c>
      <c r="AJ100" s="61">
        <f t="shared" si="27"/>
        <v>33298.347944460969</v>
      </c>
      <c r="AK100" s="61">
        <f t="shared" si="27"/>
        <v>13026.122208909266</v>
      </c>
      <c r="AL100" s="61">
        <f t="shared" si="27"/>
        <v>35148.406634524887</v>
      </c>
      <c r="AM100" s="61">
        <f t="shared" si="27"/>
        <v>6163.1588983461916</v>
      </c>
      <c r="AN100" s="61">
        <f t="shared" si="27"/>
        <v>6163.1588983461916</v>
      </c>
      <c r="AO100" s="61">
        <f t="shared" si="27"/>
        <v>31119.927183526685</v>
      </c>
      <c r="AP100" s="61">
        <f t="shared" si="27"/>
        <v>27290.94654619358</v>
      </c>
      <c r="AQ100" s="61">
        <f t="shared" si="27"/>
        <v>27290.94654619358</v>
      </c>
      <c r="AR100" s="61">
        <f t="shared" si="27"/>
        <v>27290.94654619358</v>
      </c>
      <c r="AS100" s="61">
        <f t="shared" si="27"/>
        <v>91105.745008878366</v>
      </c>
      <c r="AT100" s="61">
        <f t="shared" si="27"/>
        <v>91105.745008878366</v>
      </c>
      <c r="AU100" s="61">
        <f t="shared" si="27"/>
        <v>174535.81090399498</v>
      </c>
      <c r="AV100" s="61">
        <f t="shared" si="27"/>
        <v>-4109.250040057459</v>
      </c>
      <c r="AW100" s="61">
        <f t="shared" si="27"/>
        <v>-4109.250040057459</v>
      </c>
      <c r="AX100" s="61">
        <f t="shared" si="27"/>
        <v>-4109.2500400567851</v>
      </c>
      <c r="AY100" s="61">
        <f t="shared" si="27"/>
        <v>-4109.250040057459</v>
      </c>
      <c r="AZ100" s="61">
        <f t="shared" si="27"/>
        <v>-4109.250040057459</v>
      </c>
      <c r="BA100" s="61">
        <f t="shared" si="27"/>
        <v>63893.423110317461</v>
      </c>
      <c r="BB100" s="61">
        <f t="shared" si="27"/>
        <v>130190.18635413836</v>
      </c>
      <c r="BC100" s="61">
        <f t="shared" si="27"/>
        <v>-10650.549247164856</v>
      </c>
      <c r="BD100" s="61">
        <f t="shared" si="27"/>
        <v>-10650.549247164172</v>
      </c>
      <c r="BE100" s="61">
        <f t="shared" si="27"/>
        <v>145321.94499429574</v>
      </c>
      <c r="BF100" s="61">
        <f t="shared" si="27"/>
        <v>2306.1775790301749</v>
      </c>
      <c r="BG100" s="61">
        <f t="shared" si="27"/>
        <v>71256.866853496249</v>
      </c>
      <c r="BH100" s="61">
        <f t="shared" si="27"/>
        <v>160590.69696152685</v>
      </c>
      <c r="BI100" s="61">
        <f t="shared" si="27"/>
        <v>176864.84655781765</v>
      </c>
      <c r="BJ100" s="61">
        <f t="shared" si="27"/>
        <v>-82243.476150849281</v>
      </c>
      <c r="BK100" s="61">
        <f t="shared" si="27"/>
        <v>134460.32384915109</v>
      </c>
      <c r="BL100" s="61">
        <f t="shared" si="27"/>
        <v>-82243.476150849281</v>
      </c>
      <c r="BM100" s="61">
        <f t="shared" si="27"/>
        <v>8049.773849150718</v>
      </c>
      <c r="BN100" s="61">
        <f t="shared" si="27"/>
        <v>-1270.1000071998178</v>
      </c>
      <c r="BO100" s="61">
        <f t="shared" ref="BO100:CT100" si="28">BO98*BO99</f>
        <v>107081.79999280056</v>
      </c>
      <c r="BP100" s="61">
        <f t="shared" si="28"/>
        <v>107081.79999280056</v>
      </c>
      <c r="BQ100" s="61">
        <f t="shared" si="28"/>
        <v>107081.79999280056</v>
      </c>
      <c r="BR100" s="61">
        <f t="shared" si="28"/>
        <v>107081.79999280056</v>
      </c>
      <c r="BS100" s="61">
        <f t="shared" si="28"/>
        <v>197375.04999280054</v>
      </c>
      <c r="BT100" s="61">
        <f t="shared" si="28"/>
        <v>16788.549992800556</v>
      </c>
      <c r="BU100" s="61">
        <f t="shared" si="28"/>
        <v>125140.4499928</v>
      </c>
      <c r="BV100" s="61">
        <f t="shared" si="28"/>
        <v>125140.4499928</v>
      </c>
      <c r="BW100" s="61">
        <f t="shared" si="28"/>
        <v>233492.34999280036</v>
      </c>
      <c r="BX100" s="61">
        <f t="shared" si="28"/>
        <v>16788.549992800556</v>
      </c>
      <c r="BY100" s="61">
        <f t="shared" si="28"/>
        <v>107081.79999280056</v>
      </c>
      <c r="BZ100" s="61">
        <f t="shared" si="28"/>
        <v>-83010.971340676449</v>
      </c>
      <c r="CA100" s="61">
        <f t="shared" si="28"/>
        <v>115634.17865932338</v>
      </c>
      <c r="CB100" s="61">
        <f t="shared" si="28"/>
        <v>-64952.321340676484</v>
      </c>
      <c r="CC100" s="61">
        <f t="shared" si="28"/>
        <v>133692.82865932336</v>
      </c>
      <c r="CD100" s="61">
        <f t="shared" si="28"/>
        <v>-83010.971340676449</v>
      </c>
      <c r="CE100" s="61">
        <f t="shared" si="28"/>
        <v>97575.528659323551</v>
      </c>
      <c r="CF100" s="61">
        <f t="shared" si="28"/>
        <v>-83010.971340676449</v>
      </c>
      <c r="CG100" s="61">
        <f t="shared" si="28"/>
        <v>133692.82865932336</v>
      </c>
      <c r="CH100" s="61">
        <f t="shared" si="28"/>
        <v>-83010.971340676449</v>
      </c>
      <c r="CI100" s="61">
        <f t="shared" si="28"/>
        <v>7282.2786593235487</v>
      </c>
      <c r="CJ100" s="61">
        <f t="shared" si="28"/>
        <v>7282.2786593235487</v>
      </c>
      <c r="CK100" s="61">
        <f t="shared" si="28"/>
        <v>7282.2786593235487</v>
      </c>
      <c r="CL100" s="61">
        <f t="shared" si="28"/>
        <v>-2414.1181008238864</v>
      </c>
      <c r="CM100" s="61">
        <f t="shared" si="28"/>
        <v>105937.78189917569</v>
      </c>
      <c r="CN100" s="61">
        <f t="shared" si="28"/>
        <v>-110766.01810082427</v>
      </c>
      <c r="CO100" s="61">
        <f t="shared" si="28"/>
        <v>-110766.01810082427</v>
      </c>
      <c r="CP100" s="61">
        <f t="shared" si="28"/>
        <v>-110766.01810082427</v>
      </c>
      <c r="CQ100" s="61">
        <f t="shared" si="28"/>
        <v>-110766.01810082427</v>
      </c>
      <c r="CR100" s="61">
        <f t="shared" si="28"/>
        <v>-110766.01810082427</v>
      </c>
      <c r="CS100" s="61">
        <f t="shared" si="28"/>
        <v>-2414.1181008238864</v>
      </c>
      <c r="CT100" s="61">
        <f t="shared" si="28"/>
        <v>-219117.91810082417</v>
      </c>
      <c r="CU100" s="61">
        <f t="shared" ref="CU100:DZ100" si="29">CU98*CU99</f>
        <v>-71604.566733473621</v>
      </c>
      <c r="CV100" s="61">
        <f t="shared" si="29"/>
        <v>-252191.06673347362</v>
      </c>
      <c r="CW100" s="61">
        <f t="shared" si="29"/>
        <v>-161897.81673347362</v>
      </c>
      <c r="CX100" s="61">
        <f t="shared" si="29"/>
        <v>-351230.2394014764</v>
      </c>
      <c r="CY100" s="61">
        <f t="shared" si="29"/>
        <v>-242878.33940147609</v>
      </c>
      <c r="CZ100" s="61">
        <f t="shared" si="29"/>
        <v>-459582.13940147631</v>
      </c>
      <c r="DA100" s="61">
        <f t="shared" si="29"/>
        <v>-369288.88940147631</v>
      </c>
      <c r="DB100" s="61">
        <f t="shared" si="29"/>
        <v>0</v>
      </c>
      <c r="DC100" s="61">
        <f t="shared" si="29"/>
        <v>0</v>
      </c>
      <c r="DD100" s="61">
        <f t="shared" si="29"/>
        <v>0</v>
      </c>
      <c r="DE100" s="61">
        <f t="shared" si="29"/>
        <v>0</v>
      </c>
      <c r="DF100" s="61">
        <f t="shared" si="29"/>
        <v>0</v>
      </c>
    </row>
    <row r="101" spans="1:110" x14ac:dyDescent="0.25">
      <c r="A101" s="56" t="s">
        <v>834</v>
      </c>
      <c r="C101" s="63">
        <f>IF(AND(Projects!$G$17="Yes",Projects!$M$17="Yes",-2&gt;=Projects!$C$17,-2&lt;Projects!$C$17+Projects!$D$17),Projects!$B$17*INDEX(Curves!$B$4:$AR$4,1,-2-Projects!$C$17+1),0)+IF(AND(Projects!$G$18="Yes",Projects!$M$18="Yes",-2&gt;=Projects!$C$18,-2&lt;Projects!$C$18+Projects!$D$18),Projects!$B$18*INDEX(Curves!$B$4:$AR$4,1,-2-Projects!$C$18+1),0)+IF(AND(Projects!$G$19="Yes",Projects!$M$19="Yes",-2&gt;=Projects!$C$19,-2&lt;Projects!$C$19+Projects!$D$19),Projects!$B$19*INDEX(Curves!$B$4:$AR$4,1,-2-Projects!$C$19+1),0)+IF(AND(Projects!$G$20="Yes",Projects!$M$20="Yes",-2&gt;=Projects!$C$20,-2&lt;Projects!$C$20+Projects!$D$20),Projects!$B$20*INDEX(Curves!$B$4:$AR$4,1,-2-Projects!$C$20+1),0)+IF(AND(Projects!$G$21="Yes",Projects!$M$21="Yes",-2&gt;=Projects!$C$21,-2&lt;Projects!$C$21+Projects!$D$21),Projects!$B$21*INDEX(Curves!$B$4:$AR$4,1,-2-Projects!$C$21+1),0)+IF(AND(Projects!$G$22="Yes",Projects!$M$22="Yes",-2&gt;=Projects!$C$22,-2&lt;Projects!$C$22+Projects!$D$22),Projects!$B$22*INDEX(Curves!$B$4:$AR$4,1,-2-Projects!$C$22+1),0)+IF(AND(Projects!$G$23="Yes",Projects!$M$23="Yes",-2&gt;=Projects!$C$23,-2&lt;Projects!$C$23+Projects!$D$23),Projects!$B$23*INDEX(Curves!$B$4:$AR$4,1,-2-Projects!$C$23+1),0)+IF(AND(Projects!$G$24="Yes",Projects!$M$24="Yes",-2&gt;=Projects!$C$24,-2&lt;Projects!$C$24+Projects!$D$24),Projects!$B$24*INDEX(Curves!$B$4:$AR$4,1,-2-Projects!$C$24+1),0)+IF(AND(Projects!$G$25="Yes",Projects!$M$25="Yes",-2&gt;=Projects!$C$25,-2&lt;Projects!$C$25+Projects!$D$25),Projects!$B$25*INDEX(Curves!$B$4:$AR$4,1,-2-Projects!$C$25+1),0)+IF(AND(Projects!$G$26="Yes",Projects!$M$26="Yes",-2&gt;=Projects!$C$26,-2&lt;Projects!$C$26+Projects!$D$26),Projects!$B$26*INDEX(Curves!$B$4:$AR$4,1,-2-Projects!$C$26+1),0)+IF(AND(Projects!$G$27="Yes",Projects!$M$27="Yes",-2&gt;=Projects!$C$27,-2&lt;Projects!$C$27+Projects!$D$27),Projects!$B$27*INDEX(Curves!$B$4:$AR$4,1,-2-Projects!$C$27+1),0)+IF(AND(Projects!$G$28="Yes",Projects!$M$28="Yes",-2&gt;=Projects!$C$28,-2&lt;Projects!$C$28+Projects!$D$28),Projects!$B$28*INDEX(Curves!$B$4:$AR$4,1,-2-Projects!$C$28+1),0)+IF(AND(Projects!$G$29="Yes",Projects!$M$29="Yes",-2&gt;=Projects!$C$29,-2&lt;Projects!$C$29+Projects!$D$29),Projects!$B$29*INDEX(Curves!$B$4:$AR$4,1,-2-Projects!$C$29+1),0)+IF(AND(Projects!$G$30="Yes",Projects!$M$30="Yes",-2&gt;=Projects!$C$30,-2&lt;Projects!$C$30+Projects!$D$30),Projects!$B$30*INDEX(Curves!$B$4:$AR$4,1,-2-Projects!$C$30+1),0)+IF(AND(Projects!$G$31="Yes",Projects!$M$31="Yes",-2&gt;=Projects!$C$31,-2&lt;Projects!$C$31+Projects!$D$31),Projects!$B$31*INDEX(Curves!$B$4:$AR$4,1,-2-Projects!$C$31+1),0)+IF(AND(Projects!$G$32="Yes",Projects!$M$32="Yes",-2&gt;=Projects!$C$32,-2&lt;Projects!$C$32+Projects!$D$32),Projects!$B$32*INDEX(Curves!$B$4:$AR$4,1,-2-Projects!$C$32+1),0)+IF(AND(Projects!$G$33="Yes",Projects!$M$33="Yes",-2&gt;=Projects!$C$33,-2&lt;Projects!$C$33+Projects!$D$33),Projects!$B$33*INDEX(Curves!$B$4:$AR$4,1,-2-Projects!$C$33+1),0)+IF(AND(Projects!$G$34="Yes",Projects!$M$34="Yes",-2&gt;=Projects!$C$34,-2&lt;Projects!$C$34+Projects!$D$34),Projects!$B$34*INDEX(Curves!$B$4:$AR$4,1,-2-Projects!$C$34+1),0)+IF(AND(Projects!$G$35="Yes",Projects!$M$35="Yes",-2&gt;=Projects!$C$35,-2&lt;Projects!$C$35+Projects!$D$35),Projects!$B$35*INDEX(Curves!$B$4:$AR$4,1,-2-Projects!$C$35+1),0)+IF(AND(Projects!$G$36="Yes",Projects!$M$36="Yes",-2&gt;=Projects!$C$36,-2&lt;Projects!$C$36+Projects!$D$36),Projects!$B$36*INDEX(Curves!$B$4:$AR$4,1,-2-Projects!$C$36+1),0)+IF(AND(Projects!$G$37="Yes",Projects!$M$37="Yes",-2&gt;=Projects!$C$37,-2&lt;Projects!$C$37+Projects!$D$37),Projects!$B$37*INDEX(Curves!$B$4:$AR$4,1,-2-Projects!$C$37+1),0)+IF(AND(Projects!$G$38="Yes",Projects!$M$38="Yes",-2&gt;=Projects!$C$38,-2&lt;Projects!$C$38+Projects!$D$38),Projects!$B$38*INDEX(Curves!$B$4:$AR$4,1,-2-Projects!$C$38+1),0)+IF(AND(Projects!$G$39="Yes",Projects!$M$39="Yes",-2&gt;=Projects!$C$39,-2&lt;Projects!$C$39+Projects!$D$39),Projects!$B$39*INDEX(Curves!$B$4:$AR$4,1,-2-Projects!$C$39+1),0)+IF(AND(Projects!$G$40="Yes",Projects!$M$40="Yes",-2&gt;=Projects!$C$40,-2&lt;Projects!$C$40+Projects!$D$40),Projects!$B$40*INDEX(Curves!$B$4:$AR$4,1,-2-Projects!$C$40+1),0)+IF(AND(Projects!$G$41="Yes",Projects!$M$41="Yes",-2&gt;=Projects!$C$41,-2&lt;Projects!$C$41+Projects!$D$41),Projects!$B$41*INDEX(Curves!$B$4:$AR$4,1,-2-Projects!$C$41+1),0)+IF(AND(Projects!$G$42="Yes",Projects!$M$42="Yes",-2&gt;=Projects!$C$42,-2&lt;Projects!$C$42+Projects!$D$42),Projects!$B$42*INDEX(Curves!$B$4:$AR$4,1,-2-Projects!$C$42+1),0)+IF(AND(Projects!$G$43="Yes",Projects!$M$43="Yes",-2&gt;=Projects!$C$43,-2&lt;Projects!$C$43+Projects!$D$43),Projects!$B$43*INDEX(Curves!$B$4:$AR$4,1,-2-Projects!$C$43+1),0)+IF(AND(Projects!$G$44="Yes",Projects!$M$44="Yes",-2&gt;=Projects!$C$44,-2&lt;Projects!$C$44+Projects!$D$44),Projects!$B$44*INDEX(Curves!$B$4:$AR$4,1,-2-Projects!$C$44+1),0)+IF(AND(Projects!$G$45="Yes",Projects!$M$45="Yes",-2&gt;=Projects!$C$45,-2&lt;Projects!$C$45+Projects!$D$45),Projects!$B$45*INDEX(Curves!$B$4:$AR$4,1,-2-Projects!$C$45+1),0)+IF(AND(Projects!$G$46="Yes",Projects!$M$46="Yes",-2&gt;=Projects!$C$46,-2&lt;Projects!$C$46+Projects!$D$46),Projects!$B$46*INDEX(Curves!$B$4:$AR$4,1,-2-Projects!$C$46+1),0)</f>
        <v>0</v>
      </c>
      <c r="D101" s="63">
        <f>IF(AND(Projects!$G$17="Yes",Projects!$M$17="Yes",-1&gt;=Projects!$C$17,-1&lt;Projects!$C$17+Projects!$D$17),Projects!$B$17*INDEX(Curves!$B$4:$AR$4,1,-1-Projects!$C$17+1),0)+IF(AND(Projects!$G$18="Yes",Projects!$M$18="Yes",-1&gt;=Projects!$C$18,-1&lt;Projects!$C$18+Projects!$D$18),Projects!$B$18*INDEX(Curves!$B$4:$AR$4,1,-1-Projects!$C$18+1),0)+IF(AND(Projects!$G$19="Yes",Projects!$M$19="Yes",-1&gt;=Projects!$C$19,-1&lt;Projects!$C$19+Projects!$D$19),Projects!$B$19*INDEX(Curves!$B$4:$AR$4,1,-1-Projects!$C$19+1),0)+IF(AND(Projects!$G$20="Yes",Projects!$M$20="Yes",-1&gt;=Projects!$C$20,-1&lt;Projects!$C$20+Projects!$D$20),Projects!$B$20*INDEX(Curves!$B$4:$AR$4,1,-1-Projects!$C$20+1),0)+IF(AND(Projects!$G$21="Yes",Projects!$M$21="Yes",-1&gt;=Projects!$C$21,-1&lt;Projects!$C$21+Projects!$D$21),Projects!$B$21*INDEX(Curves!$B$4:$AR$4,1,-1-Projects!$C$21+1),0)+IF(AND(Projects!$G$22="Yes",Projects!$M$22="Yes",-1&gt;=Projects!$C$22,-1&lt;Projects!$C$22+Projects!$D$22),Projects!$B$22*INDEX(Curves!$B$4:$AR$4,1,-1-Projects!$C$22+1),0)+IF(AND(Projects!$G$23="Yes",Projects!$M$23="Yes",-1&gt;=Projects!$C$23,-1&lt;Projects!$C$23+Projects!$D$23),Projects!$B$23*INDEX(Curves!$B$4:$AR$4,1,-1-Projects!$C$23+1),0)+IF(AND(Projects!$G$24="Yes",Projects!$M$24="Yes",-1&gt;=Projects!$C$24,-1&lt;Projects!$C$24+Projects!$D$24),Projects!$B$24*INDEX(Curves!$B$4:$AR$4,1,-1-Projects!$C$24+1),0)+IF(AND(Projects!$G$25="Yes",Projects!$M$25="Yes",-1&gt;=Projects!$C$25,-1&lt;Projects!$C$25+Projects!$D$25),Projects!$B$25*INDEX(Curves!$B$4:$AR$4,1,-1-Projects!$C$25+1),0)+IF(AND(Projects!$G$26="Yes",Projects!$M$26="Yes",-1&gt;=Projects!$C$26,-1&lt;Projects!$C$26+Projects!$D$26),Projects!$B$26*INDEX(Curves!$B$4:$AR$4,1,-1-Projects!$C$26+1),0)+IF(AND(Projects!$G$27="Yes",Projects!$M$27="Yes",-1&gt;=Projects!$C$27,-1&lt;Projects!$C$27+Projects!$D$27),Projects!$B$27*INDEX(Curves!$B$4:$AR$4,1,-1-Projects!$C$27+1),0)+IF(AND(Projects!$G$28="Yes",Projects!$M$28="Yes",-1&gt;=Projects!$C$28,-1&lt;Projects!$C$28+Projects!$D$28),Projects!$B$28*INDEX(Curves!$B$4:$AR$4,1,-1-Projects!$C$28+1),0)+IF(AND(Projects!$G$29="Yes",Projects!$M$29="Yes",-1&gt;=Projects!$C$29,-1&lt;Projects!$C$29+Projects!$D$29),Projects!$B$29*INDEX(Curves!$B$4:$AR$4,1,-1-Projects!$C$29+1),0)+IF(AND(Projects!$G$30="Yes",Projects!$M$30="Yes",-1&gt;=Projects!$C$30,-1&lt;Projects!$C$30+Projects!$D$30),Projects!$B$30*INDEX(Curves!$B$4:$AR$4,1,-1-Projects!$C$30+1),0)+IF(AND(Projects!$G$31="Yes",Projects!$M$31="Yes",-1&gt;=Projects!$C$31,-1&lt;Projects!$C$31+Projects!$D$31),Projects!$B$31*INDEX(Curves!$B$4:$AR$4,1,-1-Projects!$C$31+1),0)+IF(AND(Projects!$G$32="Yes",Projects!$M$32="Yes",-1&gt;=Projects!$C$32,-1&lt;Projects!$C$32+Projects!$D$32),Projects!$B$32*INDEX(Curves!$B$4:$AR$4,1,-1-Projects!$C$32+1),0)+IF(AND(Projects!$G$33="Yes",Projects!$M$33="Yes",-1&gt;=Projects!$C$33,-1&lt;Projects!$C$33+Projects!$D$33),Projects!$B$33*INDEX(Curves!$B$4:$AR$4,1,-1-Projects!$C$33+1),0)+IF(AND(Projects!$G$34="Yes",Projects!$M$34="Yes",-1&gt;=Projects!$C$34,-1&lt;Projects!$C$34+Projects!$D$34),Projects!$B$34*INDEX(Curves!$B$4:$AR$4,1,-1-Projects!$C$34+1),0)+IF(AND(Projects!$G$35="Yes",Projects!$M$35="Yes",-1&gt;=Projects!$C$35,-1&lt;Projects!$C$35+Projects!$D$35),Projects!$B$35*INDEX(Curves!$B$4:$AR$4,1,-1-Projects!$C$35+1),0)+IF(AND(Projects!$G$36="Yes",Projects!$M$36="Yes",-1&gt;=Projects!$C$36,-1&lt;Projects!$C$36+Projects!$D$36),Projects!$B$36*INDEX(Curves!$B$4:$AR$4,1,-1-Projects!$C$36+1),0)+IF(AND(Projects!$G$37="Yes",Projects!$M$37="Yes",-1&gt;=Projects!$C$37,-1&lt;Projects!$C$37+Projects!$D$37),Projects!$B$37*INDEX(Curves!$B$4:$AR$4,1,-1-Projects!$C$37+1),0)+IF(AND(Projects!$G$38="Yes",Projects!$M$38="Yes",-1&gt;=Projects!$C$38,-1&lt;Projects!$C$38+Projects!$D$38),Projects!$B$38*INDEX(Curves!$B$4:$AR$4,1,-1-Projects!$C$38+1),0)+IF(AND(Projects!$G$39="Yes",Projects!$M$39="Yes",-1&gt;=Projects!$C$39,-1&lt;Projects!$C$39+Projects!$D$39),Projects!$B$39*INDEX(Curves!$B$4:$AR$4,1,-1-Projects!$C$39+1),0)+IF(AND(Projects!$G$40="Yes",Projects!$M$40="Yes",-1&gt;=Projects!$C$40,-1&lt;Projects!$C$40+Projects!$D$40),Projects!$B$40*INDEX(Curves!$B$4:$AR$4,1,-1-Projects!$C$40+1),0)+IF(AND(Projects!$G$41="Yes",Projects!$M$41="Yes",-1&gt;=Projects!$C$41,-1&lt;Projects!$C$41+Projects!$D$41),Projects!$B$41*INDEX(Curves!$B$4:$AR$4,1,-1-Projects!$C$41+1),0)+IF(AND(Projects!$G$42="Yes",Projects!$M$42="Yes",-1&gt;=Projects!$C$42,-1&lt;Projects!$C$42+Projects!$D$42),Projects!$B$42*INDEX(Curves!$B$4:$AR$4,1,-1-Projects!$C$42+1),0)+IF(AND(Projects!$G$43="Yes",Projects!$M$43="Yes",-1&gt;=Projects!$C$43,-1&lt;Projects!$C$43+Projects!$D$43),Projects!$B$43*INDEX(Curves!$B$4:$AR$4,1,-1-Projects!$C$43+1),0)+IF(AND(Projects!$G$44="Yes",Projects!$M$44="Yes",-1&gt;=Projects!$C$44,-1&lt;Projects!$C$44+Projects!$D$44),Projects!$B$44*INDEX(Curves!$B$4:$AR$4,1,-1-Projects!$C$44+1),0)+IF(AND(Projects!$G$45="Yes",Projects!$M$45="Yes",-1&gt;=Projects!$C$45,-1&lt;Projects!$C$45+Projects!$D$45),Projects!$B$45*INDEX(Curves!$B$4:$AR$4,1,-1-Projects!$C$45+1),0)+IF(AND(Projects!$G$46="Yes",Projects!$M$46="Yes",-1&gt;=Projects!$C$46,-1&lt;Projects!$C$46+Projects!$D$46),Projects!$B$46*INDEX(Curves!$B$4:$AR$4,1,-1-Projects!$C$46+1),0)</f>
        <v>0</v>
      </c>
      <c r="E101" s="63">
        <f>IF(AND(Projects!$G$17="Yes",Projects!$M$17="Yes",0&gt;=Projects!$C$17,0&lt;Projects!$C$17+Projects!$D$17),Projects!$B$17*INDEX(Curves!$B$4:$AR$4,1,0-Projects!$C$17+1),0)+IF(AND(Projects!$G$18="Yes",Projects!$M$18="Yes",0&gt;=Projects!$C$18,0&lt;Projects!$C$18+Projects!$D$18),Projects!$B$18*INDEX(Curves!$B$4:$AR$4,1,0-Projects!$C$18+1),0)+IF(AND(Projects!$G$19="Yes",Projects!$M$19="Yes",0&gt;=Projects!$C$19,0&lt;Projects!$C$19+Projects!$D$19),Projects!$B$19*INDEX(Curves!$B$4:$AR$4,1,0-Projects!$C$19+1),0)+IF(AND(Projects!$G$20="Yes",Projects!$M$20="Yes",0&gt;=Projects!$C$20,0&lt;Projects!$C$20+Projects!$D$20),Projects!$B$20*INDEX(Curves!$B$4:$AR$4,1,0-Projects!$C$20+1),0)+IF(AND(Projects!$G$21="Yes",Projects!$M$21="Yes",0&gt;=Projects!$C$21,0&lt;Projects!$C$21+Projects!$D$21),Projects!$B$21*INDEX(Curves!$B$4:$AR$4,1,0-Projects!$C$21+1),0)+IF(AND(Projects!$G$22="Yes",Projects!$M$22="Yes",0&gt;=Projects!$C$22,0&lt;Projects!$C$22+Projects!$D$22),Projects!$B$22*INDEX(Curves!$B$4:$AR$4,1,0-Projects!$C$22+1),0)+IF(AND(Projects!$G$23="Yes",Projects!$M$23="Yes",0&gt;=Projects!$C$23,0&lt;Projects!$C$23+Projects!$D$23),Projects!$B$23*INDEX(Curves!$B$4:$AR$4,1,0-Projects!$C$23+1),0)+IF(AND(Projects!$G$24="Yes",Projects!$M$24="Yes",0&gt;=Projects!$C$24,0&lt;Projects!$C$24+Projects!$D$24),Projects!$B$24*INDEX(Curves!$B$4:$AR$4,1,0-Projects!$C$24+1),0)+IF(AND(Projects!$G$25="Yes",Projects!$M$25="Yes",0&gt;=Projects!$C$25,0&lt;Projects!$C$25+Projects!$D$25),Projects!$B$25*INDEX(Curves!$B$4:$AR$4,1,0-Projects!$C$25+1),0)+IF(AND(Projects!$G$26="Yes",Projects!$M$26="Yes",0&gt;=Projects!$C$26,0&lt;Projects!$C$26+Projects!$D$26),Projects!$B$26*INDEX(Curves!$B$4:$AR$4,1,0-Projects!$C$26+1),0)+IF(AND(Projects!$G$27="Yes",Projects!$M$27="Yes",0&gt;=Projects!$C$27,0&lt;Projects!$C$27+Projects!$D$27),Projects!$B$27*INDEX(Curves!$B$4:$AR$4,1,0-Projects!$C$27+1),0)+IF(AND(Projects!$G$28="Yes",Projects!$M$28="Yes",0&gt;=Projects!$C$28,0&lt;Projects!$C$28+Projects!$D$28),Projects!$B$28*INDEX(Curves!$B$4:$AR$4,1,0-Projects!$C$28+1),0)+IF(AND(Projects!$G$29="Yes",Projects!$M$29="Yes",0&gt;=Projects!$C$29,0&lt;Projects!$C$29+Projects!$D$29),Projects!$B$29*INDEX(Curves!$B$4:$AR$4,1,0-Projects!$C$29+1),0)+IF(AND(Projects!$G$30="Yes",Projects!$M$30="Yes",0&gt;=Projects!$C$30,0&lt;Projects!$C$30+Projects!$D$30),Projects!$B$30*INDEX(Curves!$B$4:$AR$4,1,0-Projects!$C$30+1),0)+IF(AND(Projects!$G$31="Yes",Projects!$M$31="Yes",0&gt;=Projects!$C$31,0&lt;Projects!$C$31+Projects!$D$31),Projects!$B$31*INDEX(Curves!$B$4:$AR$4,1,0-Projects!$C$31+1),0)+IF(AND(Projects!$G$32="Yes",Projects!$M$32="Yes",0&gt;=Projects!$C$32,0&lt;Projects!$C$32+Projects!$D$32),Projects!$B$32*INDEX(Curves!$B$4:$AR$4,1,0-Projects!$C$32+1),0)+IF(AND(Projects!$G$33="Yes",Projects!$M$33="Yes",0&gt;=Projects!$C$33,0&lt;Projects!$C$33+Projects!$D$33),Projects!$B$33*INDEX(Curves!$B$4:$AR$4,1,0-Projects!$C$33+1),0)+IF(AND(Projects!$G$34="Yes",Projects!$M$34="Yes",0&gt;=Projects!$C$34,0&lt;Projects!$C$34+Projects!$D$34),Projects!$B$34*INDEX(Curves!$B$4:$AR$4,1,0-Projects!$C$34+1),0)+IF(AND(Projects!$G$35="Yes",Projects!$M$35="Yes",0&gt;=Projects!$C$35,0&lt;Projects!$C$35+Projects!$D$35),Projects!$B$35*INDEX(Curves!$B$4:$AR$4,1,0-Projects!$C$35+1),0)+IF(AND(Projects!$G$36="Yes",Projects!$M$36="Yes",0&gt;=Projects!$C$36,0&lt;Projects!$C$36+Projects!$D$36),Projects!$B$36*INDEX(Curves!$B$4:$AR$4,1,0-Projects!$C$36+1),0)+IF(AND(Projects!$G$37="Yes",Projects!$M$37="Yes",0&gt;=Projects!$C$37,0&lt;Projects!$C$37+Projects!$D$37),Projects!$B$37*INDEX(Curves!$B$4:$AR$4,1,0-Projects!$C$37+1),0)+IF(AND(Projects!$G$38="Yes",Projects!$M$38="Yes",0&gt;=Projects!$C$38,0&lt;Projects!$C$38+Projects!$D$38),Projects!$B$38*INDEX(Curves!$B$4:$AR$4,1,0-Projects!$C$38+1),0)+IF(AND(Projects!$G$39="Yes",Projects!$M$39="Yes",0&gt;=Projects!$C$39,0&lt;Projects!$C$39+Projects!$D$39),Projects!$B$39*INDEX(Curves!$B$4:$AR$4,1,0-Projects!$C$39+1),0)+IF(AND(Projects!$G$40="Yes",Projects!$M$40="Yes",0&gt;=Projects!$C$40,0&lt;Projects!$C$40+Projects!$D$40),Projects!$B$40*INDEX(Curves!$B$4:$AR$4,1,0-Projects!$C$40+1),0)+IF(AND(Projects!$G$41="Yes",Projects!$M$41="Yes",0&gt;=Projects!$C$41,0&lt;Projects!$C$41+Projects!$D$41),Projects!$B$41*INDEX(Curves!$B$4:$AR$4,1,0-Projects!$C$41+1),0)+IF(AND(Projects!$G$42="Yes",Projects!$M$42="Yes",0&gt;=Projects!$C$42,0&lt;Projects!$C$42+Projects!$D$42),Projects!$B$42*INDEX(Curves!$B$4:$AR$4,1,0-Projects!$C$42+1),0)+IF(AND(Projects!$G$43="Yes",Projects!$M$43="Yes",0&gt;=Projects!$C$43,0&lt;Projects!$C$43+Projects!$D$43),Projects!$B$43*INDEX(Curves!$B$4:$AR$4,1,0-Projects!$C$43+1),0)+IF(AND(Projects!$G$44="Yes",Projects!$M$44="Yes",0&gt;=Projects!$C$44,0&lt;Projects!$C$44+Projects!$D$44),Projects!$B$44*INDEX(Curves!$B$4:$AR$4,1,0-Projects!$C$44+1),0)+IF(AND(Projects!$G$45="Yes",Projects!$M$45="Yes",0&gt;=Projects!$C$45,0&lt;Projects!$C$45+Projects!$D$45),Projects!$B$45*INDEX(Curves!$B$4:$AR$4,1,0-Projects!$C$45+1),0)+IF(AND(Projects!$G$46="Yes",Projects!$M$46="Yes",0&gt;=Projects!$C$46,0&lt;Projects!$C$46+Projects!$D$46),Projects!$B$46*INDEX(Curves!$B$4:$AR$4,1,0-Projects!$C$46+1),0)</f>
        <v>0</v>
      </c>
      <c r="F101" s="63">
        <f>IF(AND(Projects!$G$17="Yes",Projects!$M$17="Yes",1&gt;=Projects!$C$17,1&lt;Projects!$C$17+Projects!$D$17),Projects!$B$17*INDEX(Curves!$B$4:$AR$4,1,1-Projects!$C$17+1),0)+IF(AND(Projects!$G$18="Yes",Projects!$M$18="Yes",1&gt;=Projects!$C$18,1&lt;Projects!$C$18+Projects!$D$18),Projects!$B$18*INDEX(Curves!$B$4:$AR$4,1,1-Projects!$C$18+1),0)+IF(AND(Projects!$G$19="Yes",Projects!$M$19="Yes",1&gt;=Projects!$C$19,1&lt;Projects!$C$19+Projects!$D$19),Projects!$B$19*INDEX(Curves!$B$4:$AR$4,1,1-Projects!$C$19+1),0)+IF(AND(Projects!$G$20="Yes",Projects!$M$20="Yes",1&gt;=Projects!$C$20,1&lt;Projects!$C$20+Projects!$D$20),Projects!$B$20*INDEX(Curves!$B$4:$AR$4,1,1-Projects!$C$20+1),0)+IF(AND(Projects!$G$21="Yes",Projects!$M$21="Yes",1&gt;=Projects!$C$21,1&lt;Projects!$C$21+Projects!$D$21),Projects!$B$21*INDEX(Curves!$B$4:$AR$4,1,1-Projects!$C$21+1),0)+IF(AND(Projects!$G$22="Yes",Projects!$M$22="Yes",1&gt;=Projects!$C$22,1&lt;Projects!$C$22+Projects!$D$22),Projects!$B$22*INDEX(Curves!$B$4:$AR$4,1,1-Projects!$C$22+1),0)+IF(AND(Projects!$G$23="Yes",Projects!$M$23="Yes",1&gt;=Projects!$C$23,1&lt;Projects!$C$23+Projects!$D$23),Projects!$B$23*INDEX(Curves!$B$4:$AR$4,1,1-Projects!$C$23+1),0)+IF(AND(Projects!$G$24="Yes",Projects!$M$24="Yes",1&gt;=Projects!$C$24,1&lt;Projects!$C$24+Projects!$D$24),Projects!$B$24*INDEX(Curves!$B$4:$AR$4,1,1-Projects!$C$24+1),0)+IF(AND(Projects!$G$25="Yes",Projects!$M$25="Yes",1&gt;=Projects!$C$25,1&lt;Projects!$C$25+Projects!$D$25),Projects!$B$25*INDEX(Curves!$B$4:$AR$4,1,1-Projects!$C$25+1),0)+IF(AND(Projects!$G$26="Yes",Projects!$M$26="Yes",1&gt;=Projects!$C$26,1&lt;Projects!$C$26+Projects!$D$26),Projects!$B$26*INDEX(Curves!$B$4:$AR$4,1,1-Projects!$C$26+1),0)+IF(AND(Projects!$G$27="Yes",Projects!$M$27="Yes",1&gt;=Projects!$C$27,1&lt;Projects!$C$27+Projects!$D$27),Projects!$B$27*INDEX(Curves!$B$4:$AR$4,1,1-Projects!$C$27+1),0)+IF(AND(Projects!$G$28="Yes",Projects!$M$28="Yes",1&gt;=Projects!$C$28,1&lt;Projects!$C$28+Projects!$D$28),Projects!$B$28*INDEX(Curves!$B$4:$AR$4,1,1-Projects!$C$28+1),0)+IF(AND(Projects!$G$29="Yes",Projects!$M$29="Yes",1&gt;=Projects!$C$29,1&lt;Projects!$C$29+Projects!$D$29),Projects!$B$29*INDEX(Curves!$B$4:$AR$4,1,1-Projects!$C$29+1),0)+IF(AND(Projects!$G$30="Yes",Projects!$M$30="Yes",1&gt;=Projects!$C$30,1&lt;Projects!$C$30+Projects!$D$30),Projects!$B$30*INDEX(Curves!$B$4:$AR$4,1,1-Projects!$C$30+1),0)+IF(AND(Projects!$G$31="Yes",Projects!$M$31="Yes",1&gt;=Projects!$C$31,1&lt;Projects!$C$31+Projects!$D$31),Projects!$B$31*INDEX(Curves!$B$4:$AR$4,1,1-Projects!$C$31+1),0)+IF(AND(Projects!$G$32="Yes",Projects!$M$32="Yes",1&gt;=Projects!$C$32,1&lt;Projects!$C$32+Projects!$D$32),Projects!$B$32*INDEX(Curves!$B$4:$AR$4,1,1-Projects!$C$32+1),0)+IF(AND(Projects!$G$33="Yes",Projects!$M$33="Yes",1&gt;=Projects!$C$33,1&lt;Projects!$C$33+Projects!$D$33),Projects!$B$33*INDEX(Curves!$B$4:$AR$4,1,1-Projects!$C$33+1),0)+IF(AND(Projects!$G$34="Yes",Projects!$M$34="Yes",1&gt;=Projects!$C$34,1&lt;Projects!$C$34+Projects!$D$34),Projects!$B$34*INDEX(Curves!$B$4:$AR$4,1,1-Projects!$C$34+1),0)+IF(AND(Projects!$G$35="Yes",Projects!$M$35="Yes",1&gt;=Projects!$C$35,1&lt;Projects!$C$35+Projects!$D$35),Projects!$B$35*INDEX(Curves!$B$4:$AR$4,1,1-Projects!$C$35+1),0)+IF(AND(Projects!$G$36="Yes",Projects!$M$36="Yes",1&gt;=Projects!$C$36,1&lt;Projects!$C$36+Projects!$D$36),Projects!$B$36*INDEX(Curves!$B$4:$AR$4,1,1-Projects!$C$36+1),0)+IF(AND(Projects!$G$37="Yes",Projects!$M$37="Yes",1&gt;=Projects!$C$37,1&lt;Projects!$C$37+Projects!$D$37),Projects!$B$37*INDEX(Curves!$B$4:$AR$4,1,1-Projects!$C$37+1),0)+IF(AND(Projects!$G$38="Yes",Projects!$M$38="Yes",1&gt;=Projects!$C$38,1&lt;Projects!$C$38+Projects!$D$38),Projects!$B$38*INDEX(Curves!$B$4:$AR$4,1,1-Projects!$C$38+1),0)+IF(AND(Projects!$G$39="Yes",Projects!$M$39="Yes",1&gt;=Projects!$C$39,1&lt;Projects!$C$39+Projects!$D$39),Projects!$B$39*INDEX(Curves!$B$4:$AR$4,1,1-Projects!$C$39+1),0)+IF(AND(Projects!$G$40="Yes",Projects!$M$40="Yes",1&gt;=Projects!$C$40,1&lt;Projects!$C$40+Projects!$D$40),Projects!$B$40*INDEX(Curves!$B$4:$AR$4,1,1-Projects!$C$40+1),0)+IF(AND(Projects!$G$41="Yes",Projects!$M$41="Yes",1&gt;=Projects!$C$41,1&lt;Projects!$C$41+Projects!$D$41),Projects!$B$41*INDEX(Curves!$B$4:$AR$4,1,1-Projects!$C$41+1),0)+IF(AND(Projects!$G$42="Yes",Projects!$M$42="Yes",1&gt;=Projects!$C$42,1&lt;Projects!$C$42+Projects!$D$42),Projects!$B$42*INDEX(Curves!$B$4:$AR$4,1,1-Projects!$C$42+1),0)+IF(AND(Projects!$G$43="Yes",Projects!$M$43="Yes",1&gt;=Projects!$C$43,1&lt;Projects!$C$43+Projects!$D$43),Projects!$B$43*INDEX(Curves!$B$4:$AR$4,1,1-Projects!$C$43+1),0)+IF(AND(Projects!$G$44="Yes",Projects!$M$44="Yes",1&gt;=Projects!$C$44,1&lt;Projects!$C$44+Projects!$D$44),Projects!$B$44*INDEX(Curves!$B$4:$AR$4,1,1-Projects!$C$44+1),0)+IF(AND(Projects!$G$45="Yes",Projects!$M$45="Yes",1&gt;=Projects!$C$45,1&lt;Projects!$C$45+Projects!$D$45),Projects!$B$45*INDEX(Curves!$B$4:$AR$4,1,1-Projects!$C$45+1),0)+IF(AND(Projects!$G$46="Yes",Projects!$M$46="Yes",1&gt;=Projects!$C$46,1&lt;Projects!$C$46+Projects!$D$46),Projects!$B$46*INDEX(Curves!$B$4:$AR$4,1,1-Projects!$C$46+1),0)</f>
        <v>0</v>
      </c>
      <c r="G101" s="63">
        <f>IF(AND(Projects!$G$17="Yes",Projects!$M$17="Yes",2&gt;=Projects!$C$17,2&lt;Projects!$C$17+Projects!$D$17),Projects!$B$17*INDEX(Curves!$B$4:$AR$4,1,2-Projects!$C$17+1),0)+IF(AND(Projects!$G$18="Yes",Projects!$M$18="Yes",2&gt;=Projects!$C$18,2&lt;Projects!$C$18+Projects!$D$18),Projects!$B$18*INDEX(Curves!$B$4:$AR$4,1,2-Projects!$C$18+1),0)+IF(AND(Projects!$G$19="Yes",Projects!$M$19="Yes",2&gt;=Projects!$C$19,2&lt;Projects!$C$19+Projects!$D$19),Projects!$B$19*INDEX(Curves!$B$4:$AR$4,1,2-Projects!$C$19+1),0)+IF(AND(Projects!$G$20="Yes",Projects!$M$20="Yes",2&gt;=Projects!$C$20,2&lt;Projects!$C$20+Projects!$D$20),Projects!$B$20*INDEX(Curves!$B$4:$AR$4,1,2-Projects!$C$20+1),0)+IF(AND(Projects!$G$21="Yes",Projects!$M$21="Yes",2&gt;=Projects!$C$21,2&lt;Projects!$C$21+Projects!$D$21),Projects!$B$21*INDEX(Curves!$B$4:$AR$4,1,2-Projects!$C$21+1),0)+IF(AND(Projects!$G$22="Yes",Projects!$M$22="Yes",2&gt;=Projects!$C$22,2&lt;Projects!$C$22+Projects!$D$22),Projects!$B$22*INDEX(Curves!$B$4:$AR$4,1,2-Projects!$C$22+1),0)+IF(AND(Projects!$G$23="Yes",Projects!$M$23="Yes",2&gt;=Projects!$C$23,2&lt;Projects!$C$23+Projects!$D$23),Projects!$B$23*INDEX(Curves!$B$4:$AR$4,1,2-Projects!$C$23+1),0)+IF(AND(Projects!$G$24="Yes",Projects!$M$24="Yes",2&gt;=Projects!$C$24,2&lt;Projects!$C$24+Projects!$D$24),Projects!$B$24*INDEX(Curves!$B$4:$AR$4,1,2-Projects!$C$24+1),0)+IF(AND(Projects!$G$25="Yes",Projects!$M$25="Yes",2&gt;=Projects!$C$25,2&lt;Projects!$C$25+Projects!$D$25),Projects!$B$25*INDEX(Curves!$B$4:$AR$4,1,2-Projects!$C$25+1),0)+IF(AND(Projects!$G$26="Yes",Projects!$M$26="Yes",2&gt;=Projects!$C$26,2&lt;Projects!$C$26+Projects!$D$26),Projects!$B$26*INDEX(Curves!$B$4:$AR$4,1,2-Projects!$C$26+1),0)+IF(AND(Projects!$G$27="Yes",Projects!$M$27="Yes",2&gt;=Projects!$C$27,2&lt;Projects!$C$27+Projects!$D$27),Projects!$B$27*INDEX(Curves!$B$4:$AR$4,1,2-Projects!$C$27+1),0)+IF(AND(Projects!$G$28="Yes",Projects!$M$28="Yes",2&gt;=Projects!$C$28,2&lt;Projects!$C$28+Projects!$D$28),Projects!$B$28*INDEX(Curves!$B$4:$AR$4,1,2-Projects!$C$28+1),0)+IF(AND(Projects!$G$29="Yes",Projects!$M$29="Yes",2&gt;=Projects!$C$29,2&lt;Projects!$C$29+Projects!$D$29),Projects!$B$29*INDEX(Curves!$B$4:$AR$4,1,2-Projects!$C$29+1),0)+IF(AND(Projects!$G$30="Yes",Projects!$M$30="Yes",2&gt;=Projects!$C$30,2&lt;Projects!$C$30+Projects!$D$30),Projects!$B$30*INDEX(Curves!$B$4:$AR$4,1,2-Projects!$C$30+1),0)+IF(AND(Projects!$G$31="Yes",Projects!$M$31="Yes",2&gt;=Projects!$C$31,2&lt;Projects!$C$31+Projects!$D$31),Projects!$B$31*INDEX(Curves!$B$4:$AR$4,1,2-Projects!$C$31+1),0)+IF(AND(Projects!$G$32="Yes",Projects!$M$32="Yes",2&gt;=Projects!$C$32,2&lt;Projects!$C$32+Projects!$D$32),Projects!$B$32*INDEX(Curves!$B$4:$AR$4,1,2-Projects!$C$32+1),0)+IF(AND(Projects!$G$33="Yes",Projects!$M$33="Yes",2&gt;=Projects!$C$33,2&lt;Projects!$C$33+Projects!$D$33),Projects!$B$33*INDEX(Curves!$B$4:$AR$4,1,2-Projects!$C$33+1),0)+IF(AND(Projects!$G$34="Yes",Projects!$M$34="Yes",2&gt;=Projects!$C$34,2&lt;Projects!$C$34+Projects!$D$34),Projects!$B$34*INDEX(Curves!$B$4:$AR$4,1,2-Projects!$C$34+1),0)+IF(AND(Projects!$G$35="Yes",Projects!$M$35="Yes",2&gt;=Projects!$C$35,2&lt;Projects!$C$35+Projects!$D$35),Projects!$B$35*INDEX(Curves!$B$4:$AR$4,1,2-Projects!$C$35+1),0)+IF(AND(Projects!$G$36="Yes",Projects!$M$36="Yes",2&gt;=Projects!$C$36,2&lt;Projects!$C$36+Projects!$D$36),Projects!$B$36*INDEX(Curves!$B$4:$AR$4,1,2-Projects!$C$36+1),0)+IF(AND(Projects!$G$37="Yes",Projects!$M$37="Yes",2&gt;=Projects!$C$37,2&lt;Projects!$C$37+Projects!$D$37),Projects!$B$37*INDEX(Curves!$B$4:$AR$4,1,2-Projects!$C$37+1),0)+IF(AND(Projects!$G$38="Yes",Projects!$M$38="Yes",2&gt;=Projects!$C$38,2&lt;Projects!$C$38+Projects!$D$38),Projects!$B$38*INDEX(Curves!$B$4:$AR$4,1,2-Projects!$C$38+1),0)+IF(AND(Projects!$G$39="Yes",Projects!$M$39="Yes",2&gt;=Projects!$C$39,2&lt;Projects!$C$39+Projects!$D$39),Projects!$B$39*INDEX(Curves!$B$4:$AR$4,1,2-Projects!$C$39+1),0)+IF(AND(Projects!$G$40="Yes",Projects!$M$40="Yes",2&gt;=Projects!$C$40,2&lt;Projects!$C$40+Projects!$D$40),Projects!$B$40*INDEX(Curves!$B$4:$AR$4,1,2-Projects!$C$40+1),0)+IF(AND(Projects!$G$41="Yes",Projects!$M$41="Yes",2&gt;=Projects!$C$41,2&lt;Projects!$C$41+Projects!$D$41),Projects!$B$41*INDEX(Curves!$B$4:$AR$4,1,2-Projects!$C$41+1),0)+IF(AND(Projects!$G$42="Yes",Projects!$M$42="Yes",2&gt;=Projects!$C$42,2&lt;Projects!$C$42+Projects!$D$42),Projects!$B$42*INDEX(Curves!$B$4:$AR$4,1,2-Projects!$C$42+1),0)+IF(AND(Projects!$G$43="Yes",Projects!$M$43="Yes",2&gt;=Projects!$C$43,2&lt;Projects!$C$43+Projects!$D$43),Projects!$B$43*INDEX(Curves!$B$4:$AR$4,1,2-Projects!$C$43+1),0)+IF(AND(Projects!$G$44="Yes",Projects!$M$44="Yes",2&gt;=Projects!$C$44,2&lt;Projects!$C$44+Projects!$D$44),Projects!$B$44*INDEX(Curves!$B$4:$AR$4,1,2-Projects!$C$44+1),0)+IF(AND(Projects!$G$45="Yes",Projects!$M$45="Yes",2&gt;=Projects!$C$45,2&lt;Projects!$C$45+Projects!$D$45),Projects!$B$45*INDEX(Curves!$B$4:$AR$4,1,2-Projects!$C$45+1),0)+IF(AND(Projects!$G$46="Yes",Projects!$M$46="Yes",2&gt;=Projects!$C$46,2&lt;Projects!$C$46+Projects!$D$46),Projects!$B$46*INDEX(Curves!$B$4:$AR$4,1,2-Projects!$C$46+1),0)</f>
        <v>0</v>
      </c>
      <c r="H101" s="63">
        <f>IF(AND(Projects!$G$17="Yes",Projects!$M$17="Yes",3&gt;=Projects!$C$17,3&lt;Projects!$C$17+Projects!$D$17),Projects!$B$17*INDEX(Curves!$B$4:$AR$4,1,3-Projects!$C$17+1),0)+IF(AND(Projects!$G$18="Yes",Projects!$M$18="Yes",3&gt;=Projects!$C$18,3&lt;Projects!$C$18+Projects!$D$18),Projects!$B$18*INDEX(Curves!$B$4:$AR$4,1,3-Projects!$C$18+1),0)+IF(AND(Projects!$G$19="Yes",Projects!$M$19="Yes",3&gt;=Projects!$C$19,3&lt;Projects!$C$19+Projects!$D$19),Projects!$B$19*INDEX(Curves!$B$4:$AR$4,1,3-Projects!$C$19+1),0)+IF(AND(Projects!$G$20="Yes",Projects!$M$20="Yes",3&gt;=Projects!$C$20,3&lt;Projects!$C$20+Projects!$D$20),Projects!$B$20*INDEX(Curves!$B$4:$AR$4,1,3-Projects!$C$20+1),0)+IF(AND(Projects!$G$21="Yes",Projects!$M$21="Yes",3&gt;=Projects!$C$21,3&lt;Projects!$C$21+Projects!$D$21),Projects!$B$21*INDEX(Curves!$B$4:$AR$4,1,3-Projects!$C$21+1),0)+IF(AND(Projects!$G$22="Yes",Projects!$M$22="Yes",3&gt;=Projects!$C$22,3&lt;Projects!$C$22+Projects!$D$22),Projects!$B$22*INDEX(Curves!$B$4:$AR$4,1,3-Projects!$C$22+1),0)+IF(AND(Projects!$G$23="Yes",Projects!$M$23="Yes",3&gt;=Projects!$C$23,3&lt;Projects!$C$23+Projects!$D$23),Projects!$B$23*INDEX(Curves!$B$4:$AR$4,1,3-Projects!$C$23+1),0)+IF(AND(Projects!$G$24="Yes",Projects!$M$24="Yes",3&gt;=Projects!$C$24,3&lt;Projects!$C$24+Projects!$D$24),Projects!$B$24*INDEX(Curves!$B$4:$AR$4,1,3-Projects!$C$24+1),0)+IF(AND(Projects!$G$25="Yes",Projects!$M$25="Yes",3&gt;=Projects!$C$25,3&lt;Projects!$C$25+Projects!$D$25),Projects!$B$25*INDEX(Curves!$B$4:$AR$4,1,3-Projects!$C$25+1),0)+IF(AND(Projects!$G$26="Yes",Projects!$M$26="Yes",3&gt;=Projects!$C$26,3&lt;Projects!$C$26+Projects!$D$26),Projects!$B$26*INDEX(Curves!$B$4:$AR$4,1,3-Projects!$C$26+1),0)+IF(AND(Projects!$G$27="Yes",Projects!$M$27="Yes",3&gt;=Projects!$C$27,3&lt;Projects!$C$27+Projects!$D$27),Projects!$B$27*INDEX(Curves!$B$4:$AR$4,1,3-Projects!$C$27+1),0)+IF(AND(Projects!$G$28="Yes",Projects!$M$28="Yes",3&gt;=Projects!$C$28,3&lt;Projects!$C$28+Projects!$D$28),Projects!$B$28*INDEX(Curves!$B$4:$AR$4,1,3-Projects!$C$28+1),0)+IF(AND(Projects!$G$29="Yes",Projects!$M$29="Yes",3&gt;=Projects!$C$29,3&lt;Projects!$C$29+Projects!$D$29),Projects!$B$29*INDEX(Curves!$B$4:$AR$4,1,3-Projects!$C$29+1),0)+IF(AND(Projects!$G$30="Yes",Projects!$M$30="Yes",3&gt;=Projects!$C$30,3&lt;Projects!$C$30+Projects!$D$30),Projects!$B$30*INDEX(Curves!$B$4:$AR$4,1,3-Projects!$C$30+1),0)+IF(AND(Projects!$G$31="Yes",Projects!$M$31="Yes",3&gt;=Projects!$C$31,3&lt;Projects!$C$31+Projects!$D$31),Projects!$B$31*INDEX(Curves!$B$4:$AR$4,1,3-Projects!$C$31+1),0)+IF(AND(Projects!$G$32="Yes",Projects!$M$32="Yes",3&gt;=Projects!$C$32,3&lt;Projects!$C$32+Projects!$D$32),Projects!$B$32*INDEX(Curves!$B$4:$AR$4,1,3-Projects!$C$32+1),0)+IF(AND(Projects!$G$33="Yes",Projects!$M$33="Yes",3&gt;=Projects!$C$33,3&lt;Projects!$C$33+Projects!$D$33),Projects!$B$33*INDEX(Curves!$B$4:$AR$4,1,3-Projects!$C$33+1),0)+IF(AND(Projects!$G$34="Yes",Projects!$M$34="Yes",3&gt;=Projects!$C$34,3&lt;Projects!$C$34+Projects!$D$34),Projects!$B$34*INDEX(Curves!$B$4:$AR$4,1,3-Projects!$C$34+1),0)+IF(AND(Projects!$G$35="Yes",Projects!$M$35="Yes",3&gt;=Projects!$C$35,3&lt;Projects!$C$35+Projects!$D$35),Projects!$B$35*INDEX(Curves!$B$4:$AR$4,1,3-Projects!$C$35+1),0)+IF(AND(Projects!$G$36="Yes",Projects!$M$36="Yes",3&gt;=Projects!$C$36,3&lt;Projects!$C$36+Projects!$D$36),Projects!$B$36*INDEX(Curves!$B$4:$AR$4,1,3-Projects!$C$36+1),0)+IF(AND(Projects!$G$37="Yes",Projects!$M$37="Yes",3&gt;=Projects!$C$37,3&lt;Projects!$C$37+Projects!$D$37),Projects!$B$37*INDEX(Curves!$B$4:$AR$4,1,3-Projects!$C$37+1),0)+IF(AND(Projects!$G$38="Yes",Projects!$M$38="Yes",3&gt;=Projects!$C$38,3&lt;Projects!$C$38+Projects!$D$38),Projects!$B$38*INDEX(Curves!$B$4:$AR$4,1,3-Projects!$C$38+1),0)+IF(AND(Projects!$G$39="Yes",Projects!$M$39="Yes",3&gt;=Projects!$C$39,3&lt;Projects!$C$39+Projects!$D$39),Projects!$B$39*INDEX(Curves!$B$4:$AR$4,1,3-Projects!$C$39+1),0)+IF(AND(Projects!$G$40="Yes",Projects!$M$40="Yes",3&gt;=Projects!$C$40,3&lt;Projects!$C$40+Projects!$D$40),Projects!$B$40*INDEX(Curves!$B$4:$AR$4,1,3-Projects!$C$40+1),0)+IF(AND(Projects!$G$41="Yes",Projects!$M$41="Yes",3&gt;=Projects!$C$41,3&lt;Projects!$C$41+Projects!$D$41),Projects!$B$41*INDEX(Curves!$B$4:$AR$4,1,3-Projects!$C$41+1),0)+IF(AND(Projects!$G$42="Yes",Projects!$M$42="Yes",3&gt;=Projects!$C$42,3&lt;Projects!$C$42+Projects!$D$42),Projects!$B$42*INDEX(Curves!$B$4:$AR$4,1,3-Projects!$C$42+1),0)+IF(AND(Projects!$G$43="Yes",Projects!$M$43="Yes",3&gt;=Projects!$C$43,3&lt;Projects!$C$43+Projects!$D$43),Projects!$B$43*INDEX(Curves!$B$4:$AR$4,1,3-Projects!$C$43+1),0)+IF(AND(Projects!$G$44="Yes",Projects!$M$44="Yes",3&gt;=Projects!$C$44,3&lt;Projects!$C$44+Projects!$D$44),Projects!$B$44*INDEX(Curves!$B$4:$AR$4,1,3-Projects!$C$44+1),0)+IF(AND(Projects!$G$45="Yes",Projects!$M$45="Yes",3&gt;=Projects!$C$45,3&lt;Projects!$C$45+Projects!$D$45),Projects!$B$45*INDEX(Curves!$B$4:$AR$4,1,3-Projects!$C$45+1),0)+IF(AND(Projects!$G$46="Yes",Projects!$M$46="Yes",3&gt;=Projects!$C$46,3&lt;Projects!$C$46+Projects!$D$46),Projects!$B$46*INDEX(Curves!$B$4:$AR$4,1,3-Projects!$C$46+1),0)</f>
        <v>0</v>
      </c>
      <c r="I101" s="63">
        <f>IF(AND(Projects!$G$17="Yes",Projects!$M$17="Yes",4&gt;=Projects!$C$17,4&lt;Projects!$C$17+Projects!$D$17),Projects!$B$17*INDEX(Curves!$B$4:$AR$4,1,4-Projects!$C$17+1),0)+IF(AND(Projects!$G$18="Yes",Projects!$M$18="Yes",4&gt;=Projects!$C$18,4&lt;Projects!$C$18+Projects!$D$18),Projects!$B$18*INDEX(Curves!$B$4:$AR$4,1,4-Projects!$C$18+1),0)+IF(AND(Projects!$G$19="Yes",Projects!$M$19="Yes",4&gt;=Projects!$C$19,4&lt;Projects!$C$19+Projects!$D$19),Projects!$B$19*INDEX(Curves!$B$4:$AR$4,1,4-Projects!$C$19+1),0)+IF(AND(Projects!$G$20="Yes",Projects!$M$20="Yes",4&gt;=Projects!$C$20,4&lt;Projects!$C$20+Projects!$D$20),Projects!$B$20*INDEX(Curves!$B$4:$AR$4,1,4-Projects!$C$20+1),0)+IF(AND(Projects!$G$21="Yes",Projects!$M$21="Yes",4&gt;=Projects!$C$21,4&lt;Projects!$C$21+Projects!$D$21),Projects!$B$21*INDEX(Curves!$B$4:$AR$4,1,4-Projects!$C$21+1),0)+IF(AND(Projects!$G$22="Yes",Projects!$M$22="Yes",4&gt;=Projects!$C$22,4&lt;Projects!$C$22+Projects!$D$22),Projects!$B$22*INDEX(Curves!$B$4:$AR$4,1,4-Projects!$C$22+1),0)+IF(AND(Projects!$G$23="Yes",Projects!$M$23="Yes",4&gt;=Projects!$C$23,4&lt;Projects!$C$23+Projects!$D$23),Projects!$B$23*INDEX(Curves!$B$4:$AR$4,1,4-Projects!$C$23+1),0)+IF(AND(Projects!$G$24="Yes",Projects!$M$24="Yes",4&gt;=Projects!$C$24,4&lt;Projects!$C$24+Projects!$D$24),Projects!$B$24*INDEX(Curves!$B$4:$AR$4,1,4-Projects!$C$24+1),0)+IF(AND(Projects!$G$25="Yes",Projects!$M$25="Yes",4&gt;=Projects!$C$25,4&lt;Projects!$C$25+Projects!$D$25),Projects!$B$25*INDEX(Curves!$B$4:$AR$4,1,4-Projects!$C$25+1),0)+IF(AND(Projects!$G$26="Yes",Projects!$M$26="Yes",4&gt;=Projects!$C$26,4&lt;Projects!$C$26+Projects!$D$26),Projects!$B$26*INDEX(Curves!$B$4:$AR$4,1,4-Projects!$C$26+1),0)+IF(AND(Projects!$G$27="Yes",Projects!$M$27="Yes",4&gt;=Projects!$C$27,4&lt;Projects!$C$27+Projects!$D$27),Projects!$B$27*INDEX(Curves!$B$4:$AR$4,1,4-Projects!$C$27+1),0)+IF(AND(Projects!$G$28="Yes",Projects!$M$28="Yes",4&gt;=Projects!$C$28,4&lt;Projects!$C$28+Projects!$D$28),Projects!$B$28*INDEX(Curves!$B$4:$AR$4,1,4-Projects!$C$28+1),0)+IF(AND(Projects!$G$29="Yes",Projects!$M$29="Yes",4&gt;=Projects!$C$29,4&lt;Projects!$C$29+Projects!$D$29),Projects!$B$29*INDEX(Curves!$B$4:$AR$4,1,4-Projects!$C$29+1),0)+IF(AND(Projects!$G$30="Yes",Projects!$M$30="Yes",4&gt;=Projects!$C$30,4&lt;Projects!$C$30+Projects!$D$30),Projects!$B$30*INDEX(Curves!$B$4:$AR$4,1,4-Projects!$C$30+1),0)+IF(AND(Projects!$G$31="Yes",Projects!$M$31="Yes",4&gt;=Projects!$C$31,4&lt;Projects!$C$31+Projects!$D$31),Projects!$B$31*INDEX(Curves!$B$4:$AR$4,1,4-Projects!$C$31+1),0)+IF(AND(Projects!$G$32="Yes",Projects!$M$32="Yes",4&gt;=Projects!$C$32,4&lt;Projects!$C$32+Projects!$D$32),Projects!$B$32*INDEX(Curves!$B$4:$AR$4,1,4-Projects!$C$32+1),0)+IF(AND(Projects!$G$33="Yes",Projects!$M$33="Yes",4&gt;=Projects!$C$33,4&lt;Projects!$C$33+Projects!$D$33),Projects!$B$33*INDEX(Curves!$B$4:$AR$4,1,4-Projects!$C$33+1),0)+IF(AND(Projects!$G$34="Yes",Projects!$M$34="Yes",4&gt;=Projects!$C$34,4&lt;Projects!$C$34+Projects!$D$34),Projects!$B$34*INDEX(Curves!$B$4:$AR$4,1,4-Projects!$C$34+1),0)+IF(AND(Projects!$G$35="Yes",Projects!$M$35="Yes",4&gt;=Projects!$C$35,4&lt;Projects!$C$35+Projects!$D$35),Projects!$B$35*INDEX(Curves!$B$4:$AR$4,1,4-Projects!$C$35+1),0)+IF(AND(Projects!$G$36="Yes",Projects!$M$36="Yes",4&gt;=Projects!$C$36,4&lt;Projects!$C$36+Projects!$D$36),Projects!$B$36*INDEX(Curves!$B$4:$AR$4,1,4-Projects!$C$36+1),0)+IF(AND(Projects!$G$37="Yes",Projects!$M$37="Yes",4&gt;=Projects!$C$37,4&lt;Projects!$C$37+Projects!$D$37),Projects!$B$37*INDEX(Curves!$B$4:$AR$4,1,4-Projects!$C$37+1),0)+IF(AND(Projects!$G$38="Yes",Projects!$M$38="Yes",4&gt;=Projects!$C$38,4&lt;Projects!$C$38+Projects!$D$38),Projects!$B$38*INDEX(Curves!$B$4:$AR$4,1,4-Projects!$C$38+1),0)+IF(AND(Projects!$G$39="Yes",Projects!$M$39="Yes",4&gt;=Projects!$C$39,4&lt;Projects!$C$39+Projects!$D$39),Projects!$B$39*INDEX(Curves!$B$4:$AR$4,1,4-Projects!$C$39+1),0)+IF(AND(Projects!$G$40="Yes",Projects!$M$40="Yes",4&gt;=Projects!$C$40,4&lt;Projects!$C$40+Projects!$D$40),Projects!$B$40*INDEX(Curves!$B$4:$AR$4,1,4-Projects!$C$40+1),0)+IF(AND(Projects!$G$41="Yes",Projects!$M$41="Yes",4&gt;=Projects!$C$41,4&lt;Projects!$C$41+Projects!$D$41),Projects!$B$41*INDEX(Curves!$B$4:$AR$4,1,4-Projects!$C$41+1),0)+IF(AND(Projects!$G$42="Yes",Projects!$M$42="Yes",4&gt;=Projects!$C$42,4&lt;Projects!$C$42+Projects!$D$42),Projects!$B$42*INDEX(Curves!$B$4:$AR$4,1,4-Projects!$C$42+1),0)+IF(AND(Projects!$G$43="Yes",Projects!$M$43="Yes",4&gt;=Projects!$C$43,4&lt;Projects!$C$43+Projects!$D$43),Projects!$B$43*INDEX(Curves!$B$4:$AR$4,1,4-Projects!$C$43+1),0)+IF(AND(Projects!$G$44="Yes",Projects!$M$44="Yes",4&gt;=Projects!$C$44,4&lt;Projects!$C$44+Projects!$D$44),Projects!$B$44*INDEX(Curves!$B$4:$AR$4,1,4-Projects!$C$44+1),0)+IF(AND(Projects!$G$45="Yes",Projects!$M$45="Yes",4&gt;=Projects!$C$45,4&lt;Projects!$C$45+Projects!$D$45),Projects!$B$45*INDEX(Curves!$B$4:$AR$4,1,4-Projects!$C$45+1),0)+IF(AND(Projects!$G$46="Yes",Projects!$M$46="Yes",4&gt;=Projects!$C$46,4&lt;Projects!$C$46+Projects!$D$46),Projects!$B$46*INDEX(Curves!$B$4:$AR$4,1,4-Projects!$C$46+1),0)</f>
        <v>0</v>
      </c>
      <c r="J101" s="63">
        <f>IF(AND(Projects!$G$17="Yes",Projects!$M$17="Yes",5&gt;=Projects!$C$17,5&lt;Projects!$C$17+Projects!$D$17),Projects!$B$17*INDEX(Curves!$B$4:$AR$4,1,5-Projects!$C$17+1),0)+IF(AND(Projects!$G$18="Yes",Projects!$M$18="Yes",5&gt;=Projects!$C$18,5&lt;Projects!$C$18+Projects!$D$18),Projects!$B$18*INDEX(Curves!$B$4:$AR$4,1,5-Projects!$C$18+1),0)+IF(AND(Projects!$G$19="Yes",Projects!$M$19="Yes",5&gt;=Projects!$C$19,5&lt;Projects!$C$19+Projects!$D$19),Projects!$B$19*INDEX(Curves!$B$4:$AR$4,1,5-Projects!$C$19+1),0)+IF(AND(Projects!$G$20="Yes",Projects!$M$20="Yes",5&gt;=Projects!$C$20,5&lt;Projects!$C$20+Projects!$D$20),Projects!$B$20*INDEX(Curves!$B$4:$AR$4,1,5-Projects!$C$20+1),0)+IF(AND(Projects!$G$21="Yes",Projects!$M$21="Yes",5&gt;=Projects!$C$21,5&lt;Projects!$C$21+Projects!$D$21),Projects!$B$21*INDEX(Curves!$B$4:$AR$4,1,5-Projects!$C$21+1),0)+IF(AND(Projects!$G$22="Yes",Projects!$M$22="Yes",5&gt;=Projects!$C$22,5&lt;Projects!$C$22+Projects!$D$22),Projects!$B$22*INDEX(Curves!$B$4:$AR$4,1,5-Projects!$C$22+1),0)+IF(AND(Projects!$G$23="Yes",Projects!$M$23="Yes",5&gt;=Projects!$C$23,5&lt;Projects!$C$23+Projects!$D$23),Projects!$B$23*INDEX(Curves!$B$4:$AR$4,1,5-Projects!$C$23+1),0)+IF(AND(Projects!$G$24="Yes",Projects!$M$24="Yes",5&gt;=Projects!$C$24,5&lt;Projects!$C$24+Projects!$D$24),Projects!$B$24*INDEX(Curves!$B$4:$AR$4,1,5-Projects!$C$24+1),0)+IF(AND(Projects!$G$25="Yes",Projects!$M$25="Yes",5&gt;=Projects!$C$25,5&lt;Projects!$C$25+Projects!$D$25),Projects!$B$25*INDEX(Curves!$B$4:$AR$4,1,5-Projects!$C$25+1),0)+IF(AND(Projects!$G$26="Yes",Projects!$M$26="Yes",5&gt;=Projects!$C$26,5&lt;Projects!$C$26+Projects!$D$26),Projects!$B$26*INDEX(Curves!$B$4:$AR$4,1,5-Projects!$C$26+1),0)+IF(AND(Projects!$G$27="Yes",Projects!$M$27="Yes",5&gt;=Projects!$C$27,5&lt;Projects!$C$27+Projects!$D$27),Projects!$B$27*INDEX(Curves!$B$4:$AR$4,1,5-Projects!$C$27+1),0)+IF(AND(Projects!$G$28="Yes",Projects!$M$28="Yes",5&gt;=Projects!$C$28,5&lt;Projects!$C$28+Projects!$D$28),Projects!$B$28*INDEX(Curves!$B$4:$AR$4,1,5-Projects!$C$28+1),0)+IF(AND(Projects!$G$29="Yes",Projects!$M$29="Yes",5&gt;=Projects!$C$29,5&lt;Projects!$C$29+Projects!$D$29),Projects!$B$29*INDEX(Curves!$B$4:$AR$4,1,5-Projects!$C$29+1),0)+IF(AND(Projects!$G$30="Yes",Projects!$M$30="Yes",5&gt;=Projects!$C$30,5&lt;Projects!$C$30+Projects!$D$30),Projects!$B$30*INDEX(Curves!$B$4:$AR$4,1,5-Projects!$C$30+1),0)+IF(AND(Projects!$G$31="Yes",Projects!$M$31="Yes",5&gt;=Projects!$C$31,5&lt;Projects!$C$31+Projects!$D$31),Projects!$B$31*INDEX(Curves!$B$4:$AR$4,1,5-Projects!$C$31+1),0)+IF(AND(Projects!$G$32="Yes",Projects!$M$32="Yes",5&gt;=Projects!$C$32,5&lt;Projects!$C$32+Projects!$D$32),Projects!$B$32*INDEX(Curves!$B$4:$AR$4,1,5-Projects!$C$32+1),0)+IF(AND(Projects!$G$33="Yes",Projects!$M$33="Yes",5&gt;=Projects!$C$33,5&lt;Projects!$C$33+Projects!$D$33),Projects!$B$33*INDEX(Curves!$B$4:$AR$4,1,5-Projects!$C$33+1),0)+IF(AND(Projects!$G$34="Yes",Projects!$M$34="Yes",5&gt;=Projects!$C$34,5&lt;Projects!$C$34+Projects!$D$34),Projects!$B$34*INDEX(Curves!$B$4:$AR$4,1,5-Projects!$C$34+1),0)+IF(AND(Projects!$G$35="Yes",Projects!$M$35="Yes",5&gt;=Projects!$C$35,5&lt;Projects!$C$35+Projects!$D$35),Projects!$B$35*INDEX(Curves!$B$4:$AR$4,1,5-Projects!$C$35+1),0)+IF(AND(Projects!$G$36="Yes",Projects!$M$36="Yes",5&gt;=Projects!$C$36,5&lt;Projects!$C$36+Projects!$D$36),Projects!$B$36*INDEX(Curves!$B$4:$AR$4,1,5-Projects!$C$36+1),0)+IF(AND(Projects!$G$37="Yes",Projects!$M$37="Yes",5&gt;=Projects!$C$37,5&lt;Projects!$C$37+Projects!$D$37),Projects!$B$37*INDEX(Curves!$B$4:$AR$4,1,5-Projects!$C$37+1),0)+IF(AND(Projects!$G$38="Yes",Projects!$M$38="Yes",5&gt;=Projects!$C$38,5&lt;Projects!$C$38+Projects!$D$38),Projects!$B$38*INDEX(Curves!$B$4:$AR$4,1,5-Projects!$C$38+1),0)+IF(AND(Projects!$G$39="Yes",Projects!$M$39="Yes",5&gt;=Projects!$C$39,5&lt;Projects!$C$39+Projects!$D$39),Projects!$B$39*INDEX(Curves!$B$4:$AR$4,1,5-Projects!$C$39+1),0)+IF(AND(Projects!$G$40="Yes",Projects!$M$40="Yes",5&gt;=Projects!$C$40,5&lt;Projects!$C$40+Projects!$D$40),Projects!$B$40*INDEX(Curves!$B$4:$AR$4,1,5-Projects!$C$40+1),0)+IF(AND(Projects!$G$41="Yes",Projects!$M$41="Yes",5&gt;=Projects!$C$41,5&lt;Projects!$C$41+Projects!$D$41),Projects!$B$41*INDEX(Curves!$B$4:$AR$4,1,5-Projects!$C$41+1),0)+IF(AND(Projects!$G$42="Yes",Projects!$M$42="Yes",5&gt;=Projects!$C$42,5&lt;Projects!$C$42+Projects!$D$42),Projects!$B$42*INDEX(Curves!$B$4:$AR$4,1,5-Projects!$C$42+1),0)+IF(AND(Projects!$G$43="Yes",Projects!$M$43="Yes",5&gt;=Projects!$C$43,5&lt;Projects!$C$43+Projects!$D$43),Projects!$B$43*INDEX(Curves!$B$4:$AR$4,1,5-Projects!$C$43+1),0)+IF(AND(Projects!$G$44="Yes",Projects!$M$44="Yes",5&gt;=Projects!$C$44,5&lt;Projects!$C$44+Projects!$D$44),Projects!$B$44*INDEX(Curves!$B$4:$AR$4,1,5-Projects!$C$44+1),0)+IF(AND(Projects!$G$45="Yes",Projects!$M$45="Yes",5&gt;=Projects!$C$45,5&lt;Projects!$C$45+Projects!$D$45),Projects!$B$45*INDEX(Curves!$B$4:$AR$4,1,5-Projects!$C$45+1),0)+IF(AND(Projects!$G$46="Yes",Projects!$M$46="Yes",5&gt;=Projects!$C$46,5&lt;Projects!$C$46+Projects!$D$46),Projects!$B$46*INDEX(Curves!$B$4:$AR$4,1,5-Projects!$C$46+1),0)</f>
        <v>0</v>
      </c>
      <c r="K101" s="63">
        <f>IF(AND(Projects!$G$17="Yes",Projects!$M$17="Yes",6&gt;=Projects!$C$17,6&lt;Projects!$C$17+Projects!$D$17),Projects!$B$17*INDEX(Curves!$B$4:$AR$4,1,6-Projects!$C$17+1),0)+IF(AND(Projects!$G$18="Yes",Projects!$M$18="Yes",6&gt;=Projects!$C$18,6&lt;Projects!$C$18+Projects!$D$18),Projects!$B$18*INDEX(Curves!$B$4:$AR$4,1,6-Projects!$C$18+1),0)+IF(AND(Projects!$G$19="Yes",Projects!$M$19="Yes",6&gt;=Projects!$C$19,6&lt;Projects!$C$19+Projects!$D$19),Projects!$B$19*INDEX(Curves!$B$4:$AR$4,1,6-Projects!$C$19+1),0)+IF(AND(Projects!$G$20="Yes",Projects!$M$20="Yes",6&gt;=Projects!$C$20,6&lt;Projects!$C$20+Projects!$D$20),Projects!$B$20*INDEX(Curves!$B$4:$AR$4,1,6-Projects!$C$20+1),0)+IF(AND(Projects!$G$21="Yes",Projects!$M$21="Yes",6&gt;=Projects!$C$21,6&lt;Projects!$C$21+Projects!$D$21),Projects!$B$21*INDEX(Curves!$B$4:$AR$4,1,6-Projects!$C$21+1),0)+IF(AND(Projects!$G$22="Yes",Projects!$M$22="Yes",6&gt;=Projects!$C$22,6&lt;Projects!$C$22+Projects!$D$22),Projects!$B$22*INDEX(Curves!$B$4:$AR$4,1,6-Projects!$C$22+1),0)+IF(AND(Projects!$G$23="Yes",Projects!$M$23="Yes",6&gt;=Projects!$C$23,6&lt;Projects!$C$23+Projects!$D$23),Projects!$B$23*INDEX(Curves!$B$4:$AR$4,1,6-Projects!$C$23+1),0)+IF(AND(Projects!$G$24="Yes",Projects!$M$24="Yes",6&gt;=Projects!$C$24,6&lt;Projects!$C$24+Projects!$D$24),Projects!$B$24*INDEX(Curves!$B$4:$AR$4,1,6-Projects!$C$24+1),0)+IF(AND(Projects!$G$25="Yes",Projects!$M$25="Yes",6&gt;=Projects!$C$25,6&lt;Projects!$C$25+Projects!$D$25),Projects!$B$25*INDEX(Curves!$B$4:$AR$4,1,6-Projects!$C$25+1),0)+IF(AND(Projects!$G$26="Yes",Projects!$M$26="Yes",6&gt;=Projects!$C$26,6&lt;Projects!$C$26+Projects!$D$26),Projects!$B$26*INDEX(Curves!$B$4:$AR$4,1,6-Projects!$C$26+1),0)+IF(AND(Projects!$G$27="Yes",Projects!$M$27="Yes",6&gt;=Projects!$C$27,6&lt;Projects!$C$27+Projects!$D$27),Projects!$B$27*INDEX(Curves!$B$4:$AR$4,1,6-Projects!$C$27+1),0)+IF(AND(Projects!$G$28="Yes",Projects!$M$28="Yes",6&gt;=Projects!$C$28,6&lt;Projects!$C$28+Projects!$D$28),Projects!$B$28*INDEX(Curves!$B$4:$AR$4,1,6-Projects!$C$28+1),0)+IF(AND(Projects!$G$29="Yes",Projects!$M$29="Yes",6&gt;=Projects!$C$29,6&lt;Projects!$C$29+Projects!$D$29),Projects!$B$29*INDEX(Curves!$B$4:$AR$4,1,6-Projects!$C$29+1),0)+IF(AND(Projects!$G$30="Yes",Projects!$M$30="Yes",6&gt;=Projects!$C$30,6&lt;Projects!$C$30+Projects!$D$30),Projects!$B$30*INDEX(Curves!$B$4:$AR$4,1,6-Projects!$C$30+1),0)+IF(AND(Projects!$G$31="Yes",Projects!$M$31="Yes",6&gt;=Projects!$C$31,6&lt;Projects!$C$31+Projects!$D$31),Projects!$B$31*INDEX(Curves!$B$4:$AR$4,1,6-Projects!$C$31+1),0)+IF(AND(Projects!$G$32="Yes",Projects!$M$32="Yes",6&gt;=Projects!$C$32,6&lt;Projects!$C$32+Projects!$D$32),Projects!$B$32*INDEX(Curves!$B$4:$AR$4,1,6-Projects!$C$32+1),0)+IF(AND(Projects!$G$33="Yes",Projects!$M$33="Yes",6&gt;=Projects!$C$33,6&lt;Projects!$C$33+Projects!$D$33),Projects!$B$33*INDEX(Curves!$B$4:$AR$4,1,6-Projects!$C$33+1),0)+IF(AND(Projects!$G$34="Yes",Projects!$M$34="Yes",6&gt;=Projects!$C$34,6&lt;Projects!$C$34+Projects!$D$34),Projects!$B$34*INDEX(Curves!$B$4:$AR$4,1,6-Projects!$C$34+1),0)+IF(AND(Projects!$G$35="Yes",Projects!$M$35="Yes",6&gt;=Projects!$C$35,6&lt;Projects!$C$35+Projects!$D$35),Projects!$B$35*INDEX(Curves!$B$4:$AR$4,1,6-Projects!$C$35+1),0)+IF(AND(Projects!$G$36="Yes",Projects!$M$36="Yes",6&gt;=Projects!$C$36,6&lt;Projects!$C$36+Projects!$D$36),Projects!$B$36*INDEX(Curves!$B$4:$AR$4,1,6-Projects!$C$36+1),0)+IF(AND(Projects!$G$37="Yes",Projects!$M$37="Yes",6&gt;=Projects!$C$37,6&lt;Projects!$C$37+Projects!$D$37),Projects!$B$37*INDEX(Curves!$B$4:$AR$4,1,6-Projects!$C$37+1),0)+IF(AND(Projects!$G$38="Yes",Projects!$M$38="Yes",6&gt;=Projects!$C$38,6&lt;Projects!$C$38+Projects!$D$38),Projects!$B$38*INDEX(Curves!$B$4:$AR$4,1,6-Projects!$C$38+1),0)+IF(AND(Projects!$G$39="Yes",Projects!$M$39="Yes",6&gt;=Projects!$C$39,6&lt;Projects!$C$39+Projects!$D$39),Projects!$B$39*INDEX(Curves!$B$4:$AR$4,1,6-Projects!$C$39+1),0)+IF(AND(Projects!$G$40="Yes",Projects!$M$40="Yes",6&gt;=Projects!$C$40,6&lt;Projects!$C$40+Projects!$D$40),Projects!$B$40*INDEX(Curves!$B$4:$AR$4,1,6-Projects!$C$40+1),0)+IF(AND(Projects!$G$41="Yes",Projects!$M$41="Yes",6&gt;=Projects!$C$41,6&lt;Projects!$C$41+Projects!$D$41),Projects!$B$41*INDEX(Curves!$B$4:$AR$4,1,6-Projects!$C$41+1),0)+IF(AND(Projects!$G$42="Yes",Projects!$M$42="Yes",6&gt;=Projects!$C$42,6&lt;Projects!$C$42+Projects!$D$42),Projects!$B$42*INDEX(Curves!$B$4:$AR$4,1,6-Projects!$C$42+1),0)+IF(AND(Projects!$G$43="Yes",Projects!$M$43="Yes",6&gt;=Projects!$C$43,6&lt;Projects!$C$43+Projects!$D$43),Projects!$B$43*INDEX(Curves!$B$4:$AR$4,1,6-Projects!$C$43+1),0)+IF(AND(Projects!$G$44="Yes",Projects!$M$44="Yes",6&gt;=Projects!$C$44,6&lt;Projects!$C$44+Projects!$D$44),Projects!$B$44*INDEX(Curves!$B$4:$AR$4,1,6-Projects!$C$44+1),0)+IF(AND(Projects!$G$45="Yes",Projects!$M$45="Yes",6&gt;=Projects!$C$45,6&lt;Projects!$C$45+Projects!$D$45),Projects!$B$45*INDEX(Curves!$B$4:$AR$4,1,6-Projects!$C$45+1),0)+IF(AND(Projects!$G$46="Yes",Projects!$M$46="Yes",6&gt;=Projects!$C$46,6&lt;Projects!$C$46+Projects!$D$46),Projects!$B$46*INDEX(Curves!$B$4:$AR$4,1,6-Projects!$C$46+1),0)</f>
        <v>0</v>
      </c>
      <c r="L101" s="63">
        <f>IF(AND(Projects!$G$17="Yes",Projects!$M$17="Yes",7&gt;=Projects!$C$17,7&lt;Projects!$C$17+Projects!$D$17),Projects!$B$17*INDEX(Curves!$B$4:$AR$4,1,7-Projects!$C$17+1),0)+IF(AND(Projects!$G$18="Yes",Projects!$M$18="Yes",7&gt;=Projects!$C$18,7&lt;Projects!$C$18+Projects!$D$18),Projects!$B$18*INDEX(Curves!$B$4:$AR$4,1,7-Projects!$C$18+1),0)+IF(AND(Projects!$G$19="Yes",Projects!$M$19="Yes",7&gt;=Projects!$C$19,7&lt;Projects!$C$19+Projects!$D$19),Projects!$B$19*INDEX(Curves!$B$4:$AR$4,1,7-Projects!$C$19+1),0)+IF(AND(Projects!$G$20="Yes",Projects!$M$20="Yes",7&gt;=Projects!$C$20,7&lt;Projects!$C$20+Projects!$D$20),Projects!$B$20*INDEX(Curves!$B$4:$AR$4,1,7-Projects!$C$20+1),0)+IF(AND(Projects!$G$21="Yes",Projects!$M$21="Yes",7&gt;=Projects!$C$21,7&lt;Projects!$C$21+Projects!$D$21),Projects!$B$21*INDEX(Curves!$B$4:$AR$4,1,7-Projects!$C$21+1),0)+IF(AND(Projects!$G$22="Yes",Projects!$M$22="Yes",7&gt;=Projects!$C$22,7&lt;Projects!$C$22+Projects!$D$22),Projects!$B$22*INDEX(Curves!$B$4:$AR$4,1,7-Projects!$C$22+1),0)+IF(AND(Projects!$G$23="Yes",Projects!$M$23="Yes",7&gt;=Projects!$C$23,7&lt;Projects!$C$23+Projects!$D$23),Projects!$B$23*INDEX(Curves!$B$4:$AR$4,1,7-Projects!$C$23+1),0)+IF(AND(Projects!$G$24="Yes",Projects!$M$24="Yes",7&gt;=Projects!$C$24,7&lt;Projects!$C$24+Projects!$D$24),Projects!$B$24*INDEX(Curves!$B$4:$AR$4,1,7-Projects!$C$24+1),0)+IF(AND(Projects!$G$25="Yes",Projects!$M$25="Yes",7&gt;=Projects!$C$25,7&lt;Projects!$C$25+Projects!$D$25),Projects!$B$25*INDEX(Curves!$B$4:$AR$4,1,7-Projects!$C$25+1),0)+IF(AND(Projects!$G$26="Yes",Projects!$M$26="Yes",7&gt;=Projects!$C$26,7&lt;Projects!$C$26+Projects!$D$26),Projects!$B$26*INDEX(Curves!$B$4:$AR$4,1,7-Projects!$C$26+1),0)+IF(AND(Projects!$G$27="Yes",Projects!$M$27="Yes",7&gt;=Projects!$C$27,7&lt;Projects!$C$27+Projects!$D$27),Projects!$B$27*INDEX(Curves!$B$4:$AR$4,1,7-Projects!$C$27+1),0)+IF(AND(Projects!$G$28="Yes",Projects!$M$28="Yes",7&gt;=Projects!$C$28,7&lt;Projects!$C$28+Projects!$D$28),Projects!$B$28*INDEX(Curves!$B$4:$AR$4,1,7-Projects!$C$28+1),0)+IF(AND(Projects!$G$29="Yes",Projects!$M$29="Yes",7&gt;=Projects!$C$29,7&lt;Projects!$C$29+Projects!$D$29),Projects!$B$29*INDEX(Curves!$B$4:$AR$4,1,7-Projects!$C$29+1),0)+IF(AND(Projects!$G$30="Yes",Projects!$M$30="Yes",7&gt;=Projects!$C$30,7&lt;Projects!$C$30+Projects!$D$30),Projects!$B$30*INDEX(Curves!$B$4:$AR$4,1,7-Projects!$C$30+1),0)+IF(AND(Projects!$G$31="Yes",Projects!$M$31="Yes",7&gt;=Projects!$C$31,7&lt;Projects!$C$31+Projects!$D$31),Projects!$B$31*INDEX(Curves!$B$4:$AR$4,1,7-Projects!$C$31+1),0)+IF(AND(Projects!$G$32="Yes",Projects!$M$32="Yes",7&gt;=Projects!$C$32,7&lt;Projects!$C$32+Projects!$D$32),Projects!$B$32*INDEX(Curves!$B$4:$AR$4,1,7-Projects!$C$32+1),0)+IF(AND(Projects!$G$33="Yes",Projects!$M$33="Yes",7&gt;=Projects!$C$33,7&lt;Projects!$C$33+Projects!$D$33),Projects!$B$33*INDEX(Curves!$B$4:$AR$4,1,7-Projects!$C$33+1),0)+IF(AND(Projects!$G$34="Yes",Projects!$M$34="Yes",7&gt;=Projects!$C$34,7&lt;Projects!$C$34+Projects!$D$34),Projects!$B$34*INDEX(Curves!$B$4:$AR$4,1,7-Projects!$C$34+1),0)+IF(AND(Projects!$G$35="Yes",Projects!$M$35="Yes",7&gt;=Projects!$C$35,7&lt;Projects!$C$35+Projects!$D$35),Projects!$B$35*INDEX(Curves!$B$4:$AR$4,1,7-Projects!$C$35+1),0)+IF(AND(Projects!$G$36="Yes",Projects!$M$36="Yes",7&gt;=Projects!$C$36,7&lt;Projects!$C$36+Projects!$D$36),Projects!$B$36*INDEX(Curves!$B$4:$AR$4,1,7-Projects!$C$36+1),0)+IF(AND(Projects!$G$37="Yes",Projects!$M$37="Yes",7&gt;=Projects!$C$37,7&lt;Projects!$C$37+Projects!$D$37),Projects!$B$37*INDEX(Curves!$B$4:$AR$4,1,7-Projects!$C$37+1),0)+IF(AND(Projects!$G$38="Yes",Projects!$M$38="Yes",7&gt;=Projects!$C$38,7&lt;Projects!$C$38+Projects!$D$38),Projects!$B$38*INDEX(Curves!$B$4:$AR$4,1,7-Projects!$C$38+1),0)+IF(AND(Projects!$G$39="Yes",Projects!$M$39="Yes",7&gt;=Projects!$C$39,7&lt;Projects!$C$39+Projects!$D$39),Projects!$B$39*INDEX(Curves!$B$4:$AR$4,1,7-Projects!$C$39+1),0)+IF(AND(Projects!$G$40="Yes",Projects!$M$40="Yes",7&gt;=Projects!$C$40,7&lt;Projects!$C$40+Projects!$D$40),Projects!$B$40*INDEX(Curves!$B$4:$AR$4,1,7-Projects!$C$40+1),0)+IF(AND(Projects!$G$41="Yes",Projects!$M$41="Yes",7&gt;=Projects!$C$41,7&lt;Projects!$C$41+Projects!$D$41),Projects!$B$41*INDEX(Curves!$B$4:$AR$4,1,7-Projects!$C$41+1),0)+IF(AND(Projects!$G$42="Yes",Projects!$M$42="Yes",7&gt;=Projects!$C$42,7&lt;Projects!$C$42+Projects!$D$42),Projects!$B$42*INDEX(Curves!$B$4:$AR$4,1,7-Projects!$C$42+1),0)+IF(AND(Projects!$G$43="Yes",Projects!$M$43="Yes",7&gt;=Projects!$C$43,7&lt;Projects!$C$43+Projects!$D$43),Projects!$B$43*INDEX(Curves!$B$4:$AR$4,1,7-Projects!$C$43+1),0)+IF(AND(Projects!$G$44="Yes",Projects!$M$44="Yes",7&gt;=Projects!$C$44,7&lt;Projects!$C$44+Projects!$D$44),Projects!$B$44*INDEX(Curves!$B$4:$AR$4,1,7-Projects!$C$44+1),0)+IF(AND(Projects!$G$45="Yes",Projects!$M$45="Yes",7&gt;=Projects!$C$45,7&lt;Projects!$C$45+Projects!$D$45),Projects!$B$45*INDEX(Curves!$B$4:$AR$4,1,7-Projects!$C$45+1),0)+IF(AND(Projects!$G$46="Yes",Projects!$M$46="Yes",7&gt;=Projects!$C$46,7&lt;Projects!$C$46+Projects!$D$46),Projects!$B$46*INDEX(Curves!$B$4:$AR$4,1,7-Projects!$C$46+1),0)</f>
        <v>0</v>
      </c>
      <c r="M101" s="63">
        <f>IF(AND(Projects!$G$17="Yes",Projects!$M$17="Yes",8&gt;=Projects!$C$17,8&lt;Projects!$C$17+Projects!$D$17),Projects!$B$17*INDEX(Curves!$B$4:$AR$4,1,8-Projects!$C$17+1),0)+IF(AND(Projects!$G$18="Yes",Projects!$M$18="Yes",8&gt;=Projects!$C$18,8&lt;Projects!$C$18+Projects!$D$18),Projects!$B$18*INDEX(Curves!$B$4:$AR$4,1,8-Projects!$C$18+1),0)+IF(AND(Projects!$G$19="Yes",Projects!$M$19="Yes",8&gt;=Projects!$C$19,8&lt;Projects!$C$19+Projects!$D$19),Projects!$B$19*INDEX(Curves!$B$4:$AR$4,1,8-Projects!$C$19+1),0)+IF(AND(Projects!$G$20="Yes",Projects!$M$20="Yes",8&gt;=Projects!$C$20,8&lt;Projects!$C$20+Projects!$D$20),Projects!$B$20*INDEX(Curves!$B$4:$AR$4,1,8-Projects!$C$20+1),0)+IF(AND(Projects!$G$21="Yes",Projects!$M$21="Yes",8&gt;=Projects!$C$21,8&lt;Projects!$C$21+Projects!$D$21),Projects!$B$21*INDEX(Curves!$B$4:$AR$4,1,8-Projects!$C$21+1),0)+IF(AND(Projects!$G$22="Yes",Projects!$M$22="Yes",8&gt;=Projects!$C$22,8&lt;Projects!$C$22+Projects!$D$22),Projects!$B$22*INDEX(Curves!$B$4:$AR$4,1,8-Projects!$C$22+1),0)+IF(AND(Projects!$G$23="Yes",Projects!$M$23="Yes",8&gt;=Projects!$C$23,8&lt;Projects!$C$23+Projects!$D$23),Projects!$B$23*INDEX(Curves!$B$4:$AR$4,1,8-Projects!$C$23+1),0)+IF(AND(Projects!$G$24="Yes",Projects!$M$24="Yes",8&gt;=Projects!$C$24,8&lt;Projects!$C$24+Projects!$D$24),Projects!$B$24*INDEX(Curves!$B$4:$AR$4,1,8-Projects!$C$24+1),0)+IF(AND(Projects!$G$25="Yes",Projects!$M$25="Yes",8&gt;=Projects!$C$25,8&lt;Projects!$C$25+Projects!$D$25),Projects!$B$25*INDEX(Curves!$B$4:$AR$4,1,8-Projects!$C$25+1),0)+IF(AND(Projects!$G$26="Yes",Projects!$M$26="Yes",8&gt;=Projects!$C$26,8&lt;Projects!$C$26+Projects!$D$26),Projects!$B$26*INDEX(Curves!$B$4:$AR$4,1,8-Projects!$C$26+1),0)+IF(AND(Projects!$G$27="Yes",Projects!$M$27="Yes",8&gt;=Projects!$C$27,8&lt;Projects!$C$27+Projects!$D$27),Projects!$B$27*INDEX(Curves!$B$4:$AR$4,1,8-Projects!$C$27+1),0)+IF(AND(Projects!$G$28="Yes",Projects!$M$28="Yes",8&gt;=Projects!$C$28,8&lt;Projects!$C$28+Projects!$D$28),Projects!$B$28*INDEX(Curves!$B$4:$AR$4,1,8-Projects!$C$28+1),0)+IF(AND(Projects!$G$29="Yes",Projects!$M$29="Yes",8&gt;=Projects!$C$29,8&lt;Projects!$C$29+Projects!$D$29),Projects!$B$29*INDEX(Curves!$B$4:$AR$4,1,8-Projects!$C$29+1),0)+IF(AND(Projects!$G$30="Yes",Projects!$M$30="Yes",8&gt;=Projects!$C$30,8&lt;Projects!$C$30+Projects!$D$30),Projects!$B$30*INDEX(Curves!$B$4:$AR$4,1,8-Projects!$C$30+1),0)+IF(AND(Projects!$G$31="Yes",Projects!$M$31="Yes",8&gt;=Projects!$C$31,8&lt;Projects!$C$31+Projects!$D$31),Projects!$B$31*INDEX(Curves!$B$4:$AR$4,1,8-Projects!$C$31+1),0)+IF(AND(Projects!$G$32="Yes",Projects!$M$32="Yes",8&gt;=Projects!$C$32,8&lt;Projects!$C$32+Projects!$D$32),Projects!$B$32*INDEX(Curves!$B$4:$AR$4,1,8-Projects!$C$32+1),0)+IF(AND(Projects!$G$33="Yes",Projects!$M$33="Yes",8&gt;=Projects!$C$33,8&lt;Projects!$C$33+Projects!$D$33),Projects!$B$33*INDEX(Curves!$B$4:$AR$4,1,8-Projects!$C$33+1),0)+IF(AND(Projects!$G$34="Yes",Projects!$M$34="Yes",8&gt;=Projects!$C$34,8&lt;Projects!$C$34+Projects!$D$34),Projects!$B$34*INDEX(Curves!$B$4:$AR$4,1,8-Projects!$C$34+1),0)+IF(AND(Projects!$G$35="Yes",Projects!$M$35="Yes",8&gt;=Projects!$C$35,8&lt;Projects!$C$35+Projects!$D$35),Projects!$B$35*INDEX(Curves!$B$4:$AR$4,1,8-Projects!$C$35+1),0)+IF(AND(Projects!$G$36="Yes",Projects!$M$36="Yes",8&gt;=Projects!$C$36,8&lt;Projects!$C$36+Projects!$D$36),Projects!$B$36*INDEX(Curves!$B$4:$AR$4,1,8-Projects!$C$36+1),0)+IF(AND(Projects!$G$37="Yes",Projects!$M$37="Yes",8&gt;=Projects!$C$37,8&lt;Projects!$C$37+Projects!$D$37),Projects!$B$37*INDEX(Curves!$B$4:$AR$4,1,8-Projects!$C$37+1),0)+IF(AND(Projects!$G$38="Yes",Projects!$M$38="Yes",8&gt;=Projects!$C$38,8&lt;Projects!$C$38+Projects!$D$38),Projects!$B$38*INDEX(Curves!$B$4:$AR$4,1,8-Projects!$C$38+1),0)+IF(AND(Projects!$G$39="Yes",Projects!$M$39="Yes",8&gt;=Projects!$C$39,8&lt;Projects!$C$39+Projects!$D$39),Projects!$B$39*INDEX(Curves!$B$4:$AR$4,1,8-Projects!$C$39+1),0)+IF(AND(Projects!$G$40="Yes",Projects!$M$40="Yes",8&gt;=Projects!$C$40,8&lt;Projects!$C$40+Projects!$D$40),Projects!$B$40*INDEX(Curves!$B$4:$AR$4,1,8-Projects!$C$40+1),0)+IF(AND(Projects!$G$41="Yes",Projects!$M$41="Yes",8&gt;=Projects!$C$41,8&lt;Projects!$C$41+Projects!$D$41),Projects!$B$41*INDEX(Curves!$B$4:$AR$4,1,8-Projects!$C$41+1),0)+IF(AND(Projects!$G$42="Yes",Projects!$M$42="Yes",8&gt;=Projects!$C$42,8&lt;Projects!$C$42+Projects!$D$42),Projects!$B$42*INDEX(Curves!$B$4:$AR$4,1,8-Projects!$C$42+1),0)+IF(AND(Projects!$G$43="Yes",Projects!$M$43="Yes",8&gt;=Projects!$C$43,8&lt;Projects!$C$43+Projects!$D$43),Projects!$B$43*INDEX(Curves!$B$4:$AR$4,1,8-Projects!$C$43+1),0)+IF(AND(Projects!$G$44="Yes",Projects!$M$44="Yes",8&gt;=Projects!$C$44,8&lt;Projects!$C$44+Projects!$D$44),Projects!$B$44*INDEX(Curves!$B$4:$AR$4,1,8-Projects!$C$44+1),0)+IF(AND(Projects!$G$45="Yes",Projects!$M$45="Yes",8&gt;=Projects!$C$45,8&lt;Projects!$C$45+Projects!$D$45),Projects!$B$45*INDEX(Curves!$B$4:$AR$4,1,8-Projects!$C$45+1),0)+IF(AND(Projects!$G$46="Yes",Projects!$M$46="Yes",8&gt;=Projects!$C$46,8&lt;Projects!$C$46+Projects!$D$46),Projects!$B$46*INDEX(Curves!$B$4:$AR$4,1,8-Projects!$C$46+1),0)</f>
        <v>0</v>
      </c>
      <c r="N101" s="63">
        <f>IF(AND(Projects!$G$17="Yes",Projects!$M$17="Yes",9&gt;=Projects!$C$17,9&lt;Projects!$C$17+Projects!$D$17),Projects!$B$17*INDEX(Curves!$B$4:$AR$4,1,9-Projects!$C$17+1),0)+IF(AND(Projects!$G$18="Yes",Projects!$M$18="Yes",9&gt;=Projects!$C$18,9&lt;Projects!$C$18+Projects!$D$18),Projects!$B$18*INDEX(Curves!$B$4:$AR$4,1,9-Projects!$C$18+1),0)+IF(AND(Projects!$G$19="Yes",Projects!$M$19="Yes",9&gt;=Projects!$C$19,9&lt;Projects!$C$19+Projects!$D$19),Projects!$B$19*INDEX(Curves!$B$4:$AR$4,1,9-Projects!$C$19+1),0)+IF(AND(Projects!$G$20="Yes",Projects!$M$20="Yes",9&gt;=Projects!$C$20,9&lt;Projects!$C$20+Projects!$D$20),Projects!$B$20*INDEX(Curves!$B$4:$AR$4,1,9-Projects!$C$20+1),0)+IF(AND(Projects!$G$21="Yes",Projects!$M$21="Yes",9&gt;=Projects!$C$21,9&lt;Projects!$C$21+Projects!$D$21),Projects!$B$21*INDEX(Curves!$B$4:$AR$4,1,9-Projects!$C$21+1),0)+IF(AND(Projects!$G$22="Yes",Projects!$M$22="Yes",9&gt;=Projects!$C$22,9&lt;Projects!$C$22+Projects!$D$22),Projects!$B$22*INDEX(Curves!$B$4:$AR$4,1,9-Projects!$C$22+1),0)+IF(AND(Projects!$G$23="Yes",Projects!$M$23="Yes",9&gt;=Projects!$C$23,9&lt;Projects!$C$23+Projects!$D$23),Projects!$B$23*INDEX(Curves!$B$4:$AR$4,1,9-Projects!$C$23+1),0)+IF(AND(Projects!$G$24="Yes",Projects!$M$24="Yes",9&gt;=Projects!$C$24,9&lt;Projects!$C$24+Projects!$D$24),Projects!$B$24*INDEX(Curves!$B$4:$AR$4,1,9-Projects!$C$24+1),0)+IF(AND(Projects!$G$25="Yes",Projects!$M$25="Yes",9&gt;=Projects!$C$25,9&lt;Projects!$C$25+Projects!$D$25),Projects!$B$25*INDEX(Curves!$B$4:$AR$4,1,9-Projects!$C$25+1),0)+IF(AND(Projects!$G$26="Yes",Projects!$M$26="Yes",9&gt;=Projects!$C$26,9&lt;Projects!$C$26+Projects!$D$26),Projects!$B$26*INDEX(Curves!$B$4:$AR$4,1,9-Projects!$C$26+1),0)+IF(AND(Projects!$G$27="Yes",Projects!$M$27="Yes",9&gt;=Projects!$C$27,9&lt;Projects!$C$27+Projects!$D$27),Projects!$B$27*INDEX(Curves!$B$4:$AR$4,1,9-Projects!$C$27+1),0)+IF(AND(Projects!$G$28="Yes",Projects!$M$28="Yes",9&gt;=Projects!$C$28,9&lt;Projects!$C$28+Projects!$D$28),Projects!$B$28*INDEX(Curves!$B$4:$AR$4,1,9-Projects!$C$28+1),0)+IF(AND(Projects!$G$29="Yes",Projects!$M$29="Yes",9&gt;=Projects!$C$29,9&lt;Projects!$C$29+Projects!$D$29),Projects!$B$29*INDEX(Curves!$B$4:$AR$4,1,9-Projects!$C$29+1),0)+IF(AND(Projects!$G$30="Yes",Projects!$M$30="Yes",9&gt;=Projects!$C$30,9&lt;Projects!$C$30+Projects!$D$30),Projects!$B$30*INDEX(Curves!$B$4:$AR$4,1,9-Projects!$C$30+1),0)+IF(AND(Projects!$G$31="Yes",Projects!$M$31="Yes",9&gt;=Projects!$C$31,9&lt;Projects!$C$31+Projects!$D$31),Projects!$B$31*INDEX(Curves!$B$4:$AR$4,1,9-Projects!$C$31+1),0)+IF(AND(Projects!$G$32="Yes",Projects!$M$32="Yes",9&gt;=Projects!$C$32,9&lt;Projects!$C$32+Projects!$D$32),Projects!$B$32*INDEX(Curves!$B$4:$AR$4,1,9-Projects!$C$32+1),0)+IF(AND(Projects!$G$33="Yes",Projects!$M$33="Yes",9&gt;=Projects!$C$33,9&lt;Projects!$C$33+Projects!$D$33),Projects!$B$33*INDEX(Curves!$B$4:$AR$4,1,9-Projects!$C$33+1),0)+IF(AND(Projects!$G$34="Yes",Projects!$M$34="Yes",9&gt;=Projects!$C$34,9&lt;Projects!$C$34+Projects!$D$34),Projects!$B$34*INDEX(Curves!$B$4:$AR$4,1,9-Projects!$C$34+1),0)+IF(AND(Projects!$G$35="Yes",Projects!$M$35="Yes",9&gt;=Projects!$C$35,9&lt;Projects!$C$35+Projects!$D$35),Projects!$B$35*INDEX(Curves!$B$4:$AR$4,1,9-Projects!$C$35+1),0)+IF(AND(Projects!$G$36="Yes",Projects!$M$36="Yes",9&gt;=Projects!$C$36,9&lt;Projects!$C$36+Projects!$D$36),Projects!$B$36*INDEX(Curves!$B$4:$AR$4,1,9-Projects!$C$36+1),0)+IF(AND(Projects!$G$37="Yes",Projects!$M$37="Yes",9&gt;=Projects!$C$37,9&lt;Projects!$C$37+Projects!$D$37),Projects!$B$37*INDEX(Curves!$B$4:$AR$4,1,9-Projects!$C$37+1),0)+IF(AND(Projects!$G$38="Yes",Projects!$M$38="Yes",9&gt;=Projects!$C$38,9&lt;Projects!$C$38+Projects!$D$38),Projects!$B$38*INDEX(Curves!$B$4:$AR$4,1,9-Projects!$C$38+1),0)+IF(AND(Projects!$G$39="Yes",Projects!$M$39="Yes",9&gt;=Projects!$C$39,9&lt;Projects!$C$39+Projects!$D$39),Projects!$B$39*INDEX(Curves!$B$4:$AR$4,1,9-Projects!$C$39+1),0)+IF(AND(Projects!$G$40="Yes",Projects!$M$40="Yes",9&gt;=Projects!$C$40,9&lt;Projects!$C$40+Projects!$D$40),Projects!$B$40*INDEX(Curves!$B$4:$AR$4,1,9-Projects!$C$40+1),0)+IF(AND(Projects!$G$41="Yes",Projects!$M$41="Yes",9&gt;=Projects!$C$41,9&lt;Projects!$C$41+Projects!$D$41),Projects!$B$41*INDEX(Curves!$B$4:$AR$4,1,9-Projects!$C$41+1),0)+IF(AND(Projects!$G$42="Yes",Projects!$M$42="Yes",9&gt;=Projects!$C$42,9&lt;Projects!$C$42+Projects!$D$42),Projects!$B$42*INDEX(Curves!$B$4:$AR$4,1,9-Projects!$C$42+1),0)+IF(AND(Projects!$G$43="Yes",Projects!$M$43="Yes",9&gt;=Projects!$C$43,9&lt;Projects!$C$43+Projects!$D$43),Projects!$B$43*INDEX(Curves!$B$4:$AR$4,1,9-Projects!$C$43+1),0)+IF(AND(Projects!$G$44="Yes",Projects!$M$44="Yes",9&gt;=Projects!$C$44,9&lt;Projects!$C$44+Projects!$D$44),Projects!$B$44*INDEX(Curves!$B$4:$AR$4,1,9-Projects!$C$44+1),0)+IF(AND(Projects!$G$45="Yes",Projects!$M$45="Yes",9&gt;=Projects!$C$45,9&lt;Projects!$C$45+Projects!$D$45),Projects!$B$45*INDEX(Curves!$B$4:$AR$4,1,9-Projects!$C$45+1),0)+IF(AND(Projects!$G$46="Yes",Projects!$M$46="Yes",9&gt;=Projects!$C$46,9&lt;Projects!$C$46+Projects!$D$46),Projects!$B$46*INDEX(Curves!$B$4:$AR$4,1,9-Projects!$C$46+1),0)</f>
        <v>0</v>
      </c>
      <c r="O101" s="63">
        <f>IF(AND(Projects!$G$17="Yes",Projects!$M$17="Yes",10&gt;=Projects!$C$17,10&lt;Projects!$C$17+Projects!$D$17),Projects!$B$17*INDEX(Curves!$B$4:$AR$4,1,10-Projects!$C$17+1),0)+IF(AND(Projects!$G$18="Yes",Projects!$M$18="Yes",10&gt;=Projects!$C$18,10&lt;Projects!$C$18+Projects!$D$18),Projects!$B$18*INDEX(Curves!$B$4:$AR$4,1,10-Projects!$C$18+1),0)+IF(AND(Projects!$G$19="Yes",Projects!$M$19="Yes",10&gt;=Projects!$C$19,10&lt;Projects!$C$19+Projects!$D$19),Projects!$B$19*INDEX(Curves!$B$4:$AR$4,1,10-Projects!$C$19+1),0)+IF(AND(Projects!$G$20="Yes",Projects!$M$20="Yes",10&gt;=Projects!$C$20,10&lt;Projects!$C$20+Projects!$D$20),Projects!$B$20*INDEX(Curves!$B$4:$AR$4,1,10-Projects!$C$20+1),0)+IF(AND(Projects!$G$21="Yes",Projects!$M$21="Yes",10&gt;=Projects!$C$21,10&lt;Projects!$C$21+Projects!$D$21),Projects!$B$21*INDEX(Curves!$B$4:$AR$4,1,10-Projects!$C$21+1),0)+IF(AND(Projects!$G$22="Yes",Projects!$M$22="Yes",10&gt;=Projects!$C$22,10&lt;Projects!$C$22+Projects!$D$22),Projects!$B$22*INDEX(Curves!$B$4:$AR$4,1,10-Projects!$C$22+1),0)+IF(AND(Projects!$G$23="Yes",Projects!$M$23="Yes",10&gt;=Projects!$C$23,10&lt;Projects!$C$23+Projects!$D$23),Projects!$B$23*INDEX(Curves!$B$4:$AR$4,1,10-Projects!$C$23+1),0)+IF(AND(Projects!$G$24="Yes",Projects!$M$24="Yes",10&gt;=Projects!$C$24,10&lt;Projects!$C$24+Projects!$D$24),Projects!$B$24*INDEX(Curves!$B$4:$AR$4,1,10-Projects!$C$24+1),0)+IF(AND(Projects!$G$25="Yes",Projects!$M$25="Yes",10&gt;=Projects!$C$25,10&lt;Projects!$C$25+Projects!$D$25),Projects!$B$25*INDEX(Curves!$B$4:$AR$4,1,10-Projects!$C$25+1),0)+IF(AND(Projects!$G$26="Yes",Projects!$M$26="Yes",10&gt;=Projects!$C$26,10&lt;Projects!$C$26+Projects!$D$26),Projects!$B$26*INDEX(Curves!$B$4:$AR$4,1,10-Projects!$C$26+1),0)+IF(AND(Projects!$G$27="Yes",Projects!$M$27="Yes",10&gt;=Projects!$C$27,10&lt;Projects!$C$27+Projects!$D$27),Projects!$B$27*INDEX(Curves!$B$4:$AR$4,1,10-Projects!$C$27+1),0)+IF(AND(Projects!$G$28="Yes",Projects!$M$28="Yes",10&gt;=Projects!$C$28,10&lt;Projects!$C$28+Projects!$D$28),Projects!$B$28*INDEX(Curves!$B$4:$AR$4,1,10-Projects!$C$28+1),0)+IF(AND(Projects!$G$29="Yes",Projects!$M$29="Yes",10&gt;=Projects!$C$29,10&lt;Projects!$C$29+Projects!$D$29),Projects!$B$29*INDEX(Curves!$B$4:$AR$4,1,10-Projects!$C$29+1),0)+IF(AND(Projects!$G$30="Yes",Projects!$M$30="Yes",10&gt;=Projects!$C$30,10&lt;Projects!$C$30+Projects!$D$30),Projects!$B$30*INDEX(Curves!$B$4:$AR$4,1,10-Projects!$C$30+1),0)+IF(AND(Projects!$G$31="Yes",Projects!$M$31="Yes",10&gt;=Projects!$C$31,10&lt;Projects!$C$31+Projects!$D$31),Projects!$B$31*INDEX(Curves!$B$4:$AR$4,1,10-Projects!$C$31+1),0)+IF(AND(Projects!$G$32="Yes",Projects!$M$32="Yes",10&gt;=Projects!$C$32,10&lt;Projects!$C$32+Projects!$D$32),Projects!$B$32*INDEX(Curves!$B$4:$AR$4,1,10-Projects!$C$32+1),0)+IF(AND(Projects!$G$33="Yes",Projects!$M$33="Yes",10&gt;=Projects!$C$33,10&lt;Projects!$C$33+Projects!$D$33),Projects!$B$33*INDEX(Curves!$B$4:$AR$4,1,10-Projects!$C$33+1),0)+IF(AND(Projects!$G$34="Yes",Projects!$M$34="Yes",10&gt;=Projects!$C$34,10&lt;Projects!$C$34+Projects!$D$34),Projects!$B$34*INDEX(Curves!$B$4:$AR$4,1,10-Projects!$C$34+1),0)+IF(AND(Projects!$G$35="Yes",Projects!$M$35="Yes",10&gt;=Projects!$C$35,10&lt;Projects!$C$35+Projects!$D$35),Projects!$B$35*INDEX(Curves!$B$4:$AR$4,1,10-Projects!$C$35+1),0)+IF(AND(Projects!$G$36="Yes",Projects!$M$36="Yes",10&gt;=Projects!$C$36,10&lt;Projects!$C$36+Projects!$D$36),Projects!$B$36*INDEX(Curves!$B$4:$AR$4,1,10-Projects!$C$36+1),0)+IF(AND(Projects!$G$37="Yes",Projects!$M$37="Yes",10&gt;=Projects!$C$37,10&lt;Projects!$C$37+Projects!$D$37),Projects!$B$37*INDEX(Curves!$B$4:$AR$4,1,10-Projects!$C$37+1),0)+IF(AND(Projects!$G$38="Yes",Projects!$M$38="Yes",10&gt;=Projects!$C$38,10&lt;Projects!$C$38+Projects!$D$38),Projects!$B$38*INDEX(Curves!$B$4:$AR$4,1,10-Projects!$C$38+1),0)+IF(AND(Projects!$G$39="Yes",Projects!$M$39="Yes",10&gt;=Projects!$C$39,10&lt;Projects!$C$39+Projects!$D$39),Projects!$B$39*INDEX(Curves!$B$4:$AR$4,1,10-Projects!$C$39+1),0)+IF(AND(Projects!$G$40="Yes",Projects!$M$40="Yes",10&gt;=Projects!$C$40,10&lt;Projects!$C$40+Projects!$D$40),Projects!$B$40*INDEX(Curves!$B$4:$AR$4,1,10-Projects!$C$40+1),0)+IF(AND(Projects!$G$41="Yes",Projects!$M$41="Yes",10&gt;=Projects!$C$41,10&lt;Projects!$C$41+Projects!$D$41),Projects!$B$41*INDEX(Curves!$B$4:$AR$4,1,10-Projects!$C$41+1),0)+IF(AND(Projects!$G$42="Yes",Projects!$M$42="Yes",10&gt;=Projects!$C$42,10&lt;Projects!$C$42+Projects!$D$42),Projects!$B$42*INDEX(Curves!$B$4:$AR$4,1,10-Projects!$C$42+1),0)+IF(AND(Projects!$G$43="Yes",Projects!$M$43="Yes",10&gt;=Projects!$C$43,10&lt;Projects!$C$43+Projects!$D$43),Projects!$B$43*INDEX(Curves!$B$4:$AR$4,1,10-Projects!$C$43+1),0)+IF(AND(Projects!$G$44="Yes",Projects!$M$44="Yes",10&gt;=Projects!$C$44,10&lt;Projects!$C$44+Projects!$D$44),Projects!$B$44*INDEX(Curves!$B$4:$AR$4,1,10-Projects!$C$44+1),0)+IF(AND(Projects!$G$45="Yes",Projects!$M$45="Yes",10&gt;=Projects!$C$45,10&lt;Projects!$C$45+Projects!$D$45),Projects!$B$45*INDEX(Curves!$B$4:$AR$4,1,10-Projects!$C$45+1),0)+IF(AND(Projects!$G$46="Yes",Projects!$M$46="Yes",10&gt;=Projects!$C$46,10&lt;Projects!$C$46+Projects!$D$46),Projects!$B$46*INDEX(Curves!$B$4:$AR$4,1,10-Projects!$C$46+1),0)</f>
        <v>0</v>
      </c>
      <c r="P101" s="63">
        <f>IF(AND(Projects!$G$17="Yes",Projects!$M$17="Yes",11&gt;=Projects!$C$17,11&lt;Projects!$C$17+Projects!$D$17),Projects!$B$17*INDEX(Curves!$B$4:$AR$4,1,11-Projects!$C$17+1),0)+IF(AND(Projects!$G$18="Yes",Projects!$M$18="Yes",11&gt;=Projects!$C$18,11&lt;Projects!$C$18+Projects!$D$18),Projects!$B$18*INDEX(Curves!$B$4:$AR$4,1,11-Projects!$C$18+1),0)+IF(AND(Projects!$G$19="Yes",Projects!$M$19="Yes",11&gt;=Projects!$C$19,11&lt;Projects!$C$19+Projects!$D$19),Projects!$B$19*INDEX(Curves!$B$4:$AR$4,1,11-Projects!$C$19+1),0)+IF(AND(Projects!$G$20="Yes",Projects!$M$20="Yes",11&gt;=Projects!$C$20,11&lt;Projects!$C$20+Projects!$D$20),Projects!$B$20*INDEX(Curves!$B$4:$AR$4,1,11-Projects!$C$20+1),0)+IF(AND(Projects!$G$21="Yes",Projects!$M$21="Yes",11&gt;=Projects!$C$21,11&lt;Projects!$C$21+Projects!$D$21),Projects!$B$21*INDEX(Curves!$B$4:$AR$4,1,11-Projects!$C$21+1),0)+IF(AND(Projects!$G$22="Yes",Projects!$M$22="Yes",11&gt;=Projects!$C$22,11&lt;Projects!$C$22+Projects!$D$22),Projects!$B$22*INDEX(Curves!$B$4:$AR$4,1,11-Projects!$C$22+1),0)+IF(AND(Projects!$G$23="Yes",Projects!$M$23="Yes",11&gt;=Projects!$C$23,11&lt;Projects!$C$23+Projects!$D$23),Projects!$B$23*INDEX(Curves!$B$4:$AR$4,1,11-Projects!$C$23+1),0)+IF(AND(Projects!$G$24="Yes",Projects!$M$24="Yes",11&gt;=Projects!$C$24,11&lt;Projects!$C$24+Projects!$D$24),Projects!$B$24*INDEX(Curves!$B$4:$AR$4,1,11-Projects!$C$24+1),0)+IF(AND(Projects!$G$25="Yes",Projects!$M$25="Yes",11&gt;=Projects!$C$25,11&lt;Projects!$C$25+Projects!$D$25),Projects!$B$25*INDEX(Curves!$B$4:$AR$4,1,11-Projects!$C$25+1),0)+IF(AND(Projects!$G$26="Yes",Projects!$M$26="Yes",11&gt;=Projects!$C$26,11&lt;Projects!$C$26+Projects!$D$26),Projects!$B$26*INDEX(Curves!$B$4:$AR$4,1,11-Projects!$C$26+1),0)+IF(AND(Projects!$G$27="Yes",Projects!$M$27="Yes",11&gt;=Projects!$C$27,11&lt;Projects!$C$27+Projects!$D$27),Projects!$B$27*INDEX(Curves!$B$4:$AR$4,1,11-Projects!$C$27+1),0)+IF(AND(Projects!$G$28="Yes",Projects!$M$28="Yes",11&gt;=Projects!$C$28,11&lt;Projects!$C$28+Projects!$D$28),Projects!$B$28*INDEX(Curves!$B$4:$AR$4,1,11-Projects!$C$28+1),0)+IF(AND(Projects!$G$29="Yes",Projects!$M$29="Yes",11&gt;=Projects!$C$29,11&lt;Projects!$C$29+Projects!$D$29),Projects!$B$29*INDEX(Curves!$B$4:$AR$4,1,11-Projects!$C$29+1),0)+IF(AND(Projects!$G$30="Yes",Projects!$M$30="Yes",11&gt;=Projects!$C$30,11&lt;Projects!$C$30+Projects!$D$30),Projects!$B$30*INDEX(Curves!$B$4:$AR$4,1,11-Projects!$C$30+1),0)+IF(AND(Projects!$G$31="Yes",Projects!$M$31="Yes",11&gt;=Projects!$C$31,11&lt;Projects!$C$31+Projects!$D$31),Projects!$B$31*INDEX(Curves!$B$4:$AR$4,1,11-Projects!$C$31+1),0)+IF(AND(Projects!$G$32="Yes",Projects!$M$32="Yes",11&gt;=Projects!$C$32,11&lt;Projects!$C$32+Projects!$D$32),Projects!$B$32*INDEX(Curves!$B$4:$AR$4,1,11-Projects!$C$32+1),0)+IF(AND(Projects!$G$33="Yes",Projects!$M$33="Yes",11&gt;=Projects!$C$33,11&lt;Projects!$C$33+Projects!$D$33),Projects!$B$33*INDEX(Curves!$B$4:$AR$4,1,11-Projects!$C$33+1),0)+IF(AND(Projects!$G$34="Yes",Projects!$M$34="Yes",11&gt;=Projects!$C$34,11&lt;Projects!$C$34+Projects!$D$34),Projects!$B$34*INDEX(Curves!$B$4:$AR$4,1,11-Projects!$C$34+1),0)+IF(AND(Projects!$G$35="Yes",Projects!$M$35="Yes",11&gt;=Projects!$C$35,11&lt;Projects!$C$35+Projects!$D$35),Projects!$B$35*INDEX(Curves!$B$4:$AR$4,1,11-Projects!$C$35+1),0)+IF(AND(Projects!$G$36="Yes",Projects!$M$36="Yes",11&gt;=Projects!$C$36,11&lt;Projects!$C$36+Projects!$D$36),Projects!$B$36*INDEX(Curves!$B$4:$AR$4,1,11-Projects!$C$36+1),0)+IF(AND(Projects!$G$37="Yes",Projects!$M$37="Yes",11&gt;=Projects!$C$37,11&lt;Projects!$C$37+Projects!$D$37),Projects!$B$37*INDEX(Curves!$B$4:$AR$4,1,11-Projects!$C$37+1),0)+IF(AND(Projects!$G$38="Yes",Projects!$M$38="Yes",11&gt;=Projects!$C$38,11&lt;Projects!$C$38+Projects!$D$38),Projects!$B$38*INDEX(Curves!$B$4:$AR$4,1,11-Projects!$C$38+1),0)+IF(AND(Projects!$G$39="Yes",Projects!$M$39="Yes",11&gt;=Projects!$C$39,11&lt;Projects!$C$39+Projects!$D$39),Projects!$B$39*INDEX(Curves!$B$4:$AR$4,1,11-Projects!$C$39+1),0)+IF(AND(Projects!$G$40="Yes",Projects!$M$40="Yes",11&gt;=Projects!$C$40,11&lt;Projects!$C$40+Projects!$D$40),Projects!$B$40*INDEX(Curves!$B$4:$AR$4,1,11-Projects!$C$40+1),0)+IF(AND(Projects!$G$41="Yes",Projects!$M$41="Yes",11&gt;=Projects!$C$41,11&lt;Projects!$C$41+Projects!$D$41),Projects!$B$41*INDEX(Curves!$B$4:$AR$4,1,11-Projects!$C$41+1),0)+IF(AND(Projects!$G$42="Yes",Projects!$M$42="Yes",11&gt;=Projects!$C$42,11&lt;Projects!$C$42+Projects!$D$42),Projects!$B$42*INDEX(Curves!$B$4:$AR$4,1,11-Projects!$C$42+1),0)+IF(AND(Projects!$G$43="Yes",Projects!$M$43="Yes",11&gt;=Projects!$C$43,11&lt;Projects!$C$43+Projects!$D$43),Projects!$B$43*INDEX(Curves!$B$4:$AR$4,1,11-Projects!$C$43+1),0)+IF(AND(Projects!$G$44="Yes",Projects!$M$44="Yes",11&gt;=Projects!$C$44,11&lt;Projects!$C$44+Projects!$D$44),Projects!$B$44*INDEX(Curves!$B$4:$AR$4,1,11-Projects!$C$44+1),0)+IF(AND(Projects!$G$45="Yes",Projects!$M$45="Yes",11&gt;=Projects!$C$45,11&lt;Projects!$C$45+Projects!$D$45),Projects!$B$45*INDEX(Curves!$B$4:$AR$4,1,11-Projects!$C$45+1),0)+IF(AND(Projects!$G$46="Yes",Projects!$M$46="Yes",11&gt;=Projects!$C$46,11&lt;Projects!$C$46+Projects!$D$46),Projects!$B$46*INDEX(Curves!$B$4:$AR$4,1,11-Projects!$C$46+1),0)</f>
        <v>0</v>
      </c>
      <c r="Q101" s="63">
        <f>IF(AND(Projects!$G$17="Yes",Projects!$M$17="Yes",12&gt;=Projects!$C$17,12&lt;Projects!$C$17+Projects!$D$17),Projects!$B$17*INDEX(Curves!$B$4:$AR$4,1,12-Projects!$C$17+1),0)+IF(AND(Projects!$G$18="Yes",Projects!$M$18="Yes",12&gt;=Projects!$C$18,12&lt;Projects!$C$18+Projects!$D$18),Projects!$B$18*INDEX(Curves!$B$4:$AR$4,1,12-Projects!$C$18+1),0)+IF(AND(Projects!$G$19="Yes",Projects!$M$19="Yes",12&gt;=Projects!$C$19,12&lt;Projects!$C$19+Projects!$D$19),Projects!$B$19*INDEX(Curves!$B$4:$AR$4,1,12-Projects!$C$19+1),0)+IF(AND(Projects!$G$20="Yes",Projects!$M$20="Yes",12&gt;=Projects!$C$20,12&lt;Projects!$C$20+Projects!$D$20),Projects!$B$20*INDEX(Curves!$B$4:$AR$4,1,12-Projects!$C$20+1),0)+IF(AND(Projects!$G$21="Yes",Projects!$M$21="Yes",12&gt;=Projects!$C$21,12&lt;Projects!$C$21+Projects!$D$21),Projects!$B$21*INDEX(Curves!$B$4:$AR$4,1,12-Projects!$C$21+1),0)+IF(AND(Projects!$G$22="Yes",Projects!$M$22="Yes",12&gt;=Projects!$C$22,12&lt;Projects!$C$22+Projects!$D$22),Projects!$B$22*INDEX(Curves!$B$4:$AR$4,1,12-Projects!$C$22+1),0)+IF(AND(Projects!$G$23="Yes",Projects!$M$23="Yes",12&gt;=Projects!$C$23,12&lt;Projects!$C$23+Projects!$D$23),Projects!$B$23*INDEX(Curves!$B$4:$AR$4,1,12-Projects!$C$23+1),0)+IF(AND(Projects!$G$24="Yes",Projects!$M$24="Yes",12&gt;=Projects!$C$24,12&lt;Projects!$C$24+Projects!$D$24),Projects!$B$24*INDEX(Curves!$B$4:$AR$4,1,12-Projects!$C$24+1),0)+IF(AND(Projects!$G$25="Yes",Projects!$M$25="Yes",12&gt;=Projects!$C$25,12&lt;Projects!$C$25+Projects!$D$25),Projects!$B$25*INDEX(Curves!$B$4:$AR$4,1,12-Projects!$C$25+1),0)+IF(AND(Projects!$G$26="Yes",Projects!$M$26="Yes",12&gt;=Projects!$C$26,12&lt;Projects!$C$26+Projects!$D$26),Projects!$B$26*INDEX(Curves!$B$4:$AR$4,1,12-Projects!$C$26+1),0)+IF(AND(Projects!$G$27="Yes",Projects!$M$27="Yes",12&gt;=Projects!$C$27,12&lt;Projects!$C$27+Projects!$D$27),Projects!$B$27*INDEX(Curves!$B$4:$AR$4,1,12-Projects!$C$27+1),0)+IF(AND(Projects!$G$28="Yes",Projects!$M$28="Yes",12&gt;=Projects!$C$28,12&lt;Projects!$C$28+Projects!$D$28),Projects!$B$28*INDEX(Curves!$B$4:$AR$4,1,12-Projects!$C$28+1),0)+IF(AND(Projects!$G$29="Yes",Projects!$M$29="Yes",12&gt;=Projects!$C$29,12&lt;Projects!$C$29+Projects!$D$29),Projects!$B$29*INDEX(Curves!$B$4:$AR$4,1,12-Projects!$C$29+1),0)+IF(AND(Projects!$G$30="Yes",Projects!$M$30="Yes",12&gt;=Projects!$C$30,12&lt;Projects!$C$30+Projects!$D$30),Projects!$B$30*INDEX(Curves!$B$4:$AR$4,1,12-Projects!$C$30+1),0)+IF(AND(Projects!$G$31="Yes",Projects!$M$31="Yes",12&gt;=Projects!$C$31,12&lt;Projects!$C$31+Projects!$D$31),Projects!$B$31*INDEX(Curves!$B$4:$AR$4,1,12-Projects!$C$31+1),0)+IF(AND(Projects!$G$32="Yes",Projects!$M$32="Yes",12&gt;=Projects!$C$32,12&lt;Projects!$C$32+Projects!$D$32),Projects!$B$32*INDEX(Curves!$B$4:$AR$4,1,12-Projects!$C$32+1),0)+IF(AND(Projects!$G$33="Yes",Projects!$M$33="Yes",12&gt;=Projects!$C$33,12&lt;Projects!$C$33+Projects!$D$33),Projects!$B$33*INDEX(Curves!$B$4:$AR$4,1,12-Projects!$C$33+1),0)+IF(AND(Projects!$G$34="Yes",Projects!$M$34="Yes",12&gt;=Projects!$C$34,12&lt;Projects!$C$34+Projects!$D$34),Projects!$B$34*INDEX(Curves!$B$4:$AR$4,1,12-Projects!$C$34+1),0)+IF(AND(Projects!$G$35="Yes",Projects!$M$35="Yes",12&gt;=Projects!$C$35,12&lt;Projects!$C$35+Projects!$D$35),Projects!$B$35*INDEX(Curves!$B$4:$AR$4,1,12-Projects!$C$35+1),0)+IF(AND(Projects!$G$36="Yes",Projects!$M$36="Yes",12&gt;=Projects!$C$36,12&lt;Projects!$C$36+Projects!$D$36),Projects!$B$36*INDEX(Curves!$B$4:$AR$4,1,12-Projects!$C$36+1),0)+IF(AND(Projects!$G$37="Yes",Projects!$M$37="Yes",12&gt;=Projects!$C$37,12&lt;Projects!$C$37+Projects!$D$37),Projects!$B$37*INDEX(Curves!$B$4:$AR$4,1,12-Projects!$C$37+1),0)+IF(AND(Projects!$G$38="Yes",Projects!$M$38="Yes",12&gt;=Projects!$C$38,12&lt;Projects!$C$38+Projects!$D$38),Projects!$B$38*INDEX(Curves!$B$4:$AR$4,1,12-Projects!$C$38+1),0)+IF(AND(Projects!$G$39="Yes",Projects!$M$39="Yes",12&gt;=Projects!$C$39,12&lt;Projects!$C$39+Projects!$D$39),Projects!$B$39*INDEX(Curves!$B$4:$AR$4,1,12-Projects!$C$39+1),0)+IF(AND(Projects!$G$40="Yes",Projects!$M$40="Yes",12&gt;=Projects!$C$40,12&lt;Projects!$C$40+Projects!$D$40),Projects!$B$40*INDEX(Curves!$B$4:$AR$4,1,12-Projects!$C$40+1),0)+IF(AND(Projects!$G$41="Yes",Projects!$M$41="Yes",12&gt;=Projects!$C$41,12&lt;Projects!$C$41+Projects!$D$41),Projects!$B$41*INDEX(Curves!$B$4:$AR$4,1,12-Projects!$C$41+1),0)+IF(AND(Projects!$G$42="Yes",Projects!$M$42="Yes",12&gt;=Projects!$C$42,12&lt;Projects!$C$42+Projects!$D$42),Projects!$B$42*INDEX(Curves!$B$4:$AR$4,1,12-Projects!$C$42+1),0)+IF(AND(Projects!$G$43="Yes",Projects!$M$43="Yes",12&gt;=Projects!$C$43,12&lt;Projects!$C$43+Projects!$D$43),Projects!$B$43*INDEX(Curves!$B$4:$AR$4,1,12-Projects!$C$43+1),0)+IF(AND(Projects!$G$44="Yes",Projects!$M$44="Yes",12&gt;=Projects!$C$44,12&lt;Projects!$C$44+Projects!$D$44),Projects!$B$44*INDEX(Curves!$B$4:$AR$4,1,12-Projects!$C$44+1),0)+IF(AND(Projects!$G$45="Yes",Projects!$M$45="Yes",12&gt;=Projects!$C$45,12&lt;Projects!$C$45+Projects!$D$45),Projects!$B$45*INDEX(Curves!$B$4:$AR$4,1,12-Projects!$C$45+1),0)+IF(AND(Projects!$G$46="Yes",Projects!$M$46="Yes",12&gt;=Projects!$C$46,12&lt;Projects!$C$46+Projects!$D$46),Projects!$B$46*INDEX(Curves!$B$4:$AR$4,1,12-Projects!$C$46+1),0)</f>
        <v>0</v>
      </c>
      <c r="R101" s="63">
        <f>IF(AND(Projects!$G$17="Yes",Projects!$M$17="Yes",13&gt;=Projects!$C$17,13&lt;Projects!$C$17+Projects!$D$17),Projects!$B$17*INDEX(Curves!$B$4:$AR$4,1,13-Projects!$C$17+1),0)+IF(AND(Projects!$G$18="Yes",Projects!$M$18="Yes",13&gt;=Projects!$C$18,13&lt;Projects!$C$18+Projects!$D$18),Projects!$B$18*INDEX(Curves!$B$4:$AR$4,1,13-Projects!$C$18+1),0)+IF(AND(Projects!$G$19="Yes",Projects!$M$19="Yes",13&gt;=Projects!$C$19,13&lt;Projects!$C$19+Projects!$D$19),Projects!$B$19*INDEX(Curves!$B$4:$AR$4,1,13-Projects!$C$19+1),0)+IF(AND(Projects!$G$20="Yes",Projects!$M$20="Yes",13&gt;=Projects!$C$20,13&lt;Projects!$C$20+Projects!$D$20),Projects!$B$20*INDEX(Curves!$B$4:$AR$4,1,13-Projects!$C$20+1),0)+IF(AND(Projects!$G$21="Yes",Projects!$M$21="Yes",13&gt;=Projects!$C$21,13&lt;Projects!$C$21+Projects!$D$21),Projects!$B$21*INDEX(Curves!$B$4:$AR$4,1,13-Projects!$C$21+1),0)+IF(AND(Projects!$G$22="Yes",Projects!$M$22="Yes",13&gt;=Projects!$C$22,13&lt;Projects!$C$22+Projects!$D$22),Projects!$B$22*INDEX(Curves!$B$4:$AR$4,1,13-Projects!$C$22+1),0)+IF(AND(Projects!$G$23="Yes",Projects!$M$23="Yes",13&gt;=Projects!$C$23,13&lt;Projects!$C$23+Projects!$D$23),Projects!$B$23*INDEX(Curves!$B$4:$AR$4,1,13-Projects!$C$23+1),0)+IF(AND(Projects!$G$24="Yes",Projects!$M$24="Yes",13&gt;=Projects!$C$24,13&lt;Projects!$C$24+Projects!$D$24),Projects!$B$24*INDEX(Curves!$B$4:$AR$4,1,13-Projects!$C$24+1),0)+IF(AND(Projects!$G$25="Yes",Projects!$M$25="Yes",13&gt;=Projects!$C$25,13&lt;Projects!$C$25+Projects!$D$25),Projects!$B$25*INDEX(Curves!$B$4:$AR$4,1,13-Projects!$C$25+1),0)+IF(AND(Projects!$G$26="Yes",Projects!$M$26="Yes",13&gt;=Projects!$C$26,13&lt;Projects!$C$26+Projects!$D$26),Projects!$B$26*INDEX(Curves!$B$4:$AR$4,1,13-Projects!$C$26+1),0)+IF(AND(Projects!$G$27="Yes",Projects!$M$27="Yes",13&gt;=Projects!$C$27,13&lt;Projects!$C$27+Projects!$D$27),Projects!$B$27*INDEX(Curves!$B$4:$AR$4,1,13-Projects!$C$27+1),0)+IF(AND(Projects!$G$28="Yes",Projects!$M$28="Yes",13&gt;=Projects!$C$28,13&lt;Projects!$C$28+Projects!$D$28),Projects!$B$28*INDEX(Curves!$B$4:$AR$4,1,13-Projects!$C$28+1),0)+IF(AND(Projects!$G$29="Yes",Projects!$M$29="Yes",13&gt;=Projects!$C$29,13&lt;Projects!$C$29+Projects!$D$29),Projects!$B$29*INDEX(Curves!$B$4:$AR$4,1,13-Projects!$C$29+1),0)+IF(AND(Projects!$G$30="Yes",Projects!$M$30="Yes",13&gt;=Projects!$C$30,13&lt;Projects!$C$30+Projects!$D$30),Projects!$B$30*INDEX(Curves!$B$4:$AR$4,1,13-Projects!$C$30+1),0)+IF(AND(Projects!$G$31="Yes",Projects!$M$31="Yes",13&gt;=Projects!$C$31,13&lt;Projects!$C$31+Projects!$D$31),Projects!$B$31*INDEX(Curves!$B$4:$AR$4,1,13-Projects!$C$31+1),0)+IF(AND(Projects!$G$32="Yes",Projects!$M$32="Yes",13&gt;=Projects!$C$32,13&lt;Projects!$C$32+Projects!$D$32),Projects!$B$32*INDEX(Curves!$B$4:$AR$4,1,13-Projects!$C$32+1),0)+IF(AND(Projects!$G$33="Yes",Projects!$M$33="Yes",13&gt;=Projects!$C$33,13&lt;Projects!$C$33+Projects!$D$33),Projects!$B$33*INDEX(Curves!$B$4:$AR$4,1,13-Projects!$C$33+1),0)+IF(AND(Projects!$G$34="Yes",Projects!$M$34="Yes",13&gt;=Projects!$C$34,13&lt;Projects!$C$34+Projects!$D$34),Projects!$B$34*INDEX(Curves!$B$4:$AR$4,1,13-Projects!$C$34+1),0)+IF(AND(Projects!$G$35="Yes",Projects!$M$35="Yes",13&gt;=Projects!$C$35,13&lt;Projects!$C$35+Projects!$D$35),Projects!$B$35*INDEX(Curves!$B$4:$AR$4,1,13-Projects!$C$35+1),0)+IF(AND(Projects!$G$36="Yes",Projects!$M$36="Yes",13&gt;=Projects!$C$36,13&lt;Projects!$C$36+Projects!$D$36),Projects!$B$36*INDEX(Curves!$B$4:$AR$4,1,13-Projects!$C$36+1),0)+IF(AND(Projects!$G$37="Yes",Projects!$M$37="Yes",13&gt;=Projects!$C$37,13&lt;Projects!$C$37+Projects!$D$37),Projects!$B$37*INDEX(Curves!$B$4:$AR$4,1,13-Projects!$C$37+1),0)+IF(AND(Projects!$G$38="Yes",Projects!$M$38="Yes",13&gt;=Projects!$C$38,13&lt;Projects!$C$38+Projects!$D$38),Projects!$B$38*INDEX(Curves!$B$4:$AR$4,1,13-Projects!$C$38+1),0)+IF(AND(Projects!$G$39="Yes",Projects!$M$39="Yes",13&gt;=Projects!$C$39,13&lt;Projects!$C$39+Projects!$D$39),Projects!$B$39*INDEX(Curves!$B$4:$AR$4,1,13-Projects!$C$39+1),0)+IF(AND(Projects!$G$40="Yes",Projects!$M$40="Yes",13&gt;=Projects!$C$40,13&lt;Projects!$C$40+Projects!$D$40),Projects!$B$40*INDEX(Curves!$B$4:$AR$4,1,13-Projects!$C$40+1),0)+IF(AND(Projects!$G$41="Yes",Projects!$M$41="Yes",13&gt;=Projects!$C$41,13&lt;Projects!$C$41+Projects!$D$41),Projects!$B$41*INDEX(Curves!$B$4:$AR$4,1,13-Projects!$C$41+1),0)+IF(AND(Projects!$G$42="Yes",Projects!$M$42="Yes",13&gt;=Projects!$C$42,13&lt;Projects!$C$42+Projects!$D$42),Projects!$B$42*INDEX(Curves!$B$4:$AR$4,1,13-Projects!$C$42+1),0)+IF(AND(Projects!$G$43="Yes",Projects!$M$43="Yes",13&gt;=Projects!$C$43,13&lt;Projects!$C$43+Projects!$D$43),Projects!$B$43*INDEX(Curves!$B$4:$AR$4,1,13-Projects!$C$43+1),0)+IF(AND(Projects!$G$44="Yes",Projects!$M$44="Yes",13&gt;=Projects!$C$44,13&lt;Projects!$C$44+Projects!$D$44),Projects!$B$44*INDEX(Curves!$B$4:$AR$4,1,13-Projects!$C$44+1),0)+IF(AND(Projects!$G$45="Yes",Projects!$M$45="Yes",13&gt;=Projects!$C$45,13&lt;Projects!$C$45+Projects!$D$45),Projects!$B$45*INDEX(Curves!$B$4:$AR$4,1,13-Projects!$C$45+1),0)+IF(AND(Projects!$G$46="Yes",Projects!$M$46="Yes",13&gt;=Projects!$C$46,13&lt;Projects!$C$46+Projects!$D$46),Projects!$B$46*INDEX(Curves!$B$4:$AR$4,1,13-Projects!$C$46+1),0)</f>
        <v>0</v>
      </c>
      <c r="S101" s="63">
        <f>IF(AND(Projects!$G$17="Yes",Projects!$M$17="Yes",14&gt;=Projects!$C$17,14&lt;Projects!$C$17+Projects!$D$17),Projects!$B$17*INDEX(Curves!$B$4:$AR$4,1,14-Projects!$C$17+1),0)+IF(AND(Projects!$G$18="Yes",Projects!$M$18="Yes",14&gt;=Projects!$C$18,14&lt;Projects!$C$18+Projects!$D$18),Projects!$B$18*INDEX(Curves!$B$4:$AR$4,1,14-Projects!$C$18+1),0)+IF(AND(Projects!$G$19="Yes",Projects!$M$19="Yes",14&gt;=Projects!$C$19,14&lt;Projects!$C$19+Projects!$D$19),Projects!$B$19*INDEX(Curves!$B$4:$AR$4,1,14-Projects!$C$19+1),0)+IF(AND(Projects!$G$20="Yes",Projects!$M$20="Yes",14&gt;=Projects!$C$20,14&lt;Projects!$C$20+Projects!$D$20),Projects!$B$20*INDEX(Curves!$B$4:$AR$4,1,14-Projects!$C$20+1),0)+IF(AND(Projects!$G$21="Yes",Projects!$M$21="Yes",14&gt;=Projects!$C$21,14&lt;Projects!$C$21+Projects!$D$21),Projects!$B$21*INDEX(Curves!$B$4:$AR$4,1,14-Projects!$C$21+1),0)+IF(AND(Projects!$G$22="Yes",Projects!$M$22="Yes",14&gt;=Projects!$C$22,14&lt;Projects!$C$22+Projects!$D$22),Projects!$B$22*INDEX(Curves!$B$4:$AR$4,1,14-Projects!$C$22+1),0)+IF(AND(Projects!$G$23="Yes",Projects!$M$23="Yes",14&gt;=Projects!$C$23,14&lt;Projects!$C$23+Projects!$D$23),Projects!$B$23*INDEX(Curves!$B$4:$AR$4,1,14-Projects!$C$23+1),0)+IF(AND(Projects!$G$24="Yes",Projects!$M$24="Yes",14&gt;=Projects!$C$24,14&lt;Projects!$C$24+Projects!$D$24),Projects!$B$24*INDEX(Curves!$B$4:$AR$4,1,14-Projects!$C$24+1),0)+IF(AND(Projects!$G$25="Yes",Projects!$M$25="Yes",14&gt;=Projects!$C$25,14&lt;Projects!$C$25+Projects!$D$25),Projects!$B$25*INDEX(Curves!$B$4:$AR$4,1,14-Projects!$C$25+1),0)+IF(AND(Projects!$G$26="Yes",Projects!$M$26="Yes",14&gt;=Projects!$C$26,14&lt;Projects!$C$26+Projects!$D$26),Projects!$B$26*INDEX(Curves!$B$4:$AR$4,1,14-Projects!$C$26+1),0)+IF(AND(Projects!$G$27="Yes",Projects!$M$27="Yes",14&gt;=Projects!$C$27,14&lt;Projects!$C$27+Projects!$D$27),Projects!$B$27*INDEX(Curves!$B$4:$AR$4,1,14-Projects!$C$27+1),0)+IF(AND(Projects!$G$28="Yes",Projects!$M$28="Yes",14&gt;=Projects!$C$28,14&lt;Projects!$C$28+Projects!$D$28),Projects!$B$28*INDEX(Curves!$B$4:$AR$4,1,14-Projects!$C$28+1),0)+IF(AND(Projects!$G$29="Yes",Projects!$M$29="Yes",14&gt;=Projects!$C$29,14&lt;Projects!$C$29+Projects!$D$29),Projects!$B$29*INDEX(Curves!$B$4:$AR$4,1,14-Projects!$C$29+1),0)+IF(AND(Projects!$G$30="Yes",Projects!$M$30="Yes",14&gt;=Projects!$C$30,14&lt;Projects!$C$30+Projects!$D$30),Projects!$B$30*INDEX(Curves!$B$4:$AR$4,1,14-Projects!$C$30+1),0)+IF(AND(Projects!$G$31="Yes",Projects!$M$31="Yes",14&gt;=Projects!$C$31,14&lt;Projects!$C$31+Projects!$D$31),Projects!$B$31*INDEX(Curves!$B$4:$AR$4,1,14-Projects!$C$31+1),0)+IF(AND(Projects!$G$32="Yes",Projects!$M$32="Yes",14&gt;=Projects!$C$32,14&lt;Projects!$C$32+Projects!$D$32),Projects!$B$32*INDEX(Curves!$B$4:$AR$4,1,14-Projects!$C$32+1),0)+IF(AND(Projects!$G$33="Yes",Projects!$M$33="Yes",14&gt;=Projects!$C$33,14&lt;Projects!$C$33+Projects!$D$33),Projects!$B$33*INDEX(Curves!$B$4:$AR$4,1,14-Projects!$C$33+1),0)+IF(AND(Projects!$G$34="Yes",Projects!$M$34="Yes",14&gt;=Projects!$C$34,14&lt;Projects!$C$34+Projects!$D$34),Projects!$B$34*INDEX(Curves!$B$4:$AR$4,1,14-Projects!$C$34+1),0)+IF(AND(Projects!$G$35="Yes",Projects!$M$35="Yes",14&gt;=Projects!$C$35,14&lt;Projects!$C$35+Projects!$D$35),Projects!$B$35*INDEX(Curves!$B$4:$AR$4,1,14-Projects!$C$35+1),0)+IF(AND(Projects!$G$36="Yes",Projects!$M$36="Yes",14&gt;=Projects!$C$36,14&lt;Projects!$C$36+Projects!$D$36),Projects!$B$36*INDEX(Curves!$B$4:$AR$4,1,14-Projects!$C$36+1),0)+IF(AND(Projects!$G$37="Yes",Projects!$M$37="Yes",14&gt;=Projects!$C$37,14&lt;Projects!$C$37+Projects!$D$37),Projects!$B$37*INDEX(Curves!$B$4:$AR$4,1,14-Projects!$C$37+1),0)+IF(AND(Projects!$G$38="Yes",Projects!$M$38="Yes",14&gt;=Projects!$C$38,14&lt;Projects!$C$38+Projects!$D$38),Projects!$B$38*INDEX(Curves!$B$4:$AR$4,1,14-Projects!$C$38+1),0)+IF(AND(Projects!$G$39="Yes",Projects!$M$39="Yes",14&gt;=Projects!$C$39,14&lt;Projects!$C$39+Projects!$D$39),Projects!$B$39*INDEX(Curves!$B$4:$AR$4,1,14-Projects!$C$39+1),0)+IF(AND(Projects!$G$40="Yes",Projects!$M$40="Yes",14&gt;=Projects!$C$40,14&lt;Projects!$C$40+Projects!$D$40),Projects!$B$40*INDEX(Curves!$B$4:$AR$4,1,14-Projects!$C$40+1),0)+IF(AND(Projects!$G$41="Yes",Projects!$M$41="Yes",14&gt;=Projects!$C$41,14&lt;Projects!$C$41+Projects!$D$41),Projects!$B$41*INDEX(Curves!$B$4:$AR$4,1,14-Projects!$C$41+1),0)+IF(AND(Projects!$G$42="Yes",Projects!$M$42="Yes",14&gt;=Projects!$C$42,14&lt;Projects!$C$42+Projects!$D$42),Projects!$B$42*INDEX(Curves!$B$4:$AR$4,1,14-Projects!$C$42+1),0)+IF(AND(Projects!$G$43="Yes",Projects!$M$43="Yes",14&gt;=Projects!$C$43,14&lt;Projects!$C$43+Projects!$D$43),Projects!$B$43*INDEX(Curves!$B$4:$AR$4,1,14-Projects!$C$43+1),0)+IF(AND(Projects!$G$44="Yes",Projects!$M$44="Yes",14&gt;=Projects!$C$44,14&lt;Projects!$C$44+Projects!$D$44),Projects!$B$44*INDEX(Curves!$B$4:$AR$4,1,14-Projects!$C$44+1),0)+IF(AND(Projects!$G$45="Yes",Projects!$M$45="Yes",14&gt;=Projects!$C$45,14&lt;Projects!$C$45+Projects!$D$45),Projects!$B$45*INDEX(Curves!$B$4:$AR$4,1,14-Projects!$C$45+1),0)+IF(AND(Projects!$G$46="Yes",Projects!$M$46="Yes",14&gt;=Projects!$C$46,14&lt;Projects!$C$46+Projects!$D$46),Projects!$B$46*INDEX(Curves!$B$4:$AR$4,1,14-Projects!$C$46+1),0)</f>
        <v>0</v>
      </c>
      <c r="T101" s="63">
        <f>IF(AND(Projects!$G$17="Yes",Projects!$M$17="Yes",15&gt;=Projects!$C$17,15&lt;Projects!$C$17+Projects!$D$17),Projects!$B$17*INDEX(Curves!$B$4:$AR$4,1,15-Projects!$C$17+1),0)+IF(AND(Projects!$G$18="Yes",Projects!$M$18="Yes",15&gt;=Projects!$C$18,15&lt;Projects!$C$18+Projects!$D$18),Projects!$B$18*INDEX(Curves!$B$4:$AR$4,1,15-Projects!$C$18+1),0)+IF(AND(Projects!$G$19="Yes",Projects!$M$19="Yes",15&gt;=Projects!$C$19,15&lt;Projects!$C$19+Projects!$D$19),Projects!$B$19*INDEX(Curves!$B$4:$AR$4,1,15-Projects!$C$19+1),0)+IF(AND(Projects!$G$20="Yes",Projects!$M$20="Yes",15&gt;=Projects!$C$20,15&lt;Projects!$C$20+Projects!$D$20),Projects!$B$20*INDEX(Curves!$B$4:$AR$4,1,15-Projects!$C$20+1),0)+IF(AND(Projects!$G$21="Yes",Projects!$M$21="Yes",15&gt;=Projects!$C$21,15&lt;Projects!$C$21+Projects!$D$21),Projects!$B$21*INDEX(Curves!$B$4:$AR$4,1,15-Projects!$C$21+1),0)+IF(AND(Projects!$G$22="Yes",Projects!$M$22="Yes",15&gt;=Projects!$C$22,15&lt;Projects!$C$22+Projects!$D$22),Projects!$B$22*INDEX(Curves!$B$4:$AR$4,1,15-Projects!$C$22+1),0)+IF(AND(Projects!$G$23="Yes",Projects!$M$23="Yes",15&gt;=Projects!$C$23,15&lt;Projects!$C$23+Projects!$D$23),Projects!$B$23*INDEX(Curves!$B$4:$AR$4,1,15-Projects!$C$23+1),0)+IF(AND(Projects!$G$24="Yes",Projects!$M$24="Yes",15&gt;=Projects!$C$24,15&lt;Projects!$C$24+Projects!$D$24),Projects!$B$24*INDEX(Curves!$B$4:$AR$4,1,15-Projects!$C$24+1),0)+IF(AND(Projects!$G$25="Yes",Projects!$M$25="Yes",15&gt;=Projects!$C$25,15&lt;Projects!$C$25+Projects!$D$25),Projects!$B$25*INDEX(Curves!$B$4:$AR$4,1,15-Projects!$C$25+1),0)+IF(AND(Projects!$G$26="Yes",Projects!$M$26="Yes",15&gt;=Projects!$C$26,15&lt;Projects!$C$26+Projects!$D$26),Projects!$B$26*INDEX(Curves!$B$4:$AR$4,1,15-Projects!$C$26+1),0)+IF(AND(Projects!$G$27="Yes",Projects!$M$27="Yes",15&gt;=Projects!$C$27,15&lt;Projects!$C$27+Projects!$D$27),Projects!$B$27*INDEX(Curves!$B$4:$AR$4,1,15-Projects!$C$27+1),0)+IF(AND(Projects!$G$28="Yes",Projects!$M$28="Yes",15&gt;=Projects!$C$28,15&lt;Projects!$C$28+Projects!$D$28),Projects!$B$28*INDEX(Curves!$B$4:$AR$4,1,15-Projects!$C$28+1),0)+IF(AND(Projects!$G$29="Yes",Projects!$M$29="Yes",15&gt;=Projects!$C$29,15&lt;Projects!$C$29+Projects!$D$29),Projects!$B$29*INDEX(Curves!$B$4:$AR$4,1,15-Projects!$C$29+1),0)+IF(AND(Projects!$G$30="Yes",Projects!$M$30="Yes",15&gt;=Projects!$C$30,15&lt;Projects!$C$30+Projects!$D$30),Projects!$B$30*INDEX(Curves!$B$4:$AR$4,1,15-Projects!$C$30+1),0)+IF(AND(Projects!$G$31="Yes",Projects!$M$31="Yes",15&gt;=Projects!$C$31,15&lt;Projects!$C$31+Projects!$D$31),Projects!$B$31*INDEX(Curves!$B$4:$AR$4,1,15-Projects!$C$31+1),0)+IF(AND(Projects!$G$32="Yes",Projects!$M$32="Yes",15&gt;=Projects!$C$32,15&lt;Projects!$C$32+Projects!$D$32),Projects!$B$32*INDEX(Curves!$B$4:$AR$4,1,15-Projects!$C$32+1),0)+IF(AND(Projects!$G$33="Yes",Projects!$M$33="Yes",15&gt;=Projects!$C$33,15&lt;Projects!$C$33+Projects!$D$33),Projects!$B$33*INDEX(Curves!$B$4:$AR$4,1,15-Projects!$C$33+1),0)+IF(AND(Projects!$G$34="Yes",Projects!$M$34="Yes",15&gt;=Projects!$C$34,15&lt;Projects!$C$34+Projects!$D$34),Projects!$B$34*INDEX(Curves!$B$4:$AR$4,1,15-Projects!$C$34+1),0)+IF(AND(Projects!$G$35="Yes",Projects!$M$35="Yes",15&gt;=Projects!$C$35,15&lt;Projects!$C$35+Projects!$D$35),Projects!$B$35*INDEX(Curves!$B$4:$AR$4,1,15-Projects!$C$35+1),0)+IF(AND(Projects!$G$36="Yes",Projects!$M$36="Yes",15&gt;=Projects!$C$36,15&lt;Projects!$C$36+Projects!$D$36),Projects!$B$36*INDEX(Curves!$B$4:$AR$4,1,15-Projects!$C$36+1),0)+IF(AND(Projects!$G$37="Yes",Projects!$M$37="Yes",15&gt;=Projects!$C$37,15&lt;Projects!$C$37+Projects!$D$37),Projects!$B$37*INDEX(Curves!$B$4:$AR$4,1,15-Projects!$C$37+1),0)+IF(AND(Projects!$G$38="Yes",Projects!$M$38="Yes",15&gt;=Projects!$C$38,15&lt;Projects!$C$38+Projects!$D$38),Projects!$B$38*INDEX(Curves!$B$4:$AR$4,1,15-Projects!$C$38+1),0)+IF(AND(Projects!$G$39="Yes",Projects!$M$39="Yes",15&gt;=Projects!$C$39,15&lt;Projects!$C$39+Projects!$D$39),Projects!$B$39*INDEX(Curves!$B$4:$AR$4,1,15-Projects!$C$39+1),0)+IF(AND(Projects!$G$40="Yes",Projects!$M$40="Yes",15&gt;=Projects!$C$40,15&lt;Projects!$C$40+Projects!$D$40),Projects!$B$40*INDEX(Curves!$B$4:$AR$4,1,15-Projects!$C$40+1),0)+IF(AND(Projects!$G$41="Yes",Projects!$M$41="Yes",15&gt;=Projects!$C$41,15&lt;Projects!$C$41+Projects!$D$41),Projects!$B$41*INDEX(Curves!$B$4:$AR$4,1,15-Projects!$C$41+1),0)+IF(AND(Projects!$G$42="Yes",Projects!$M$42="Yes",15&gt;=Projects!$C$42,15&lt;Projects!$C$42+Projects!$D$42),Projects!$B$42*INDEX(Curves!$B$4:$AR$4,1,15-Projects!$C$42+1),0)+IF(AND(Projects!$G$43="Yes",Projects!$M$43="Yes",15&gt;=Projects!$C$43,15&lt;Projects!$C$43+Projects!$D$43),Projects!$B$43*INDEX(Curves!$B$4:$AR$4,1,15-Projects!$C$43+1),0)+IF(AND(Projects!$G$44="Yes",Projects!$M$44="Yes",15&gt;=Projects!$C$44,15&lt;Projects!$C$44+Projects!$D$44),Projects!$B$44*INDEX(Curves!$B$4:$AR$4,1,15-Projects!$C$44+1),0)+IF(AND(Projects!$G$45="Yes",Projects!$M$45="Yes",15&gt;=Projects!$C$45,15&lt;Projects!$C$45+Projects!$D$45),Projects!$B$45*INDEX(Curves!$B$4:$AR$4,1,15-Projects!$C$45+1),0)+IF(AND(Projects!$G$46="Yes",Projects!$M$46="Yes",15&gt;=Projects!$C$46,15&lt;Projects!$C$46+Projects!$D$46),Projects!$B$46*INDEX(Curves!$B$4:$AR$4,1,15-Projects!$C$46+1),0)</f>
        <v>0</v>
      </c>
      <c r="U101" s="63">
        <f>IF(AND(Projects!$G$17="Yes",Projects!$M$17="Yes",16&gt;=Projects!$C$17,16&lt;Projects!$C$17+Projects!$D$17),Projects!$B$17*INDEX(Curves!$B$4:$AR$4,1,16-Projects!$C$17+1),0)+IF(AND(Projects!$G$18="Yes",Projects!$M$18="Yes",16&gt;=Projects!$C$18,16&lt;Projects!$C$18+Projects!$D$18),Projects!$B$18*INDEX(Curves!$B$4:$AR$4,1,16-Projects!$C$18+1),0)+IF(AND(Projects!$G$19="Yes",Projects!$M$19="Yes",16&gt;=Projects!$C$19,16&lt;Projects!$C$19+Projects!$D$19),Projects!$B$19*INDEX(Curves!$B$4:$AR$4,1,16-Projects!$C$19+1),0)+IF(AND(Projects!$G$20="Yes",Projects!$M$20="Yes",16&gt;=Projects!$C$20,16&lt;Projects!$C$20+Projects!$D$20),Projects!$B$20*INDEX(Curves!$B$4:$AR$4,1,16-Projects!$C$20+1),0)+IF(AND(Projects!$G$21="Yes",Projects!$M$21="Yes",16&gt;=Projects!$C$21,16&lt;Projects!$C$21+Projects!$D$21),Projects!$B$21*INDEX(Curves!$B$4:$AR$4,1,16-Projects!$C$21+1),0)+IF(AND(Projects!$G$22="Yes",Projects!$M$22="Yes",16&gt;=Projects!$C$22,16&lt;Projects!$C$22+Projects!$D$22),Projects!$B$22*INDEX(Curves!$B$4:$AR$4,1,16-Projects!$C$22+1),0)+IF(AND(Projects!$G$23="Yes",Projects!$M$23="Yes",16&gt;=Projects!$C$23,16&lt;Projects!$C$23+Projects!$D$23),Projects!$B$23*INDEX(Curves!$B$4:$AR$4,1,16-Projects!$C$23+1),0)+IF(AND(Projects!$G$24="Yes",Projects!$M$24="Yes",16&gt;=Projects!$C$24,16&lt;Projects!$C$24+Projects!$D$24),Projects!$B$24*INDEX(Curves!$B$4:$AR$4,1,16-Projects!$C$24+1),0)+IF(AND(Projects!$G$25="Yes",Projects!$M$25="Yes",16&gt;=Projects!$C$25,16&lt;Projects!$C$25+Projects!$D$25),Projects!$B$25*INDEX(Curves!$B$4:$AR$4,1,16-Projects!$C$25+1),0)+IF(AND(Projects!$G$26="Yes",Projects!$M$26="Yes",16&gt;=Projects!$C$26,16&lt;Projects!$C$26+Projects!$D$26),Projects!$B$26*INDEX(Curves!$B$4:$AR$4,1,16-Projects!$C$26+1),0)+IF(AND(Projects!$G$27="Yes",Projects!$M$27="Yes",16&gt;=Projects!$C$27,16&lt;Projects!$C$27+Projects!$D$27),Projects!$B$27*INDEX(Curves!$B$4:$AR$4,1,16-Projects!$C$27+1),0)+IF(AND(Projects!$G$28="Yes",Projects!$M$28="Yes",16&gt;=Projects!$C$28,16&lt;Projects!$C$28+Projects!$D$28),Projects!$B$28*INDEX(Curves!$B$4:$AR$4,1,16-Projects!$C$28+1),0)+IF(AND(Projects!$G$29="Yes",Projects!$M$29="Yes",16&gt;=Projects!$C$29,16&lt;Projects!$C$29+Projects!$D$29),Projects!$B$29*INDEX(Curves!$B$4:$AR$4,1,16-Projects!$C$29+1),0)+IF(AND(Projects!$G$30="Yes",Projects!$M$30="Yes",16&gt;=Projects!$C$30,16&lt;Projects!$C$30+Projects!$D$30),Projects!$B$30*INDEX(Curves!$B$4:$AR$4,1,16-Projects!$C$30+1),0)+IF(AND(Projects!$G$31="Yes",Projects!$M$31="Yes",16&gt;=Projects!$C$31,16&lt;Projects!$C$31+Projects!$D$31),Projects!$B$31*INDEX(Curves!$B$4:$AR$4,1,16-Projects!$C$31+1),0)+IF(AND(Projects!$G$32="Yes",Projects!$M$32="Yes",16&gt;=Projects!$C$32,16&lt;Projects!$C$32+Projects!$D$32),Projects!$B$32*INDEX(Curves!$B$4:$AR$4,1,16-Projects!$C$32+1),0)+IF(AND(Projects!$G$33="Yes",Projects!$M$33="Yes",16&gt;=Projects!$C$33,16&lt;Projects!$C$33+Projects!$D$33),Projects!$B$33*INDEX(Curves!$B$4:$AR$4,1,16-Projects!$C$33+1),0)+IF(AND(Projects!$G$34="Yes",Projects!$M$34="Yes",16&gt;=Projects!$C$34,16&lt;Projects!$C$34+Projects!$D$34),Projects!$B$34*INDEX(Curves!$B$4:$AR$4,1,16-Projects!$C$34+1),0)+IF(AND(Projects!$G$35="Yes",Projects!$M$35="Yes",16&gt;=Projects!$C$35,16&lt;Projects!$C$35+Projects!$D$35),Projects!$B$35*INDEX(Curves!$B$4:$AR$4,1,16-Projects!$C$35+1),0)+IF(AND(Projects!$G$36="Yes",Projects!$M$36="Yes",16&gt;=Projects!$C$36,16&lt;Projects!$C$36+Projects!$D$36),Projects!$B$36*INDEX(Curves!$B$4:$AR$4,1,16-Projects!$C$36+1),0)+IF(AND(Projects!$G$37="Yes",Projects!$M$37="Yes",16&gt;=Projects!$C$37,16&lt;Projects!$C$37+Projects!$D$37),Projects!$B$37*INDEX(Curves!$B$4:$AR$4,1,16-Projects!$C$37+1),0)+IF(AND(Projects!$G$38="Yes",Projects!$M$38="Yes",16&gt;=Projects!$C$38,16&lt;Projects!$C$38+Projects!$D$38),Projects!$B$38*INDEX(Curves!$B$4:$AR$4,1,16-Projects!$C$38+1),0)+IF(AND(Projects!$G$39="Yes",Projects!$M$39="Yes",16&gt;=Projects!$C$39,16&lt;Projects!$C$39+Projects!$D$39),Projects!$B$39*INDEX(Curves!$B$4:$AR$4,1,16-Projects!$C$39+1),0)+IF(AND(Projects!$G$40="Yes",Projects!$M$40="Yes",16&gt;=Projects!$C$40,16&lt;Projects!$C$40+Projects!$D$40),Projects!$B$40*INDEX(Curves!$B$4:$AR$4,1,16-Projects!$C$40+1),0)+IF(AND(Projects!$G$41="Yes",Projects!$M$41="Yes",16&gt;=Projects!$C$41,16&lt;Projects!$C$41+Projects!$D$41),Projects!$B$41*INDEX(Curves!$B$4:$AR$4,1,16-Projects!$C$41+1),0)+IF(AND(Projects!$G$42="Yes",Projects!$M$42="Yes",16&gt;=Projects!$C$42,16&lt;Projects!$C$42+Projects!$D$42),Projects!$B$42*INDEX(Curves!$B$4:$AR$4,1,16-Projects!$C$42+1),0)+IF(AND(Projects!$G$43="Yes",Projects!$M$43="Yes",16&gt;=Projects!$C$43,16&lt;Projects!$C$43+Projects!$D$43),Projects!$B$43*INDEX(Curves!$B$4:$AR$4,1,16-Projects!$C$43+1),0)+IF(AND(Projects!$G$44="Yes",Projects!$M$44="Yes",16&gt;=Projects!$C$44,16&lt;Projects!$C$44+Projects!$D$44),Projects!$B$44*INDEX(Curves!$B$4:$AR$4,1,16-Projects!$C$44+1),0)+IF(AND(Projects!$G$45="Yes",Projects!$M$45="Yes",16&gt;=Projects!$C$45,16&lt;Projects!$C$45+Projects!$D$45),Projects!$B$45*INDEX(Curves!$B$4:$AR$4,1,16-Projects!$C$45+1),0)+IF(AND(Projects!$G$46="Yes",Projects!$M$46="Yes",16&gt;=Projects!$C$46,16&lt;Projects!$C$46+Projects!$D$46),Projects!$B$46*INDEX(Curves!$B$4:$AR$4,1,16-Projects!$C$46+1),0)</f>
        <v>0</v>
      </c>
      <c r="V101" s="63">
        <f>IF(AND(Projects!$G$17="Yes",Projects!$M$17="Yes",17&gt;=Projects!$C$17,17&lt;Projects!$C$17+Projects!$D$17),Projects!$B$17*INDEX(Curves!$B$4:$AR$4,1,17-Projects!$C$17+1),0)+IF(AND(Projects!$G$18="Yes",Projects!$M$18="Yes",17&gt;=Projects!$C$18,17&lt;Projects!$C$18+Projects!$D$18),Projects!$B$18*INDEX(Curves!$B$4:$AR$4,1,17-Projects!$C$18+1),0)+IF(AND(Projects!$G$19="Yes",Projects!$M$19="Yes",17&gt;=Projects!$C$19,17&lt;Projects!$C$19+Projects!$D$19),Projects!$B$19*INDEX(Curves!$B$4:$AR$4,1,17-Projects!$C$19+1),0)+IF(AND(Projects!$G$20="Yes",Projects!$M$20="Yes",17&gt;=Projects!$C$20,17&lt;Projects!$C$20+Projects!$D$20),Projects!$B$20*INDEX(Curves!$B$4:$AR$4,1,17-Projects!$C$20+1),0)+IF(AND(Projects!$G$21="Yes",Projects!$M$21="Yes",17&gt;=Projects!$C$21,17&lt;Projects!$C$21+Projects!$D$21),Projects!$B$21*INDEX(Curves!$B$4:$AR$4,1,17-Projects!$C$21+1),0)+IF(AND(Projects!$G$22="Yes",Projects!$M$22="Yes",17&gt;=Projects!$C$22,17&lt;Projects!$C$22+Projects!$D$22),Projects!$B$22*INDEX(Curves!$B$4:$AR$4,1,17-Projects!$C$22+1),0)+IF(AND(Projects!$G$23="Yes",Projects!$M$23="Yes",17&gt;=Projects!$C$23,17&lt;Projects!$C$23+Projects!$D$23),Projects!$B$23*INDEX(Curves!$B$4:$AR$4,1,17-Projects!$C$23+1),0)+IF(AND(Projects!$G$24="Yes",Projects!$M$24="Yes",17&gt;=Projects!$C$24,17&lt;Projects!$C$24+Projects!$D$24),Projects!$B$24*INDEX(Curves!$B$4:$AR$4,1,17-Projects!$C$24+1),0)+IF(AND(Projects!$G$25="Yes",Projects!$M$25="Yes",17&gt;=Projects!$C$25,17&lt;Projects!$C$25+Projects!$D$25),Projects!$B$25*INDEX(Curves!$B$4:$AR$4,1,17-Projects!$C$25+1),0)+IF(AND(Projects!$G$26="Yes",Projects!$M$26="Yes",17&gt;=Projects!$C$26,17&lt;Projects!$C$26+Projects!$D$26),Projects!$B$26*INDEX(Curves!$B$4:$AR$4,1,17-Projects!$C$26+1),0)+IF(AND(Projects!$G$27="Yes",Projects!$M$27="Yes",17&gt;=Projects!$C$27,17&lt;Projects!$C$27+Projects!$D$27),Projects!$B$27*INDEX(Curves!$B$4:$AR$4,1,17-Projects!$C$27+1),0)+IF(AND(Projects!$G$28="Yes",Projects!$M$28="Yes",17&gt;=Projects!$C$28,17&lt;Projects!$C$28+Projects!$D$28),Projects!$B$28*INDEX(Curves!$B$4:$AR$4,1,17-Projects!$C$28+1),0)+IF(AND(Projects!$G$29="Yes",Projects!$M$29="Yes",17&gt;=Projects!$C$29,17&lt;Projects!$C$29+Projects!$D$29),Projects!$B$29*INDEX(Curves!$B$4:$AR$4,1,17-Projects!$C$29+1),0)+IF(AND(Projects!$G$30="Yes",Projects!$M$30="Yes",17&gt;=Projects!$C$30,17&lt;Projects!$C$30+Projects!$D$30),Projects!$B$30*INDEX(Curves!$B$4:$AR$4,1,17-Projects!$C$30+1),0)+IF(AND(Projects!$G$31="Yes",Projects!$M$31="Yes",17&gt;=Projects!$C$31,17&lt;Projects!$C$31+Projects!$D$31),Projects!$B$31*INDEX(Curves!$B$4:$AR$4,1,17-Projects!$C$31+1),0)+IF(AND(Projects!$G$32="Yes",Projects!$M$32="Yes",17&gt;=Projects!$C$32,17&lt;Projects!$C$32+Projects!$D$32),Projects!$B$32*INDEX(Curves!$B$4:$AR$4,1,17-Projects!$C$32+1),0)+IF(AND(Projects!$G$33="Yes",Projects!$M$33="Yes",17&gt;=Projects!$C$33,17&lt;Projects!$C$33+Projects!$D$33),Projects!$B$33*INDEX(Curves!$B$4:$AR$4,1,17-Projects!$C$33+1),0)+IF(AND(Projects!$G$34="Yes",Projects!$M$34="Yes",17&gt;=Projects!$C$34,17&lt;Projects!$C$34+Projects!$D$34),Projects!$B$34*INDEX(Curves!$B$4:$AR$4,1,17-Projects!$C$34+1),0)+IF(AND(Projects!$G$35="Yes",Projects!$M$35="Yes",17&gt;=Projects!$C$35,17&lt;Projects!$C$35+Projects!$D$35),Projects!$B$35*INDEX(Curves!$B$4:$AR$4,1,17-Projects!$C$35+1),0)+IF(AND(Projects!$G$36="Yes",Projects!$M$36="Yes",17&gt;=Projects!$C$36,17&lt;Projects!$C$36+Projects!$D$36),Projects!$B$36*INDEX(Curves!$B$4:$AR$4,1,17-Projects!$C$36+1),0)+IF(AND(Projects!$G$37="Yes",Projects!$M$37="Yes",17&gt;=Projects!$C$37,17&lt;Projects!$C$37+Projects!$D$37),Projects!$B$37*INDEX(Curves!$B$4:$AR$4,1,17-Projects!$C$37+1),0)+IF(AND(Projects!$G$38="Yes",Projects!$M$38="Yes",17&gt;=Projects!$C$38,17&lt;Projects!$C$38+Projects!$D$38),Projects!$B$38*INDEX(Curves!$B$4:$AR$4,1,17-Projects!$C$38+1),0)+IF(AND(Projects!$G$39="Yes",Projects!$M$39="Yes",17&gt;=Projects!$C$39,17&lt;Projects!$C$39+Projects!$D$39),Projects!$B$39*INDEX(Curves!$B$4:$AR$4,1,17-Projects!$C$39+1),0)+IF(AND(Projects!$G$40="Yes",Projects!$M$40="Yes",17&gt;=Projects!$C$40,17&lt;Projects!$C$40+Projects!$D$40),Projects!$B$40*INDEX(Curves!$B$4:$AR$4,1,17-Projects!$C$40+1),0)+IF(AND(Projects!$G$41="Yes",Projects!$M$41="Yes",17&gt;=Projects!$C$41,17&lt;Projects!$C$41+Projects!$D$41),Projects!$B$41*INDEX(Curves!$B$4:$AR$4,1,17-Projects!$C$41+1),0)+IF(AND(Projects!$G$42="Yes",Projects!$M$42="Yes",17&gt;=Projects!$C$42,17&lt;Projects!$C$42+Projects!$D$42),Projects!$B$42*INDEX(Curves!$B$4:$AR$4,1,17-Projects!$C$42+1),0)+IF(AND(Projects!$G$43="Yes",Projects!$M$43="Yes",17&gt;=Projects!$C$43,17&lt;Projects!$C$43+Projects!$D$43),Projects!$B$43*INDEX(Curves!$B$4:$AR$4,1,17-Projects!$C$43+1),0)+IF(AND(Projects!$G$44="Yes",Projects!$M$44="Yes",17&gt;=Projects!$C$44,17&lt;Projects!$C$44+Projects!$D$44),Projects!$B$44*INDEX(Curves!$B$4:$AR$4,1,17-Projects!$C$44+1),0)+IF(AND(Projects!$G$45="Yes",Projects!$M$45="Yes",17&gt;=Projects!$C$45,17&lt;Projects!$C$45+Projects!$D$45),Projects!$B$45*INDEX(Curves!$B$4:$AR$4,1,17-Projects!$C$45+1),0)+IF(AND(Projects!$G$46="Yes",Projects!$M$46="Yes",17&gt;=Projects!$C$46,17&lt;Projects!$C$46+Projects!$D$46),Projects!$B$46*INDEX(Curves!$B$4:$AR$4,1,17-Projects!$C$46+1),0)</f>
        <v>0</v>
      </c>
      <c r="W101" s="63">
        <f>IF(AND(Projects!$G$17="Yes",Projects!$M$17="Yes",18&gt;=Projects!$C$17,18&lt;Projects!$C$17+Projects!$D$17),Projects!$B$17*INDEX(Curves!$B$4:$AR$4,1,18-Projects!$C$17+1),0)+IF(AND(Projects!$G$18="Yes",Projects!$M$18="Yes",18&gt;=Projects!$C$18,18&lt;Projects!$C$18+Projects!$D$18),Projects!$B$18*INDEX(Curves!$B$4:$AR$4,1,18-Projects!$C$18+1),0)+IF(AND(Projects!$G$19="Yes",Projects!$M$19="Yes",18&gt;=Projects!$C$19,18&lt;Projects!$C$19+Projects!$D$19),Projects!$B$19*INDEX(Curves!$B$4:$AR$4,1,18-Projects!$C$19+1),0)+IF(AND(Projects!$G$20="Yes",Projects!$M$20="Yes",18&gt;=Projects!$C$20,18&lt;Projects!$C$20+Projects!$D$20),Projects!$B$20*INDEX(Curves!$B$4:$AR$4,1,18-Projects!$C$20+1),0)+IF(AND(Projects!$G$21="Yes",Projects!$M$21="Yes",18&gt;=Projects!$C$21,18&lt;Projects!$C$21+Projects!$D$21),Projects!$B$21*INDEX(Curves!$B$4:$AR$4,1,18-Projects!$C$21+1),0)+IF(AND(Projects!$G$22="Yes",Projects!$M$22="Yes",18&gt;=Projects!$C$22,18&lt;Projects!$C$22+Projects!$D$22),Projects!$B$22*INDEX(Curves!$B$4:$AR$4,1,18-Projects!$C$22+1),0)+IF(AND(Projects!$G$23="Yes",Projects!$M$23="Yes",18&gt;=Projects!$C$23,18&lt;Projects!$C$23+Projects!$D$23),Projects!$B$23*INDEX(Curves!$B$4:$AR$4,1,18-Projects!$C$23+1),0)+IF(AND(Projects!$G$24="Yes",Projects!$M$24="Yes",18&gt;=Projects!$C$24,18&lt;Projects!$C$24+Projects!$D$24),Projects!$B$24*INDEX(Curves!$B$4:$AR$4,1,18-Projects!$C$24+1),0)+IF(AND(Projects!$G$25="Yes",Projects!$M$25="Yes",18&gt;=Projects!$C$25,18&lt;Projects!$C$25+Projects!$D$25),Projects!$B$25*INDEX(Curves!$B$4:$AR$4,1,18-Projects!$C$25+1),0)+IF(AND(Projects!$G$26="Yes",Projects!$M$26="Yes",18&gt;=Projects!$C$26,18&lt;Projects!$C$26+Projects!$D$26),Projects!$B$26*INDEX(Curves!$B$4:$AR$4,1,18-Projects!$C$26+1),0)+IF(AND(Projects!$G$27="Yes",Projects!$M$27="Yes",18&gt;=Projects!$C$27,18&lt;Projects!$C$27+Projects!$D$27),Projects!$B$27*INDEX(Curves!$B$4:$AR$4,1,18-Projects!$C$27+1),0)+IF(AND(Projects!$G$28="Yes",Projects!$M$28="Yes",18&gt;=Projects!$C$28,18&lt;Projects!$C$28+Projects!$D$28),Projects!$B$28*INDEX(Curves!$B$4:$AR$4,1,18-Projects!$C$28+1),0)+IF(AND(Projects!$G$29="Yes",Projects!$M$29="Yes",18&gt;=Projects!$C$29,18&lt;Projects!$C$29+Projects!$D$29),Projects!$B$29*INDEX(Curves!$B$4:$AR$4,1,18-Projects!$C$29+1),0)+IF(AND(Projects!$G$30="Yes",Projects!$M$30="Yes",18&gt;=Projects!$C$30,18&lt;Projects!$C$30+Projects!$D$30),Projects!$B$30*INDEX(Curves!$B$4:$AR$4,1,18-Projects!$C$30+1),0)+IF(AND(Projects!$G$31="Yes",Projects!$M$31="Yes",18&gt;=Projects!$C$31,18&lt;Projects!$C$31+Projects!$D$31),Projects!$B$31*INDEX(Curves!$B$4:$AR$4,1,18-Projects!$C$31+1),0)+IF(AND(Projects!$G$32="Yes",Projects!$M$32="Yes",18&gt;=Projects!$C$32,18&lt;Projects!$C$32+Projects!$D$32),Projects!$B$32*INDEX(Curves!$B$4:$AR$4,1,18-Projects!$C$32+1),0)+IF(AND(Projects!$G$33="Yes",Projects!$M$33="Yes",18&gt;=Projects!$C$33,18&lt;Projects!$C$33+Projects!$D$33),Projects!$B$33*INDEX(Curves!$B$4:$AR$4,1,18-Projects!$C$33+1),0)+IF(AND(Projects!$G$34="Yes",Projects!$M$34="Yes",18&gt;=Projects!$C$34,18&lt;Projects!$C$34+Projects!$D$34),Projects!$B$34*INDEX(Curves!$B$4:$AR$4,1,18-Projects!$C$34+1),0)+IF(AND(Projects!$G$35="Yes",Projects!$M$35="Yes",18&gt;=Projects!$C$35,18&lt;Projects!$C$35+Projects!$D$35),Projects!$B$35*INDEX(Curves!$B$4:$AR$4,1,18-Projects!$C$35+1),0)+IF(AND(Projects!$G$36="Yes",Projects!$M$36="Yes",18&gt;=Projects!$C$36,18&lt;Projects!$C$36+Projects!$D$36),Projects!$B$36*INDEX(Curves!$B$4:$AR$4,1,18-Projects!$C$36+1),0)+IF(AND(Projects!$G$37="Yes",Projects!$M$37="Yes",18&gt;=Projects!$C$37,18&lt;Projects!$C$37+Projects!$D$37),Projects!$B$37*INDEX(Curves!$B$4:$AR$4,1,18-Projects!$C$37+1),0)+IF(AND(Projects!$G$38="Yes",Projects!$M$38="Yes",18&gt;=Projects!$C$38,18&lt;Projects!$C$38+Projects!$D$38),Projects!$B$38*INDEX(Curves!$B$4:$AR$4,1,18-Projects!$C$38+1),0)+IF(AND(Projects!$G$39="Yes",Projects!$M$39="Yes",18&gt;=Projects!$C$39,18&lt;Projects!$C$39+Projects!$D$39),Projects!$B$39*INDEX(Curves!$B$4:$AR$4,1,18-Projects!$C$39+1),0)+IF(AND(Projects!$G$40="Yes",Projects!$M$40="Yes",18&gt;=Projects!$C$40,18&lt;Projects!$C$40+Projects!$D$40),Projects!$B$40*INDEX(Curves!$B$4:$AR$4,1,18-Projects!$C$40+1),0)+IF(AND(Projects!$G$41="Yes",Projects!$M$41="Yes",18&gt;=Projects!$C$41,18&lt;Projects!$C$41+Projects!$D$41),Projects!$B$41*INDEX(Curves!$B$4:$AR$4,1,18-Projects!$C$41+1),0)+IF(AND(Projects!$G$42="Yes",Projects!$M$42="Yes",18&gt;=Projects!$C$42,18&lt;Projects!$C$42+Projects!$D$42),Projects!$B$42*INDEX(Curves!$B$4:$AR$4,1,18-Projects!$C$42+1),0)+IF(AND(Projects!$G$43="Yes",Projects!$M$43="Yes",18&gt;=Projects!$C$43,18&lt;Projects!$C$43+Projects!$D$43),Projects!$B$43*INDEX(Curves!$B$4:$AR$4,1,18-Projects!$C$43+1),0)+IF(AND(Projects!$G$44="Yes",Projects!$M$44="Yes",18&gt;=Projects!$C$44,18&lt;Projects!$C$44+Projects!$D$44),Projects!$B$44*INDEX(Curves!$B$4:$AR$4,1,18-Projects!$C$44+1),0)+IF(AND(Projects!$G$45="Yes",Projects!$M$45="Yes",18&gt;=Projects!$C$45,18&lt;Projects!$C$45+Projects!$D$45),Projects!$B$45*INDEX(Curves!$B$4:$AR$4,1,18-Projects!$C$45+1),0)+IF(AND(Projects!$G$46="Yes",Projects!$M$46="Yes",18&gt;=Projects!$C$46,18&lt;Projects!$C$46+Projects!$D$46),Projects!$B$46*INDEX(Curves!$B$4:$AR$4,1,18-Projects!$C$46+1),0)</f>
        <v>0</v>
      </c>
      <c r="X101" s="63">
        <f>IF(AND(Projects!$G$17="Yes",Projects!$M$17="Yes",19&gt;=Projects!$C$17,19&lt;Projects!$C$17+Projects!$D$17),Projects!$B$17*INDEX(Curves!$B$4:$AR$4,1,19-Projects!$C$17+1),0)+IF(AND(Projects!$G$18="Yes",Projects!$M$18="Yes",19&gt;=Projects!$C$18,19&lt;Projects!$C$18+Projects!$D$18),Projects!$B$18*INDEX(Curves!$B$4:$AR$4,1,19-Projects!$C$18+1),0)+IF(AND(Projects!$G$19="Yes",Projects!$M$19="Yes",19&gt;=Projects!$C$19,19&lt;Projects!$C$19+Projects!$D$19),Projects!$B$19*INDEX(Curves!$B$4:$AR$4,1,19-Projects!$C$19+1),0)+IF(AND(Projects!$G$20="Yes",Projects!$M$20="Yes",19&gt;=Projects!$C$20,19&lt;Projects!$C$20+Projects!$D$20),Projects!$B$20*INDEX(Curves!$B$4:$AR$4,1,19-Projects!$C$20+1),0)+IF(AND(Projects!$G$21="Yes",Projects!$M$21="Yes",19&gt;=Projects!$C$21,19&lt;Projects!$C$21+Projects!$D$21),Projects!$B$21*INDEX(Curves!$B$4:$AR$4,1,19-Projects!$C$21+1),0)+IF(AND(Projects!$G$22="Yes",Projects!$M$22="Yes",19&gt;=Projects!$C$22,19&lt;Projects!$C$22+Projects!$D$22),Projects!$B$22*INDEX(Curves!$B$4:$AR$4,1,19-Projects!$C$22+1),0)+IF(AND(Projects!$G$23="Yes",Projects!$M$23="Yes",19&gt;=Projects!$C$23,19&lt;Projects!$C$23+Projects!$D$23),Projects!$B$23*INDEX(Curves!$B$4:$AR$4,1,19-Projects!$C$23+1),0)+IF(AND(Projects!$G$24="Yes",Projects!$M$24="Yes",19&gt;=Projects!$C$24,19&lt;Projects!$C$24+Projects!$D$24),Projects!$B$24*INDEX(Curves!$B$4:$AR$4,1,19-Projects!$C$24+1),0)+IF(AND(Projects!$G$25="Yes",Projects!$M$25="Yes",19&gt;=Projects!$C$25,19&lt;Projects!$C$25+Projects!$D$25),Projects!$B$25*INDEX(Curves!$B$4:$AR$4,1,19-Projects!$C$25+1),0)+IF(AND(Projects!$G$26="Yes",Projects!$M$26="Yes",19&gt;=Projects!$C$26,19&lt;Projects!$C$26+Projects!$D$26),Projects!$B$26*INDEX(Curves!$B$4:$AR$4,1,19-Projects!$C$26+1),0)+IF(AND(Projects!$G$27="Yes",Projects!$M$27="Yes",19&gt;=Projects!$C$27,19&lt;Projects!$C$27+Projects!$D$27),Projects!$B$27*INDEX(Curves!$B$4:$AR$4,1,19-Projects!$C$27+1),0)+IF(AND(Projects!$G$28="Yes",Projects!$M$28="Yes",19&gt;=Projects!$C$28,19&lt;Projects!$C$28+Projects!$D$28),Projects!$B$28*INDEX(Curves!$B$4:$AR$4,1,19-Projects!$C$28+1),0)+IF(AND(Projects!$G$29="Yes",Projects!$M$29="Yes",19&gt;=Projects!$C$29,19&lt;Projects!$C$29+Projects!$D$29),Projects!$B$29*INDEX(Curves!$B$4:$AR$4,1,19-Projects!$C$29+1),0)+IF(AND(Projects!$G$30="Yes",Projects!$M$30="Yes",19&gt;=Projects!$C$30,19&lt;Projects!$C$30+Projects!$D$30),Projects!$B$30*INDEX(Curves!$B$4:$AR$4,1,19-Projects!$C$30+1),0)+IF(AND(Projects!$G$31="Yes",Projects!$M$31="Yes",19&gt;=Projects!$C$31,19&lt;Projects!$C$31+Projects!$D$31),Projects!$B$31*INDEX(Curves!$B$4:$AR$4,1,19-Projects!$C$31+1),0)+IF(AND(Projects!$G$32="Yes",Projects!$M$32="Yes",19&gt;=Projects!$C$32,19&lt;Projects!$C$32+Projects!$D$32),Projects!$B$32*INDEX(Curves!$B$4:$AR$4,1,19-Projects!$C$32+1),0)+IF(AND(Projects!$G$33="Yes",Projects!$M$33="Yes",19&gt;=Projects!$C$33,19&lt;Projects!$C$33+Projects!$D$33),Projects!$B$33*INDEX(Curves!$B$4:$AR$4,1,19-Projects!$C$33+1),0)+IF(AND(Projects!$G$34="Yes",Projects!$M$34="Yes",19&gt;=Projects!$C$34,19&lt;Projects!$C$34+Projects!$D$34),Projects!$B$34*INDEX(Curves!$B$4:$AR$4,1,19-Projects!$C$34+1),0)+IF(AND(Projects!$G$35="Yes",Projects!$M$35="Yes",19&gt;=Projects!$C$35,19&lt;Projects!$C$35+Projects!$D$35),Projects!$B$35*INDEX(Curves!$B$4:$AR$4,1,19-Projects!$C$35+1),0)+IF(AND(Projects!$G$36="Yes",Projects!$M$36="Yes",19&gt;=Projects!$C$36,19&lt;Projects!$C$36+Projects!$D$36),Projects!$B$36*INDEX(Curves!$B$4:$AR$4,1,19-Projects!$C$36+1),0)+IF(AND(Projects!$G$37="Yes",Projects!$M$37="Yes",19&gt;=Projects!$C$37,19&lt;Projects!$C$37+Projects!$D$37),Projects!$B$37*INDEX(Curves!$B$4:$AR$4,1,19-Projects!$C$37+1),0)+IF(AND(Projects!$G$38="Yes",Projects!$M$38="Yes",19&gt;=Projects!$C$38,19&lt;Projects!$C$38+Projects!$D$38),Projects!$B$38*INDEX(Curves!$B$4:$AR$4,1,19-Projects!$C$38+1),0)+IF(AND(Projects!$G$39="Yes",Projects!$M$39="Yes",19&gt;=Projects!$C$39,19&lt;Projects!$C$39+Projects!$D$39),Projects!$B$39*INDEX(Curves!$B$4:$AR$4,1,19-Projects!$C$39+1),0)+IF(AND(Projects!$G$40="Yes",Projects!$M$40="Yes",19&gt;=Projects!$C$40,19&lt;Projects!$C$40+Projects!$D$40),Projects!$B$40*INDEX(Curves!$B$4:$AR$4,1,19-Projects!$C$40+1),0)+IF(AND(Projects!$G$41="Yes",Projects!$M$41="Yes",19&gt;=Projects!$C$41,19&lt;Projects!$C$41+Projects!$D$41),Projects!$B$41*INDEX(Curves!$B$4:$AR$4,1,19-Projects!$C$41+1),0)+IF(AND(Projects!$G$42="Yes",Projects!$M$42="Yes",19&gt;=Projects!$C$42,19&lt;Projects!$C$42+Projects!$D$42),Projects!$B$42*INDEX(Curves!$B$4:$AR$4,1,19-Projects!$C$42+1),0)+IF(AND(Projects!$G$43="Yes",Projects!$M$43="Yes",19&gt;=Projects!$C$43,19&lt;Projects!$C$43+Projects!$D$43),Projects!$B$43*INDEX(Curves!$B$4:$AR$4,1,19-Projects!$C$43+1),0)+IF(AND(Projects!$G$44="Yes",Projects!$M$44="Yes",19&gt;=Projects!$C$44,19&lt;Projects!$C$44+Projects!$D$44),Projects!$B$44*INDEX(Curves!$B$4:$AR$4,1,19-Projects!$C$44+1),0)+IF(AND(Projects!$G$45="Yes",Projects!$M$45="Yes",19&gt;=Projects!$C$45,19&lt;Projects!$C$45+Projects!$D$45),Projects!$B$45*INDEX(Curves!$B$4:$AR$4,1,19-Projects!$C$45+1),0)+IF(AND(Projects!$G$46="Yes",Projects!$M$46="Yes",19&gt;=Projects!$C$46,19&lt;Projects!$C$46+Projects!$D$46),Projects!$B$46*INDEX(Curves!$B$4:$AR$4,1,19-Projects!$C$46+1),0)</f>
        <v>0</v>
      </c>
      <c r="Y101" s="63">
        <f>IF(AND(Projects!$G$17="Yes",Projects!$M$17="Yes",20&gt;=Projects!$C$17,20&lt;Projects!$C$17+Projects!$D$17),Projects!$B$17*INDEX(Curves!$B$4:$AR$4,1,20-Projects!$C$17+1),0)+IF(AND(Projects!$G$18="Yes",Projects!$M$18="Yes",20&gt;=Projects!$C$18,20&lt;Projects!$C$18+Projects!$D$18),Projects!$B$18*INDEX(Curves!$B$4:$AR$4,1,20-Projects!$C$18+1),0)+IF(AND(Projects!$G$19="Yes",Projects!$M$19="Yes",20&gt;=Projects!$C$19,20&lt;Projects!$C$19+Projects!$D$19),Projects!$B$19*INDEX(Curves!$B$4:$AR$4,1,20-Projects!$C$19+1),0)+IF(AND(Projects!$G$20="Yes",Projects!$M$20="Yes",20&gt;=Projects!$C$20,20&lt;Projects!$C$20+Projects!$D$20),Projects!$B$20*INDEX(Curves!$B$4:$AR$4,1,20-Projects!$C$20+1),0)+IF(AND(Projects!$G$21="Yes",Projects!$M$21="Yes",20&gt;=Projects!$C$21,20&lt;Projects!$C$21+Projects!$D$21),Projects!$B$21*INDEX(Curves!$B$4:$AR$4,1,20-Projects!$C$21+1),0)+IF(AND(Projects!$G$22="Yes",Projects!$M$22="Yes",20&gt;=Projects!$C$22,20&lt;Projects!$C$22+Projects!$D$22),Projects!$B$22*INDEX(Curves!$B$4:$AR$4,1,20-Projects!$C$22+1),0)+IF(AND(Projects!$G$23="Yes",Projects!$M$23="Yes",20&gt;=Projects!$C$23,20&lt;Projects!$C$23+Projects!$D$23),Projects!$B$23*INDEX(Curves!$B$4:$AR$4,1,20-Projects!$C$23+1),0)+IF(AND(Projects!$G$24="Yes",Projects!$M$24="Yes",20&gt;=Projects!$C$24,20&lt;Projects!$C$24+Projects!$D$24),Projects!$B$24*INDEX(Curves!$B$4:$AR$4,1,20-Projects!$C$24+1),0)+IF(AND(Projects!$G$25="Yes",Projects!$M$25="Yes",20&gt;=Projects!$C$25,20&lt;Projects!$C$25+Projects!$D$25),Projects!$B$25*INDEX(Curves!$B$4:$AR$4,1,20-Projects!$C$25+1),0)+IF(AND(Projects!$G$26="Yes",Projects!$M$26="Yes",20&gt;=Projects!$C$26,20&lt;Projects!$C$26+Projects!$D$26),Projects!$B$26*INDEX(Curves!$B$4:$AR$4,1,20-Projects!$C$26+1),0)+IF(AND(Projects!$G$27="Yes",Projects!$M$27="Yes",20&gt;=Projects!$C$27,20&lt;Projects!$C$27+Projects!$D$27),Projects!$B$27*INDEX(Curves!$B$4:$AR$4,1,20-Projects!$C$27+1),0)+IF(AND(Projects!$G$28="Yes",Projects!$M$28="Yes",20&gt;=Projects!$C$28,20&lt;Projects!$C$28+Projects!$D$28),Projects!$B$28*INDEX(Curves!$B$4:$AR$4,1,20-Projects!$C$28+1),0)+IF(AND(Projects!$G$29="Yes",Projects!$M$29="Yes",20&gt;=Projects!$C$29,20&lt;Projects!$C$29+Projects!$D$29),Projects!$B$29*INDEX(Curves!$B$4:$AR$4,1,20-Projects!$C$29+1),0)+IF(AND(Projects!$G$30="Yes",Projects!$M$30="Yes",20&gt;=Projects!$C$30,20&lt;Projects!$C$30+Projects!$D$30),Projects!$B$30*INDEX(Curves!$B$4:$AR$4,1,20-Projects!$C$30+1),0)+IF(AND(Projects!$G$31="Yes",Projects!$M$31="Yes",20&gt;=Projects!$C$31,20&lt;Projects!$C$31+Projects!$D$31),Projects!$B$31*INDEX(Curves!$B$4:$AR$4,1,20-Projects!$C$31+1),0)+IF(AND(Projects!$G$32="Yes",Projects!$M$32="Yes",20&gt;=Projects!$C$32,20&lt;Projects!$C$32+Projects!$D$32),Projects!$B$32*INDEX(Curves!$B$4:$AR$4,1,20-Projects!$C$32+1),0)+IF(AND(Projects!$G$33="Yes",Projects!$M$33="Yes",20&gt;=Projects!$C$33,20&lt;Projects!$C$33+Projects!$D$33),Projects!$B$33*INDEX(Curves!$B$4:$AR$4,1,20-Projects!$C$33+1),0)+IF(AND(Projects!$G$34="Yes",Projects!$M$34="Yes",20&gt;=Projects!$C$34,20&lt;Projects!$C$34+Projects!$D$34),Projects!$B$34*INDEX(Curves!$B$4:$AR$4,1,20-Projects!$C$34+1),0)+IF(AND(Projects!$G$35="Yes",Projects!$M$35="Yes",20&gt;=Projects!$C$35,20&lt;Projects!$C$35+Projects!$D$35),Projects!$B$35*INDEX(Curves!$B$4:$AR$4,1,20-Projects!$C$35+1),0)+IF(AND(Projects!$G$36="Yes",Projects!$M$36="Yes",20&gt;=Projects!$C$36,20&lt;Projects!$C$36+Projects!$D$36),Projects!$B$36*INDEX(Curves!$B$4:$AR$4,1,20-Projects!$C$36+1),0)+IF(AND(Projects!$G$37="Yes",Projects!$M$37="Yes",20&gt;=Projects!$C$37,20&lt;Projects!$C$37+Projects!$D$37),Projects!$B$37*INDEX(Curves!$B$4:$AR$4,1,20-Projects!$C$37+1),0)+IF(AND(Projects!$G$38="Yes",Projects!$M$38="Yes",20&gt;=Projects!$C$38,20&lt;Projects!$C$38+Projects!$D$38),Projects!$B$38*INDEX(Curves!$B$4:$AR$4,1,20-Projects!$C$38+1),0)+IF(AND(Projects!$G$39="Yes",Projects!$M$39="Yes",20&gt;=Projects!$C$39,20&lt;Projects!$C$39+Projects!$D$39),Projects!$B$39*INDEX(Curves!$B$4:$AR$4,1,20-Projects!$C$39+1),0)+IF(AND(Projects!$G$40="Yes",Projects!$M$40="Yes",20&gt;=Projects!$C$40,20&lt;Projects!$C$40+Projects!$D$40),Projects!$B$40*INDEX(Curves!$B$4:$AR$4,1,20-Projects!$C$40+1),0)+IF(AND(Projects!$G$41="Yes",Projects!$M$41="Yes",20&gt;=Projects!$C$41,20&lt;Projects!$C$41+Projects!$D$41),Projects!$B$41*INDEX(Curves!$B$4:$AR$4,1,20-Projects!$C$41+1),0)+IF(AND(Projects!$G$42="Yes",Projects!$M$42="Yes",20&gt;=Projects!$C$42,20&lt;Projects!$C$42+Projects!$D$42),Projects!$B$42*INDEX(Curves!$B$4:$AR$4,1,20-Projects!$C$42+1),0)+IF(AND(Projects!$G$43="Yes",Projects!$M$43="Yes",20&gt;=Projects!$C$43,20&lt;Projects!$C$43+Projects!$D$43),Projects!$B$43*INDEX(Curves!$B$4:$AR$4,1,20-Projects!$C$43+1),0)+IF(AND(Projects!$G$44="Yes",Projects!$M$44="Yes",20&gt;=Projects!$C$44,20&lt;Projects!$C$44+Projects!$D$44),Projects!$B$44*INDEX(Curves!$B$4:$AR$4,1,20-Projects!$C$44+1),0)+IF(AND(Projects!$G$45="Yes",Projects!$M$45="Yes",20&gt;=Projects!$C$45,20&lt;Projects!$C$45+Projects!$D$45),Projects!$B$45*INDEX(Curves!$B$4:$AR$4,1,20-Projects!$C$45+1),0)+IF(AND(Projects!$G$46="Yes",Projects!$M$46="Yes",20&gt;=Projects!$C$46,20&lt;Projects!$C$46+Projects!$D$46),Projects!$B$46*INDEX(Curves!$B$4:$AR$4,1,20-Projects!$C$46+1),0)</f>
        <v>0</v>
      </c>
      <c r="Z101" s="63">
        <f>IF(AND(Projects!$G$17="Yes",Projects!$M$17="Yes",21&gt;=Projects!$C$17,21&lt;Projects!$C$17+Projects!$D$17),Projects!$B$17*INDEX(Curves!$B$4:$AR$4,1,21-Projects!$C$17+1),0)+IF(AND(Projects!$G$18="Yes",Projects!$M$18="Yes",21&gt;=Projects!$C$18,21&lt;Projects!$C$18+Projects!$D$18),Projects!$B$18*INDEX(Curves!$B$4:$AR$4,1,21-Projects!$C$18+1),0)+IF(AND(Projects!$G$19="Yes",Projects!$M$19="Yes",21&gt;=Projects!$C$19,21&lt;Projects!$C$19+Projects!$D$19),Projects!$B$19*INDEX(Curves!$B$4:$AR$4,1,21-Projects!$C$19+1),0)+IF(AND(Projects!$G$20="Yes",Projects!$M$20="Yes",21&gt;=Projects!$C$20,21&lt;Projects!$C$20+Projects!$D$20),Projects!$B$20*INDEX(Curves!$B$4:$AR$4,1,21-Projects!$C$20+1),0)+IF(AND(Projects!$G$21="Yes",Projects!$M$21="Yes",21&gt;=Projects!$C$21,21&lt;Projects!$C$21+Projects!$D$21),Projects!$B$21*INDEX(Curves!$B$4:$AR$4,1,21-Projects!$C$21+1),0)+IF(AND(Projects!$G$22="Yes",Projects!$M$22="Yes",21&gt;=Projects!$C$22,21&lt;Projects!$C$22+Projects!$D$22),Projects!$B$22*INDEX(Curves!$B$4:$AR$4,1,21-Projects!$C$22+1),0)+IF(AND(Projects!$G$23="Yes",Projects!$M$23="Yes",21&gt;=Projects!$C$23,21&lt;Projects!$C$23+Projects!$D$23),Projects!$B$23*INDEX(Curves!$B$4:$AR$4,1,21-Projects!$C$23+1),0)+IF(AND(Projects!$G$24="Yes",Projects!$M$24="Yes",21&gt;=Projects!$C$24,21&lt;Projects!$C$24+Projects!$D$24),Projects!$B$24*INDEX(Curves!$B$4:$AR$4,1,21-Projects!$C$24+1),0)+IF(AND(Projects!$G$25="Yes",Projects!$M$25="Yes",21&gt;=Projects!$C$25,21&lt;Projects!$C$25+Projects!$D$25),Projects!$B$25*INDEX(Curves!$B$4:$AR$4,1,21-Projects!$C$25+1),0)+IF(AND(Projects!$G$26="Yes",Projects!$M$26="Yes",21&gt;=Projects!$C$26,21&lt;Projects!$C$26+Projects!$D$26),Projects!$B$26*INDEX(Curves!$B$4:$AR$4,1,21-Projects!$C$26+1),0)+IF(AND(Projects!$G$27="Yes",Projects!$M$27="Yes",21&gt;=Projects!$C$27,21&lt;Projects!$C$27+Projects!$D$27),Projects!$B$27*INDEX(Curves!$B$4:$AR$4,1,21-Projects!$C$27+1),0)+IF(AND(Projects!$G$28="Yes",Projects!$M$28="Yes",21&gt;=Projects!$C$28,21&lt;Projects!$C$28+Projects!$D$28),Projects!$B$28*INDEX(Curves!$B$4:$AR$4,1,21-Projects!$C$28+1),0)+IF(AND(Projects!$G$29="Yes",Projects!$M$29="Yes",21&gt;=Projects!$C$29,21&lt;Projects!$C$29+Projects!$D$29),Projects!$B$29*INDEX(Curves!$B$4:$AR$4,1,21-Projects!$C$29+1),0)+IF(AND(Projects!$G$30="Yes",Projects!$M$30="Yes",21&gt;=Projects!$C$30,21&lt;Projects!$C$30+Projects!$D$30),Projects!$B$30*INDEX(Curves!$B$4:$AR$4,1,21-Projects!$C$30+1),0)+IF(AND(Projects!$G$31="Yes",Projects!$M$31="Yes",21&gt;=Projects!$C$31,21&lt;Projects!$C$31+Projects!$D$31),Projects!$B$31*INDEX(Curves!$B$4:$AR$4,1,21-Projects!$C$31+1),0)+IF(AND(Projects!$G$32="Yes",Projects!$M$32="Yes",21&gt;=Projects!$C$32,21&lt;Projects!$C$32+Projects!$D$32),Projects!$B$32*INDEX(Curves!$B$4:$AR$4,1,21-Projects!$C$32+1),0)+IF(AND(Projects!$G$33="Yes",Projects!$M$33="Yes",21&gt;=Projects!$C$33,21&lt;Projects!$C$33+Projects!$D$33),Projects!$B$33*INDEX(Curves!$B$4:$AR$4,1,21-Projects!$C$33+1),0)+IF(AND(Projects!$G$34="Yes",Projects!$M$34="Yes",21&gt;=Projects!$C$34,21&lt;Projects!$C$34+Projects!$D$34),Projects!$B$34*INDEX(Curves!$B$4:$AR$4,1,21-Projects!$C$34+1),0)+IF(AND(Projects!$G$35="Yes",Projects!$M$35="Yes",21&gt;=Projects!$C$35,21&lt;Projects!$C$35+Projects!$D$35),Projects!$B$35*INDEX(Curves!$B$4:$AR$4,1,21-Projects!$C$35+1),0)+IF(AND(Projects!$G$36="Yes",Projects!$M$36="Yes",21&gt;=Projects!$C$36,21&lt;Projects!$C$36+Projects!$D$36),Projects!$B$36*INDEX(Curves!$B$4:$AR$4,1,21-Projects!$C$36+1),0)+IF(AND(Projects!$G$37="Yes",Projects!$M$37="Yes",21&gt;=Projects!$C$37,21&lt;Projects!$C$37+Projects!$D$37),Projects!$B$37*INDEX(Curves!$B$4:$AR$4,1,21-Projects!$C$37+1),0)+IF(AND(Projects!$G$38="Yes",Projects!$M$38="Yes",21&gt;=Projects!$C$38,21&lt;Projects!$C$38+Projects!$D$38),Projects!$B$38*INDEX(Curves!$B$4:$AR$4,1,21-Projects!$C$38+1),0)+IF(AND(Projects!$G$39="Yes",Projects!$M$39="Yes",21&gt;=Projects!$C$39,21&lt;Projects!$C$39+Projects!$D$39),Projects!$B$39*INDEX(Curves!$B$4:$AR$4,1,21-Projects!$C$39+1),0)+IF(AND(Projects!$G$40="Yes",Projects!$M$40="Yes",21&gt;=Projects!$C$40,21&lt;Projects!$C$40+Projects!$D$40),Projects!$B$40*INDEX(Curves!$B$4:$AR$4,1,21-Projects!$C$40+1),0)+IF(AND(Projects!$G$41="Yes",Projects!$M$41="Yes",21&gt;=Projects!$C$41,21&lt;Projects!$C$41+Projects!$D$41),Projects!$B$41*INDEX(Curves!$B$4:$AR$4,1,21-Projects!$C$41+1),0)+IF(AND(Projects!$G$42="Yes",Projects!$M$42="Yes",21&gt;=Projects!$C$42,21&lt;Projects!$C$42+Projects!$D$42),Projects!$B$42*INDEX(Curves!$B$4:$AR$4,1,21-Projects!$C$42+1),0)+IF(AND(Projects!$G$43="Yes",Projects!$M$43="Yes",21&gt;=Projects!$C$43,21&lt;Projects!$C$43+Projects!$D$43),Projects!$B$43*INDEX(Curves!$B$4:$AR$4,1,21-Projects!$C$43+1),0)+IF(AND(Projects!$G$44="Yes",Projects!$M$44="Yes",21&gt;=Projects!$C$44,21&lt;Projects!$C$44+Projects!$D$44),Projects!$B$44*INDEX(Curves!$B$4:$AR$4,1,21-Projects!$C$44+1),0)+IF(AND(Projects!$G$45="Yes",Projects!$M$45="Yes",21&gt;=Projects!$C$45,21&lt;Projects!$C$45+Projects!$D$45),Projects!$B$45*INDEX(Curves!$B$4:$AR$4,1,21-Projects!$C$45+1),0)+IF(AND(Projects!$G$46="Yes",Projects!$M$46="Yes",21&gt;=Projects!$C$46,21&lt;Projects!$C$46+Projects!$D$46),Projects!$B$46*INDEX(Curves!$B$4:$AR$4,1,21-Projects!$C$46+1),0)</f>
        <v>0</v>
      </c>
      <c r="AA101" s="63">
        <f>IF(AND(Projects!$G$17="Yes",Projects!$M$17="Yes",22&gt;=Projects!$C$17,22&lt;Projects!$C$17+Projects!$D$17),Projects!$B$17*INDEX(Curves!$B$4:$AR$4,1,22-Projects!$C$17+1),0)+IF(AND(Projects!$G$18="Yes",Projects!$M$18="Yes",22&gt;=Projects!$C$18,22&lt;Projects!$C$18+Projects!$D$18),Projects!$B$18*INDEX(Curves!$B$4:$AR$4,1,22-Projects!$C$18+1),0)+IF(AND(Projects!$G$19="Yes",Projects!$M$19="Yes",22&gt;=Projects!$C$19,22&lt;Projects!$C$19+Projects!$D$19),Projects!$B$19*INDEX(Curves!$B$4:$AR$4,1,22-Projects!$C$19+1),0)+IF(AND(Projects!$G$20="Yes",Projects!$M$20="Yes",22&gt;=Projects!$C$20,22&lt;Projects!$C$20+Projects!$D$20),Projects!$B$20*INDEX(Curves!$B$4:$AR$4,1,22-Projects!$C$20+1),0)+IF(AND(Projects!$G$21="Yes",Projects!$M$21="Yes",22&gt;=Projects!$C$21,22&lt;Projects!$C$21+Projects!$D$21),Projects!$B$21*INDEX(Curves!$B$4:$AR$4,1,22-Projects!$C$21+1),0)+IF(AND(Projects!$G$22="Yes",Projects!$M$22="Yes",22&gt;=Projects!$C$22,22&lt;Projects!$C$22+Projects!$D$22),Projects!$B$22*INDEX(Curves!$B$4:$AR$4,1,22-Projects!$C$22+1),0)+IF(AND(Projects!$G$23="Yes",Projects!$M$23="Yes",22&gt;=Projects!$C$23,22&lt;Projects!$C$23+Projects!$D$23),Projects!$B$23*INDEX(Curves!$B$4:$AR$4,1,22-Projects!$C$23+1),0)+IF(AND(Projects!$G$24="Yes",Projects!$M$24="Yes",22&gt;=Projects!$C$24,22&lt;Projects!$C$24+Projects!$D$24),Projects!$B$24*INDEX(Curves!$B$4:$AR$4,1,22-Projects!$C$24+1),0)+IF(AND(Projects!$G$25="Yes",Projects!$M$25="Yes",22&gt;=Projects!$C$25,22&lt;Projects!$C$25+Projects!$D$25),Projects!$B$25*INDEX(Curves!$B$4:$AR$4,1,22-Projects!$C$25+1),0)+IF(AND(Projects!$G$26="Yes",Projects!$M$26="Yes",22&gt;=Projects!$C$26,22&lt;Projects!$C$26+Projects!$D$26),Projects!$B$26*INDEX(Curves!$B$4:$AR$4,1,22-Projects!$C$26+1),0)+IF(AND(Projects!$G$27="Yes",Projects!$M$27="Yes",22&gt;=Projects!$C$27,22&lt;Projects!$C$27+Projects!$D$27),Projects!$B$27*INDEX(Curves!$B$4:$AR$4,1,22-Projects!$C$27+1),0)+IF(AND(Projects!$G$28="Yes",Projects!$M$28="Yes",22&gt;=Projects!$C$28,22&lt;Projects!$C$28+Projects!$D$28),Projects!$B$28*INDEX(Curves!$B$4:$AR$4,1,22-Projects!$C$28+1),0)+IF(AND(Projects!$G$29="Yes",Projects!$M$29="Yes",22&gt;=Projects!$C$29,22&lt;Projects!$C$29+Projects!$D$29),Projects!$B$29*INDEX(Curves!$B$4:$AR$4,1,22-Projects!$C$29+1),0)+IF(AND(Projects!$G$30="Yes",Projects!$M$30="Yes",22&gt;=Projects!$C$30,22&lt;Projects!$C$30+Projects!$D$30),Projects!$B$30*INDEX(Curves!$B$4:$AR$4,1,22-Projects!$C$30+1),0)+IF(AND(Projects!$G$31="Yes",Projects!$M$31="Yes",22&gt;=Projects!$C$31,22&lt;Projects!$C$31+Projects!$D$31),Projects!$B$31*INDEX(Curves!$B$4:$AR$4,1,22-Projects!$C$31+1),0)+IF(AND(Projects!$G$32="Yes",Projects!$M$32="Yes",22&gt;=Projects!$C$32,22&lt;Projects!$C$32+Projects!$D$32),Projects!$B$32*INDEX(Curves!$B$4:$AR$4,1,22-Projects!$C$32+1),0)+IF(AND(Projects!$G$33="Yes",Projects!$M$33="Yes",22&gt;=Projects!$C$33,22&lt;Projects!$C$33+Projects!$D$33),Projects!$B$33*INDEX(Curves!$B$4:$AR$4,1,22-Projects!$C$33+1),0)+IF(AND(Projects!$G$34="Yes",Projects!$M$34="Yes",22&gt;=Projects!$C$34,22&lt;Projects!$C$34+Projects!$D$34),Projects!$B$34*INDEX(Curves!$B$4:$AR$4,1,22-Projects!$C$34+1),0)+IF(AND(Projects!$G$35="Yes",Projects!$M$35="Yes",22&gt;=Projects!$C$35,22&lt;Projects!$C$35+Projects!$D$35),Projects!$B$35*INDEX(Curves!$B$4:$AR$4,1,22-Projects!$C$35+1),0)+IF(AND(Projects!$G$36="Yes",Projects!$M$36="Yes",22&gt;=Projects!$C$36,22&lt;Projects!$C$36+Projects!$D$36),Projects!$B$36*INDEX(Curves!$B$4:$AR$4,1,22-Projects!$C$36+1),0)+IF(AND(Projects!$G$37="Yes",Projects!$M$37="Yes",22&gt;=Projects!$C$37,22&lt;Projects!$C$37+Projects!$D$37),Projects!$B$37*INDEX(Curves!$B$4:$AR$4,1,22-Projects!$C$37+1),0)+IF(AND(Projects!$G$38="Yes",Projects!$M$38="Yes",22&gt;=Projects!$C$38,22&lt;Projects!$C$38+Projects!$D$38),Projects!$B$38*INDEX(Curves!$B$4:$AR$4,1,22-Projects!$C$38+1),0)+IF(AND(Projects!$G$39="Yes",Projects!$M$39="Yes",22&gt;=Projects!$C$39,22&lt;Projects!$C$39+Projects!$D$39),Projects!$B$39*INDEX(Curves!$B$4:$AR$4,1,22-Projects!$C$39+1),0)+IF(AND(Projects!$G$40="Yes",Projects!$M$40="Yes",22&gt;=Projects!$C$40,22&lt;Projects!$C$40+Projects!$D$40),Projects!$B$40*INDEX(Curves!$B$4:$AR$4,1,22-Projects!$C$40+1),0)+IF(AND(Projects!$G$41="Yes",Projects!$M$41="Yes",22&gt;=Projects!$C$41,22&lt;Projects!$C$41+Projects!$D$41),Projects!$B$41*INDEX(Curves!$B$4:$AR$4,1,22-Projects!$C$41+1),0)+IF(AND(Projects!$G$42="Yes",Projects!$M$42="Yes",22&gt;=Projects!$C$42,22&lt;Projects!$C$42+Projects!$D$42),Projects!$B$42*INDEX(Curves!$B$4:$AR$4,1,22-Projects!$C$42+1),0)+IF(AND(Projects!$G$43="Yes",Projects!$M$43="Yes",22&gt;=Projects!$C$43,22&lt;Projects!$C$43+Projects!$D$43),Projects!$B$43*INDEX(Curves!$B$4:$AR$4,1,22-Projects!$C$43+1),0)+IF(AND(Projects!$G$44="Yes",Projects!$M$44="Yes",22&gt;=Projects!$C$44,22&lt;Projects!$C$44+Projects!$D$44),Projects!$B$44*INDEX(Curves!$B$4:$AR$4,1,22-Projects!$C$44+1),0)+IF(AND(Projects!$G$45="Yes",Projects!$M$45="Yes",22&gt;=Projects!$C$45,22&lt;Projects!$C$45+Projects!$D$45),Projects!$B$45*INDEX(Curves!$B$4:$AR$4,1,22-Projects!$C$45+1),0)+IF(AND(Projects!$G$46="Yes",Projects!$M$46="Yes",22&gt;=Projects!$C$46,22&lt;Projects!$C$46+Projects!$D$46),Projects!$B$46*INDEX(Curves!$B$4:$AR$4,1,22-Projects!$C$46+1),0)</f>
        <v>0</v>
      </c>
      <c r="AB101" s="63">
        <f>IF(AND(Projects!$G$17="Yes",Projects!$M$17="Yes",23&gt;=Projects!$C$17,23&lt;Projects!$C$17+Projects!$D$17),Projects!$B$17*INDEX(Curves!$B$4:$AR$4,1,23-Projects!$C$17+1),0)+IF(AND(Projects!$G$18="Yes",Projects!$M$18="Yes",23&gt;=Projects!$C$18,23&lt;Projects!$C$18+Projects!$D$18),Projects!$B$18*INDEX(Curves!$B$4:$AR$4,1,23-Projects!$C$18+1),0)+IF(AND(Projects!$G$19="Yes",Projects!$M$19="Yes",23&gt;=Projects!$C$19,23&lt;Projects!$C$19+Projects!$D$19),Projects!$B$19*INDEX(Curves!$B$4:$AR$4,1,23-Projects!$C$19+1),0)+IF(AND(Projects!$G$20="Yes",Projects!$M$20="Yes",23&gt;=Projects!$C$20,23&lt;Projects!$C$20+Projects!$D$20),Projects!$B$20*INDEX(Curves!$B$4:$AR$4,1,23-Projects!$C$20+1),0)+IF(AND(Projects!$G$21="Yes",Projects!$M$21="Yes",23&gt;=Projects!$C$21,23&lt;Projects!$C$21+Projects!$D$21),Projects!$B$21*INDEX(Curves!$B$4:$AR$4,1,23-Projects!$C$21+1),0)+IF(AND(Projects!$G$22="Yes",Projects!$M$22="Yes",23&gt;=Projects!$C$22,23&lt;Projects!$C$22+Projects!$D$22),Projects!$B$22*INDEX(Curves!$B$4:$AR$4,1,23-Projects!$C$22+1),0)+IF(AND(Projects!$G$23="Yes",Projects!$M$23="Yes",23&gt;=Projects!$C$23,23&lt;Projects!$C$23+Projects!$D$23),Projects!$B$23*INDEX(Curves!$B$4:$AR$4,1,23-Projects!$C$23+1),0)+IF(AND(Projects!$G$24="Yes",Projects!$M$24="Yes",23&gt;=Projects!$C$24,23&lt;Projects!$C$24+Projects!$D$24),Projects!$B$24*INDEX(Curves!$B$4:$AR$4,1,23-Projects!$C$24+1),0)+IF(AND(Projects!$G$25="Yes",Projects!$M$25="Yes",23&gt;=Projects!$C$25,23&lt;Projects!$C$25+Projects!$D$25),Projects!$B$25*INDEX(Curves!$B$4:$AR$4,1,23-Projects!$C$25+1),0)+IF(AND(Projects!$G$26="Yes",Projects!$M$26="Yes",23&gt;=Projects!$C$26,23&lt;Projects!$C$26+Projects!$D$26),Projects!$B$26*INDEX(Curves!$B$4:$AR$4,1,23-Projects!$C$26+1),0)+IF(AND(Projects!$G$27="Yes",Projects!$M$27="Yes",23&gt;=Projects!$C$27,23&lt;Projects!$C$27+Projects!$D$27),Projects!$B$27*INDEX(Curves!$B$4:$AR$4,1,23-Projects!$C$27+1),0)+IF(AND(Projects!$G$28="Yes",Projects!$M$28="Yes",23&gt;=Projects!$C$28,23&lt;Projects!$C$28+Projects!$D$28),Projects!$B$28*INDEX(Curves!$B$4:$AR$4,1,23-Projects!$C$28+1),0)+IF(AND(Projects!$G$29="Yes",Projects!$M$29="Yes",23&gt;=Projects!$C$29,23&lt;Projects!$C$29+Projects!$D$29),Projects!$B$29*INDEX(Curves!$B$4:$AR$4,1,23-Projects!$C$29+1),0)+IF(AND(Projects!$G$30="Yes",Projects!$M$30="Yes",23&gt;=Projects!$C$30,23&lt;Projects!$C$30+Projects!$D$30),Projects!$B$30*INDEX(Curves!$B$4:$AR$4,1,23-Projects!$C$30+1),0)+IF(AND(Projects!$G$31="Yes",Projects!$M$31="Yes",23&gt;=Projects!$C$31,23&lt;Projects!$C$31+Projects!$D$31),Projects!$B$31*INDEX(Curves!$B$4:$AR$4,1,23-Projects!$C$31+1),0)+IF(AND(Projects!$G$32="Yes",Projects!$M$32="Yes",23&gt;=Projects!$C$32,23&lt;Projects!$C$32+Projects!$D$32),Projects!$B$32*INDEX(Curves!$B$4:$AR$4,1,23-Projects!$C$32+1),0)+IF(AND(Projects!$G$33="Yes",Projects!$M$33="Yes",23&gt;=Projects!$C$33,23&lt;Projects!$C$33+Projects!$D$33),Projects!$B$33*INDEX(Curves!$B$4:$AR$4,1,23-Projects!$C$33+1),0)+IF(AND(Projects!$G$34="Yes",Projects!$M$34="Yes",23&gt;=Projects!$C$34,23&lt;Projects!$C$34+Projects!$D$34),Projects!$B$34*INDEX(Curves!$B$4:$AR$4,1,23-Projects!$C$34+1),0)+IF(AND(Projects!$G$35="Yes",Projects!$M$35="Yes",23&gt;=Projects!$C$35,23&lt;Projects!$C$35+Projects!$D$35),Projects!$B$35*INDEX(Curves!$B$4:$AR$4,1,23-Projects!$C$35+1),0)+IF(AND(Projects!$G$36="Yes",Projects!$M$36="Yes",23&gt;=Projects!$C$36,23&lt;Projects!$C$36+Projects!$D$36),Projects!$B$36*INDEX(Curves!$B$4:$AR$4,1,23-Projects!$C$36+1),0)+IF(AND(Projects!$G$37="Yes",Projects!$M$37="Yes",23&gt;=Projects!$C$37,23&lt;Projects!$C$37+Projects!$D$37),Projects!$B$37*INDEX(Curves!$B$4:$AR$4,1,23-Projects!$C$37+1),0)+IF(AND(Projects!$G$38="Yes",Projects!$M$38="Yes",23&gt;=Projects!$C$38,23&lt;Projects!$C$38+Projects!$D$38),Projects!$B$38*INDEX(Curves!$B$4:$AR$4,1,23-Projects!$C$38+1),0)+IF(AND(Projects!$G$39="Yes",Projects!$M$39="Yes",23&gt;=Projects!$C$39,23&lt;Projects!$C$39+Projects!$D$39),Projects!$B$39*INDEX(Curves!$B$4:$AR$4,1,23-Projects!$C$39+1),0)+IF(AND(Projects!$G$40="Yes",Projects!$M$40="Yes",23&gt;=Projects!$C$40,23&lt;Projects!$C$40+Projects!$D$40),Projects!$B$40*INDEX(Curves!$B$4:$AR$4,1,23-Projects!$C$40+1),0)+IF(AND(Projects!$G$41="Yes",Projects!$M$41="Yes",23&gt;=Projects!$C$41,23&lt;Projects!$C$41+Projects!$D$41),Projects!$B$41*INDEX(Curves!$B$4:$AR$4,1,23-Projects!$C$41+1),0)+IF(AND(Projects!$G$42="Yes",Projects!$M$42="Yes",23&gt;=Projects!$C$42,23&lt;Projects!$C$42+Projects!$D$42),Projects!$B$42*INDEX(Curves!$B$4:$AR$4,1,23-Projects!$C$42+1),0)+IF(AND(Projects!$G$43="Yes",Projects!$M$43="Yes",23&gt;=Projects!$C$43,23&lt;Projects!$C$43+Projects!$D$43),Projects!$B$43*INDEX(Curves!$B$4:$AR$4,1,23-Projects!$C$43+1),0)+IF(AND(Projects!$G$44="Yes",Projects!$M$44="Yes",23&gt;=Projects!$C$44,23&lt;Projects!$C$44+Projects!$D$44),Projects!$B$44*INDEX(Curves!$B$4:$AR$4,1,23-Projects!$C$44+1),0)+IF(AND(Projects!$G$45="Yes",Projects!$M$45="Yes",23&gt;=Projects!$C$45,23&lt;Projects!$C$45+Projects!$D$45),Projects!$B$45*INDEX(Curves!$B$4:$AR$4,1,23-Projects!$C$45+1),0)+IF(AND(Projects!$G$46="Yes",Projects!$M$46="Yes",23&gt;=Projects!$C$46,23&lt;Projects!$C$46+Projects!$D$46),Projects!$B$46*INDEX(Curves!$B$4:$AR$4,1,23-Projects!$C$46+1),0)</f>
        <v>0</v>
      </c>
      <c r="AC101" s="63">
        <f>IF(AND(Projects!$G$17="Yes",Projects!$M$17="Yes",24&gt;=Projects!$C$17,24&lt;Projects!$C$17+Projects!$D$17),Projects!$B$17*INDEX(Curves!$B$4:$AR$4,1,24-Projects!$C$17+1),0)+IF(AND(Projects!$G$18="Yes",Projects!$M$18="Yes",24&gt;=Projects!$C$18,24&lt;Projects!$C$18+Projects!$D$18),Projects!$B$18*INDEX(Curves!$B$4:$AR$4,1,24-Projects!$C$18+1),0)+IF(AND(Projects!$G$19="Yes",Projects!$M$19="Yes",24&gt;=Projects!$C$19,24&lt;Projects!$C$19+Projects!$D$19),Projects!$B$19*INDEX(Curves!$B$4:$AR$4,1,24-Projects!$C$19+1),0)+IF(AND(Projects!$G$20="Yes",Projects!$M$20="Yes",24&gt;=Projects!$C$20,24&lt;Projects!$C$20+Projects!$D$20),Projects!$B$20*INDEX(Curves!$B$4:$AR$4,1,24-Projects!$C$20+1),0)+IF(AND(Projects!$G$21="Yes",Projects!$M$21="Yes",24&gt;=Projects!$C$21,24&lt;Projects!$C$21+Projects!$D$21),Projects!$B$21*INDEX(Curves!$B$4:$AR$4,1,24-Projects!$C$21+1),0)+IF(AND(Projects!$G$22="Yes",Projects!$M$22="Yes",24&gt;=Projects!$C$22,24&lt;Projects!$C$22+Projects!$D$22),Projects!$B$22*INDEX(Curves!$B$4:$AR$4,1,24-Projects!$C$22+1),0)+IF(AND(Projects!$G$23="Yes",Projects!$M$23="Yes",24&gt;=Projects!$C$23,24&lt;Projects!$C$23+Projects!$D$23),Projects!$B$23*INDEX(Curves!$B$4:$AR$4,1,24-Projects!$C$23+1),0)+IF(AND(Projects!$G$24="Yes",Projects!$M$24="Yes",24&gt;=Projects!$C$24,24&lt;Projects!$C$24+Projects!$D$24),Projects!$B$24*INDEX(Curves!$B$4:$AR$4,1,24-Projects!$C$24+1),0)+IF(AND(Projects!$G$25="Yes",Projects!$M$25="Yes",24&gt;=Projects!$C$25,24&lt;Projects!$C$25+Projects!$D$25),Projects!$B$25*INDEX(Curves!$B$4:$AR$4,1,24-Projects!$C$25+1),0)+IF(AND(Projects!$G$26="Yes",Projects!$M$26="Yes",24&gt;=Projects!$C$26,24&lt;Projects!$C$26+Projects!$D$26),Projects!$B$26*INDEX(Curves!$B$4:$AR$4,1,24-Projects!$C$26+1),0)+IF(AND(Projects!$G$27="Yes",Projects!$M$27="Yes",24&gt;=Projects!$C$27,24&lt;Projects!$C$27+Projects!$D$27),Projects!$B$27*INDEX(Curves!$B$4:$AR$4,1,24-Projects!$C$27+1),0)+IF(AND(Projects!$G$28="Yes",Projects!$M$28="Yes",24&gt;=Projects!$C$28,24&lt;Projects!$C$28+Projects!$D$28),Projects!$B$28*INDEX(Curves!$B$4:$AR$4,1,24-Projects!$C$28+1),0)+IF(AND(Projects!$G$29="Yes",Projects!$M$29="Yes",24&gt;=Projects!$C$29,24&lt;Projects!$C$29+Projects!$D$29),Projects!$B$29*INDEX(Curves!$B$4:$AR$4,1,24-Projects!$C$29+1),0)+IF(AND(Projects!$G$30="Yes",Projects!$M$30="Yes",24&gt;=Projects!$C$30,24&lt;Projects!$C$30+Projects!$D$30),Projects!$B$30*INDEX(Curves!$B$4:$AR$4,1,24-Projects!$C$30+1),0)+IF(AND(Projects!$G$31="Yes",Projects!$M$31="Yes",24&gt;=Projects!$C$31,24&lt;Projects!$C$31+Projects!$D$31),Projects!$B$31*INDEX(Curves!$B$4:$AR$4,1,24-Projects!$C$31+1),0)+IF(AND(Projects!$G$32="Yes",Projects!$M$32="Yes",24&gt;=Projects!$C$32,24&lt;Projects!$C$32+Projects!$D$32),Projects!$B$32*INDEX(Curves!$B$4:$AR$4,1,24-Projects!$C$32+1),0)+IF(AND(Projects!$G$33="Yes",Projects!$M$33="Yes",24&gt;=Projects!$C$33,24&lt;Projects!$C$33+Projects!$D$33),Projects!$B$33*INDEX(Curves!$B$4:$AR$4,1,24-Projects!$C$33+1),0)+IF(AND(Projects!$G$34="Yes",Projects!$M$34="Yes",24&gt;=Projects!$C$34,24&lt;Projects!$C$34+Projects!$D$34),Projects!$B$34*INDEX(Curves!$B$4:$AR$4,1,24-Projects!$C$34+1),0)+IF(AND(Projects!$G$35="Yes",Projects!$M$35="Yes",24&gt;=Projects!$C$35,24&lt;Projects!$C$35+Projects!$D$35),Projects!$B$35*INDEX(Curves!$B$4:$AR$4,1,24-Projects!$C$35+1),0)+IF(AND(Projects!$G$36="Yes",Projects!$M$36="Yes",24&gt;=Projects!$C$36,24&lt;Projects!$C$36+Projects!$D$36),Projects!$B$36*INDEX(Curves!$B$4:$AR$4,1,24-Projects!$C$36+1),0)+IF(AND(Projects!$G$37="Yes",Projects!$M$37="Yes",24&gt;=Projects!$C$37,24&lt;Projects!$C$37+Projects!$D$37),Projects!$B$37*INDEX(Curves!$B$4:$AR$4,1,24-Projects!$C$37+1),0)+IF(AND(Projects!$G$38="Yes",Projects!$M$38="Yes",24&gt;=Projects!$C$38,24&lt;Projects!$C$38+Projects!$D$38),Projects!$B$38*INDEX(Curves!$B$4:$AR$4,1,24-Projects!$C$38+1),0)+IF(AND(Projects!$G$39="Yes",Projects!$M$39="Yes",24&gt;=Projects!$C$39,24&lt;Projects!$C$39+Projects!$D$39),Projects!$B$39*INDEX(Curves!$B$4:$AR$4,1,24-Projects!$C$39+1),0)+IF(AND(Projects!$G$40="Yes",Projects!$M$40="Yes",24&gt;=Projects!$C$40,24&lt;Projects!$C$40+Projects!$D$40),Projects!$B$40*INDEX(Curves!$B$4:$AR$4,1,24-Projects!$C$40+1),0)+IF(AND(Projects!$G$41="Yes",Projects!$M$41="Yes",24&gt;=Projects!$C$41,24&lt;Projects!$C$41+Projects!$D$41),Projects!$B$41*INDEX(Curves!$B$4:$AR$4,1,24-Projects!$C$41+1),0)+IF(AND(Projects!$G$42="Yes",Projects!$M$42="Yes",24&gt;=Projects!$C$42,24&lt;Projects!$C$42+Projects!$D$42),Projects!$B$42*INDEX(Curves!$B$4:$AR$4,1,24-Projects!$C$42+1),0)+IF(AND(Projects!$G$43="Yes",Projects!$M$43="Yes",24&gt;=Projects!$C$43,24&lt;Projects!$C$43+Projects!$D$43),Projects!$B$43*INDEX(Curves!$B$4:$AR$4,1,24-Projects!$C$43+1),0)+IF(AND(Projects!$G$44="Yes",Projects!$M$44="Yes",24&gt;=Projects!$C$44,24&lt;Projects!$C$44+Projects!$D$44),Projects!$B$44*INDEX(Curves!$B$4:$AR$4,1,24-Projects!$C$44+1),0)+IF(AND(Projects!$G$45="Yes",Projects!$M$45="Yes",24&gt;=Projects!$C$45,24&lt;Projects!$C$45+Projects!$D$45),Projects!$B$45*INDEX(Curves!$B$4:$AR$4,1,24-Projects!$C$45+1),0)+IF(AND(Projects!$G$46="Yes",Projects!$M$46="Yes",24&gt;=Projects!$C$46,24&lt;Projects!$C$46+Projects!$D$46),Projects!$B$46*INDEX(Curves!$B$4:$AR$4,1,24-Projects!$C$46+1),0)</f>
        <v>0</v>
      </c>
      <c r="AD101" s="63">
        <f>IF(AND(Projects!$G$17="Yes",Projects!$M$17="Yes",25&gt;=Projects!$C$17,25&lt;Projects!$C$17+Projects!$D$17),Projects!$B$17*INDEX(Curves!$B$4:$AR$4,1,25-Projects!$C$17+1),0)+IF(AND(Projects!$G$18="Yes",Projects!$M$18="Yes",25&gt;=Projects!$C$18,25&lt;Projects!$C$18+Projects!$D$18),Projects!$B$18*INDEX(Curves!$B$4:$AR$4,1,25-Projects!$C$18+1),0)+IF(AND(Projects!$G$19="Yes",Projects!$M$19="Yes",25&gt;=Projects!$C$19,25&lt;Projects!$C$19+Projects!$D$19),Projects!$B$19*INDEX(Curves!$B$4:$AR$4,1,25-Projects!$C$19+1),0)+IF(AND(Projects!$G$20="Yes",Projects!$M$20="Yes",25&gt;=Projects!$C$20,25&lt;Projects!$C$20+Projects!$D$20),Projects!$B$20*INDEX(Curves!$B$4:$AR$4,1,25-Projects!$C$20+1),0)+IF(AND(Projects!$G$21="Yes",Projects!$M$21="Yes",25&gt;=Projects!$C$21,25&lt;Projects!$C$21+Projects!$D$21),Projects!$B$21*INDEX(Curves!$B$4:$AR$4,1,25-Projects!$C$21+1),0)+IF(AND(Projects!$G$22="Yes",Projects!$M$22="Yes",25&gt;=Projects!$C$22,25&lt;Projects!$C$22+Projects!$D$22),Projects!$B$22*INDEX(Curves!$B$4:$AR$4,1,25-Projects!$C$22+1),0)+IF(AND(Projects!$G$23="Yes",Projects!$M$23="Yes",25&gt;=Projects!$C$23,25&lt;Projects!$C$23+Projects!$D$23),Projects!$B$23*INDEX(Curves!$B$4:$AR$4,1,25-Projects!$C$23+1),0)+IF(AND(Projects!$G$24="Yes",Projects!$M$24="Yes",25&gt;=Projects!$C$24,25&lt;Projects!$C$24+Projects!$D$24),Projects!$B$24*INDEX(Curves!$B$4:$AR$4,1,25-Projects!$C$24+1),0)+IF(AND(Projects!$G$25="Yes",Projects!$M$25="Yes",25&gt;=Projects!$C$25,25&lt;Projects!$C$25+Projects!$D$25),Projects!$B$25*INDEX(Curves!$B$4:$AR$4,1,25-Projects!$C$25+1),0)+IF(AND(Projects!$G$26="Yes",Projects!$M$26="Yes",25&gt;=Projects!$C$26,25&lt;Projects!$C$26+Projects!$D$26),Projects!$B$26*INDEX(Curves!$B$4:$AR$4,1,25-Projects!$C$26+1),0)+IF(AND(Projects!$G$27="Yes",Projects!$M$27="Yes",25&gt;=Projects!$C$27,25&lt;Projects!$C$27+Projects!$D$27),Projects!$B$27*INDEX(Curves!$B$4:$AR$4,1,25-Projects!$C$27+1),0)+IF(AND(Projects!$G$28="Yes",Projects!$M$28="Yes",25&gt;=Projects!$C$28,25&lt;Projects!$C$28+Projects!$D$28),Projects!$B$28*INDEX(Curves!$B$4:$AR$4,1,25-Projects!$C$28+1),0)+IF(AND(Projects!$G$29="Yes",Projects!$M$29="Yes",25&gt;=Projects!$C$29,25&lt;Projects!$C$29+Projects!$D$29),Projects!$B$29*INDEX(Curves!$B$4:$AR$4,1,25-Projects!$C$29+1),0)+IF(AND(Projects!$G$30="Yes",Projects!$M$30="Yes",25&gt;=Projects!$C$30,25&lt;Projects!$C$30+Projects!$D$30),Projects!$B$30*INDEX(Curves!$B$4:$AR$4,1,25-Projects!$C$30+1),0)+IF(AND(Projects!$G$31="Yes",Projects!$M$31="Yes",25&gt;=Projects!$C$31,25&lt;Projects!$C$31+Projects!$D$31),Projects!$B$31*INDEX(Curves!$B$4:$AR$4,1,25-Projects!$C$31+1),0)+IF(AND(Projects!$G$32="Yes",Projects!$M$32="Yes",25&gt;=Projects!$C$32,25&lt;Projects!$C$32+Projects!$D$32),Projects!$B$32*INDEX(Curves!$B$4:$AR$4,1,25-Projects!$C$32+1),0)+IF(AND(Projects!$G$33="Yes",Projects!$M$33="Yes",25&gt;=Projects!$C$33,25&lt;Projects!$C$33+Projects!$D$33),Projects!$B$33*INDEX(Curves!$B$4:$AR$4,1,25-Projects!$C$33+1),0)+IF(AND(Projects!$G$34="Yes",Projects!$M$34="Yes",25&gt;=Projects!$C$34,25&lt;Projects!$C$34+Projects!$D$34),Projects!$B$34*INDEX(Curves!$B$4:$AR$4,1,25-Projects!$C$34+1),0)+IF(AND(Projects!$G$35="Yes",Projects!$M$35="Yes",25&gt;=Projects!$C$35,25&lt;Projects!$C$35+Projects!$D$35),Projects!$B$35*INDEX(Curves!$B$4:$AR$4,1,25-Projects!$C$35+1),0)+IF(AND(Projects!$G$36="Yes",Projects!$M$36="Yes",25&gt;=Projects!$C$36,25&lt;Projects!$C$36+Projects!$D$36),Projects!$B$36*INDEX(Curves!$B$4:$AR$4,1,25-Projects!$C$36+1),0)+IF(AND(Projects!$G$37="Yes",Projects!$M$37="Yes",25&gt;=Projects!$C$37,25&lt;Projects!$C$37+Projects!$D$37),Projects!$B$37*INDEX(Curves!$B$4:$AR$4,1,25-Projects!$C$37+1),0)+IF(AND(Projects!$G$38="Yes",Projects!$M$38="Yes",25&gt;=Projects!$C$38,25&lt;Projects!$C$38+Projects!$D$38),Projects!$B$38*INDEX(Curves!$B$4:$AR$4,1,25-Projects!$C$38+1),0)+IF(AND(Projects!$G$39="Yes",Projects!$M$39="Yes",25&gt;=Projects!$C$39,25&lt;Projects!$C$39+Projects!$D$39),Projects!$B$39*INDEX(Curves!$B$4:$AR$4,1,25-Projects!$C$39+1),0)+IF(AND(Projects!$G$40="Yes",Projects!$M$40="Yes",25&gt;=Projects!$C$40,25&lt;Projects!$C$40+Projects!$D$40),Projects!$B$40*INDEX(Curves!$B$4:$AR$4,1,25-Projects!$C$40+1),0)+IF(AND(Projects!$G$41="Yes",Projects!$M$41="Yes",25&gt;=Projects!$C$41,25&lt;Projects!$C$41+Projects!$D$41),Projects!$B$41*INDEX(Curves!$B$4:$AR$4,1,25-Projects!$C$41+1),0)+IF(AND(Projects!$G$42="Yes",Projects!$M$42="Yes",25&gt;=Projects!$C$42,25&lt;Projects!$C$42+Projects!$D$42),Projects!$B$42*INDEX(Curves!$B$4:$AR$4,1,25-Projects!$C$42+1),0)+IF(AND(Projects!$G$43="Yes",Projects!$M$43="Yes",25&gt;=Projects!$C$43,25&lt;Projects!$C$43+Projects!$D$43),Projects!$B$43*INDEX(Curves!$B$4:$AR$4,1,25-Projects!$C$43+1),0)+IF(AND(Projects!$G$44="Yes",Projects!$M$44="Yes",25&gt;=Projects!$C$44,25&lt;Projects!$C$44+Projects!$D$44),Projects!$B$44*INDEX(Curves!$B$4:$AR$4,1,25-Projects!$C$44+1),0)+IF(AND(Projects!$G$45="Yes",Projects!$M$45="Yes",25&gt;=Projects!$C$45,25&lt;Projects!$C$45+Projects!$D$45),Projects!$B$45*INDEX(Curves!$B$4:$AR$4,1,25-Projects!$C$45+1),0)+IF(AND(Projects!$G$46="Yes",Projects!$M$46="Yes",25&gt;=Projects!$C$46,25&lt;Projects!$C$46+Projects!$D$46),Projects!$B$46*INDEX(Curves!$B$4:$AR$4,1,25-Projects!$C$46+1),0)</f>
        <v>0</v>
      </c>
      <c r="AE101" s="63">
        <f>IF(AND(Projects!$G$17="Yes",Projects!$M$17="Yes",26&gt;=Projects!$C$17,26&lt;Projects!$C$17+Projects!$D$17),Projects!$B$17*INDEX(Curves!$B$4:$AR$4,1,26-Projects!$C$17+1),0)+IF(AND(Projects!$G$18="Yes",Projects!$M$18="Yes",26&gt;=Projects!$C$18,26&lt;Projects!$C$18+Projects!$D$18),Projects!$B$18*INDEX(Curves!$B$4:$AR$4,1,26-Projects!$C$18+1),0)+IF(AND(Projects!$G$19="Yes",Projects!$M$19="Yes",26&gt;=Projects!$C$19,26&lt;Projects!$C$19+Projects!$D$19),Projects!$B$19*INDEX(Curves!$B$4:$AR$4,1,26-Projects!$C$19+1),0)+IF(AND(Projects!$G$20="Yes",Projects!$M$20="Yes",26&gt;=Projects!$C$20,26&lt;Projects!$C$20+Projects!$D$20),Projects!$B$20*INDEX(Curves!$B$4:$AR$4,1,26-Projects!$C$20+1),0)+IF(AND(Projects!$G$21="Yes",Projects!$M$21="Yes",26&gt;=Projects!$C$21,26&lt;Projects!$C$21+Projects!$D$21),Projects!$B$21*INDEX(Curves!$B$4:$AR$4,1,26-Projects!$C$21+1),0)+IF(AND(Projects!$G$22="Yes",Projects!$M$22="Yes",26&gt;=Projects!$C$22,26&lt;Projects!$C$22+Projects!$D$22),Projects!$B$22*INDEX(Curves!$B$4:$AR$4,1,26-Projects!$C$22+1),0)+IF(AND(Projects!$G$23="Yes",Projects!$M$23="Yes",26&gt;=Projects!$C$23,26&lt;Projects!$C$23+Projects!$D$23),Projects!$B$23*INDEX(Curves!$B$4:$AR$4,1,26-Projects!$C$23+1),0)+IF(AND(Projects!$G$24="Yes",Projects!$M$24="Yes",26&gt;=Projects!$C$24,26&lt;Projects!$C$24+Projects!$D$24),Projects!$B$24*INDEX(Curves!$B$4:$AR$4,1,26-Projects!$C$24+1),0)+IF(AND(Projects!$G$25="Yes",Projects!$M$25="Yes",26&gt;=Projects!$C$25,26&lt;Projects!$C$25+Projects!$D$25),Projects!$B$25*INDEX(Curves!$B$4:$AR$4,1,26-Projects!$C$25+1),0)+IF(AND(Projects!$G$26="Yes",Projects!$M$26="Yes",26&gt;=Projects!$C$26,26&lt;Projects!$C$26+Projects!$D$26),Projects!$B$26*INDEX(Curves!$B$4:$AR$4,1,26-Projects!$C$26+1),0)+IF(AND(Projects!$G$27="Yes",Projects!$M$27="Yes",26&gt;=Projects!$C$27,26&lt;Projects!$C$27+Projects!$D$27),Projects!$B$27*INDEX(Curves!$B$4:$AR$4,1,26-Projects!$C$27+1),0)+IF(AND(Projects!$G$28="Yes",Projects!$M$28="Yes",26&gt;=Projects!$C$28,26&lt;Projects!$C$28+Projects!$D$28),Projects!$B$28*INDEX(Curves!$B$4:$AR$4,1,26-Projects!$C$28+1),0)+IF(AND(Projects!$G$29="Yes",Projects!$M$29="Yes",26&gt;=Projects!$C$29,26&lt;Projects!$C$29+Projects!$D$29),Projects!$B$29*INDEX(Curves!$B$4:$AR$4,1,26-Projects!$C$29+1),0)+IF(AND(Projects!$G$30="Yes",Projects!$M$30="Yes",26&gt;=Projects!$C$30,26&lt;Projects!$C$30+Projects!$D$30),Projects!$B$30*INDEX(Curves!$B$4:$AR$4,1,26-Projects!$C$30+1),0)+IF(AND(Projects!$G$31="Yes",Projects!$M$31="Yes",26&gt;=Projects!$C$31,26&lt;Projects!$C$31+Projects!$D$31),Projects!$B$31*INDEX(Curves!$B$4:$AR$4,1,26-Projects!$C$31+1),0)+IF(AND(Projects!$G$32="Yes",Projects!$M$32="Yes",26&gt;=Projects!$C$32,26&lt;Projects!$C$32+Projects!$D$32),Projects!$B$32*INDEX(Curves!$B$4:$AR$4,1,26-Projects!$C$32+1),0)+IF(AND(Projects!$G$33="Yes",Projects!$M$33="Yes",26&gt;=Projects!$C$33,26&lt;Projects!$C$33+Projects!$D$33),Projects!$B$33*INDEX(Curves!$B$4:$AR$4,1,26-Projects!$C$33+1),0)+IF(AND(Projects!$G$34="Yes",Projects!$M$34="Yes",26&gt;=Projects!$C$34,26&lt;Projects!$C$34+Projects!$D$34),Projects!$B$34*INDEX(Curves!$B$4:$AR$4,1,26-Projects!$C$34+1),0)+IF(AND(Projects!$G$35="Yes",Projects!$M$35="Yes",26&gt;=Projects!$C$35,26&lt;Projects!$C$35+Projects!$D$35),Projects!$B$35*INDEX(Curves!$B$4:$AR$4,1,26-Projects!$C$35+1),0)+IF(AND(Projects!$G$36="Yes",Projects!$M$36="Yes",26&gt;=Projects!$C$36,26&lt;Projects!$C$36+Projects!$D$36),Projects!$B$36*INDEX(Curves!$B$4:$AR$4,1,26-Projects!$C$36+1),0)+IF(AND(Projects!$G$37="Yes",Projects!$M$37="Yes",26&gt;=Projects!$C$37,26&lt;Projects!$C$37+Projects!$D$37),Projects!$B$37*INDEX(Curves!$B$4:$AR$4,1,26-Projects!$C$37+1),0)+IF(AND(Projects!$G$38="Yes",Projects!$M$38="Yes",26&gt;=Projects!$C$38,26&lt;Projects!$C$38+Projects!$D$38),Projects!$B$38*INDEX(Curves!$B$4:$AR$4,1,26-Projects!$C$38+1),0)+IF(AND(Projects!$G$39="Yes",Projects!$M$39="Yes",26&gt;=Projects!$C$39,26&lt;Projects!$C$39+Projects!$D$39),Projects!$B$39*INDEX(Curves!$B$4:$AR$4,1,26-Projects!$C$39+1),0)+IF(AND(Projects!$G$40="Yes",Projects!$M$40="Yes",26&gt;=Projects!$C$40,26&lt;Projects!$C$40+Projects!$D$40),Projects!$B$40*INDEX(Curves!$B$4:$AR$4,1,26-Projects!$C$40+1),0)+IF(AND(Projects!$G$41="Yes",Projects!$M$41="Yes",26&gt;=Projects!$C$41,26&lt;Projects!$C$41+Projects!$D$41),Projects!$B$41*INDEX(Curves!$B$4:$AR$4,1,26-Projects!$C$41+1),0)+IF(AND(Projects!$G$42="Yes",Projects!$M$42="Yes",26&gt;=Projects!$C$42,26&lt;Projects!$C$42+Projects!$D$42),Projects!$B$42*INDEX(Curves!$B$4:$AR$4,1,26-Projects!$C$42+1),0)+IF(AND(Projects!$G$43="Yes",Projects!$M$43="Yes",26&gt;=Projects!$C$43,26&lt;Projects!$C$43+Projects!$D$43),Projects!$B$43*INDEX(Curves!$B$4:$AR$4,1,26-Projects!$C$43+1),0)+IF(AND(Projects!$G$44="Yes",Projects!$M$44="Yes",26&gt;=Projects!$C$44,26&lt;Projects!$C$44+Projects!$D$44),Projects!$B$44*INDEX(Curves!$B$4:$AR$4,1,26-Projects!$C$44+1),0)+IF(AND(Projects!$G$45="Yes",Projects!$M$45="Yes",26&gt;=Projects!$C$45,26&lt;Projects!$C$45+Projects!$D$45),Projects!$B$45*INDEX(Curves!$B$4:$AR$4,1,26-Projects!$C$45+1),0)+IF(AND(Projects!$G$46="Yes",Projects!$M$46="Yes",26&gt;=Projects!$C$46,26&lt;Projects!$C$46+Projects!$D$46),Projects!$B$46*INDEX(Curves!$B$4:$AR$4,1,26-Projects!$C$46+1),0)</f>
        <v>0</v>
      </c>
      <c r="AF101" s="63">
        <f>IF(AND(Projects!$G$17="Yes",Projects!$M$17="Yes",27&gt;=Projects!$C$17,27&lt;Projects!$C$17+Projects!$D$17),Projects!$B$17*INDEX(Curves!$B$4:$AR$4,1,27-Projects!$C$17+1),0)+IF(AND(Projects!$G$18="Yes",Projects!$M$18="Yes",27&gt;=Projects!$C$18,27&lt;Projects!$C$18+Projects!$D$18),Projects!$B$18*INDEX(Curves!$B$4:$AR$4,1,27-Projects!$C$18+1),0)+IF(AND(Projects!$G$19="Yes",Projects!$M$19="Yes",27&gt;=Projects!$C$19,27&lt;Projects!$C$19+Projects!$D$19),Projects!$B$19*INDEX(Curves!$B$4:$AR$4,1,27-Projects!$C$19+1),0)+IF(AND(Projects!$G$20="Yes",Projects!$M$20="Yes",27&gt;=Projects!$C$20,27&lt;Projects!$C$20+Projects!$D$20),Projects!$B$20*INDEX(Curves!$B$4:$AR$4,1,27-Projects!$C$20+1),0)+IF(AND(Projects!$G$21="Yes",Projects!$M$21="Yes",27&gt;=Projects!$C$21,27&lt;Projects!$C$21+Projects!$D$21),Projects!$B$21*INDEX(Curves!$B$4:$AR$4,1,27-Projects!$C$21+1),0)+IF(AND(Projects!$G$22="Yes",Projects!$M$22="Yes",27&gt;=Projects!$C$22,27&lt;Projects!$C$22+Projects!$D$22),Projects!$B$22*INDEX(Curves!$B$4:$AR$4,1,27-Projects!$C$22+1),0)+IF(AND(Projects!$G$23="Yes",Projects!$M$23="Yes",27&gt;=Projects!$C$23,27&lt;Projects!$C$23+Projects!$D$23),Projects!$B$23*INDEX(Curves!$B$4:$AR$4,1,27-Projects!$C$23+1),0)+IF(AND(Projects!$G$24="Yes",Projects!$M$24="Yes",27&gt;=Projects!$C$24,27&lt;Projects!$C$24+Projects!$D$24),Projects!$B$24*INDEX(Curves!$B$4:$AR$4,1,27-Projects!$C$24+1),0)+IF(AND(Projects!$G$25="Yes",Projects!$M$25="Yes",27&gt;=Projects!$C$25,27&lt;Projects!$C$25+Projects!$D$25),Projects!$B$25*INDEX(Curves!$B$4:$AR$4,1,27-Projects!$C$25+1),0)+IF(AND(Projects!$G$26="Yes",Projects!$M$26="Yes",27&gt;=Projects!$C$26,27&lt;Projects!$C$26+Projects!$D$26),Projects!$B$26*INDEX(Curves!$B$4:$AR$4,1,27-Projects!$C$26+1),0)+IF(AND(Projects!$G$27="Yes",Projects!$M$27="Yes",27&gt;=Projects!$C$27,27&lt;Projects!$C$27+Projects!$D$27),Projects!$B$27*INDEX(Curves!$B$4:$AR$4,1,27-Projects!$C$27+1),0)+IF(AND(Projects!$G$28="Yes",Projects!$M$28="Yes",27&gt;=Projects!$C$28,27&lt;Projects!$C$28+Projects!$D$28),Projects!$B$28*INDEX(Curves!$B$4:$AR$4,1,27-Projects!$C$28+1),0)+IF(AND(Projects!$G$29="Yes",Projects!$M$29="Yes",27&gt;=Projects!$C$29,27&lt;Projects!$C$29+Projects!$D$29),Projects!$B$29*INDEX(Curves!$B$4:$AR$4,1,27-Projects!$C$29+1),0)+IF(AND(Projects!$G$30="Yes",Projects!$M$30="Yes",27&gt;=Projects!$C$30,27&lt;Projects!$C$30+Projects!$D$30),Projects!$B$30*INDEX(Curves!$B$4:$AR$4,1,27-Projects!$C$30+1),0)+IF(AND(Projects!$G$31="Yes",Projects!$M$31="Yes",27&gt;=Projects!$C$31,27&lt;Projects!$C$31+Projects!$D$31),Projects!$B$31*INDEX(Curves!$B$4:$AR$4,1,27-Projects!$C$31+1),0)+IF(AND(Projects!$G$32="Yes",Projects!$M$32="Yes",27&gt;=Projects!$C$32,27&lt;Projects!$C$32+Projects!$D$32),Projects!$B$32*INDEX(Curves!$B$4:$AR$4,1,27-Projects!$C$32+1),0)+IF(AND(Projects!$G$33="Yes",Projects!$M$33="Yes",27&gt;=Projects!$C$33,27&lt;Projects!$C$33+Projects!$D$33),Projects!$B$33*INDEX(Curves!$B$4:$AR$4,1,27-Projects!$C$33+1),0)+IF(AND(Projects!$G$34="Yes",Projects!$M$34="Yes",27&gt;=Projects!$C$34,27&lt;Projects!$C$34+Projects!$D$34),Projects!$B$34*INDEX(Curves!$B$4:$AR$4,1,27-Projects!$C$34+1),0)+IF(AND(Projects!$G$35="Yes",Projects!$M$35="Yes",27&gt;=Projects!$C$35,27&lt;Projects!$C$35+Projects!$D$35),Projects!$B$35*INDEX(Curves!$B$4:$AR$4,1,27-Projects!$C$35+1),0)+IF(AND(Projects!$G$36="Yes",Projects!$M$36="Yes",27&gt;=Projects!$C$36,27&lt;Projects!$C$36+Projects!$D$36),Projects!$B$36*INDEX(Curves!$B$4:$AR$4,1,27-Projects!$C$36+1),0)+IF(AND(Projects!$G$37="Yes",Projects!$M$37="Yes",27&gt;=Projects!$C$37,27&lt;Projects!$C$37+Projects!$D$37),Projects!$B$37*INDEX(Curves!$B$4:$AR$4,1,27-Projects!$C$37+1),0)+IF(AND(Projects!$G$38="Yes",Projects!$M$38="Yes",27&gt;=Projects!$C$38,27&lt;Projects!$C$38+Projects!$D$38),Projects!$B$38*INDEX(Curves!$B$4:$AR$4,1,27-Projects!$C$38+1),0)+IF(AND(Projects!$G$39="Yes",Projects!$M$39="Yes",27&gt;=Projects!$C$39,27&lt;Projects!$C$39+Projects!$D$39),Projects!$B$39*INDEX(Curves!$B$4:$AR$4,1,27-Projects!$C$39+1),0)+IF(AND(Projects!$G$40="Yes",Projects!$M$40="Yes",27&gt;=Projects!$C$40,27&lt;Projects!$C$40+Projects!$D$40),Projects!$B$40*INDEX(Curves!$B$4:$AR$4,1,27-Projects!$C$40+1),0)+IF(AND(Projects!$G$41="Yes",Projects!$M$41="Yes",27&gt;=Projects!$C$41,27&lt;Projects!$C$41+Projects!$D$41),Projects!$B$41*INDEX(Curves!$B$4:$AR$4,1,27-Projects!$C$41+1),0)+IF(AND(Projects!$G$42="Yes",Projects!$M$42="Yes",27&gt;=Projects!$C$42,27&lt;Projects!$C$42+Projects!$D$42),Projects!$B$42*INDEX(Curves!$B$4:$AR$4,1,27-Projects!$C$42+1),0)+IF(AND(Projects!$G$43="Yes",Projects!$M$43="Yes",27&gt;=Projects!$C$43,27&lt;Projects!$C$43+Projects!$D$43),Projects!$B$43*INDEX(Curves!$B$4:$AR$4,1,27-Projects!$C$43+1),0)+IF(AND(Projects!$G$44="Yes",Projects!$M$44="Yes",27&gt;=Projects!$C$44,27&lt;Projects!$C$44+Projects!$D$44),Projects!$B$44*INDEX(Curves!$B$4:$AR$4,1,27-Projects!$C$44+1),0)+IF(AND(Projects!$G$45="Yes",Projects!$M$45="Yes",27&gt;=Projects!$C$45,27&lt;Projects!$C$45+Projects!$D$45),Projects!$B$45*INDEX(Curves!$B$4:$AR$4,1,27-Projects!$C$45+1),0)+IF(AND(Projects!$G$46="Yes",Projects!$M$46="Yes",27&gt;=Projects!$C$46,27&lt;Projects!$C$46+Projects!$D$46),Projects!$B$46*INDEX(Curves!$B$4:$AR$4,1,27-Projects!$C$46+1),0)</f>
        <v>0</v>
      </c>
      <c r="AG101" s="63">
        <f>IF(AND(Projects!$G$17="Yes",Projects!$M$17="Yes",28&gt;=Projects!$C$17,28&lt;Projects!$C$17+Projects!$D$17),Projects!$B$17*INDEX(Curves!$B$4:$AR$4,1,28-Projects!$C$17+1),0)+IF(AND(Projects!$G$18="Yes",Projects!$M$18="Yes",28&gt;=Projects!$C$18,28&lt;Projects!$C$18+Projects!$D$18),Projects!$B$18*INDEX(Curves!$B$4:$AR$4,1,28-Projects!$C$18+1),0)+IF(AND(Projects!$G$19="Yes",Projects!$M$19="Yes",28&gt;=Projects!$C$19,28&lt;Projects!$C$19+Projects!$D$19),Projects!$B$19*INDEX(Curves!$B$4:$AR$4,1,28-Projects!$C$19+1),0)+IF(AND(Projects!$G$20="Yes",Projects!$M$20="Yes",28&gt;=Projects!$C$20,28&lt;Projects!$C$20+Projects!$D$20),Projects!$B$20*INDEX(Curves!$B$4:$AR$4,1,28-Projects!$C$20+1),0)+IF(AND(Projects!$G$21="Yes",Projects!$M$21="Yes",28&gt;=Projects!$C$21,28&lt;Projects!$C$21+Projects!$D$21),Projects!$B$21*INDEX(Curves!$B$4:$AR$4,1,28-Projects!$C$21+1),0)+IF(AND(Projects!$G$22="Yes",Projects!$M$22="Yes",28&gt;=Projects!$C$22,28&lt;Projects!$C$22+Projects!$D$22),Projects!$B$22*INDEX(Curves!$B$4:$AR$4,1,28-Projects!$C$22+1),0)+IF(AND(Projects!$G$23="Yes",Projects!$M$23="Yes",28&gt;=Projects!$C$23,28&lt;Projects!$C$23+Projects!$D$23),Projects!$B$23*INDEX(Curves!$B$4:$AR$4,1,28-Projects!$C$23+1),0)+IF(AND(Projects!$G$24="Yes",Projects!$M$24="Yes",28&gt;=Projects!$C$24,28&lt;Projects!$C$24+Projects!$D$24),Projects!$B$24*INDEX(Curves!$B$4:$AR$4,1,28-Projects!$C$24+1),0)+IF(AND(Projects!$G$25="Yes",Projects!$M$25="Yes",28&gt;=Projects!$C$25,28&lt;Projects!$C$25+Projects!$D$25),Projects!$B$25*INDEX(Curves!$B$4:$AR$4,1,28-Projects!$C$25+1),0)+IF(AND(Projects!$G$26="Yes",Projects!$M$26="Yes",28&gt;=Projects!$C$26,28&lt;Projects!$C$26+Projects!$D$26),Projects!$B$26*INDEX(Curves!$B$4:$AR$4,1,28-Projects!$C$26+1),0)+IF(AND(Projects!$G$27="Yes",Projects!$M$27="Yes",28&gt;=Projects!$C$27,28&lt;Projects!$C$27+Projects!$D$27),Projects!$B$27*INDEX(Curves!$B$4:$AR$4,1,28-Projects!$C$27+1),0)+IF(AND(Projects!$G$28="Yes",Projects!$M$28="Yes",28&gt;=Projects!$C$28,28&lt;Projects!$C$28+Projects!$D$28),Projects!$B$28*INDEX(Curves!$B$4:$AR$4,1,28-Projects!$C$28+1),0)+IF(AND(Projects!$G$29="Yes",Projects!$M$29="Yes",28&gt;=Projects!$C$29,28&lt;Projects!$C$29+Projects!$D$29),Projects!$B$29*INDEX(Curves!$B$4:$AR$4,1,28-Projects!$C$29+1),0)+IF(AND(Projects!$G$30="Yes",Projects!$M$30="Yes",28&gt;=Projects!$C$30,28&lt;Projects!$C$30+Projects!$D$30),Projects!$B$30*INDEX(Curves!$B$4:$AR$4,1,28-Projects!$C$30+1),0)+IF(AND(Projects!$G$31="Yes",Projects!$M$31="Yes",28&gt;=Projects!$C$31,28&lt;Projects!$C$31+Projects!$D$31),Projects!$B$31*INDEX(Curves!$B$4:$AR$4,1,28-Projects!$C$31+1),0)+IF(AND(Projects!$G$32="Yes",Projects!$M$32="Yes",28&gt;=Projects!$C$32,28&lt;Projects!$C$32+Projects!$D$32),Projects!$B$32*INDEX(Curves!$B$4:$AR$4,1,28-Projects!$C$32+1),0)+IF(AND(Projects!$G$33="Yes",Projects!$M$33="Yes",28&gt;=Projects!$C$33,28&lt;Projects!$C$33+Projects!$D$33),Projects!$B$33*INDEX(Curves!$B$4:$AR$4,1,28-Projects!$C$33+1),0)+IF(AND(Projects!$G$34="Yes",Projects!$M$34="Yes",28&gt;=Projects!$C$34,28&lt;Projects!$C$34+Projects!$D$34),Projects!$B$34*INDEX(Curves!$B$4:$AR$4,1,28-Projects!$C$34+1),0)+IF(AND(Projects!$G$35="Yes",Projects!$M$35="Yes",28&gt;=Projects!$C$35,28&lt;Projects!$C$35+Projects!$D$35),Projects!$B$35*INDEX(Curves!$B$4:$AR$4,1,28-Projects!$C$35+1),0)+IF(AND(Projects!$G$36="Yes",Projects!$M$36="Yes",28&gt;=Projects!$C$36,28&lt;Projects!$C$36+Projects!$D$36),Projects!$B$36*INDEX(Curves!$B$4:$AR$4,1,28-Projects!$C$36+1),0)+IF(AND(Projects!$G$37="Yes",Projects!$M$37="Yes",28&gt;=Projects!$C$37,28&lt;Projects!$C$37+Projects!$D$37),Projects!$B$37*INDEX(Curves!$B$4:$AR$4,1,28-Projects!$C$37+1),0)+IF(AND(Projects!$G$38="Yes",Projects!$M$38="Yes",28&gt;=Projects!$C$38,28&lt;Projects!$C$38+Projects!$D$38),Projects!$B$38*INDEX(Curves!$B$4:$AR$4,1,28-Projects!$C$38+1),0)+IF(AND(Projects!$G$39="Yes",Projects!$M$39="Yes",28&gt;=Projects!$C$39,28&lt;Projects!$C$39+Projects!$D$39),Projects!$B$39*INDEX(Curves!$B$4:$AR$4,1,28-Projects!$C$39+1),0)+IF(AND(Projects!$G$40="Yes",Projects!$M$40="Yes",28&gt;=Projects!$C$40,28&lt;Projects!$C$40+Projects!$D$40),Projects!$B$40*INDEX(Curves!$B$4:$AR$4,1,28-Projects!$C$40+1),0)+IF(AND(Projects!$G$41="Yes",Projects!$M$41="Yes",28&gt;=Projects!$C$41,28&lt;Projects!$C$41+Projects!$D$41),Projects!$B$41*INDEX(Curves!$B$4:$AR$4,1,28-Projects!$C$41+1),0)+IF(AND(Projects!$G$42="Yes",Projects!$M$42="Yes",28&gt;=Projects!$C$42,28&lt;Projects!$C$42+Projects!$D$42),Projects!$B$42*INDEX(Curves!$B$4:$AR$4,1,28-Projects!$C$42+1),0)+IF(AND(Projects!$G$43="Yes",Projects!$M$43="Yes",28&gt;=Projects!$C$43,28&lt;Projects!$C$43+Projects!$D$43),Projects!$B$43*INDEX(Curves!$B$4:$AR$4,1,28-Projects!$C$43+1),0)+IF(AND(Projects!$G$44="Yes",Projects!$M$44="Yes",28&gt;=Projects!$C$44,28&lt;Projects!$C$44+Projects!$D$44),Projects!$B$44*INDEX(Curves!$B$4:$AR$4,1,28-Projects!$C$44+1),0)+IF(AND(Projects!$G$45="Yes",Projects!$M$45="Yes",28&gt;=Projects!$C$45,28&lt;Projects!$C$45+Projects!$D$45),Projects!$B$45*INDEX(Curves!$B$4:$AR$4,1,28-Projects!$C$45+1),0)+IF(AND(Projects!$G$46="Yes",Projects!$M$46="Yes",28&gt;=Projects!$C$46,28&lt;Projects!$C$46+Projects!$D$46),Projects!$B$46*INDEX(Curves!$B$4:$AR$4,1,28-Projects!$C$46+1),0)</f>
        <v>0</v>
      </c>
      <c r="AH101" s="63">
        <f>IF(AND(Projects!$G$17="Yes",Projects!$M$17="Yes",29&gt;=Projects!$C$17,29&lt;Projects!$C$17+Projects!$D$17),Projects!$B$17*INDEX(Curves!$B$4:$AR$4,1,29-Projects!$C$17+1),0)+IF(AND(Projects!$G$18="Yes",Projects!$M$18="Yes",29&gt;=Projects!$C$18,29&lt;Projects!$C$18+Projects!$D$18),Projects!$B$18*INDEX(Curves!$B$4:$AR$4,1,29-Projects!$C$18+1),0)+IF(AND(Projects!$G$19="Yes",Projects!$M$19="Yes",29&gt;=Projects!$C$19,29&lt;Projects!$C$19+Projects!$D$19),Projects!$B$19*INDEX(Curves!$B$4:$AR$4,1,29-Projects!$C$19+1),0)+IF(AND(Projects!$G$20="Yes",Projects!$M$20="Yes",29&gt;=Projects!$C$20,29&lt;Projects!$C$20+Projects!$D$20),Projects!$B$20*INDEX(Curves!$B$4:$AR$4,1,29-Projects!$C$20+1),0)+IF(AND(Projects!$G$21="Yes",Projects!$M$21="Yes",29&gt;=Projects!$C$21,29&lt;Projects!$C$21+Projects!$D$21),Projects!$B$21*INDEX(Curves!$B$4:$AR$4,1,29-Projects!$C$21+1),0)+IF(AND(Projects!$G$22="Yes",Projects!$M$22="Yes",29&gt;=Projects!$C$22,29&lt;Projects!$C$22+Projects!$D$22),Projects!$B$22*INDEX(Curves!$B$4:$AR$4,1,29-Projects!$C$22+1),0)+IF(AND(Projects!$G$23="Yes",Projects!$M$23="Yes",29&gt;=Projects!$C$23,29&lt;Projects!$C$23+Projects!$D$23),Projects!$B$23*INDEX(Curves!$B$4:$AR$4,1,29-Projects!$C$23+1),0)+IF(AND(Projects!$G$24="Yes",Projects!$M$24="Yes",29&gt;=Projects!$C$24,29&lt;Projects!$C$24+Projects!$D$24),Projects!$B$24*INDEX(Curves!$B$4:$AR$4,1,29-Projects!$C$24+1),0)+IF(AND(Projects!$G$25="Yes",Projects!$M$25="Yes",29&gt;=Projects!$C$25,29&lt;Projects!$C$25+Projects!$D$25),Projects!$B$25*INDEX(Curves!$B$4:$AR$4,1,29-Projects!$C$25+1),0)+IF(AND(Projects!$G$26="Yes",Projects!$M$26="Yes",29&gt;=Projects!$C$26,29&lt;Projects!$C$26+Projects!$D$26),Projects!$B$26*INDEX(Curves!$B$4:$AR$4,1,29-Projects!$C$26+1),0)+IF(AND(Projects!$G$27="Yes",Projects!$M$27="Yes",29&gt;=Projects!$C$27,29&lt;Projects!$C$27+Projects!$D$27),Projects!$B$27*INDEX(Curves!$B$4:$AR$4,1,29-Projects!$C$27+1),0)+IF(AND(Projects!$G$28="Yes",Projects!$M$28="Yes",29&gt;=Projects!$C$28,29&lt;Projects!$C$28+Projects!$D$28),Projects!$B$28*INDEX(Curves!$B$4:$AR$4,1,29-Projects!$C$28+1),0)+IF(AND(Projects!$G$29="Yes",Projects!$M$29="Yes",29&gt;=Projects!$C$29,29&lt;Projects!$C$29+Projects!$D$29),Projects!$B$29*INDEX(Curves!$B$4:$AR$4,1,29-Projects!$C$29+1),0)+IF(AND(Projects!$G$30="Yes",Projects!$M$30="Yes",29&gt;=Projects!$C$30,29&lt;Projects!$C$30+Projects!$D$30),Projects!$B$30*INDEX(Curves!$B$4:$AR$4,1,29-Projects!$C$30+1),0)+IF(AND(Projects!$G$31="Yes",Projects!$M$31="Yes",29&gt;=Projects!$C$31,29&lt;Projects!$C$31+Projects!$D$31),Projects!$B$31*INDEX(Curves!$B$4:$AR$4,1,29-Projects!$C$31+1),0)+IF(AND(Projects!$G$32="Yes",Projects!$M$32="Yes",29&gt;=Projects!$C$32,29&lt;Projects!$C$32+Projects!$D$32),Projects!$B$32*INDEX(Curves!$B$4:$AR$4,1,29-Projects!$C$32+1),0)+IF(AND(Projects!$G$33="Yes",Projects!$M$33="Yes",29&gt;=Projects!$C$33,29&lt;Projects!$C$33+Projects!$D$33),Projects!$B$33*INDEX(Curves!$B$4:$AR$4,1,29-Projects!$C$33+1),0)+IF(AND(Projects!$G$34="Yes",Projects!$M$34="Yes",29&gt;=Projects!$C$34,29&lt;Projects!$C$34+Projects!$D$34),Projects!$B$34*INDEX(Curves!$B$4:$AR$4,1,29-Projects!$C$34+1),0)+IF(AND(Projects!$G$35="Yes",Projects!$M$35="Yes",29&gt;=Projects!$C$35,29&lt;Projects!$C$35+Projects!$D$35),Projects!$B$35*INDEX(Curves!$B$4:$AR$4,1,29-Projects!$C$35+1),0)+IF(AND(Projects!$G$36="Yes",Projects!$M$36="Yes",29&gt;=Projects!$C$36,29&lt;Projects!$C$36+Projects!$D$36),Projects!$B$36*INDEX(Curves!$B$4:$AR$4,1,29-Projects!$C$36+1),0)+IF(AND(Projects!$G$37="Yes",Projects!$M$37="Yes",29&gt;=Projects!$C$37,29&lt;Projects!$C$37+Projects!$D$37),Projects!$B$37*INDEX(Curves!$B$4:$AR$4,1,29-Projects!$C$37+1),0)+IF(AND(Projects!$G$38="Yes",Projects!$M$38="Yes",29&gt;=Projects!$C$38,29&lt;Projects!$C$38+Projects!$D$38),Projects!$B$38*INDEX(Curves!$B$4:$AR$4,1,29-Projects!$C$38+1),0)+IF(AND(Projects!$G$39="Yes",Projects!$M$39="Yes",29&gt;=Projects!$C$39,29&lt;Projects!$C$39+Projects!$D$39),Projects!$B$39*INDEX(Curves!$B$4:$AR$4,1,29-Projects!$C$39+1),0)+IF(AND(Projects!$G$40="Yes",Projects!$M$40="Yes",29&gt;=Projects!$C$40,29&lt;Projects!$C$40+Projects!$D$40),Projects!$B$40*INDEX(Curves!$B$4:$AR$4,1,29-Projects!$C$40+1),0)+IF(AND(Projects!$G$41="Yes",Projects!$M$41="Yes",29&gt;=Projects!$C$41,29&lt;Projects!$C$41+Projects!$D$41),Projects!$B$41*INDEX(Curves!$B$4:$AR$4,1,29-Projects!$C$41+1),0)+IF(AND(Projects!$G$42="Yes",Projects!$M$42="Yes",29&gt;=Projects!$C$42,29&lt;Projects!$C$42+Projects!$D$42),Projects!$B$42*INDEX(Curves!$B$4:$AR$4,1,29-Projects!$C$42+1),0)+IF(AND(Projects!$G$43="Yes",Projects!$M$43="Yes",29&gt;=Projects!$C$43,29&lt;Projects!$C$43+Projects!$D$43),Projects!$B$43*INDEX(Curves!$B$4:$AR$4,1,29-Projects!$C$43+1),0)+IF(AND(Projects!$G$44="Yes",Projects!$M$44="Yes",29&gt;=Projects!$C$44,29&lt;Projects!$C$44+Projects!$D$44),Projects!$B$44*INDEX(Curves!$B$4:$AR$4,1,29-Projects!$C$44+1),0)+IF(AND(Projects!$G$45="Yes",Projects!$M$45="Yes",29&gt;=Projects!$C$45,29&lt;Projects!$C$45+Projects!$D$45),Projects!$B$45*INDEX(Curves!$B$4:$AR$4,1,29-Projects!$C$45+1),0)+IF(AND(Projects!$G$46="Yes",Projects!$M$46="Yes",29&gt;=Projects!$C$46,29&lt;Projects!$C$46+Projects!$D$46),Projects!$B$46*INDEX(Curves!$B$4:$AR$4,1,29-Projects!$C$46+1),0)</f>
        <v>0</v>
      </c>
      <c r="AI101" s="63">
        <f>IF(AND(Projects!$G$17="Yes",Projects!$M$17="Yes",30&gt;=Projects!$C$17,30&lt;Projects!$C$17+Projects!$D$17),Projects!$B$17*INDEX(Curves!$B$4:$AR$4,1,30-Projects!$C$17+1),0)+IF(AND(Projects!$G$18="Yes",Projects!$M$18="Yes",30&gt;=Projects!$C$18,30&lt;Projects!$C$18+Projects!$D$18),Projects!$B$18*INDEX(Curves!$B$4:$AR$4,1,30-Projects!$C$18+1),0)+IF(AND(Projects!$G$19="Yes",Projects!$M$19="Yes",30&gt;=Projects!$C$19,30&lt;Projects!$C$19+Projects!$D$19),Projects!$B$19*INDEX(Curves!$B$4:$AR$4,1,30-Projects!$C$19+1),0)+IF(AND(Projects!$G$20="Yes",Projects!$M$20="Yes",30&gt;=Projects!$C$20,30&lt;Projects!$C$20+Projects!$D$20),Projects!$B$20*INDEX(Curves!$B$4:$AR$4,1,30-Projects!$C$20+1),0)+IF(AND(Projects!$G$21="Yes",Projects!$M$21="Yes",30&gt;=Projects!$C$21,30&lt;Projects!$C$21+Projects!$D$21),Projects!$B$21*INDEX(Curves!$B$4:$AR$4,1,30-Projects!$C$21+1),0)+IF(AND(Projects!$G$22="Yes",Projects!$M$22="Yes",30&gt;=Projects!$C$22,30&lt;Projects!$C$22+Projects!$D$22),Projects!$B$22*INDEX(Curves!$B$4:$AR$4,1,30-Projects!$C$22+1),0)+IF(AND(Projects!$G$23="Yes",Projects!$M$23="Yes",30&gt;=Projects!$C$23,30&lt;Projects!$C$23+Projects!$D$23),Projects!$B$23*INDEX(Curves!$B$4:$AR$4,1,30-Projects!$C$23+1),0)+IF(AND(Projects!$G$24="Yes",Projects!$M$24="Yes",30&gt;=Projects!$C$24,30&lt;Projects!$C$24+Projects!$D$24),Projects!$B$24*INDEX(Curves!$B$4:$AR$4,1,30-Projects!$C$24+1),0)+IF(AND(Projects!$G$25="Yes",Projects!$M$25="Yes",30&gt;=Projects!$C$25,30&lt;Projects!$C$25+Projects!$D$25),Projects!$B$25*INDEX(Curves!$B$4:$AR$4,1,30-Projects!$C$25+1),0)+IF(AND(Projects!$G$26="Yes",Projects!$M$26="Yes",30&gt;=Projects!$C$26,30&lt;Projects!$C$26+Projects!$D$26),Projects!$B$26*INDEX(Curves!$B$4:$AR$4,1,30-Projects!$C$26+1),0)+IF(AND(Projects!$G$27="Yes",Projects!$M$27="Yes",30&gt;=Projects!$C$27,30&lt;Projects!$C$27+Projects!$D$27),Projects!$B$27*INDEX(Curves!$B$4:$AR$4,1,30-Projects!$C$27+1),0)+IF(AND(Projects!$G$28="Yes",Projects!$M$28="Yes",30&gt;=Projects!$C$28,30&lt;Projects!$C$28+Projects!$D$28),Projects!$B$28*INDEX(Curves!$B$4:$AR$4,1,30-Projects!$C$28+1),0)+IF(AND(Projects!$G$29="Yes",Projects!$M$29="Yes",30&gt;=Projects!$C$29,30&lt;Projects!$C$29+Projects!$D$29),Projects!$B$29*INDEX(Curves!$B$4:$AR$4,1,30-Projects!$C$29+1),0)+IF(AND(Projects!$G$30="Yes",Projects!$M$30="Yes",30&gt;=Projects!$C$30,30&lt;Projects!$C$30+Projects!$D$30),Projects!$B$30*INDEX(Curves!$B$4:$AR$4,1,30-Projects!$C$30+1),0)+IF(AND(Projects!$G$31="Yes",Projects!$M$31="Yes",30&gt;=Projects!$C$31,30&lt;Projects!$C$31+Projects!$D$31),Projects!$B$31*INDEX(Curves!$B$4:$AR$4,1,30-Projects!$C$31+1),0)+IF(AND(Projects!$G$32="Yes",Projects!$M$32="Yes",30&gt;=Projects!$C$32,30&lt;Projects!$C$32+Projects!$D$32),Projects!$B$32*INDEX(Curves!$B$4:$AR$4,1,30-Projects!$C$32+1),0)+IF(AND(Projects!$G$33="Yes",Projects!$M$33="Yes",30&gt;=Projects!$C$33,30&lt;Projects!$C$33+Projects!$D$33),Projects!$B$33*INDEX(Curves!$B$4:$AR$4,1,30-Projects!$C$33+1),0)+IF(AND(Projects!$G$34="Yes",Projects!$M$34="Yes",30&gt;=Projects!$C$34,30&lt;Projects!$C$34+Projects!$D$34),Projects!$B$34*INDEX(Curves!$B$4:$AR$4,1,30-Projects!$C$34+1),0)+IF(AND(Projects!$G$35="Yes",Projects!$M$35="Yes",30&gt;=Projects!$C$35,30&lt;Projects!$C$35+Projects!$D$35),Projects!$B$35*INDEX(Curves!$B$4:$AR$4,1,30-Projects!$C$35+1),0)+IF(AND(Projects!$G$36="Yes",Projects!$M$36="Yes",30&gt;=Projects!$C$36,30&lt;Projects!$C$36+Projects!$D$36),Projects!$B$36*INDEX(Curves!$B$4:$AR$4,1,30-Projects!$C$36+1),0)+IF(AND(Projects!$G$37="Yes",Projects!$M$37="Yes",30&gt;=Projects!$C$37,30&lt;Projects!$C$37+Projects!$D$37),Projects!$B$37*INDEX(Curves!$B$4:$AR$4,1,30-Projects!$C$37+1),0)+IF(AND(Projects!$G$38="Yes",Projects!$M$38="Yes",30&gt;=Projects!$C$38,30&lt;Projects!$C$38+Projects!$D$38),Projects!$B$38*INDEX(Curves!$B$4:$AR$4,1,30-Projects!$C$38+1),0)+IF(AND(Projects!$G$39="Yes",Projects!$M$39="Yes",30&gt;=Projects!$C$39,30&lt;Projects!$C$39+Projects!$D$39),Projects!$B$39*INDEX(Curves!$B$4:$AR$4,1,30-Projects!$C$39+1),0)+IF(AND(Projects!$G$40="Yes",Projects!$M$40="Yes",30&gt;=Projects!$C$40,30&lt;Projects!$C$40+Projects!$D$40),Projects!$B$40*INDEX(Curves!$B$4:$AR$4,1,30-Projects!$C$40+1),0)+IF(AND(Projects!$G$41="Yes",Projects!$M$41="Yes",30&gt;=Projects!$C$41,30&lt;Projects!$C$41+Projects!$D$41),Projects!$B$41*INDEX(Curves!$B$4:$AR$4,1,30-Projects!$C$41+1),0)+IF(AND(Projects!$G$42="Yes",Projects!$M$42="Yes",30&gt;=Projects!$C$42,30&lt;Projects!$C$42+Projects!$D$42),Projects!$B$42*INDEX(Curves!$B$4:$AR$4,1,30-Projects!$C$42+1),0)+IF(AND(Projects!$G$43="Yes",Projects!$M$43="Yes",30&gt;=Projects!$C$43,30&lt;Projects!$C$43+Projects!$D$43),Projects!$B$43*INDEX(Curves!$B$4:$AR$4,1,30-Projects!$C$43+1),0)+IF(AND(Projects!$G$44="Yes",Projects!$M$44="Yes",30&gt;=Projects!$C$44,30&lt;Projects!$C$44+Projects!$D$44),Projects!$B$44*INDEX(Curves!$B$4:$AR$4,1,30-Projects!$C$44+1),0)+IF(AND(Projects!$G$45="Yes",Projects!$M$45="Yes",30&gt;=Projects!$C$45,30&lt;Projects!$C$45+Projects!$D$45),Projects!$B$45*INDEX(Curves!$B$4:$AR$4,1,30-Projects!$C$45+1),0)+IF(AND(Projects!$G$46="Yes",Projects!$M$46="Yes",30&gt;=Projects!$C$46,30&lt;Projects!$C$46+Projects!$D$46),Projects!$B$46*INDEX(Curves!$B$4:$AR$4,1,30-Projects!$C$46+1),0)</f>
        <v>0</v>
      </c>
      <c r="AJ101" s="63">
        <f>IF(AND(Projects!$G$17="Yes",Projects!$M$17="Yes",31&gt;=Projects!$C$17,31&lt;Projects!$C$17+Projects!$D$17),Projects!$B$17*INDEX(Curves!$B$4:$AR$4,1,31-Projects!$C$17+1),0)+IF(AND(Projects!$G$18="Yes",Projects!$M$18="Yes",31&gt;=Projects!$C$18,31&lt;Projects!$C$18+Projects!$D$18),Projects!$B$18*INDEX(Curves!$B$4:$AR$4,1,31-Projects!$C$18+1),0)+IF(AND(Projects!$G$19="Yes",Projects!$M$19="Yes",31&gt;=Projects!$C$19,31&lt;Projects!$C$19+Projects!$D$19),Projects!$B$19*INDEX(Curves!$B$4:$AR$4,1,31-Projects!$C$19+1),0)+IF(AND(Projects!$G$20="Yes",Projects!$M$20="Yes",31&gt;=Projects!$C$20,31&lt;Projects!$C$20+Projects!$D$20),Projects!$B$20*INDEX(Curves!$B$4:$AR$4,1,31-Projects!$C$20+1),0)+IF(AND(Projects!$G$21="Yes",Projects!$M$21="Yes",31&gt;=Projects!$C$21,31&lt;Projects!$C$21+Projects!$D$21),Projects!$B$21*INDEX(Curves!$B$4:$AR$4,1,31-Projects!$C$21+1),0)+IF(AND(Projects!$G$22="Yes",Projects!$M$22="Yes",31&gt;=Projects!$C$22,31&lt;Projects!$C$22+Projects!$D$22),Projects!$B$22*INDEX(Curves!$B$4:$AR$4,1,31-Projects!$C$22+1),0)+IF(AND(Projects!$G$23="Yes",Projects!$M$23="Yes",31&gt;=Projects!$C$23,31&lt;Projects!$C$23+Projects!$D$23),Projects!$B$23*INDEX(Curves!$B$4:$AR$4,1,31-Projects!$C$23+1),0)+IF(AND(Projects!$G$24="Yes",Projects!$M$24="Yes",31&gt;=Projects!$C$24,31&lt;Projects!$C$24+Projects!$D$24),Projects!$B$24*INDEX(Curves!$B$4:$AR$4,1,31-Projects!$C$24+1),0)+IF(AND(Projects!$G$25="Yes",Projects!$M$25="Yes",31&gt;=Projects!$C$25,31&lt;Projects!$C$25+Projects!$D$25),Projects!$B$25*INDEX(Curves!$B$4:$AR$4,1,31-Projects!$C$25+1),0)+IF(AND(Projects!$G$26="Yes",Projects!$M$26="Yes",31&gt;=Projects!$C$26,31&lt;Projects!$C$26+Projects!$D$26),Projects!$B$26*INDEX(Curves!$B$4:$AR$4,1,31-Projects!$C$26+1),0)+IF(AND(Projects!$G$27="Yes",Projects!$M$27="Yes",31&gt;=Projects!$C$27,31&lt;Projects!$C$27+Projects!$D$27),Projects!$B$27*INDEX(Curves!$B$4:$AR$4,1,31-Projects!$C$27+1),0)+IF(AND(Projects!$G$28="Yes",Projects!$M$28="Yes",31&gt;=Projects!$C$28,31&lt;Projects!$C$28+Projects!$D$28),Projects!$B$28*INDEX(Curves!$B$4:$AR$4,1,31-Projects!$C$28+1),0)+IF(AND(Projects!$G$29="Yes",Projects!$M$29="Yes",31&gt;=Projects!$C$29,31&lt;Projects!$C$29+Projects!$D$29),Projects!$B$29*INDEX(Curves!$B$4:$AR$4,1,31-Projects!$C$29+1),0)+IF(AND(Projects!$G$30="Yes",Projects!$M$30="Yes",31&gt;=Projects!$C$30,31&lt;Projects!$C$30+Projects!$D$30),Projects!$B$30*INDEX(Curves!$B$4:$AR$4,1,31-Projects!$C$30+1),0)+IF(AND(Projects!$G$31="Yes",Projects!$M$31="Yes",31&gt;=Projects!$C$31,31&lt;Projects!$C$31+Projects!$D$31),Projects!$B$31*INDEX(Curves!$B$4:$AR$4,1,31-Projects!$C$31+1),0)+IF(AND(Projects!$G$32="Yes",Projects!$M$32="Yes",31&gt;=Projects!$C$32,31&lt;Projects!$C$32+Projects!$D$32),Projects!$B$32*INDEX(Curves!$B$4:$AR$4,1,31-Projects!$C$32+1),0)+IF(AND(Projects!$G$33="Yes",Projects!$M$33="Yes",31&gt;=Projects!$C$33,31&lt;Projects!$C$33+Projects!$D$33),Projects!$B$33*INDEX(Curves!$B$4:$AR$4,1,31-Projects!$C$33+1),0)+IF(AND(Projects!$G$34="Yes",Projects!$M$34="Yes",31&gt;=Projects!$C$34,31&lt;Projects!$C$34+Projects!$D$34),Projects!$B$34*INDEX(Curves!$B$4:$AR$4,1,31-Projects!$C$34+1),0)+IF(AND(Projects!$G$35="Yes",Projects!$M$35="Yes",31&gt;=Projects!$C$35,31&lt;Projects!$C$35+Projects!$D$35),Projects!$B$35*INDEX(Curves!$B$4:$AR$4,1,31-Projects!$C$35+1),0)+IF(AND(Projects!$G$36="Yes",Projects!$M$36="Yes",31&gt;=Projects!$C$36,31&lt;Projects!$C$36+Projects!$D$36),Projects!$B$36*INDEX(Curves!$B$4:$AR$4,1,31-Projects!$C$36+1),0)+IF(AND(Projects!$G$37="Yes",Projects!$M$37="Yes",31&gt;=Projects!$C$37,31&lt;Projects!$C$37+Projects!$D$37),Projects!$B$37*INDEX(Curves!$B$4:$AR$4,1,31-Projects!$C$37+1),0)+IF(AND(Projects!$G$38="Yes",Projects!$M$38="Yes",31&gt;=Projects!$C$38,31&lt;Projects!$C$38+Projects!$D$38),Projects!$B$38*INDEX(Curves!$B$4:$AR$4,1,31-Projects!$C$38+1),0)+IF(AND(Projects!$G$39="Yes",Projects!$M$39="Yes",31&gt;=Projects!$C$39,31&lt;Projects!$C$39+Projects!$D$39),Projects!$B$39*INDEX(Curves!$B$4:$AR$4,1,31-Projects!$C$39+1),0)+IF(AND(Projects!$G$40="Yes",Projects!$M$40="Yes",31&gt;=Projects!$C$40,31&lt;Projects!$C$40+Projects!$D$40),Projects!$B$40*INDEX(Curves!$B$4:$AR$4,1,31-Projects!$C$40+1),0)+IF(AND(Projects!$G$41="Yes",Projects!$M$41="Yes",31&gt;=Projects!$C$41,31&lt;Projects!$C$41+Projects!$D$41),Projects!$B$41*INDEX(Curves!$B$4:$AR$4,1,31-Projects!$C$41+1),0)+IF(AND(Projects!$G$42="Yes",Projects!$M$42="Yes",31&gt;=Projects!$C$42,31&lt;Projects!$C$42+Projects!$D$42),Projects!$B$42*INDEX(Curves!$B$4:$AR$4,1,31-Projects!$C$42+1),0)+IF(AND(Projects!$G$43="Yes",Projects!$M$43="Yes",31&gt;=Projects!$C$43,31&lt;Projects!$C$43+Projects!$D$43),Projects!$B$43*INDEX(Curves!$B$4:$AR$4,1,31-Projects!$C$43+1),0)+IF(AND(Projects!$G$44="Yes",Projects!$M$44="Yes",31&gt;=Projects!$C$44,31&lt;Projects!$C$44+Projects!$D$44),Projects!$B$44*INDEX(Curves!$B$4:$AR$4,1,31-Projects!$C$44+1),0)+IF(AND(Projects!$G$45="Yes",Projects!$M$45="Yes",31&gt;=Projects!$C$45,31&lt;Projects!$C$45+Projects!$D$45),Projects!$B$45*INDEX(Curves!$B$4:$AR$4,1,31-Projects!$C$45+1),0)+IF(AND(Projects!$G$46="Yes",Projects!$M$46="Yes",31&gt;=Projects!$C$46,31&lt;Projects!$C$46+Projects!$D$46),Projects!$B$46*INDEX(Curves!$B$4:$AR$4,1,31-Projects!$C$46+1),0)</f>
        <v>0</v>
      </c>
      <c r="AK101" s="63">
        <f>IF(AND(Projects!$G$17="Yes",Projects!$M$17="Yes",32&gt;=Projects!$C$17,32&lt;Projects!$C$17+Projects!$D$17),Projects!$B$17*INDEX(Curves!$B$4:$AR$4,1,32-Projects!$C$17+1),0)+IF(AND(Projects!$G$18="Yes",Projects!$M$18="Yes",32&gt;=Projects!$C$18,32&lt;Projects!$C$18+Projects!$D$18),Projects!$B$18*INDEX(Curves!$B$4:$AR$4,1,32-Projects!$C$18+1),0)+IF(AND(Projects!$G$19="Yes",Projects!$M$19="Yes",32&gt;=Projects!$C$19,32&lt;Projects!$C$19+Projects!$D$19),Projects!$B$19*INDEX(Curves!$B$4:$AR$4,1,32-Projects!$C$19+1),0)+IF(AND(Projects!$G$20="Yes",Projects!$M$20="Yes",32&gt;=Projects!$C$20,32&lt;Projects!$C$20+Projects!$D$20),Projects!$B$20*INDEX(Curves!$B$4:$AR$4,1,32-Projects!$C$20+1),0)+IF(AND(Projects!$G$21="Yes",Projects!$M$21="Yes",32&gt;=Projects!$C$21,32&lt;Projects!$C$21+Projects!$D$21),Projects!$B$21*INDEX(Curves!$B$4:$AR$4,1,32-Projects!$C$21+1),0)+IF(AND(Projects!$G$22="Yes",Projects!$M$22="Yes",32&gt;=Projects!$C$22,32&lt;Projects!$C$22+Projects!$D$22),Projects!$B$22*INDEX(Curves!$B$4:$AR$4,1,32-Projects!$C$22+1),0)+IF(AND(Projects!$G$23="Yes",Projects!$M$23="Yes",32&gt;=Projects!$C$23,32&lt;Projects!$C$23+Projects!$D$23),Projects!$B$23*INDEX(Curves!$B$4:$AR$4,1,32-Projects!$C$23+1),0)+IF(AND(Projects!$G$24="Yes",Projects!$M$24="Yes",32&gt;=Projects!$C$24,32&lt;Projects!$C$24+Projects!$D$24),Projects!$B$24*INDEX(Curves!$B$4:$AR$4,1,32-Projects!$C$24+1),0)+IF(AND(Projects!$G$25="Yes",Projects!$M$25="Yes",32&gt;=Projects!$C$25,32&lt;Projects!$C$25+Projects!$D$25),Projects!$B$25*INDEX(Curves!$B$4:$AR$4,1,32-Projects!$C$25+1),0)+IF(AND(Projects!$G$26="Yes",Projects!$M$26="Yes",32&gt;=Projects!$C$26,32&lt;Projects!$C$26+Projects!$D$26),Projects!$B$26*INDEX(Curves!$B$4:$AR$4,1,32-Projects!$C$26+1),0)+IF(AND(Projects!$G$27="Yes",Projects!$M$27="Yes",32&gt;=Projects!$C$27,32&lt;Projects!$C$27+Projects!$D$27),Projects!$B$27*INDEX(Curves!$B$4:$AR$4,1,32-Projects!$C$27+1),0)+IF(AND(Projects!$G$28="Yes",Projects!$M$28="Yes",32&gt;=Projects!$C$28,32&lt;Projects!$C$28+Projects!$D$28),Projects!$B$28*INDEX(Curves!$B$4:$AR$4,1,32-Projects!$C$28+1),0)+IF(AND(Projects!$G$29="Yes",Projects!$M$29="Yes",32&gt;=Projects!$C$29,32&lt;Projects!$C$29+Projects!$D$29),Projects!$B$29*INDEX(Curves!$B$4:$AR$4,1,32-Projects!$C$29+1),0)+IF(AND(Projects!$G$30="Yes",Projects!$M$30="Yes",32&gt;=Projects!$C$30,32&lt;Projects!$C$30+Projects!$D$30),Projects!$B$30*INDEX(Curves!$B$4:$AR$4,1,32-Projects!$C$30+1),0)+IF(AND(Projects!$G$31="Yes",Projects!$M$31="Yes",32&gt;=Projects!$C$31,32&lt;Projects!$C$31+Projects!$D$31),Projects!$B$31*INDEX(Curves!$B$4:$AR$4,1,32-Projects!$C$31+1),0)+IF(AND(Projects!$G$32="Yes",Projects!$M$32="Yes",32&gt;=Projects!$C$32,32&lt;Projects!$C$32+Projects!$D$32),Projects!$B$32*INDEX(Curves!$B$4:$AR$4,1,32-Projects!$C$32+1),0)+IF(AND(Projects!$G$33="Yes",Projects!$M$33="Yes",32&gt;=Projects!$C$33,32&lt;Projects!$C$33+Projects!$D$33),Projects!$B$33*INDEX(Curves!$B$4:$AR$4,1,32-Projects!$C$33+1),0)+IF(AND(Projects!$G$34="Yes",Projects!$M$34="Yes",32&gt;=Projects!$C$34,32&lt;Projects!$C$34+Projects!$D$34),Projects!$B$34*INDEX(Curves!$B$4:$AR$4,1,32-Projects!$C$34+1),0)+IF(AND(Projects!$G$35="Yes",Projects!$M$35="Yes",32&gt;=Projects!$C$35,32&lt;Projects!$C$35+Projects!$D$35),Projects!$B$35*INDEX(Curves!$B$4:$AR$4,1,32-Projects!$C$35+1),0)+IF(AND(Projects!$G$36="Yes",Projects!$M$36="Yes",32&gt;=Projects!$C$36,32&lt;Projects!$C$36+Projects!$D$36),Projects!$B$36*INDEX(Curves!$B$4:$AR$4,1,32-Projects!$C$36+1),0)+IF(AND(Projects!$G$37="Yes",Projects!$M$37="Yes",32&gt;=Projects!$C$37,32&lt;Projects!$C$37+Projects!$D$37),Projects!$B$37*INDEX(Curves!$B$4:$AR$4,1,32-Projects!$C$37+1),0)+IF(AND(Projects!$G$38="Yes",Projects!$M$38="Yes",32&gt;=Projects!$C$38,32&lt;Projects!$C$38+Projects!$D$38),Projects!$B$38*INDEX(Curves!$B$4:$AR$4,1,32-Projects!$C$38+1),0)+IF(AND(Projects!$G$39="Yes",Projects!$M$39="Yes",32&gt;=Projects!$C$39,32&lt;Projects!$C$39+Projects!$D$39),Projects!$B$39*INDEX(Curves!$B$4:$AR$4,1,32-Projects!$C$39+1),0)+IF(AND(Projects!$G$40="Yes",Projects!$M$40="Yes",32&gt;=Projects!$C$40,32&lt;Projects!$C$40+Projects!$D$40),Projects!$B$40*INDEX(Curves!$B$4:$AR$4,1,32-Projects!$C$40+1),0)+IF(AND(Projects!$G$41="Yes",Projects!$M$41="Yes",32&gt;=Projects!$C$41,32&lt;Projects!$C$41+Projects!$D$41),Projects!$B$41*INDEX(Curves!$B$4:$AR$4,1,32-Projects!$C$41+1),0)+IF(AND(Projects!$G$42="Yes",Projects!$M$42="Yes",32&gt;=Projects!$C$42,32&lt;Projects!$C$42+Projects!$D$42),Projects!$B$42*INDEX(Curves!$B$4:$AR$4,1,32-Projects!$C$42+1),0)+IF(AND(Projects!$G$43="Yes",Projects!$M$43="Yes",32&gt;=Projects!$C$43,32&lt;Projects!$C$43+Projects!$D$43),Projects!$B$43*INDEX(Curves!$B$4:$AR$4,1,32-Projects!$C$43+1),0)+IF(AND(Projects!$G$44="Yes",Projects!$M$44="Yes",32&gt;=Projects!$C$44,32&lt;Projects!$C$44+Projects!$D$44),Projects!$B$44*INDEX(Curves!$B$4:$AR$4,1,32-Projects!$C$44+1),0)+IF(AND(Projects!$G$45="Yes",Projects!$M$45="Yes",32&gt;=Projects!$C$45,32&lt;Projects!$C$45+Projects!$D$45),Projects!$B$45*INDEX(Curves!$B$4:$AR$4,1,32-Projects!$C$45+1),0)+IF(AND(Projects!$G$46="Yes",Projects!$M$46="Yes",32&gt;=Projects!$C$46,32&lt;Projects!$C$46+Projects!$D$46),Projects!$B$46*INDEX(Curves!$B$4:$AR$4,1,32-Projects!$C$46+1),0)</f>
        <v>0</v>
      </c>
      <c r="AL101" s="63">
        <f>IF(AND(Projects!$G$17="Yes",Projects!$M$17="Yes",33&gt;=Projects!$C$17,33&lt;Projects!$C$17+Projects!$D$17),Projects!$B$17*INDEX(Curves!$B$4:$AR$4,1,33-Projects!$C$17+1),0)+IF(AND(Projects!$G$18="Yes",Projects!$M$18="Yes",33&gt;=Projects!$C$18,33&lt;Projects!$C$18+Projects!$D$18),Projects!$B$18*INDEX(Curves!$B$4:$AR$4,1,33-Projects!$C$18+1),0)+IF(AND(Projects!$G$19="Yes",Projects!$M$19="Yes",33&gt;=Projects!$C$19,33&lt;Projects!$C$19+Projects!$D$19),Projects!$B$19*INDEX(Curves!$B$4:$AR$4,1,33-Projects!$C$19+1),0)+IF(AND(Projects!$G$20="Yes",Projects!$M$20="Yes",33&gt;=Projects!$C$20,33&lt;Projects!$C$20+Projects!$D$20),Projects!$B$20*INDEX(Curves!$B$4:$AR$4,1,33-Projects!$C$20+1),0)+IF(AND(Projects!$G$21="Yes",Projects!$M$21="Yes",33&gt;=Projects!$C$21,33&lt;Projects!$C$21+Projects!$D$21),Projects!$B$21*INDEX(Curves!$B$4:$AR$4,1,33-Projects!$C$21+1),0)+IF(AND(Projects!$G$22="Yes",Projects!$M$22="Yes",33&gt;=Projects!$C$22,33&lt;Projects!$C$22+Projects!$D$22),Projects!$B$22*INDEX(Curves!$B$4:$AR$4,1,33-Projects!$C$22+1),0)+IF(AND(Projects!$G$23="Yes",Projects!$M$23="Yes",33&gt;=Projects!$C$23,33&lt;Projects!$C$23+Projects!$D$23),Projects!$B$23*INDEX(Curves!$B$4:$AR$4,1,33-Projects!$C$23+1),0)+IF(AND(Projects!$G$24="Yes",Projects!$M$24="Yes",33&gt;=Projects!$C$24,33&lt;Projects!$C$24+Projects!$D$24),Projects!$B$24*INDEX(Curves!$B$4:$AR$4,1,33-Projects!$C$24+1),0)+IF(AND(Projects!$G$25="Yes",Projects!$M$25="Yes",33&gt;=Projects!$C$25,33&lt;Projects!$C$25+Projects!$D$25),Projects!$B$25*INDEX(Curves!$B$4:$AR$4,1,33-Projects!$C$25+1),0)+IF(AND(Projects!$G$26="Yes",Projects!$M$26="Yes",33&gt;=Projects!$C$26,33&lt;Projects!$C$26+Projects!$D$26),Projects!$B$26*INDEX(Curves!$B$4:$AR$4,1,33-Projects!$C$26+1),0)+IF(AND(Projects!$G$27="Yes",Projects!$M$27="Yes",33&gt;=Projects!$C$27,33&lt;Projects!$C$27+Projects!$D$27),Projects!$B$27*INDEX(Curves!$B$4:$AR$4,1,33-Projects!$C$27+1),0)+IF(AND(Projects!$G$28="Yes",Projects!$M$28="Yes",33&gt;=Projects!$C$28,33&lt;Projects!$C$28+Projects!$D$28),Projects!$B$28*INDEX(Curves!$B$4:$AR$4,1,33-Projects!$C$28+1),0)+IF(AND(Projects!$G$29="Yes",Projects!$M$29="Yes",33&gt;=Projects!$C$29,33&lt;Projects!$C$29+Projects!$D$29),Projects!$B$29*INDEX(Curves!$B$4:$AR$4,1,33-Projects!$C$29+1),0)+IF(AND(Projects!$G$30="Yes",Projects!$M$30="Yes",33&gt;=Projects!$C$30,33&lt;Projects!$C$30+Projects!$D$30),Projects!$B$30*INDEX(Curves!$B$4:$AR$4,1,33-Projects!$C$30+1),0)+IF(AND(Projects!$G$31="Yes",Projects!$M$31="Yes",33&gt;=Projects!$C$31,33&lt;Projects!$C$31+Projects!$D$31),Projects!$B$31*INDEX(Curves!$B$4:$AR$4,1,33-Projects!$C$31+1),0)+IF(AND(Projects!$G$32="Yes",Projects!$M$32="Yes",33&gt;=Projects!$C$32,33&lt;Projects!$C$32+Projects!$D$32),Projects!$B$32*INDEX(Curves!$B$4:$AR$4,1,33-Projects!$C$32+1),0)+IF(AND(Projects!$G$33="Yes",Projects!$M$33="Yes",33&gt;=Projects!$C$33,33&lt;Projects!$C$33+Projects!$D$33),Projects!$B$33*INDEX(Curves!$B$4:$AR$4,1,33-Projects!$C$33+1),0)+IF(AND(Projects!$G$34="Yes",Projects!$M$34="Yes",33&gt;=Projects!$C$34,33&lt;Projects!$C$34+Projects!$D$34),Projects!$B$34*INDEX(Curves!$B$4:$AR$4,1,33-Projects!$C$34+1),0)+IF(AND(Projects!$G$35="Yes",Projects!$M$35="Yes",33&gt;=Projects!$C$35,33&lt;Projects!$C$35+Projects!$D$35),Projects!$B$35*INDEX(Curves!$B$4:$AR$4,1,33-Projects!$C$35+1),0)+IF(AND(Projects!$G$36="Yes",Projects!$M$36="Yes",33&gt;=Projects!$C$36,33&lt;Projects!$C$36+Projects!$D$36),Projects!$B$36*INDEX(Curves!$B$4:$AR$4,1,33-Projects!$C$36+1),0)+IF(AND(Projects!$G$37="Yes",Projects!$M$37="Yes",33&gt;=Projects!$C$37,33&lt;Projects!$C$37+Projects!$D$37),Projects!$B$37*INDEX(Curves!$B$4:$AR$4,1,33-Projects!$C$37+1),0)+IF(AND(Projects!$G$38="Yes",Projects!$M$38="Yes",33&gt;=Projects!$C$38,33&lt;Projects!$C$38+Projects!$D$38),Projects!$B$38*INDEX(Curves!$B$4:$AR$4,1,33-Projects!$C$38+1),0)+IF(AND(Projects!$G$39="Yes",Projects!$M$39="Yes",33&gt;=Projects!$C$39,33&lt;Projects!$C$39+Projects!$D$39),Projects!$B$39*INDEX(Curves!$B$4:$AR$4,1,33-Projects!$C$39+1),0)+IF(AND(Projects!$G$40="Yes",Projects!$M$40="Yes",33&gt;=Projects!$C$40,33&lt;Projects!$C$40+Projects!$D$40),Projects!$B$40*INDEX(Curves!$B$4:$AR$4,1,33-Projects!$C$40+1),0)+IF(AND(Projects!$G$41="Yes",Projects!$M$41="Yes",33&gt;=Projects!$C$41,33&lt;Projects!$C$41+Projects!$D$41),Projects!$B$41*INDEX(Curves!$B$4:$AR$4,1,33-Projects!$C$41+1),0)+IF(AND(Projects!$G$42="Yes",Projects!$M$42="Yes",33&gt;=Projects!$C$42,33&lt;Projects!$C$42+Projects!$D$42),Projects!$B$42*INDEX(Curves!$B$4:$AR$4,1,33-Projects!$C$42+1),0)+IF(AND(Projects!$G$43="Yes",Projects!$M$43="Yes",33&gt;=Projects!$C$43,33&lt;Projects!$C$43+Projects!$D$43),Projects!$B$43*INDEX(Curves!$B$4:$AR$4,1,33-Projects!$C$43+1),0)+IF(AND(Projects!$G$44="Yes",Projects!$M$44="Yes",33&gt;=Projects!$C$44,33&lt;Projects!$C$44+Projects!$D$44),Projects!$B$44*INDEX(Curves!$B$4:$AR$4,1,33-Projects!$C$44+1),0)+IF(AND(Projects!$G$45="Yes",Projects!$M$45="Yes",33&gt;=Projects!$C$45,33&lt;Projects!$C$45+Projects!$D$45),Projects!$B$45*INDEX(Curves!$B$4:$AR$4,1,33-Projects!$C$45+1),0)+IF(AND(Projects!$G$46="Yes",Projects!$M$46="Yes",33&gt;=Projects!$C$46,33&lt;Projects!$C$46+Projects!$D$46),Projects!$B$46*INDEX(Curves!$B$4:$AR$4,1,33-Projects!$C$46+1),0)</f>
        <v>0</v>
      </c>
      <c r="AM101" s="63">
        <f>IF(AND(Projects!$G$17="Yes",Projects!$M$17="Yes",34&gt;=Projects!$C$17,34&lt;Projects!$C$17+Projects!$D$17),Projects!$B$17*INDEX(Curves!$B$4:$AR$4,1,34-Projects!$C$17+1),0)+IF(AND(Projects!$G$18="Yes",Projects!$M$18="Yes",34&gt;=Projects!$C$18,34&lt;Projects!$C$18+Projects!$D$18),Projects!$B$18*INDEX(Curves!$B$4:$AR$4,1,34-Projects!$C$18+1),0)+IF(AND(Projects!$G$19="Yes",Projects!$M$19="Yes",34&gt;=Projects!$C$19,34&lt;Projects!$C$19+Projects!$D$19),Projects!$B$19*INDEX(Curves!$B$4:$AR$4,1,34-Projects!$C$19+1),0)+IF(AND(Projects!$G$20="Yes",Projects!$M$20="Yes",34&gt;=Projects!$C$20,34&lt;Projects!$C$20+Projects!$D$20),Projects!$B$20*INDEX(Curves!$B$4:$AR$4,1,34-Projects!$C$20+1),0)+IF(AND(Projects!$G$21="Yes",Projects!$M$21="Yes",34&gt;=Projects!$C$21,34&lt;Projects!$C$21+Projects!$D$21),Projects!$B$21*INDEX(Curves!$B$4:$AR$4,1,34-Projects!$C$21+1),0)+IF(AND(Projects!$G$22="Yes",Projects!$M$22="Yes",34&gt;=Projects!$C$22,34&lt;Projects!$C$22+Projects!$D$22),Projects!$B$22*INDEX(Curves!$B$4:$AR$4,1,34-Projects!$C$22+1),0)+IF(AND(Projects!$G$23="Yes",Projects!$M$23="Yes",34&gt;=Projects!$C$23,34&lt;Projects!$C$23+Projects!$D$23),Projects!$B$23*INDEX(Curves!$B$4:$AR$4,1,34-Projects!$C$23+1),0)+IF(AND(Projects!$G$24="Yes",Projects!$M$24="Yes",34&gt;=Projects!$C$24,34&lt;Projects!$C$24+Projects!$D$24),Projects!$B$24*INDEX(Curves!$B$4:$AR$4,1,34-Projects!$C$24+1),0)+IF(AND(Projects!$G$25="Yes",Projects!$M$25="Yes",34&gt;=Projects!$C$25,34&lt;Projects!$C$25+Projects!$D$25),Projects!$B$25*INDEX(Curves!$B$4:$AR$4,1,34-Projects!$C$25+1),0)+IF(AND(Projects!$G$26="Yes",Projects!$M$26="Yes",34&gt;=Projects!$C$26,34&lt;Projects!$C$26+Projects!$D$26),Projects!$B$26*INDEX(Curves!$B$4:$AR$4,1,34-Projects!$C$26+1),0)+IF(AND(Projects!$G$27="Yes",Projects!$M$27="Yes",34&gt;=Projects!$C$27,34&lt;Projects!$C$27+Projects!$D$27),Projects!$B$27*INDEX(Curves!$B$4:$AR$4,1,34-Projects!$C$27+1),0)+IF(AND(Projects!$G$28="Yes",Projects!$M$28="Yes",34&gt;=Projects!$C$28,34&lt;Projects!$C$28+Projects!$D$28),Projects!$B$28*INDEX(Curves!$B$4:$AR$4,1,34-Projects!$C$28+1),0)+IF(AND(Projects!$G$29="Yes",Projects!$M$29="Yes",34&gt;=Projects!$C$29,34&lt;Projects!$C$29+Projects!$D$29),Projects!$B$29*INDEX(Curves!$B$4:$AR$4,1,34-Projects!$C$29+1),0)+IF(AND(Projects!$G$30="Yes",Projects!$M$30="Yes",34&gt;=Projects!$C$30,34&lt;Projects!$C$30+Projects!$D$30),Projects!$B$30*INDEX(Curves!$B$4:$AR$4,1,34-Projects!$C$30+1),0)+IF(AND(Projects!$G$31="Yes",Projects!$M$31="Yes",34&gt;=Projects!$C$31,34&lt;Projects!$C$31+Projects!$D$31),Projects!$B$31*INDEX(Curves!$B$4:$AR$4,1,34-Projects!$C$31+1),0)+IF(AND(Projects!$G$32="Yes",Projects!$M$32="Yes",34&gt;=Projects!$C$32,34&lt;Projects!$C$32+Projects!$D$32),Projects!$B$32*INDEX(Curves!$B$4:$AR$4,1,34-Projects!$C$32+1),0)+IF(AND(Projects!$G$33="Yes",Projects!$M$33="Yes",34&gt;=Projects!$C$33,34&lt;Projects!$C$33+Projects!$D$33),Projects!$B$33*INDEX(Curves!$B$4:$AR$4,1,34-Projects!$C$33+1),0)+IF(AND(Projects!$G$34="Yes",Projects!$M$34="Yes",34&gt;=Projects!$C$34,34&lt;Projects!$C$34+Projects!$D$34),Projects!$B$34*INDEX(Curves!$B$4:$AR$4,1,34-Projects!$C$34+1),0)+IF(AND(Projects!$G$35="Yes",Projects!$M$35="Yes",34&gt;=Projects!$C$35,34&lt;Projects!$C$35+Projects!$D$35),Projects!$B$35*INDEX(Curves!$B$4:$AR$4,1,34-Projects!$C$35+1),0)+IF(AND(Projects!$G$36="Yes",Projects!$M$36="Yes",34&gt;=Projects!$C$36,34&lt;Projects!$C$36+Projects!$D$36),Projects!$B$36*INDEX(Curves!$B$4:$AR$4,1,34-Projects!$C$36+1),0)+IF(AND(Projects!$G$37="Yes",Projects!$M$37="Yes",34&gt;=Projects!$C$37,34&lt;Projects!$C$37+Projects!$D$37),Projects!$B$37*INDEX(Curves!$B$4:$AR$4,1,34-Projects!$C$37+1),0)+IF(AND(Projects!$G$38="Yes",Projects!$M$38="Yes",34&gt;=Projects!$C$38,34&lt;Projects!$C$38+Projects!$D$38),Projects!$B$38*INDEX(Curves!$B$4:$AR$4,1,34-Projects!$C$38+1),0)+IF(AND(Projects!$G$39="Yes",Projects!$M$39="Yes",34&gt;=Projects!$C$39,34&lt;Projects!$C$39+Projects!$D$39),Projects!$B$39*INDEX(Curves!$B$4:$AR$4,1,34-Projects!$C$39+1),0)+IF(AND(Projects!$G$40="Yes",Projects!$M$40="Yes",34&gt;=Projects!$C$40,34&lt;Projects!$C$40+Projects!$D$40),Projects!$B$40*INDEX(Curves!$B$4:$AR$4,1,34-Projects!$C$40+1),0)+IF(AND(Projects!$G$41="Yes",Projects!$M$41="Yes",34&gt;=Projects!$C$41,34&lt;Projects!$C$41+Projects!$D$41),Projects!$B$41*INDEX(Curves!$B$4:$AR$4,1,34-Projects!$C$41+1),0)+IF(AND(Projects!$G$42="Yes",Projects!$M$42="Yes",34&gt;=Projects!$C$42,34&lt;Projects!$C$42+Projects!$D$42),Projects!$B$42*INDEX(Curves!$B$4:$AR$4,1,34-Projects!$C$42+1),0)+IF(AND(Projects!$G$43="Yes",Projects!$M$43="Yes",34&gt;=Projects!$C$43,34&lt;Projects!$C$43+Projects!$D$43),Projects!$B$43*INDEX(Curves!$B$4:$AR$4,1,34-Projects!$C$43+1),0)+IF(AND(Projects!$G$44="Yes",Projects!$M$44="Yes",34&gt;=Projects!$C$44,34&lt;Projects!$C$44+Projects!$D$44),Projects!$B$44*INDEX(Curves!$B$4:$AR$4,1,34-Projects!$C$44+1),0)+IF(AND(Projects!$G$45="Yes",Projects!$M$45="Yes",34&gt;=Projects!$C$45,34&lt;Projects!$C$45+Projects!$D$45),Projects!$B$45*INDEX(Curves!$B$4:$AR$4,1,34-Projects!$C$45+1),0)+IF(AND(Projects!$G$46="Yes",Projects!$M$46="Yes",34&gt;=Projects!$C$46,34&lt;Projects!$C$46+Projects!$D$46),Projects!$B$46*INDEX(Curves!$B$4:$AR$4,1,34-Projects!$C$46+1),0)</f>
        <v>397755</v>
      </c>
      <c r="AN101" s="63">
        <f>IF(AND(Projects!$G$17="Yes",Projects!$M$17="Yes",35&gt;=Projects!$C$17,35&lt;Projects!$C$17+Projects!$D$17),Projects!$B$17*INDEX(Curves!$B$4:$AR$4,1,35-Projects!$C$17+1),0)+IF(AND(Projects!$G$18="Yes",Projects!$M$18="Yes",35&gt;=Projects!$C$18,35&lt;Projects!$C$18+Projects!$D$18),Projects!$B$18*INDEX(Curves!$B$4:$AR$4,1,35-Projects!$C$18+1),0)+IF(AND(Projects!$G$19="Yes",Projects!$M$19="Yes",35&gt;=Projects!$C$19,35&lt;Projects!$C$19+Projects!$D$19),Projects!$B$19*INDEX(Curves!$B$4:$AR$4,1,35-Projects!$C$19+1),0)+IF(AND(Projects!$G$20="Yes",Projects!$M$20="Yes",35&gt;=Projects!$C$20,35&lt;Projects!$C$20+Projects!$D$20),Projects!$B$20*INDEX(Curves!$B$4:$AR$4,1,35-Projects!$C$20+1),0)+IF(AND(Projects!$G$21="Yes",Projects!$M$21="Yes",35&gt;=Projects!$C$21,35&lt;Projects!$C$21+Projects!$D$21),Projects!$B$21*INDEX(Curves!$B$4:$AR$4,1,35-Projects!$C$21+1),0)+IF(AND(Projects!$G$22="Yes",Projects!$M$22="Yes",35&gt;=Projects!$C$22,35&lt;Projects!$C$22+Projects!$D$22),Projects!$B$22*INDEX(Curves!$B$4:$AR$4,1,35-Projects!$C$22+1),0)+IF(AND(Projects!$G$23="Yes",Projects!$M$23="Yes",35&gt;=Projects!$C$23,35&lt;Projects!$C$23+Projects!$D$23),Projects!$B$23*INDEX(Curves!$B$4:$AR$4,1,35-Projects!$C$23+1),0)+IF(AND(Projects!$G$24="Yes",Projects!$M$24="Yes",35&gt;=Projects!$C$24,35&lt;Projects!$C$24+Projects!$D$24),Projects!$B$24*INDEX(Curves!$B$4:$AR$4,1,35-Projects!$C$24+1),0)+IF(AND(Projects!$G$25="Yes",Projects!$M$25="Yes",35&gt;=Projects!$C$25,35&lt;Projects!$C$25+Projects!$D$25),Projects!$B$25*INDEX(Curves!$B$4:$AR$4,1,35-Projects!$C$25+1),0)+IF(AND(Projects!$G$26="Yes",Projects!$M$26="Yes",35&gt;=Projects!$C$26,35&lt;Projects!$C$26+Projects!$D$26),Projects!$B$26*INDEX(Curves!$B$4:$AR$4,1,35-Projects!$C$26+1),0)+IF(AND(Projects!$G$27="Yes",Projects!$M$27="Yes",35&gt;=Projects!$C$27,35&lt;Projects!$C$27+Projects!$D$27),Projects!$B$27*INDEX(Curves!$B$4:$AR$4,1,35-Projects!$C$27+1),0)+IF(AND(Projects!$G$28="Yes",Projects!$M$28="Yes",35&gt;=Projects!$C$28,35&lt;Projects!$C$28+Projects!$D$28),Projects!$B$28*INDEX(Curves!$B$4:$AR$4,1,35-Projects!$C$28+1),0)+IF(AND(Projects!$G$29="Yes",Projects!$M$29="Yes",35&gt;=Projects!$C$29,35&lt;Projects!$C$29+Projects!$D$29),Projects!$B$29*INDEX(Curves!$B$4:$AR$4,1,35-Projects!$C$29+1),0)+IF(AND(Projects!$G$30="Yes",Projects!$M$30="Yes",35&gt;=Projects!$C$30,35&lt;Projects!$C$30+Projects!$D$30),Projects!$B$30*INDEX(Curves!$B$4:$AR$4,1,35-Projects!$C$30+1),0)+IF(AND(Projects!$G$31="Yes",Projects!$M$31="Yes",35&gt;=Projects!$C$31,35&lt;Projects!$C$31+Projects!$D$31),Projects!$B$31*INDEX(Curves!$B$4:$AR$4,1,35-Projects!$C$31+1),0)+IF(AND(Projects!$G$32="Yes",Projects!$M$32="Yes",35&gt;=Projects!$C$32,35&lt;Projects!$C$32+Projects!$D$32),Projects!$B$32*INDEX(Curves!$B$4:$AR$4,1,35-Projects!$C$32+1),0)+IF(AND(Projects!$G$33="Yes",Projects!$M$33="Yes",35&gt;=Projects!$C$33,35&lt;Projects!$C$33+Projects!$D$33),Projects!$B$33*INDEX(Curves!$B$4:$AR$4,1,35-Projects!$C$33+1),0)+IF(AND(Projects!$G$34="Yes",Projects!$M$34="Yes",35&gt;=Projects!$C$34,35&lt;Projects!$C$34+Projects!$D$34),Projects!$B$34*INDEX(Curves!$B$4:$AR$4,1,35-Projects!$C$34+1),0)+IF(AND(Projects!$G$35="Yes",Projects!$M$35="Yes",35&gt;=Projects!$C$35,35&lt;Projects!$C$35+Projects!$D$35),Projects!$B$35*INDEX(Curves!$B$4:$AR$4,1,35-Projects!$C$35+1),0)+IF(AND(Projects!$G$36="Yes",Projects!$M$36="Yes",35&gt;=Projects!$C$36,35&lt;Projects!$C$36+Projects!$D$36),Projects!$B$36*INDEX(Curves!$B$4:$AR$4,1,35-Projects!$C$36+1),0)+IF(AND(Projects!$G$37="Yes",Projects!$M$37="Yes",35&gt;=Projects!$C$37,35&lt;Projects!$C$37+Projects!$D$37),Projects!$B$37*INDEX(Curves!$B$4:$AR$4,1,35-Projects!$C$37+1),0)+IF(AND(Projects!$G$38="Yes",Projects!$M$38="Yes",35&gt;=Projects!$C$38,35&lt;Projects!$C$38+Projects!$D$38),Projects!$B$38*INDEX(Curves!$B$4:$AR$4,1,35-Projects!$C$38+1),0)+IF(AND(Projects!$G$39="Yes",Projects!$M$39="Yes",35&gt;=Projects!$C$39,35&lt;Projects!$C$39+Projects!$D$39),Projects!$B$39*INDEX(Curves!$B$4:$AR$4,1,35-Projects!$C$39+1),0)+IF(AND(Projects!$G$40="Yes",Projects!$M$40="Yes",35&gt;=Projects!$C$40,35&lt;Projects!$C$40+Projects!$D$40),Projects!$B$40*INDEX(Curves!$B$4:$AR$4,1,35-Projects!$C$40+1),0)+IF(AND(Projects!$G$41="Yes",Projects!$M$41="Yes",35&gt;=Projects!$C$41,35&lt;Projects!$C$41+Projects!$D$41),Projects!$B$41*INDEX(Curves!$B$4:$AR$4,1,35-Projects!$C$41+1),0)+IF(AND(Projects!$G$42="Yes",Projects!$M$42="Yes",35&gt;=Projects!$C$42,35&lt;Projects!$C$42+Projects!$D$42),Projects!$B$42*INDEX(Curves!$B$4:$AR$4,1,35-Projects!$C$42+1),0)+IF(AND(Projects!$G$43="Yes",Projects!$M$43="Yes",35&gt;=Projects!$C$43,35&lt;Projects!$C$43+Projects!$D$43),Projects!$B$43*INDEX(Curves!$B$4:$AR$4,1,35-Projects!$C$43+1),0)+IF(AND(Projects!$G$44="Yes",Projects!$M$44="Yes",35&gt;=Projects!$C$44,35&lt;Projects!$C$44+Projects!$D$44),Projects!$B$44*INDEX(Curves!$B$4:$AR$4,1,35-Projects!$C$44+1),0)+IF(AND(Projects!$G$45="Yes",Projects!$M$45="Yes",35&gt;=Projects!$C$45,35&lt;Projects!$C$45+Projects!$D$45),Projects!$B$45*INDEX(Curves!$B$4:$AR$4,1,35-Projects!$C$45+1),0)+IF(AND(Projects!$G$46="Yes",Projects!$M$46="Yes",35&gt;=Projects!$C$46,35&lt;Projects!$C$46+Projects!$D$46),Projects!$B$46*INDEX(Curves!$B$4:$AR$4,1,35-Projects!$C$46+1),0)</f>
        <v>491415</v>
      </c>
      <c r="AO101" s="63">
        <f>IF(AND(Projects!$G$17="Yes",Projects!$M$17="Yes",36&gt;=Projects!$C$17,36&lt;Projects!$C$17+Projects!$D$17),Projects!$B$17*INDEX(Curves!$B$4:$AR$4,1,36-Projects!$C$17+1),0)+IF(AND(Projects!$G$18="Yes",Projects!$M$18="Yes",36&gt;=Projects!$C$18,36&lt;Projects!$C$18+Projects!$D$18),Projects!$B$18*INDEX(Curves!$B$4:$AR$4,1,36-Projects!$C$18+1),0)+IF(AND(Projects!$G$19="Yes",Projects!$M$19="Yes",36&gt;=Projects!$C$19,36&lt;Projects!$C$19+Projects!$D$19),Projects!$B$19*INDEX(Curves!$B$4:$AR$4,1,36-Projects!$C$19+1),0)+IF(AND(Projects!$G$20="Yes",Projects!$M$20="Yes",36&gt;=Projects!$C$20,36&lt;Projects!$C$20+Projects!$D$20),Projects!$B$20*INDEX(Curves!$B$4:$AR$4,1,36-Projects!$C$20+1),0)+IF(AND(Projects!$G$21="Yes",Projects!$M$21="Yes",36&gt;=Projects!$C$21,36&lt;Projects!$C$21+Projects!$D$21),Projects!$B$21*INDEX(Curves!$B$4:$AR$4,1,36-Projects!$C$21+1),0)+IF(AND(Projects!$G$22="Yes",Projects!$M$22="Yes",36&gt;=Projects!$C$22,36&lt;Projects!$C$22+Projects!$D$22),Projects!$B$22*INDEX(Curves!$B$4:$AR$4,1,36-Projects!$C$22+1),0)+IF(AND(Projects!$G$23="Yes",Projects!$M$23="Yes",36&gt;=Projects!$C$23,36&lt;Projects!$C$23+Projects!$D$23),Projects!$B$23*INDEX(Curves!$B$4:$AR$4,1,36-Projects!$C$23+1),0)+IF(AND(Projects!$G$24="Yes",Projects!$M$24="Yes",36&gt;=Projects!$C$24,36&lt;Projects!$C$24+Projects!$D$24),Projects!$B$24*INDEX(Curves!$B$4:$AR$4,1,36-Projects!$C$24+1),0)+IF(AND(Projects!$G$25="Yes",Projects!$M$25="Yes",36&gt;=Projects!$C$25,36&lt;Projects!$C$25+Projects!$D$25),Projects!$B$25*INDEX(Curves!$B$4:$AR$4,1,36-Projects!$C$25+1),0)+IF(AND(Projects!$G$26="Yes",Projects!$M$26="Yes",36&gt;=Projects!$C$26,36&lt;Projects!$C$26+Projects!$D$26),Projects!$B$26*INDEX(Curves!$B$4:$AR$4,1,36-Projects!$C$26+1),0)+IF(AND(Projects!$G$27="Yes",Projects!$M$27="Yes",36&gt;=Projects!$C$27,36&lt;Projects!$C$27+Projects!$D$27),Projects!$B$27*INDEX(Curves!$B$4:$AR$4,1,36-Projects!$C$27+1),0)+IF(AND(Projects!$G$28="Yes",Projects!$M$28="Yes",36&gt;=Projects!$C$28,36&lt;Projects!$C$28+Projects!$D$28),Projects!$B$28*INDEX(Curves!$B$4:$AR$4,1,36-Projects!$C$28+1),0)+IF(AND(Projects!$G$29="Yes",Projects!$M$29="Yes",36&gt;=Projects!$C$29,36&lt;Projects!$C$29+Projects!$D$29),Projects!$B$29*INDEX(Curves!$B$4:$AR$4,1,36-Projects!$C$29+1),0)+IF(AND(Projects!$G$30="Yes",Projects!$M$30="Yes",36&gt;=Projects!$C$30,36&lt;Projects!$C$30+Projects!$D$30),Projects!$B$30*INDEX(Curves!$B$4:$AR$4,1,36-Projects!$C$30+1),0)+IF(AND(Projects!$G$31="Yes",Projects!$M$31="Yes",36&gt;=Projects!$C$31,36&lt;Projects!$C$31+Projects!$D$31),Projects!$B$31*INDEX(Curves!$B$4:$AR$4,1,36-Projects!$C$31+1),0)+IF(AND(Projects!$G$32="Yes",Projects!$M$32="Yes",36&gt;=Projects!$C$32,36&lt;Projects!$C$32+Projects!$D$32),Projects!$B$32*INDEX(Curves!$B$4:$AR$4,1,36-Projects!$C$32+1),0)+IF(AND(Projects!$G$33="Yes",Projects!$M$33="Yes",36&gt;=Projects!$C$33,36&lt;Projects!$C$33+Projects!$D$33),Projects!$B$33*INDEX(Curves!$B$4:$AR$4,1,36-Projects!$C$33+1),0)+IF(AND(Projects!$G$34="Yes",Projects!$M$34="Yes",36&gt;=Projects!$C$34,36&lt;Projects!$C$34+Projects!$D$34),Projects!$B$34*INDEX(Curves!$B$4:$AR$4,1,36-Projects!$C$34+1),0)+IF(AND(Projects!$G$35="Yes",Projects!$M$35="Yes",36&gt;=Projects!$C$35,36&lt;Projects!$C$35+Projects!$D$35),Projects!$B$35*INDEX(Curves!$B$4:$AR$4,1,36-Projects!$C$35+1),0)+IF(AND(Projects!$G$36="Yes",Projects!$M$36="Yes",36&gt;=Projects!$C$36,36&lt;Projects!$C$36+Projects!$D$36),Projects!$B$36*INDEX(Curves!$B$4:$AR$4,1,36-Projects!$C$36+1),0)+IF(AND(Projects!$G$37="Yes",Projects!$M$37="Yes",36&gt;=Projects!$C$37,36&lt;Projects!$C$37+Projects!$D$37),Projects!$B$37*INDEX(Curves!$B$4:$AR$4,1,36-Projects!$C$37+1),0)+IF(AND(Projects!$G$38="Yes",Projects!$M$38="Yes",36&gt;=Projects!$C$38,36&lt;Projects!$C$38+Projects!$D$38),Projects!$B$38*INDEX(Curves!$B$4:$AR$4,1,36-Projects!$C$38+1),0)+IF(AND(Projects!$G$39="Yes",Projects!$M$39="Yes",36&gt;=Projects!$C$39,36&lt;Projects!$C$39+Projects!$D$39),Projects!$B$39*INDEX(Curves!$B$4:$AR$4,1,36-Projects!$C$39+1),0)+IF(AND(Projects!$G$40="Yes",Projects!$M$40="Yes",36&gt;=Projects!$C$40,36&lt;Projects!$C$40+Projects!$D$40),Projects!$B$40*INDEX(Curves!$B$4:$AR$4,1,36-Projects!$C$40+1),0)+IF(AND(Projects!$G$41="Yes",Projects!$M$41="Yes",36&gt;=Projects!$C$41,36&lt;Projects!$C$41+Projects!$D$41),Projects!$B$41*INDEX(Curves!$B$4:$AR$4,1,36-Projects!$C$41+1),0)+IF(AND(Projects!$G$42="Yes",Projects!$M$42="Yes",36&gt;=Projects!$C$42,36&lt;Projects!$C$42+Projects!$D$42),Projects!$B$42*INDEX(Curves!$B$4:$AR$4,1,36-Projects!$C$42+1),0)+IF(AND(Projects!$G$43="Yes",Projects!$M$43="Yes",36&gt;=Projects!$C$43,36&lt;Projects!$C$43+Projects!$D$43),Projects!$B$43*INDEX(Curves!$B$4:$AR$4,1,36-Projects!$C$43+1),0)+IF(AND(Projects!$G$44="Yes",Projects!$M$44="Yes",36&gt;=Projects!$C$44,36&lt;Projects!$C$44+Projects!$D$44),Projects!$B$44*INDEX(Curves!$B$4:$AR$4,1,36-Projects!$C$44+1),0)+IF(AND(Projects!$G$45="Yes",Projects!$M$45="Yes",36&gt;=Projects!$C$45,36&lt;Projects!$C$45+Projects!$D$45),Projects!$B$45*INDEX(Curves!$B$4:$AR$4,1,36-Projects!$C$45+1),0)+IF(AND(Projects!$G$46="Yes",Projects!$M$46="Yes",36&gt;=Projects!$C$46,36&lt;Projects!$C$46+Projects!$D$46),Projects!$B$46*INDEX(Curves!$B$4:$AR$4,1,36-Projects!$C$46+1),0)</f>
        <v>592230</v>
      </c>
      <c r="AP101" s="63">
        <f>IF(AND(Projects!$G$17="Yes",Projects!$M$17="Yes",37&gt;=Projects!$C$17,37&lt;Projects!$C$17+Projects!$D$17),Projects!$B$17*INDEX(Curves!$B$4:$AR$4,1,37-Projects!$C$17+1),0)+IF(AND(Projects!$G$18="Yes",Projects!$M$18="Yes",37&gt;=Projects!$C$18,37&lt;Projects!$C$18+Projects!$D$18),Projects!$B$18*INDEX(Curves!$B$4:$AR$4,1,37-Projects!$C$18+1),0)+IF(AND(Projects!$G$19="Yes",Projects!$M$19="Yes",37&gt;=Projects!$C$19,37&lt;Projects!$C$19+Projects!$D$19),Projects!$B$19*INDEX(Curves!$B$4:$AR$4,1,37-Projects!$C$19+1),0)+IF(AND(Projects!$G$20="Yes",Projects!$M$20="Yes",37&gt;=Projects!$C$20,37&lt;Projects!$C$20+Projects!$D$20),Projects!$B$20*INDEX(Curves!$B$4:$AR$4,1,37-Projects!$C$20+1),0)+IF(AND(Projects!$G$21="Yes",Projects!$M$21="Yes",37&gt;=Projects!$C$21,37&lt;Projects!$C$21+Projects!$D$21),Projects!$B$21*INDEX(Curves!$B$4:$AR$4,1,37-Projects!$C$21+1),0)+IF(AND(Projects!$G$22="Yes",Projects!$M$22="Yes",37&gt;=Projects!$C$22,37&lt;Projects!$C$22+Projects!$D$22),Projects!$B$22*INDEX(Curves!$B$4:$AR$4,1,37-Projects!$C$22+1),0)+IF(AND(Projects!$G$23="Yes",Projects!$M$23="Yes",37&gt;=Projects!$C$23,37&lt;Projects!$C$23+Projects!$D$23),Projects!$B$23*INDEX(Curves!$B$4:$AR$4,1,37-Projects!$C$23+1),0)+IF(AND(Projects!$G$24="Yes",Projects!$M$24="Yes",37&gt;=Projects!$C$24,37&lt;Projects!$C$24+Projects!$D$24),Projects!$B$24*INDEX(Curves!$B$4:$AR$4,1,37-Projects!$C$24+1),0)+IF(AND(Projects!$G$25="Yes",Projects!$M$25="Yes",37&gt;=Projects!$C$25,37&lt;Projects!$C$25+Projects!$D$25),Projects!$B$25*INDEX(Curves!$B$4:$AR$4,1,37-Projects!$C$25+1),0)+IF(AND(Projects!$G$26="Yes",Projects!$M$26="Yes",37&gt;=Projects!$C$26,37&lt;Projects!$C$26+Projects!$D$26),Projects!$B$26*INDEX(Curves!$B$4:$AR$4,1,37-Projects!$C$26+1),0)+IF(AND(Projects!$G$27="Yes",Projects!$M$27="Yes",37&gt;=Projects!$C$27,37&lt;Projects!$C$27+Projects!$D$27),Projects!$B$27*INDEX(Curves!$B$4:$AR$4,1,37-Projects!$C$27+1),0)+IF(AND(Projects!$G$28="Yes",Projects!$M$28="Yes",37&gt;=Projects!$C$28,37&lt;Projects!$C$28+Projects!$D$28),Projects!$B$28*INDEX(Curves!$B$4:$AR$4,1,37-Projects!$C$28+1),0)+IF(AND(Projects!$G$29="Yes",Projects!$M$29="Yes",37&gt;=Projects!$C$29,37&lt;Projects!$C$29+Projects!$D$29),Projects!$B$29*INDEX(Curves!$B$4:$AR$4,1,37-Projects!$C$29+1),0)+IF(AND(Projects!$G$30="Yes",Projects!$M$30="Yes",37&gt;=Projects!$C$30,37&lt;Projects!$C$30+Projects!$D$30),Projects!$B$30*INDEX(Curves!$B$4:$AR$4,1,37-Projects!$C$30+1),0)+IF(AND(Projects!$G$31="Yes",Projects!$M$31="Yes",37&gt;=Projects!$C$31,37&lt;Projects!$C$31+Projects!$D$31),Projects!$B$31*INDEX(Curves!$B$4:$AR$4,1,37-Projects!$C$31+1),0)+IF(AND(Projects!$G$32="Yes",Projects!$M$32="Yes",37&gt;=Projects!$C$32,37&lt;Projects!$C$32+Projects!$D$32),Projects!$B$32*INDEX(Curves!$B$4:$AR$4,1,37-Projects!$C$32+1),0)+IF(AND(Projects!$G$33="Yes",Projects!$M$33="Yes",37&gt;=Projects!$C$33,37&lt;Projects!$C$33+Projects!$D$33),Projects!$B$33*INDEX(Curves!$B$4:$AR$4,1,37-Projects!$C$33+1),0)+IF(AND(Projects!$G$34="Yes",Projects!$M$34="Yes",37&gt;=Projects!$C$34,37&lt;Projects!$C$34+Projects!$D$34),Projects!$B$34*INDEX(Curves!$B$4:$AR$4,1,37-Projects!$C$34+1),0)+IF(AND(Projects!$G$35="Yes",Projects!$M$35="Yes",37&gt;=Projects!$C$35,37&lt;Projects!$C$35+Projects!$D$35),Projects!$B$35*INDEX(Curves!$B$4:$AR$4,1,37-Projects!$C$35+1),0)+IF(AND(Projects!$G$36="Yes",Projects!$M$36="Yes",37&gt;=Projects!$C$36,37&lt;Projects!$C$36+Projects!$D$36),Projects!$B$36*INDEX(Curves!$B$4:$AR$4,1,37-Projects!$C$36+1),0)+IF(AND(Projects!$G$37="Yes",Projects!$M$37="Yes",37&gt;=Projects!$C$37,37&lt;Projects!$C$37+Projects!$D$37),Projects!$B$37*INDEX(Curves!$B$4:$AR$4,1,37-Projects!$C$37+1),0)+IF(AND(Projects!$G$38="Yes",Projects!$M$38="Yes",37&gt;=Projects!$C$38,37&lt;Projects!$C$38+Projects!$D$38),Projects!$B$38*INDEX(Curves!$B$4:$AR$4,1,37-Projects!$C$38+1),0)+IF(AND(Projects!$G$39="Yes",Projects!$M$39="Yes",37&gt;=Projects!$C$39,37&lt;Projects!$C$39+Projects!$D$39),Projects!$B$39*INDEX(Curves!$B$4:$AR$4,1,37-Projects!$C$39+1),0)+IF(AND(Projects!$G$40="Yes",Projects!$M$40="Yes",37&gt;=Projects!$C$40,37&lt;Projects!$C$40+Projects!$D$40),Projects!$B$40*INDEX(Curves!$B$4:$AR$4,1,37-Projects!$C$40+1),0)+IF(AND(Projects!$G$41="Yes",Projects!$M$41="Yes",37&gt;=Projects!$C$41,37&lt;Projects!$C$41+Projects!$D$41),Projects!$B$41*INDEX(Curves!$B$4:$AR$4,1,37-Projects!$C$41+1),0)+IF(AND(Projects!$G$42="Yes",Projects!$M$42="Yes",37&gt;=Projects!$C$42,37&lt;Projects!$C$42+Projects!$D$42),Projects!$B$42*INDEX(Curves!$B$4:$AR$4,1,37-Projects!$C$42+1),0)+IF(AND(Projects!$G$43="Yes",Projects!$M$43="Yes",37&gt;=Projects!$C$43,37&lt;Projects!$C$43+Projects!$D$43),Projects!$B$43*INDEX(Curves!$B$4:$AR$4,1,37-Projects!$C$43+1),0)+IF(AND(Projects!$G$44="Yes",Projects!$M$44="Yes",37&gt;=Projects!$C$44,37&lt;Projects!$C$44+Projects!$D$44),Projects!$B$44*INDEX(Curves!$B$4:$AR$4,1,37-Projects!$C$44+1),0)+IF(AND(Projects!$G$45="Yes",Projects!$M$45="Yes",37&gt;=Projects!$C$45,37&lt;Projects!$C$45+Projects!$D$45),Projects!$B$45*INDEX(Curves!$B$4:$AR$4,1,37-Projects!$C$45+1),0)+IF(AND(Projects!$G$46="Yes",Projects!$M$46="Yes",37&gt;=Projects!$C$46,37&lt;Projects!$C$46+Projects!$D$46),Projects!$B$46*INDEX(Curves!$B$4:$AR$4,1,37-Projects!$C$46+1),0)</f>
        <v>696180</v>
      </c>
      <c r="AQ101" s="63">
        <f>IF(AND(Projects!$G$17="Yes",Projects!$M$17="Yes",38&gt;=Projects!$C$17,38&lt;Projects!$C$17+Projects!$D$17),Projects!$B$17*INDEX(Curves!$B$4:$AR$4,1,38-Projects!$C$17+1),0)+IF(AND(Projects!$G$18="Yes",Projects!$M$18="Yes",38&gt;=Projects!$C$18,38&lt;Projects!$C$18+Projects!$D$18),Projects!$B$18*INDEX(Curves!$B$4:$AR$4,1,38-Projects!$C$18+1),0)+IF(AND(Projects!$G$19="Yes",Projects!$M$19="Yes",38&gt;=Projects!$C$19,38&lt;Projects!$C$19+Projects!$D$19),Projects!$B$19*INDEX(Curves!$B$4:$AR$4,1,38-Projects!$C$19+1),0)+IF(AND(Projects!$G$20="Yes",Projects!$M$20="Yes",38&gt;=Projects!$C$20,38&lt;Projects!$C$20+Projects!$D$20),Projects!$B$20*INDEX(Curves!$B$4:$AR$4,1,38-Projects!$C$20+1),0)+IF(AND(Projects!$G$21="Yes",Projects!$M$21="Yes",38&gt;=Projects!$C$21,38&lt;Projects!$C$21+Projects!$D$21),Projects!$B$21*INDEX(Curves!$B$4:$AR$4,1,38-Projects!$C$21+1),0)+IF(AND(Projects!$G$22="Yes",Projects!$M$22="Yes",38&gt;=Projects!$C$22,38&lt;Projects!$C$22+Projects!$D$22),Projects!$B$22*INDEX(Curves!$B$4:$AR$4,1,38-Projects!$C$22+1),0)+IF(AND(Projects!$G$23="Yes",Projects!$M$23="Yes",38&gt;=Projects!$C$23,38&lt;Projects!$C$23+Projects!$D$23),Projects!$B$23*INDEX(Curves!$B$4:$AR$4,1,38-Projects!$C$23+1),0)+IF(AND(Projects!$G$24="Yes",Projects!$M$24="Yes",38&gt;=Projects!$C$24,38&lt;Projects!$C$24+Projects!$D$24),Projects!$B$24*INDEX(Curves!$B$4:$AR$4,1,38-Projects!$C$24+1),0)+IF(AND(Projects!$G$25="Yes",Projects!$M$25="Yes",38&gt;=Projects!$C$25,38&lt;Projects!$C$25+Projects!$D$25),Projects!$B$25*INDEX(Curves!$B$4:$AR$4,1,38-Projects!$C$25+1),0)+IF(AND(Projects!$G$26="Yes",Projects!$M$26="Yes",38&gt;=Projects!$C$26,38&lt;Projects!$C$26+Projects!$D$26),Projects!$B$26*INDEX(Curves!$B$4:$AR$4,1,38-Projects!$C$26+1),0)+IF(AND(Projects!$G$27="Yes",Projects!$M$27="Yes",38&gt;=Projects!$C$27,38&lt;Projects!$C$27+Projects!$D$27),Projects!$B$27*INDEX(Curves!$B$4:$AR$4,1,38-Projects!$C$27+1),0)+IF(AND(Projects!$G$28="Yes",Projects!$M$28="Yes",38&gt;=Projects!$C$28,38&lt;Projects!$C$28+Projects!$D$28),Projects!$B$28*INDEX(Curves!$B$4:$AR$4,1,38-Projects!$C$28+1),0)+IF(AND(Projects!$G$29="Yes",Projects!$M$29="Yes",38&gt;=Projects!$C$29,38&lt;Projects!$C$29+Projects!$D$29),Projects!$B$29*INDEX(Curves!$B$4:$AR$4,1,38-Projects!$C$29+1),0)+IF(AND(Projects!$G$30="Yes",Projects!$M$30="Yes",38&gt;=Projects!$C$30,38&lt;Projects!$C$30+Projects!$D$30),Projects!$B$30*INDEX(Curves!$B$4:$AR$4,1,38-Projects!$C$30+1),0)+IF(AND(Projects!$G$31="Yes",Projects!$M$31="Yes",38&gt;=Projects!$C$31,38&lt;Projects!$C$31+Projects!$D$31),Projects!$B$31*INDEX(Curves!$B$4:$AR$4,1,38-Projects!$C$31+1),0)+IF(AND(Projects!$G$32="Yes",Projects!$M$32="Yes",38&gt;=Projects!$C$32,38&lt;Projects!$C$32+Projects!$D$32),Projects!$B$32*INDEX(Curves!$B$4:$AR$4,1,38-Projects!$C$32+1),0)+IF(AND(Projects!$G$33="Yes",Projects!$M$33="Yes",38&gt;=Projects!$C$33,38&lt;Projects!$C$33+Projects!$D$33),Projects!$B$33*INDEX(Curves!$B$4:$AR$4,1,38-Projects!$C$33+1),0)+IF(AND(Projects!$G$34="Yes",Projects!$M$34="Yes",38&gt;=Projects!$C$34,38&lt;Projects!$C$34+Projects!$D$34),Projects!$B$34*INDEX(Curves!$B$4:$AR$4,1,38-Projects!$C$34+1),0)+IF(AND(Projects!$G$35="Yes",Projects!$M$35="Yes",38&gt;=Projects!$C$35,38&lt;Projects!$C$35+Projects!$D$35),Projects!$B$35*INDEX(Curves!$B$4:$AR$4,1,38-Projects!$C$35+1),0)+IF(AND(Projects!$G$36="Yes",Projects!$M$36="Yes",38&gt;=Projects!$C$36,38&lt;Projects!$C$36+Projects!$D$36),Projects!$B$36*INDEX(Curves!$B$4:$AR$4,1,38-Projects!$C$36+1),0)+IF(AND(Projects!$G$37="Yes",Projects!$M$37="Yes",38&gt;=Projects!$C$37,38&lt;Projects!$C$37+Projects!$D$37),Projects!$B$37*INDEX(Curves!$B$4:$AR$4,1,38-Projects!$C$37+1),0)+IF(AND(Projects!$G$38="Yes",Projects!$M$38="Yes",38&gt;=Projects!$C$38,38&lt;Projects!$C$38+Projects!$D$38),Projects!$B$38*INDEX(Curves!$B$4:$AR$4,1,38-Projects!$C$38+1),0)+IF(AND(Projects!$G$39="Yes",Projects!$M$39="Yes",38&gt;=Projects!$C$39,38&lt;Projects!$C$39+Projects!$D$39),Projects!$B$39*INDEX(Curves!$B$4:$AR$4,1,38-Projects!$C$39+1),0)+IF(AND(Projects!$G$40="Yes",Projects!$M$40="Yes",38&gt;=Projects!$C$40,38&lt;Projects!$C$40+Projects!$D$40),Projects!$B$40*INDEX(Curves!$B$4:$AR$4,1,38-Projects!$C$40+1),0)+IF(AND(Projects!$G$41="Yes",Projects!$M$41="Yes",38&gt;=Projects!$C$41,38&lt;Projects!$C$41+Projects!$D$41),Projects!$B$41*INDEX(Curves!$B$4:$AR$4,1,38-Projects!$C$41+1),0)+IF(AND(Projects!$G$42="Yes",Projects!$M$42="Yes",38&gt;=Projects!$C$42,38&lt;Projects!$C$42+Projects!$D$42),Projects!$B$42*INDEX(Curves!$B$4:$AR$4,1,38-Projects!$C$42+1),0)+IF(AND(Projects!$G$43="Yes",Projects!$M$43="Yes",38&gt;=Projects!$C$43,38&lt;Projects!$C$43+Projects!$D$43),Projects!$B$43*INDEX(Curves!$B$4:$AR$4,1,38-Projects!$C$43+1),0)+IF(AND(Projects!$G$44="Yes",Projects!$M$44="Yes",38&gt;=Projects!$C$44,38&lt;Projects!$C$44+Projects!$D$44),Projects!$B$44*INDEX(Curves!$B$4:$AR$4,1,38-Projects!$C$44+1),0)+IF(AND(Projects!$G$45="Yes",Projects!$M$45="Yes",38&gt;=Projects!$C$45,38&lt;Projects!$C$45+Projects!$D$45),Projects!$B$45*INDEX(Curves!$B$4:$AR$4,1,38-Projects!$C$45+1),0)+IF(AND(Projects!$G$46="Yes",Projects!$M$46="Yes",38&gt;=Projects!$C$46,38&lt;Projects!$C$46+Projects!$D$46),Projects!$B$46*INDEX(Curves!$B$4:$AR$4,1,38-Projects!$C$46+1),0)</f>
        <v>798270</v>
      </c>
      <c r="AR101" s="63">
        <f>IF(AND(Projects!$G$17="Yes",Projects!$M$17="Yes",39&gt;=Projects!$C$17,39&lt;Projects!$C$17+Projects!$D$17),Projects!$B$17*INDEX(Curves!$B$4:$AR$4,1,39-Projects!$C$17+1),0)+IF(AND(Projects!$G$18="Yes",Projects!$M$18="Yes",39&gt;=Projects!$C$18,39&lt;Projects!$C$18+Projects!$D$18),Projects!$B$18*INDEX(Curves!$B$4:$AR$4,1,39-Projects!$C$18+1),0)+IF(AND(Projects!$G$19="Yes",Projects!$M$19="Yes",39&gt;=Projects!$C$19,39&lt;Projects!$C$19+Projects!$D$19),Projects!$B$19*INDEX(Curves!$B$4:$AR$4,1,39-Projects!$C$19+1),0)+IF(AND(Projects!$G$20="Yes",Projects!$M$20="Yes",39&gt;=Projects!$C$20,39&lt;Projects!$C$20+Projects!$D$20),Projects!$B$20*INDEX(Curves!$B$4:$AR$4,1,39-Projects!$C$20+1),0)+IF(AND(Projects!$G$21="Yes",Projects!$M$21="Yes",39&gt;=Projects!$C$21,39&lt;Projects!$C$21+Projects!$D$21),Projects!$B$21*INDEX(Curves!$B$4:$AR$4,1,39-Projects!$C$21+1),0)+IF(AND(Projects!$G$22="Yes",Projects!$M$22="Yes",39&gt;=Projects!$C$22,39&lt;Projects!$C$22+Projects!$D$22),Projects!$B$22*INDEX(Curves!$B$4:$AR$4,1,39-Projects!$C$22+1),0)+IF(AND(Projects!$G$23="Yes",Projects!$M$23="Yes",39&gt;=Projects!$C$23,39&lt;Projects!$C$23+Projects!$D$23),Projects!$B$23*INDEX(Curves!$B$4:$AR$4,1,39-Projects!$C$23+1),0)+IF(AND(Projects!$G$24="Yes",Projects!$M$24="Yes",39&gt;=Projects!$C$24,39&lt;Projects!$C$24+Projects!$D$24),Projects!$B$24*INDEX(Curves!$B$4:$AR$4,1,39-Projects!$C$24+1),0)+IF(AND(Projects!$G$25="Yes",Projects!$M$25="Yes",39&gt;=Projects!$C$25,39&lt;Projects!$C$25+Projects!$D$25),Projects!$B$25*INDEX(Curves!$B$4:$AR$4,1,39-Projects!$C$25+1),0)+IF(AND(Projects!$G$26="Yes",Projects!$M$26="Yes",39&gt;=Projects!$C$26,39&lt;Projects!$C$26+Projects!$D$26),Projects!$B$26*INDEX(Curves!$B$4:$AR$4,1,39-Projects!$C$26+1),0)+IF(AND(Projects!$G$27="Yes",Projects!$M$27="Yes",39&gt;=Projects!$C$27,39&lt;Projects!$C$27+Projects!$D$27),Projects!$B$27*INDEX(Curves!$B$4:$AR$4,1,39-Projects!$C$27+1),0)+IF(AND(Projects!$G$28="Yes",Projects!$M$28="Yes",39&gt;=Projects!$C$28,39&lt;Projects!$C$28+Projects!$D$28),Projects!$B$28*INDEX(Curves!$B$4:$AR$4,1,39-Projects!$C$28+1),0)+IF(AND(Projects!$G$29="Yes",Projects!$M$29="Yes",39&gt;=Projects!$C$29,39&lt;Projects!$C$29+Projects!$D$29),Projects!$B$29*INDEX(Curves!$B$4:$AR$4,1,39-Projects!$C$29+1),0)+IF(AND(Projects!$G$30="Yes",Projects!$M$30="Yes",39&gt;=Projects!$C$30,39&lt;Projects!$C$30+Projects!$D$30),Projects!$B$30*INDEX(Curves!$B$4:$AR$4,1,39-Projects!$C$30+1),0)+IF(AND(Projects!$G$31="Yes",Projects!$M$31="Yes",39&gt;=Projects!$C$31,39&lt;Projects!$C$31+Projects!$D$31),Projects!$B$31*INDEX(Curves!$B$4:$AR$4,1,39-Projects!$C$31+1),0)+IF(AND(Projects!$G$32="Yes",Projects!$M$32="Yes",39&gt;=Projects!$C$32,39&lt;Projects!$C$32+Projects!$D$32),Projects!$B$32*INDEX(Curves!$B$4:$AR$4,1,39-Projects!$C$32+1),0)+IF(AND(Projects!$G$33="Yes",Projects!$M$33="Yes",39&gt;=Projects!$C$33,39&lt;Projects!$C$33+Projects!$D$33),Projects!$B$33*INDEX(Curves!$B$4:$AR$4,1,39-Projects!$C$33+1),0)+IF(AND(Projects!$G$34="Yes",Projects!$M$34="Yes",39&gt;=Projects!$C$34,39&lt;Projects!$C$34+Projects!$D$34),Projects!$B$34*INDEX(Curves!$B$4:$AR$4,1,39-Projects!$C$34+1),0)+IF(AND(Projects!$G$35="Yes",Projects!$M$35="Yes",39&gt;=Projects!$C$35,39&lt;Projects!$C$35+Projects!$D$35),Projects!$B$35*INDEX(Curves!$B$4:$AR$4,1,39-Projects!$C$35+1),0)+IF(AND(Projects!$G$36="Yes",Projects!$M$36="Yes",39&gt;=Projects!$C$36,39&lt;Projects!$C$36+Projects!$D$36),Projects!$B$36*INDEX(Curves!$B$4:$AR$4,1,39-Projects!$C$36+1),0)+IF(AND(Projects!$G$37="Yes",Projects!$M$37="Yes",39&gt;=Projects!$C$37,39&lt;Projects!$C$37+Projects!$D$37),Projects!$B$37*INDEX(Curves!$B$4:$AR$4,1,39-Projects!$C$37+1),0)+IF(AND(Projects!$G$38="Yes",Projects!$M$38="Yes",39&gt;=Projects!$C$38,39&lt;Projects!$C$38+Projects!$D$38),Projects!$B$38*INDEX(Curves!$B$4:$AR$4,1,39-Projects!$C$38+1),0)+IF(AND(Projects!$G$39="Yes",Projects!$M$39="Yes",39&gt;=Projects!$C$39,39&lt;Projects!$C$39+Projects!$D$39),Projects!$B$39*INDEX(Curves!$B$4:$AR$4,1,39-Projects!$C$39+1),0)+IF(AND(Projects!$G$40="Yes",Projects!$M$40="Yes",39&gt;=Projects!$C$40,39&lt;Projects!$C$40+Projects!$D$40),Projects!$B$40*INDEX(Curves!$B$4:$AR$4,1,39-Projects!$C$40+1),0)+IF(AND(Projects!$G$41="Yes",Projects!$M$41="Yes",39&gt;=Projects!$C$41,39&lt;Projects!$C$41+Projects!$D$41),Projects!$B$41*INDEX(Curves!$B$4:$AR$4,1,39-Projects!$C$41+1),0)+IF(AND(Projects!$G$42="Yes",Projects!$M$42="Yes",39&gt;=Projects!$C$42,39&lt;Projects!$C$42+Projects!$D$42),Projects!$B$42*INDEX(Curves!$B$4:$AR$4,1,39-Projects!$C$42+1),0)+IF(AND(Projects!$G$43="Yes",Projects!$M$43="Yes",39&gt;=Projects!$C$43,39&lt;Projects!$C$43+Projects!$D$43),Projects!$B$43*INDEX(Curves!$B$4:$AR$4,1,39-Projects!$C$43+1),0)+IF(AND(Projects!$G$44="Yes",Projects!$M$44="Yes",39&gt;=Projects!$C$44,39&lt;Projects!$C$44+Projects!$D$44),Projects!$B$44*INDEX(Curves!$B$4:$AR$4,1,39-Projects!$C$44+1),0)+IF(AND(Projects!$G$45="Yes",Projects!$M$45="Yes",39&gt;=Projects!$C$45,39&lt;Projects!$C$45+Projects!$D$45),Projects!$B$45*INDEX(Curves!$B$4:$AR$4,1,39-Projects!$C$45+1),0)+IF(AND(Projects!$G$46="Yes",Projects!$M$46="Yes",39&gt;=Projects!$C$46,39&lt;Projects!$C$46+Projects!$D$46),Projects!$B$46*INDEX(Curves!$B$4:$AR$4,1,39-Projects!$C$46+1),0)</f>
        <v>892830</v>
      </c>
      <c r="AS101" s="63">
        <f>IF(AND(Projects!$G$17="Yes",Projects!$M$17="Yes",40&gt;=Projects!$C$17,40&lt;Projects!$C$17+Projects!$D$17),Projects!$B$17*INDEX(Curves!$B$4:$AR$4,1,40-Projects!$C$17+1),0)+IF(AND(Projects!$G$18="Yes",Projects!$M$18="Yes",40&gt;=Projects!$C$18,40&lt;Projects!$C$18+Projects!$D$18),Projects!$B$18*INDEX(Curves!$B$4:$AR$4,1,40-Projects!$C$18+1),0)+IF(AND(Projects!$G$19="Yes",Projects!$M$19="Yes",40&gt;=Projects!$C$19,40&lt;Projects!$C$19+Projects!$D$19),Projects!$B$19*INDEX(Curves!$B$4:$AR$4,1,40-Projects!$C$19+1),0)+IF(AND(Projects!$G$20="Yes",Projects!$M$20="Yes",40&gt;=Projects!$C$20,40&lt;Projects!$C$20+Projects!$D$20),Projects!$B$20*INDEX(Curves!$B$4:$AR$4,1,40-Projects!$C$20+1),0)+IF(AND(Projects!$G$21="Yes",Projects!$M$21="Yes",40&gt;=Projects!$C$21,40&lt;Projects!$C$21+Projects!$D$21),Projects!$B$21*INDEX(Curves!$B$4:$AR$4,1,40-Projects!$C$21+1),0)+IF(AND(Projects!$G$22="Yes",Projects!$M$22="Yes",40&gt;=Projects!$C$22,40&lt;Projects!$C$22+Projects!$D$22),Projects!$B$22*INDEX(Curves!$B$4:$AR$4,1,40-Projects!$C$22+1),0)+IF(AND(Projects!$G$23="Yes",Projects!$M$23="Yes",40&gt;=Projects!$C$23,40&lt;Projects!$C$23+Projects!$D$23),Projects!$B$23*INDEX(Curves!$B$4:$AR$4,1,40-Projects!$C$23+1),0)+IF(AND(Projects!$G$24="Yes",Projects!$M$24="Yes",40&gt;=Projects!$C$24,40&lt;Projects!$C$24+Projects!$D$24),Projects!$B$24*INDEX(Curves!$B$4:$AR$4,1,40-Projects!$C$24+1),0)+IF(AND(Projects!$G$25="Yes",Projects!$M$25="Yes",40&gt;=Projects!$C$25,40&lt;Projects!$C$25+Projects!$D$25),Projects!$B$25*INDEX(Curves!$B$4:$AR$4,1,40-Projects!$C$25+1),0)+IF(AND(Projects!$G$26="Yes",Projects!$M$26="Yes",40&gt;=Projects!$C$26,40&lt;Projects!$C$26+Projects!$D$26),Projects!$B$26*INDEX(Curves!$B$4:$AR$4,1,40-Projects!$C$26+1),0)+IF(AND(Projects!$G$27="Yes",Projects!$M$27="Yes",40&gt;=Projects!$C$27,40&lt;Projects!$C$27+Projects!$D$27),Projects!$B$27*INDEX(Curves!$B$4:$AR$4,1,40-Projects!$C$27+1),0)+IF(AND(Projects!$G$28="Yes",Projects!$M$28="Yes",40&gt;=Projects!$C$28,40&lt;Projects!$C$28+Projects!$D$28),Projects!$B$28*INDEX(Curves!$B$4:$AR$4,1,40-Projects!$C$28+1),0)+IF(AND(Projects!$G$29="Yes",Projects!$M$29="Yes",40&gt;=Projects!$C$29,40&lt;Projects!$C$29+Projects!$D$29),Projects!$B$29*INDEX(Curves!$B$4:$AR$4,1,40-Projects!$C$29+1),0)+IF(AND(Projects!$G$30="Yes",Projects!$M$30="Yes",40&gt;=Projects!$C$30,40&lt;Projects!$C$30+Projects!$D$30),Projects!$B$30*INDEX(Curves!$B$4:$AR$4,1,40-Projects!$C$30+1),0)+IF(AND(Projects!$G$31="Yes",Projects!$M$31="Yes",40&gt;=Projects!$C$31,40&lt;Projects!$C$31+Projects!$D$31),Projects!$B$31*INDEX(Curves!$B$4:$AR$4,1,40-Projects!$C$31+1),0)+IF(AND(Projects!$G$32="Yes",Projects!$M$32="Yes",40&gt;=Projects!$C$32,40&lt;Projects!$C$32+Projects!$D$32),Projects!$B$32*INDEX(Curves!$B$4:$AR$4,1,40-Projects!$C$32+1),0)+IF(AND(Projects!$G$33="Yes",Projects!$M$33="Yes",40&gt;=Projects!$C$33,40&lt;Projects!$C$33+Projects!$D$33),Projects!$B$33*INDEX(Curves!$B$4:$AR$4,1,40-Projects!$C$33+1),0)+IF(AND(Projects!$G$34="Yes",Projects!$M$34="Yes",40&gt;=Projects!$C$34,40&lt;Projects!$C$34+Projects!$D$34),Projects!$B$34*INDEX(Curves!$B$4:$AR$4,1,40-Projects!$C$34+1),0)+IF(AND(Projects!$G$35="Yes",Projects!$M$35="Yes",40&gt;=Projects!$C$35,40&lt;Projects!$C$35+Projects!$D$35),Projects!$B$35*INDEX(Curves!$B$4:$AR$4,1,40-Projects!$C$35+1),0)+IF(AND(Projects!$G$36="Yes",Projects!$M$36="Yes",40&gt;=Projects!$C$36,40&lt;Projects!$C$36+Projects!$D$36),Projects!$B$36*INDEX(Curves!$B$4:$AR$4,1,40-Projects!$C$36+1),0)+IF(AND(Projects!$G$37="Yes",Projects!$M$37="Yes",40&gt;=Projects!$C$37,40&lt;Projects!$C$37+Projects!$D$37),Projects!$B$37*INDEX(Curves!$B$4:$AR$4,1,40-Projects!$C$37+1),0)+IF(AND(Projects!$G$38="Yes",Projects!$M$38="Yes",40&gt;=Projects!$C$38,40&lt;Projects!$C$38+Projects!$D$38),Projects!$B$38*INDEX(Curves!$B$4:$AR$4,1,40-Projects!$C$38+1),0)+IF(AND(Projects!$G$39="Yes",Projects!$M$39="Yes",40&gt;=Projects!$C$39,40&lt;Projects!$C$39+Projects!$D$39),Projects!$B$39*INDEX(Curves!$B$4:$AR$4,1,40-Projects!$C$39+1),0)+IF(AND(Projects!$G$40="Yes",Projects!$M$40="Yes",40&gt;=Projects!$C$40,40&lt;Projects!$C$40+Projects!$D$40),Projects!$B$40*INDEX(Curves!$B$4:$AR$4,1,40-Projects!$C$40+1),0)+IF(AND(Projects!$G$41="Yes",Projects!$M$41="Yes",40&gt;=Projects!$C$41,40&lt;Projects!$C$41+Projects!$D$41),Projects!$B$41*INDEX(Curves!$B$4:$AR$4,1,40-Projects!$C$41+1),0)+IF(AND(Projects!$G$42="Yes",Projects!$M$42="Yes",40&gt;=Projects!$C$42,40&lt;Projects!$C$42+Projects!$D$42),Projects!$B$42*INDEX(Curves!$B$4:$AR$4,1,40-Projects!$C$42+1),0)+IF(AND(Projects!$G$43="Yes",Projects!$M$43="Yes",40&gt;=Projects!$C$43,40&lt;Projects!$C$43+Projects!$D$43),Projects!$B$43*INDEX(Curves!$B$4:$AR$4,1,40-Projects!$C$43+1),0)+IF(AND(Projects!$G$44="Yes",Projects!$M$44="Yes",40&gt;=Projects!$C$44,40&lt;Projects!$C$44+Projects!$D$44),Projects!$B$44*INDEX(Curves!$B$4:$AR$4,1,40-Projects!$C$44+1),0)+IF(AND(Projects!$G$45="Yes",Projects!$M$45="Yes",40&gt;=Projects!$C$45,40&lt;Projects!$C$45+Projects!$D$45),Projects!$B$45*INDEX(Curves!$B$4:$AR$4,1,40-Projects!$C$45+1),0)+IF(AND(Projects!$G$46="Yes",Projects!$M$46="Yes",40&gt;=Projects!$C$46,40&lt;Projects!$C$46+Projects!$D$46),Projects!$B$46*INDEX(Curves!$B$4:$AR$4,1,40-Projects!$C$46+1),0)</f>
        <v>974054.99999999988</v>
      </c>
      <c r="AT101" s="63">
        <f>IF(AND(Projects!$G$17="Yes",Projects!$M$17="Yes",41&gt;=Projects!$C$17,41&lt;Projects!$C$17+Projects!$D$17),Projects!$B$17*INDEX(Curves!$B$4:$AR$4,1,41-Projects!$C$17+1),0)+IF(AND(Projects!$G$18="Yes",Projects!$M$18="Yes",41&gt;=Projects!$C$18,41&lt;Projects!$C$18+Projects!$D$18),Projects!$B$18*INDEX(Curves!$B$4:$AR$4,1,41-Projects!$C$18+1),0)+IF(AND(Projects!$G$19="Yes",Projects!$M$19="Yes",41&gt;=Projects!$C$19,41&lt;Projects!$C$19+Projects!$D$19),Projects!$B$19*INDEX(Curves!$B$4:$AR$4,1,41-Projects!$C$19+1),0)+IF(AND(Projects!$G$20="Yes",Projects!$M$20="Yes",41&gt;=Projects!$C$20,41&lt;Projects!$C$20+Projects!$D$20),Projects!$B$20*INDEX(Curves!$B$4:$AR$4,1,41-Projects!$C$20+1),0)+IF(AND(Projects!$G$21="Yes",Projects!$M$21="Yes",41&gt;=Projects!$C$21,41&lt;Projects!$C$21+Projects!$D$21),Projects!$B$21*INDEX(Curves!$B$4:$AR$4,1,41-Projects!$C$21+1),0)+IF(AND(Projects!$G$22="Yes",Projects!$M$22="Yes",41&gt;=Projects!$C$22,41&lt;Projects!$C$22+Projects!$D$22),Projects!$B$22*INDEX(Curves!$B$4:$AR$4,1,41-Projects!$C$22+1),0)+IF(AND(Projects!$G$23="Yes",Projects!$M$23="Yes",41&gt;=Projects!$C$23,41&lt;Projects!$C$23+Projects!$D$23),Projects!$B$23*INDEX(Curves!$B$4:$AR$4,1,41-Projects!$C$23+1),0)+IF(AND(Projects!$G$24="Yes",Projects!$M$24="Yes",41&gt;=Projects!$C$24,41&lt;Projects!$C$24+Projects!$D$24),Projects!$B$24*INDEX(Curves!$B$4:$AR$4,1,41-Projects!$C$24+1),0)+IF(AND(Projects!$G$25="Yes",Projects!$M$25="Yes",41&gt;=Projects!$C$25,41&lt;Projects!$C$25+Projects!$D$25),Projects!$B$25*INDEX(Curves!$B$4:$AR$4,1,41-Projects!$C$25+1),0)+IF(AND(Projects!$G$26="Yes",Projects!$M$26="Yes",41&gt;=Projects!$C$26,41&lt;Projects!$C$26+Projects!$D$26),Projects!$B$26*INDEX(Curves!$B$4:$AR$4,1,41-Projects!$C$26+1),0)+IF(AND(Projects!$G$27="Yes",Projects!$M$27="Yes",41&gt;=Projects!$C$27,41&lt;Projects!$C$27+Projects!$D$27),Projects!$B$27*INDEX(Curves!$B$4:$AR$4,1,41-Projects!$C$27+1),0)+IF(AND(Projects!$G$28="Yes",Projects!$M$28="Yes",41&gt;=Projects!$C$28,41&lt;Projects!$C$28+Projects!$D$28),Projects!$B$28*INDEX(Curves!$B$4:$AR$4,1,41-Projects!$C$28+1),0)+IF(AND(Projects!$G$29="Yes",Projects!$M$29="Yes",41&gt;=Projects!$C$29,41&lt;Projects!$C$29+Projects!$D$29),Projects!$B$29*INDEX(Curves!$B$4:$AR$4,1,41-Projects!$C$29+1),0)+IF(AND(Projects!$G$30="Yes",Projects!$M$30="Yes",41&gt;=Projects!$C$30,41&lt;Projects!$C$30+Projects!$D$30),Projects!$B$30*INDEX(Curves!$B$4:$AR$4,1,41-Projects!$C$30+1),0)+IF(AND(Projects!$G$31="Yes",Projects!$M$31="Yes",41&gt;=Projects!$C$31,41&lt;Projects!$C$31+Projects!$D$31),Projects!$B$31*INDEX(Curves!$B$4:$AR$4,1,41-Projects!$C$31+1),0)+IF(AND(Projects!$G$32="Yes",Projects!$M$32="Yes",41&gt;=Projects!$C$32,41&lt;Projects!$C$32+Projects!$D$32),Projects!$B$32*INDEX(Curves!$B$4:$AR$4,1,41-Projects!$C$32+1),0)+IF(AND(Projects!$G$33="Yes",Projects!$M$33="Yes",41&gt;=Projects!$C$33,41&lt;Projects!$C$33+Projects!$D$33),Projects!$B$33*INDEX(Curves!$B$4:$AR$4,1,41-Projects!$C$33+1),0)+IF(AND(Projects!$G$34="Yes",Projects!$M$34="Yes",41&gt;=Projects!$C$34,41&lt;Projects!$C$34+Projects!$D$34),Projects!$B$34*INDEX(Curves!$B$4:$AR$4,1,41-Projects!$C$34+1),0)+IF(AND(Projects!$G$35="Yes",Projects!$M$35="Yes",41&gt;=Projects!$C$35,41&lt;Projects!$C$35+Projects!$D$35),Projects!$B$35*INDEX(Curves!$B$4:$AR$4,1,41-Projects!$C$35+1),0)+IF(AND(Projects!$G$36="Yes",Projects!$M$36="Yes",41&gt;=Projects!$C$36,41&lt;Projects!$C$36+Projects!$D$36),Projects!$B$36*INDEX(Curves!$B$4:$AR$4,1,41-Projects!$C$36+1),0)+IF(AND(Projects!$G$37="Yes",Projects!$M$37="Yes",41&gt;=Projects!$C$37,41&lt;Projects!$C$37+Projects!$D$37),Projects!$B$37*INDEX(Curves!$B$4:$AR$4,1,41-Projects!$C$37+1),0)+IF(AND(Projects!$G$38="Yes",Projects!$M$38="Yes",41&gt;=Projects!$C$38,41&lt;Projects!$C$38+Projects!$D$38),Projects!$B$38*INDEX(Curves!$B$4:$AR$4,1,41-Projects!$C$38+1),0)+IF(AND(Projects!$G$39="Yes",Projects!$M$39="Yes",41&gt;=Projects!$C$39,41&lt;Projects!$C$39+Projects!$D$39),Projects!$B$39*INDEX(Curves!$B$4:$AR$4,1,41-Projects!$C$39+1),0)+IF(AND(Projects!$G$40="Yes",Projects!$M$40="Yes",41&gt;=Projects!$C$40,41&lt;Projects!$C$40+Projects!$D$40),Projects!$B$40*INDEX(Curves!$B$4:$AR$4,1,41-Projects!$C$40+1),0)+IF(AND(Projects!$G$41="Yes",Projects!$M$41="Yes",41&gt;=Projects!$C$41,41&lt;Projects!$C$41+Projects!$D$41),Projects!$B$41*INDEX(Curves!$B$4:$AR$4,1,41-Projects!$C$41+1),0)+IF(AND(Projects!$G$42="Yes",Projects!$M$42="Yes",41&gt;=Projects!$C$42,41&lt;Projects!$C$42+Projects!$D$42),Projects!$B$42*INDEX(Curves!$B$4:$AR$4,1,41-Projects!$C$42+1),0)+IF(AND(Projects!$G$43="Yes",Projects!$M$43="Yes",41&gt;=Projects!$C$43,41&lt;Projects!$C$43+Projects!$D$43),Projects!$B$43*INDEX(Curves!$B$4:$AR$4,1,41-Projects!$C$43+1),0)+IF(AND(Projects!$G$44="Yes",Projects!$M$44="Yes",41&gt;=Projects!$C$44,41&lt;Projects!$C$44+Projects!$D$44),Projects!$B$44*INDEX(Curves!$B$4:$AR$4,1,41-Projects!$C$44+1),0)+IF(AND(Projects!$G$45="Yes",Projects!$M$45="Yes",41&gt;=Projects!$C$45,41&lt;Projects!$C$45+Projects!$D$45),Projects!$B$45*INDEX(Curves!$B$4:$AR$4,1,41-Projects!$C$45+1),0)+IF(AND(Projects!$G$46="Yes",Projects!$M$46="Yes",41&gt;=Projects!$C$46,41&lt;Projects!$C$46+Projects!$D$46),Projects!$B$46*INDEX(Curves!$B$4:$AR$4,1,41-Projects!$C$46+1),0)</f>
        <v>1036560</v>
      </c>
      <c r="AU101" s="63">
        <f>IF(AND(Projects!$G$17="Yes",Projects!$M$17="Yes",42&gt;=Projects!$C$17,42&lt;Projects!$C$17+Projects!$D$17),Projects!$B$17*INDEX(Curves!$B$4:$AR$4,1,42-Projects!$C$17+1),0)+IF(AND(Projects!$G$18="Yes",Projects!$M$18="Yes",42&gt;=Projects!$C$18,42&lt;Projects!$C$18+Projects!$D$18),Projects!$B$18*INDEX(Curves!$B$4:$AR$4,1,42-Projects!$C$18+1),0)+IF(AND(Projects!$G$19="Yes",Projects!$M$19="Yes",42&gt;=Projects!$C$19,42&lt;Projects!$C$19+Projects!$D$19),Projects!$B$19*INDEX(Curves!$B$4:$AR$4,1,42-Projects!$C$19+1),0)+IF(AND(Projects!$G$20="Yes",Projects!$M$20="Yes",42&gt;=Projects!$C$20,42&lt;Projects!$C$20+Projects!$D$20),Projects!$B$20*INDEX(Curves!$B$4:$AR$4,1,42-Projects!$C$20+1),0)+IF(AND(Projects!$G$21="Yes",Projects!$M$21="Yes",42&gt;=Projects!$C$21,42&lt;Projects!$C$21+Projects!$D$21),Projects!$B$21*INDEX(Curves!$B$4:$AR$4,1,42-Projects!$C$21+1),0)+IF(AND(Projects!$G$22="Yes",Projects!$M$22="Yes",42&gt;=Projects!$C$22,42&lt;Projects!$C$22+Projects!$D$22),Projects!$B$22*INDEX(Curves!$B$4:$AR$4,1,42-Projects!$C$22+1),0)+IF(AND(Projects!$G$23="Yes",Projects!$M$23="Yes",42&gt;=Projects!$C$23,42&lt;Projects!$C$23+Projects!$D$23),Projects!$B$23*INDEX(Curves!$B$4:$AR$4,1,42-Projects!$C$23+1),0)+IF(AND(Projects!$G$24="Yes",Projects!$M$24="Yes",42&gt;=Projects!$C$24,42&lt;Projects!$C$24+Projects!$D$24),Projects!$B$24*INDEX(Curves!$B$4:$AR$4,1,42-Projects!$C$24+1),0)+IF(AND(Projects!$G$25="Yes",Projects!$M$25="Yes",42&gt;=Projects!$C$25,42&lt;Projects!$C$25+Projects!$D$25),Projects!$B$25*INDEX(Curves!$B$4:$AR$4,1,42-Projects!$C$25+1),0)+IF(AND(Projects!$G$26="Yes",Projects!$M$26="Yes",42&gt;=Projects!$C$26,42&lt;Projects!$C$26+Projects!$D$26),Projects!$B$26*INDEX(Curves!$B$4:$AR$4,1,42-Projects!$C$26+1),0)+IF(AND(Projects!$G$27="Yes",Projects!$M$27="Yes",42&gt;=Projects!$C$27,42&lt;Projects!$C$27+Projects!$D$27),Projects!$B$27*INDEX(Curves!$B$4:$AR$4,1,42-Projects!$C$27+1),0)+IF(AND(Projects!$G$28="Yes",Projects!$M$28="Yes",42&gt;=Projects!$C$28,42&lt;Projects!$C$28+Projects!$D$28),Projects!$B$28*INDEX(Curves!$B$4:$AR$4,1,42-Projects!$C$28+1),0)+IF(AND(Projects!$G$29="Yes",Projects!$M$29="Yes",42&gt;=Projects!$C$29,42&lt;Projects!$C$29+Projects!$D$29),Projects!$B$29*INDEX(Curves!$B$4:$AR$4,1,42-Projects!$C$29+1),0)+IF(AND(Projects!$G$30="Yes",Projects!$M$30="Yes",42&gt;=Projects!$C$30,42&lt;Projects!$C$30+Projects!$D$30),Projects!$B$30*INDEX(Curves!$B$4:$AR$4,1,42-Projects!$C$30+1),0)+IF(AND(Projects!$G$31="Yes",Projects!$M$31="Yes",42&gt;=Projects!$C$31,42&lt;Projects!$C$31+Projects!$D$31),Projects!$B$31*INDEX(Curves!$B$4:$AR$4,1,42-Projects!$C$31+1),0)+IF(AND(Projects!$G$32="Yes",Projects!$M$32="Yes",42&gt;=Projects!$C$32,42&lt;Projects!$C$32+Projects!$D$32),Projects!$B$32*INDEX(Curves!$B$4:$AR$4,1,42-Projects!$C$32+1),0)+IF(AND(Projects!$G$33="Yes",Projects!$M$33="Yes",42&gt;=Projects!$C$33,42&lt;Projects!$C$33+Projects!$D$33),Projects!$B$33*INDEX(Curves!$B$4:$AR$4,1,42-Projects!$C$33+1),0)+IF(AND(Projects!$G$34="Yes",Projects!$M$34="Yes",42&gt;=Projects!$C$34,42&lt;Projects!$C$34+Projects!$D$34),Projects!$B$34*INDEX(Curves!$B$4:$AR$4,1,42-Projects!$C$34+1),0)+IF(AND(Projects!$G$35="Yes",Projects!$M$35="Yes",42&gt;=Projects!$C$35,42&lt;Projects!$C$35+Projects!$D$35),Projects!$B$35*INDEX(Curves!$B$4:$AR$4,1,42-Projects!$C$35+1),0)+IF(AND(Projects!$G$36="Yes",Projects!$M$36="Yes",42&gt;=Projects!$C$36,42&lt;Projects!$C$36+Projects!$D$36),Projects!$B$36*INDEX(Curves!$B$4:$AR$4,1,42-Projects!$C$36+1),0)+IF(AND(Projects!$G$37="Yes",Projects!$M$37="Yes",42&gt;=Projects!$C$37,42&lt;Projects!$C$37+Projects!$D$37),Projects!$B$37*INDEX(Curves!$B$4:$AR$4,1,42-Projects!$C$37+1),0)+IF(AND(Projects!$G$38="Yes",Projects!$M$38="Yes",42&gt;=Projects!$C$38,42&lt;Projects!$C$38+Projects!$D$38),Projects!$B$38*INDEX(Curves!$B$4:$AR$4,1,42-Projects!$C$38+1),0)+IF(AND(Projects!$G$39="Yes",Projects!$M$39="Yes",42&gt;=Projects!$C$39,42&lt;Projects!$C$39+Projects!$D$39),Projects!$B$39*INDEX(Curves!$B$4:$AR$4,1,42-Projects!$C$39+1),0)+IF(AND(Projects!$G$40="Yes",Projects!$M$40="Yes",42&gt;=Projects!$C$40,42&lt;Projects!$C$40+Projects!$D$40),Projects!$B$40*INDEX(Curves!$B$4:$AR$4,1,42-Projects!$C$40+1),0)+IF(AND(Projects!$G$41="Yes",Projects!$M$41="Yes",42&gt;=Projects!$C$41,42&lt;Projects!$C$41+Projects!$D$41),Projects!$B$41*INDEX(Curves!$B$4:$AR$4,1,42-Projects!$C$41+1),0)+IF(AND(Projects!$G$42="Yes",Projects!$M$42="Yes",42&gt;=Projects!$C$42,42&lt;Projects!$C$42+Projects!$D$42),Projects!$B$42*INDEX(Curves!$B$4:$AR$4,1,42-Projects!$C$42+1),0)+IF(AND(Projects!$G$43="Yes",Projects!$M$43="Yes",42&gt;=Projects!$C$43,42&lt;Projects!$C$43+Projects!$D$43),Projects!$B$43*INDEX(Curves!$B$4:$AR$4,1,42-Projects!$C$43+1),0)+IF(AND(Projects!$G$44="Yes",Projects!$M$44="Yes",42&gt;=Projects!$C$44,42&lt;Projects!$C$44+Projects!$D$44),Projects!$B$44*INDEX(Curves!$B$4:$AR$4,1,42-Projects!$C$44+1),0)+IF(AND(Projects!$G$45="Yes",Projects!$M$45="Yes",42&gt;=Projects!$C$45,42&lt;Projects!$C$45+Projects!$D$45),Projects!$B$45*INDEX(Curves!$B$4:$AR$4,1,42-Projects!$C$45+1),0)+IF(AND(Projects!$G$46="Yes",Projects!$M$46="Yes",42&gt;=Projects!$C$46,42&lt;Projects!$C$46+Projects!$D$46),Projects!$B$46*INDEX(Curves!$B$4:$AR$4,1,42-Projects!$C$46+1),0)</f>
        <v>1075980</v>
      </c>
      <c r="AV101" s="63">
        <f>IF(AND(Projects!$G$17="Yes",Projects!$M$17="Yes",43&gt;=Projects!$C$17,43&lt;Projects!$C$17+Projects!$D$17),Projects!$B$17*INDEX(Curves!$B$4:$AR$4,1,43-Projects!$C$17+1),0)+IF(AND(Projects!$G$18="Yes",Projects!$M$18="Yes",43&gt;=Projects!$C$18,43&lt;Projects!$C$18+Projects!$D$18),Projects!$B$18*INDEX(Curves!$B$4:$AR$4,1,43-Projects!$C$18+1),0)+IF(AND(Projects!$G$19="Yes",Projects!$M$19="Yes",43&gt;=Projects!$C$19,43&lt;Projects!$C$19+Projects!$D$19),Projects!$B$19*INDEX(Curves!$B$4:$AR$4,1,43-Projects!$C$19+1),0)+IF(AND(Projects!$G$20="Yes",Projects!$M$20="Yes",43&gt;=Projects!$C$20,43&lt;Projects!$C$20+Projects!$D$20),Projects!$B$20*INDEX(Curves!$B$4:$AR$4,1,43-Projects!$C$20+1),0)+IF(AND(Projects!$G$21="Yes",Projects!$M$21="Yes",43&gt;=Projects!$C$21,43&lt;Projects!$C$21+Projects!$D$21),Projects!$B$21*INDEX(Curves!$B$4:$AR$4,1,43-Projects!$C$21+1),0)+IF(AND(Projects!$G$22="Yes",Projects!$M$22="Yes",43&gt;=Projects!$C$22,43&lt;Projects!$C$22+Projects!$D$22),Projects!$B$22*INDEX(Curves!$B$4:$AR$4,1,43-Projects!$C$22+1),0)+IF(AND(Projects!$G$23="Yes",Projects!$M$23="Yes",43&gt;=Projects!$C$23,43&lt;Projects!$C$23+Projects!$D$23),Projects!$B$23*INDEX(Curves!$B$4:$AR$4,1,43-Projects!$C$23+1),0)+IF(AND(Projects!$G$24="Yes",Projects!$M$24="Yes",43&gt;=Projects!$C$24,43&lt;Projects!$C$24+Projects!$D$24),Projects!$B$24*INDEX(Curves!$B$4:$AR$4,1,43-Projects!$C$24+1),0)+IF(AND(Projects!$G$25="Yes",Projects!$M$25="Yes",43&gt;=Projects!$C$25,43&lt;Projects!$C$25+Projects!$D$25),Projects!$B$25*INDEX(Curves!$B$4:$AR$4,1,43-Projects!$C$25+1),0)+IF(AND(Projects!$G$26="Yes",Projects!$M$26="Yes",43&gt;=Projects!$C$26,43&lt;Projects!$C$26+Projects!$D$26),Projects!$B$26*INDEX(Curves!$B$4:$AR$4,1,43-Projects!$C$26+1),0)+IF(AND(Projects!$G$27="Yes",Projects!$M$27="Yes",43&gt;=Projects!$C$27,43&lt;Projects!$C$27+Projects!$D$27),Projects!$B$27*INDEX(Curves!$B$4:$AR$4,1,43-Projects!$C$27+1),0)+IF(AND(Projects!$G$28="Yes",Projects!$M$28="Yes",43&gt;=Projects!$C$28,43&lt;Projects!$C$28+Projects!$D$28),Projects!$B$28*INDEX(Curves!$B$4:$AR$4,1,43-Projects!$C$28+1),0)+IF(AND(Projects!$G$29="Yes",Projects!$M$29="Yes",43&gt;=Projects!$C$29,43&lt;Projects!$C$29+Projects!$D$29),Projects!$B$29*INDEX(Curves!$B$4:$AR$4,1,43-Projects!$C$29+1),0)+IF(AND(Projects!$G$30="Yes",Projects!$M$30="Yes",43&gt;=Projects!$C$30,43&lt;Projects!$C$30+Projects!$D$30),Projects!$B$30*INDEX(Curves!$B$4:$AR$4,1,43-Projects!$C$30+1),0)+IF(AND(Projects!$G$31="Yes",Projects!$M$31="Yes",43&gt;=Projects!$C$31,43&lt;Projects!$C$31+Projects!$D$31),Projects!$B$31*INDEX(Curves!$B$4:$AR$4,1,43-Projects!$C$31+1),0)+IF(AND(Projects!$G$32="Yes",Projects!$M$32="Yes",43&gt;=Projects!$C$32,43&lt;Projects!$C$32+Projects!$D$32),Projects!$B$32*INDEX(Curves!$B$4:$AR$4,1,43-Projects!$C$32+1),0)+IF(AND(Projects!$G$33="Yes",Projects!$M$33="Yes",43&gt;=Projects!$C$33,43&lt;Projects!$C$33+Projects!$D$33),Projects!$B$33*INDEX(Curves!$B$4:$AR$4,1,43-Projects!$C$33+1),0)+IF(AND(Projects!$G$34="Yes",Projects!$M$34="Yes",43&gt;=Projects!$C$34,43&lt;Projects!$C$34+Projects!$D$34),Projects!$B$34*INDEX(Curves!$B$4:$AR$4,1,43-Projects!$C$34+1),0)+IF(AND(Projects!$G$35="Yes",Projects!$M$35="Yes",43&gt;=Projects!$C$35,43&lt;Projects!$C$35+Projects!$D$35),Projects!$B$35*INDEX(Curves!$B$4:$AR$4,1,43-Projects!$C$35+1),0)+IF(AND(Projects!$G$36="Yes",Projects!$M$36="Yes",43&gt;=Projects!$C$36,43&lt;Projects!$C$36+Projects!$D$36),Projects!$B$36*INDEX(Curves!$B$4:$AR$4,1,43-Projects!$C$36+1),0)+IF(AND(Projects!$G$37="Yes",Projects!$M$37="Yes",43&gt;=Projects!$C$37,43&lt;Projects!$C$37+Projects!$D$37),Projects!$B$37*INDEX(Curves!$B$4:$AR$4,1,43-Projects!$C$37+1),0)+IF(AND(Projects!$G$38="Yes",Projects!$M$38="Yes",43&gt;=Projects!$C$38,43&lt;Projects!$C$38+Projects!$D$38),Projects!$B$38*INDEX(Curves!$B$4:$AR$4,1,43-Projects!$C$38+1),0)+IF(AND(Projects!$G$39="Yes",Projects!$M$39="Yes",43&gt;=Projects!$C$39,43&lt;Projects!$C$39+Projects!$D$39),Projects!$B$39*INDEX(Curves!$B$4:$AR$4,1,43-Projects!$C$39+1),0)+IF(AND(Projects!$G$40="Yes",Projects!$M$40="Yes",43&gt;=Projects!$C$40,43&lt;Projects!$C$40+Projects!$D$40),Projects!$B$40*INDEX(Curves!$B$4:$AR$4,1,43-Projects!$C$40+1),0)+IF(AND(Projects!$G$41="Yes",Projects!$M$41="Yes",43&gt;=Projects!$C$41,43&lt;Projects!$C$41+Projects!$D$41),Projects!$B$41*INDEX(Curves!$B$4:$AR$4,1,43-Projects!$C$41+1),0)+IF(AND(Projects!$G$42="Yes",Projects!$M$42="Yes",43&gt;=Projects!$C$42,43&lt;Projects!$C$42+Projects!$D$42),Projects!$B$42*INDEX(Curves!$B$4:$AR$4,1,43-Projects!$C$42+1),0)+IF(AND(Projects!$G$43="Yes",Projects!$M$43="Yes",43&gt;=Projects!$C$43,43&lt;Projects!$C$43+Projects!$D$43),Projects!$B$43*INDEX(Curves!$B$4:$AR$4,1,43-Projects!$C$43+1),0)+IF(AND(Projects!$G$44="Yes",Projects!$M$44="Yes",43&gt;=Projects!$C$44,43&lt;Projects!$C$44+Projects!$D$44),Projects!$B$44*INDEX(Curves!$B$4:$AR$4,1,43-Projects!$C$44+1),0)+IF(AND(Projects!$G$45="Yes",Projects!$M$45="Yes",43&gt;=Projects!$C$45,43&lt;Projects!$C$45+Projects!$D$45),Projects!$B$45*INDEX(Curves!$B$4:$AR$4,1,43-Projects!$C$45+1),0)+IF(AND(Projects!$G$46="Yes",Projects!$M$46="Yes",43&gt;=Projects!$C$46,43&lt;Projects!$C$46+Projects!$D$46),Projects!$B$46*INDEX(Curves!$B$4:$AR$4,1,43-Projects!$C$46+1),0)</f>
        <v>1089450</v>
      </c>
      <c r="AW101" s="63">
        <f>IF(AND(Projects!$G$17="Yes",Projects!$M$17="Yes",44&gt;=Projects!$C$17,44&lt;Projects!$C$17+Projects!$D$17),Projects!$B$17*INDEX(Curves!$B$4:$AR$4,1,44-Projects!$C$17+1),0)+IF(AND(Projects!$G$18="Yes",Projects!$M$18="Yes",44&gt;=Projects!$C$18,44&lt;Projects!$C$18+Projects!$D$18),Projects!$B$18*INDEX(Curves!$B$4:$AR$4,1,44-Projects!$C$18+1),0)+IF(AND(Projects!$G$19="Yes",Projects!$M$19="Yes",44&gt;=Projects!$C$19,44&lt;Projects!$C$19+Projects!$D$19),Projects!$B$19*INDEX(Curves!$B$4:$AR$4,1,44-Projects!$C$19+1),0)+IF(AND(Projects!$G$20="Yes",Projects!$M$20="Yes",44&gt;=Projects!$C$20,44&lt;Projects!$C$20+Projects!$D$20),Projects!$B$20*INDEX(Curves!$B$4:$AR$4,1,44-Projects!$C$20+1),0)+IF(AND(Projects!$G$21="Yes",Projects!$M$21="Yes",44&gt;=Projects!$C$21,44&lt;Projects!$C$21+Projects!$D$21),Projects!$B$21*INDEX(Curves!$B$4:$AR$4,1,44-Projects!$C$21+1),0)+IF(AND(Projects!$G$22="Yes",Projects!$M$22="Yes",44&gt;=Projects!$C$22,44&lt;Projects!$C$22+Projects!$D$22),Projects!$B$22*INDEX(Curves!$B$4:$AR$4,1,44-Projects!$C$22+1),0)+IF(AND(Projects!$G$23="Yes",Projects!$M$23="Yes",44&gt;=Projects!$C$23,44&lt;Projects!$C$23+Projects!$D$23),Projects!$B$23*INDEX(Curves!$B$4:$AR$4,1,44-Projects!$C$23+1),0)+IF(AND(Projects!$G$24="Yes",Projects!$M$24="Yes",44&gt;=Projects!$C$24,44&lt;Projects!$C$24+Projects!$D$24),Projects!$B$24*INDEX(Curves!$B$4:$AR$4,1,44-Projects!$C$24+1),0)+IF(AND(Projects!$G$25="Yes",Projects!$M$25="Yes",44&gt;=Projects!$C$25,44&lt;Projects!$C$25+Projects!$D$25),Projects!$B$25*INDEX(Curves!$B$4:$AR$4,1,44-Projects!$C$25+1),0)+IF(AND(Projects!$G$26="Yes",Projects!$M$26="Yes",44&gt;=Projects!$C$26,44&lt;Projects!$C$26+Projects!$D$26),Projects!$B$26*INDEX(Curves!$B$4:$AR$4,1,44-Projects!$C$26+1),0)+IF(AND(Projects!$G$27="Yes",Projects!$M$27="Yes",44&gt;=Projects!$C$27,44&lt;Projects!$C$27+Projects!$D$27),Projects!$B$27*INDEX(Curves!$B$4:$AR$4,1,44-Projects!$C$27+1),0)+IF(AND(Projects!$G$28="Yes",Projects!$M$28="Yes",44&gt;=Projects!$C$28,44&lt;Projects!$C$28+Projects!$D$28),Projects!$B$28*INDEX(Curves!$B$4:$AR$4,1,44-Projects!$C$28+1),0)+IF(AND(Projects!$G$29="Yes",Projects!$M$29="Yes",44&gt;=Projects!$C$29,44&lt;Projects!$C$29+Projects!$D$29),Projects!$B$29*INDEX(Curves!$B$4:$AR$4,1,44-Projects!$C$29+1),0)+IF(AND(Projects!$G$30="Yes",Projects!$M$30="Yes",44&gt;=Projects!$C$30,44&lt;Projects!$C$30+Projects!$D$30),Projects!$B$30*INDEX(Curves!$B$4:$AR$4,1,44-Projects!$C$30+1),0)+IF(AND(Projects!$G$31="Yes",Projects!$M$31="Yes",44&gt;=Projects!$C$31,44&lt;Projects!$C$31+Projects!$D$31),Projects!$B$31*INDEX(Curves!$B$4:$AR$4,1,44-Projects!$C$31+1),0)+IF(AND(Projects!$G$32="Yes",Projects!$M$32="Yes",44&gt;=Projects!$C$32,44&lt;Projects!$C$32+Projects!$D$32),Projects!$B$32*INDEX(Curves!$B$4:$AR$4,1,44-Projects!$C$32+1),0)+IF(AND(Projects!$G$33="Yes",Projects!$M$33="Yes",44&gt;=Projects!$C$33,44&lt;Projects!$C$33+Projects!$D$33),Projects!$B$33*INDEX(Curves!$B$4:$AR$4,1,44-Projects!$C$33+1),0)+IF(AND(Projects!$G$34="Yes",Projects!$M$34="Yes",44&gt;=Projects!$C$34,44&lt;Projects!$C$34+Projects!$D$34),Projects!$B$34*INDEX(Curves!$B$4:$AR$4,1,44-Projects!$C$34+1),0)+IF(AND(Projects!$G$35="Yes",Projects!$M$35="Yes",44&gt;=Projects!$C$35,44&lt;Projects!$C$35+Projects!$D$35),Projects!$B$35*INDEX(Curves!$B$4:$AR$4,1,44-Projects!$C$35+1),0)+IF(AND(Projects!$G$36="Yes",Projects!$M$36="Yes",44&gt;=Projects!$C$36,44&lt;Projects!$C$36+Projects!$D$36),Projects!$B$36*INDEX(Curves!$B$4:$AR$4,1,44-Projects!$C$36+1),0)+IF(AND(Projects!$G$37="Yes",Projects!$M$37="Yes",44&gt;=Projects!$C$37,44&lt;Projects!$C$37+Projects!$D$37),Projects!$B$37*INDEX(Curves!$B$4:$AR$4,1,44-Projects!$C$37+1),0)+IF(AND(Projects!$G$38="Yes",Projects!$M$38="Yes",44&gt;=Projects!$C$38,44&lt;Projects!$C$38+Projects!$D$38),Projects!$B$38*INDEX(Curves!$B$4:$AR$4,1,44-Projects!$C$38+1),0)+IF(AND(Projects!$G$39="Yes",Projects!$M$39="Yes",44&gt;=Projects!$C$39,44&lt;Projects!$C$39+Projects!$D$39),Projects!$B$39*INDEX(Curves!$B$4:$AR$4,1,44-Projects!$C$39+1),0)+IF(AND(Projects!$G$40="Yes",Projects!$M$40="Yes",44&gt;=Projects!$C$40,44&lt;Projects!$C$40+Projects!$D$40),Projects!$B$40*INDEX(Curves!$B$4:$AR$4,1,44-Projects!$C$40+1),0)+IF(AND(Projects!$G$41="Yes",Projects!$M$41="Yes",44&gt;=Projects!$C$41,44&lt;Projects!$C$41+Projects!$D$41),Projects!$B$41*INDEX(Curves!$B$4:$AR$4,1,44-Projects!$C$41+1),0)+IF(AND(Projects!$G$42="Yes",Projects!$M$42="Yes",44&gt;=Projects!$C$42,44&lt;Projects!$C$42+Projects!$D$42),Projects!$B$42*INDEX(Curves!$B$4:$AR$4,1,44-Projects!$C$42+1),0)+IF(AND(Projects!$G$43="Yes",Projects!$M$43="Yes",44&gt;=Projects!$C$43,44&lt;Projects!$C$43+Projects!$D$43),Projects!$B$43*INDEX(Curves!$B$4:$AR$4,1,44-Projects!$C$43+1),0)+IF(AND(Projects!$G$44="Yes",Projects!$M$44="Yes",44&gt;=Projects!$C$44,44&lt;Projects!$C$44+Projects!$D$44),Projects!$B$44*INDEX(Curves!$B$4:$AR$4,1,44-Projects!$C$44+1),0)+IF(AND(Projects!$G$45="Yes",Projects!$M$45="Yes",44&gt;=Projects!$C$45,44&lt;Projects!$C$45+Projects!$D$45),Projects!$B$45*INDEX(Curves!$B$4:$AR$4,1,44-Projects!$C$45+1),0)+IF(AND(Projects!$G$46="Yes",Projects!$M$46="Yes",44&gt;=Projects!$C$46,44&lt;Projects!$C$46+Projects!$D$46),Projects!$B$46*INDEX(Curves!$B$4:$AR$4,1,44-Projects!$C$46+1),0)</f>
        <v>1075980</v>
      </c>
      <c r="AX101" s="63">
        <f>IF(AND(Projects!$G$17="Yes",Projects!$M$17="Yes",45&gt;=Projects!$C$17,45&lt;Projects!$C$17+Projects!$D$17),Projects!$B$17*INDEX(Curves!$B$4:$AR$4,1,45-Projects!$C$17+1),0)+IF(AND(Projects!$G$18="Yes",Projects!$M$18="Yes",45&gt;=Projects!$C$18,45&lt;Projects!$C$18+Projects!$D$18),Projects!$B$18*INDEX(Curves!$B$4:$AR$4,1,45-Projects!$C$18+1),0)+IF(AND(Projects!$G$19="Yes",Projects!$M$19="Yes",45&gt;=Projects!$C$19,45&lt;Projects!$C$19+Projects!$D$19),Projects!$B$19*INDEX(Curves!$B$4:$AR$4,1,45-Projects!$C$19+1),0)+IF(AND(Projects!$G$20="Yes",Projects!$M$20="Yes",45&gt;=Projects!$C$20,45&lt;Projects!$C$20+Projects!$D$20),Projects!$B$20*INDEX(Curves!$B$4:$AR$4,1,45-Projects!$C$20+1),0)+IF(AND(Projects!$G$21="Yes",Projects!$M$21="Yes",45&gt;=Projects!$C$21,45&lt;Projects!$C$21+Projects!$D$21),Projects!$B$21*INDEX(Curves!$B$4:$AR$4,1,45-Projects!$C$21+1),0)+IF(AND(Projects!$G$22="Yes",Projects!$M$22="Yes",45&gt;=Projects!$C$22,45&lt;Projects!$C$22+Projects!$D$22),Projects!$B$22*INDEX(Curves!$B$4:$AR$4,1,45-Projects!$C$22+1),0)+IF(AND(Projects!$G$23="Yes",Projects!$M$23="Yes",45&gt;=Projects!$C$23,45&lt;Projects!$C$23+Projects!$D$23),Projects!$B$23*INDEX(Curves!$B$4:$AR$4,1,45-Projects!$C$23+1),0)+IF(AND(Projects!$G$24="Yes",Projects!$M$24="Yes",45&gt;=Projects!$C$24,45&lt;Projects!$C$24+Projects!$D$24),Projects!$B$24*INDEX(Curves!$B$4:$AR$4,1,45-Projects!$C$24+1),0)+IF(AND(Projects!$G$25="Yes",Projects!$M$25="Yes",45&gt;=Projects!$C$25,45&lt;Projects!$C$25+Projects!$D$25),Projects!$B$25*INDEX(Curves!$B$4:$AR$4,1,45-Projects!$C$25+1),0)+IF(AND(Projects!$G$26="Yes",Projects!$M$26="Yes",45&gt;=Projects!$C$26,45&lt;Projects!$C$26+Projects!$D$26),Projects!$B$26*INDEX(Curves!$B$4:$AR$4,1,45-Projects!$C$26+1),0)+IF(AND(Projects!$G$27="Yes",Projects!$M$27="Yes",45&gt;=Projects!$C$27,45&lt;Projects!$C$27+Projects!$D$27),Projects!$B$27*INDEX(Curves!$B$4:$AR$4,1,45-Projects!$C$27+1),0)+IF(AND(Projects!$G$28="Yes",Projects!$M$28="Yes",45&gt;=Projects!$C$28,45&lt;Projects!$C$28+Projects!$D$28),Projects!$B$28*INDEX(Curves!$B$4:$AR$4,1,45-Projects!$C$28+1),0)+IF(AND(Projects!$G$29="Yes",Projects!$M$29="Yes",45&gt;=Projects!$C$29,45&lt;Projects!$C$29+Projects!$D$29),Projects!$B$29*INDEX(Curves!$B$4:$AR$4,1,45-Projects!$C$29+1),0)+IF(AND(Projects!$G$30="Yes",Projects!$M$30="Yes",45&gt;=Projects!$C$30,45&lt;Projects!$C$30+Projects!$D$30),Projects!$B$30*INDEX(Curves!$B$4:$AR$4,1,45-Projects!$C$30+1),0)+IF(AND(Projects!$G$31="Yes",Projects!$M$31="Yes",45&gt;=Projects!$C$31,45&lt;Projects!$C$31+Projects!$D$31),Projects!$B$31*INDEX(Curves!$B$4:$AR$4,1,45-Projects!$C$31+1),0)+IF(AND(Projects!$G$32="Yes",Projects!$M$32="Yes",45&gt;=Projects!$C$32,45&lt;Projects!$C$32+Projects!$D$32),Projects!$B$32*INDEX(Curves!$B$4:$AR$4,1,45-Projects!$C$32+1),0)+IF(AND(Projects!$G$33="Yes",Projects!$M$33="Yes",45&gt;=Projects!$C$33,45&lt;Projects!$C$33+Projects!$D$33),Projects!$B$33*INDEX(Curves!$B$4:$AR$4,1,45-Projects!$C$33+1),0)+IF(AND(Projects!$G$34="Yes",Projects!$M$34="Yes",45&gt;=Projects!$C$34,45&lt;Projects!$C$34+Projects!$D$34),Projects!$B$34*INDEX(Curves!$B$4:$AR$4,1,45-Projects!$C$34+1),0)+IF(AND(Projects!$G$35="Yes",Projects!$M$35="Yes",45&gt;=Projects!$C$35,45&lt;Projects!$C$35+Projects!$D$35),Projects!$B$35*INDEX(Curves!$B$4:$AR$4,1,45-Projects!$C$35+1),0)+IF(AND(Projects!$G$36="Yes",Projects!$M$36="Yes",45&gt;=Projects!$C$36,45&lt;Projects!$C$36+Projects!$D$36),Projects!$B$36*INDEX(Curves!$B$4:$AR$4,1,45-Projects!$C$36+1),0)+IF(AND(Projects!$G$37="Yes",Projects!$M$37="Yes",45&gt;=Projects!$C$37,45&lt;Projects!$C$37+Projects!$D$37),Projects!$B$37*INDEX(Curves!$B$4:$AR$4,1,45-Projects!$C$37+1),0)+IF(AND(Projects!$G$38="Yes",Projects!$M$38="Yes",45&gt;=Projects!$C$38,45&lt;Projects!$C$38+Projects!$D$38),Projects!$B$38*INDEX(Curves!$B$4:$AR$4,1,45-Projects!$C$38+1),0)+IF(AND(Projects!$G$39="Yes",Projects!$M$39="Yes",45&gt;=Projects!$C$39,45&lt;Projects!$C$39+Projects!$D$39),Projects!$B$39*INDEX(Curves!$B$4:$AR$4,1,45-Projects!$C$39+1),0)+IF(AND(Projects!$G$40="Yes",Projects!$M$40="Yes",45&gt;=Projects!$C$40,45&lt;Projects!$C$40+Projects!$D$40),Projects!$B$40*INDEX(Curves!$B$4:$AR$4,1,45-Projects!$C$40+1),0)+IF(AND(Projects!$G$41="Yes",Projects!$M$41="Yes",45&gt;=Projects!$C$41,45&lt;Projects!$C$41+Projects!$D$41),Projects!$B$41*INDEX(Curves!$B$4:$AR$4,1,45-Projects!$C$41+1),0)+IF(AND(Projects!$G$42="Yes",Projects!$M$42="Yes",45&gt;=Projects!$C$42,45&lt;Projects!$C$42+Projects!$D$42),Projects!$B$42*INDEX(Curves!$B$4:$AR$4,1,45-Projects!$C$42+1),0)+IF(AND(Projects!$G$43="Yes",Projects!$M$43="Yes",45&gt;=Projects!$C$43,45&lt;Projects!$C$43+Projects!$D$43),Projects!$B$43*INDEX(Curves!$B$4:$AR$4,1,45-Projects!$C$43+1),0)+IF(AND(Projects!$G$44="Yes",Projects!$M$44="Yes",45&gt;=Projects!$C$44,45&lt;Projects!$C$44+Projects!$D$44),Projects!$B$44*INDEX(Curves!$B$4:$AR$4,1,45-Projects!$C$44+1),0)+IF(AND(Projects!$G$45="Yes",Projects!$M$45="Yes",45&gt;=Projects!$C$45,45&lt;Projects!$C$45+Projects!$D$45),Projects!$B$45*INDEX(Curves!$B$4:$AR$4,1,45-Projects!$C$45+1),0)+IF(AND(Projects!$G$46="Yes",Projects!$M$46="Yes",45&gt;=Projects!$C$46,45&lt;Projects!$C$46+Projects!$D$46),Projects!$B$46*INDEX(Curves!$B$4:$AR$4,1,45-Projects!$C$46+1),0)</f>
        <v>1036560</v>
      </c>
      <c r="AY101" s="63">
        <f>IF(AND(Projects!$G$17="Yes",Projects!$M$17="Yes",46&gt;=Projects!$C$17,46&lt;Projects!$C$17+Projects!$D$17),Projects!$B$17*INDEX(Curves!$B$4:$AR$4,1,46-Projects!$C$17+1),0)+IF(AND(Projects!$G$18="Yes",Projects!$M$18="Yes",46&gt;=Projects!$C$18,46&lt;Projects!$C$18+Projects!$D$18),Projects!$B$18*INDEX(Curves!$B$4:$AR$4,1,46-Projects!$C$18+1),0)+IF(AND(Projects!$G$19="Yes",Projects!$M$19="Yes",46&gt;=Projects!$C$19,46&lt;Projects!$C$19+Projects!$D$19),Projects!$B$19*INDEX(Curves!$B$4:$AR$4,1,46-Projects!$C$19+1),0)+IF(AND(Projects!$G$20="Yes",Projects!$M$20="Yes",46&gt;=Projects!$C$20,46&lt;Projects!$C$20+Projects!$D$20),Projects!$B$20*INDEX(Curves!$B$4:$AR$4,1,46-Projects!$C$20+1),0)+IF(AND(Projects!$G$21="Yes",Projects!$M$21="Yes",46&gt;=Projects!$C$21,46&lt;Projects!$C$21+Projects!$D$21),Projects!$B$21*INDEX(Curves!$B$4:$AR$4,1,46-Projects!$C$21+1),0)+IF(AND(Projects!$G$22="Yes",Projects!$M$22="Yes",46&gt;=Projects!$C$22,46&lt;Projects!$C$22+Projects!$D$22),Projects!$B$22*INDEX(Curves!$B$4:$AR$4,1,46-Projects!$C$22+1),0)+IF(AND(Projects!$G$23="Yes",Projects!$M$23="Yes",46&gt;=Projects!$C$23,46&lt;Projects!$C$23+Projects!$D$23),Projects!$B$23*INDEX(Curves!$B$4:$AR$4,1,46-Projects!$C$23+1),0)+IF(AND(Projects!$G$24="Yes",Projects!$M$24="Yes",46&gt;=Projects!$C$24,46&lt;Projects!$C$24+Projects!$D$24),Projects!$B$24*INDEX(Curves!$B$4:$AR$4,1,46-Projects!$C$24+1),0)+IF(AND(Projects!$G$25="Yes",Projects!$M$25="Yes",46&gt;=Projects!$C$25,46&lt;Projects!$C$25+Projects!$D$25),Projects!$B$25*INDEX(Curves!$B$4:$AR$4,1,46-Projects!$C$25+1),0)+IF(AND(Projects!$G$26="Yes",Projects!$M$26="Yes",46&gt;=Projects!$C$26,46&lt;Projects!$C$26+Projects!$D$26),Projects!$B$26*INDEX(Curves!$B$4:$AR$4,1,46-Projects!$C$26+1),0)+IF(AND(Projects!$G$27="Yes",Projects!$M$27="Yes",46&gt;=Projects!$C$27,46&lt;Projects!$C$27+Projects!$D$27),Projects!$B$27*INDEX(Curves!$B$4:$AR$4,1,46-Projects!$C$27+1),0)+IF(AND(Projects!$G$28="Yes",Projects!$M$28="Yes",46&gt;=Projects!$C$28,46&lt;Projects!$C$28+Projects!$D$28),Projects!$B$28*INDEX(Curves!$B$4:$AR$4,1,46-Projects!$C$28+1),0)+IF(AND(Projects!$G$29="Yes",Projects!$M$29="Yes",46&gt;=Projects!$C$29,46&lt;Projects!$C$29+Projects!$D$29),Projects!$B$29*INDEX(Curves!$B$4:$AR$4,1,46-Projects!$C$29+1),0)+IF(AND(Projects!$G$30="Yes",Projects!$M$30="Yes",46&gt;=Projects!$C$30,46&lt;Projects!$C$30+Projects!$D$30),Projects!$B$30*INDEX(Curves!$B$4:$AR$4,1,46-Projects!$C$30+1),0)+IF(AND(Projects!$G$31="Yes",Projects!$M$31="Yes",46&gt;=Projects!$C$31,46&lt;Projects!$C$31+Projects!$D$31),Projects!$B$31*INDEX(Curves!$B$4:$AR$4,1,46-Projects!$C$31+1),0)+IF(AND(Projects!$G$32="Yes",Projects!$M$32="Yes",46&gt;=Projects!$C$32,46&lt;Projects!$C$32+Projects!$D$32),Projects!$B$32*INDEX(Curves!$B$4:$AR$4,1,46-Projects!$C$32+1),0)+IF(AND(Projects!$G$33="Yes",Projects!$M$33="Yes",46&gt;=Projects!$C$33,46&lt;Projects!$C$33+Projects!$D$33),Projects!$B$33*INDEX(Curves!$B$4:$AR$4,1,46-Projects!$C$33+1),0)+IF(AND(Projects!$G$34="Yes",Projects!$M$34="Yes",46&gt;=Projects!$C$34,46&lt;Projects!$C$34+Projects!$D$34),Projects!$B$34*INDEX(Curves!$B$4:$AR$4,1,46-Projects!$C$34+1),0)+IF(AND(Projects!$G$35="Yes",Projects!$M$35="Yes",46&gt;=Projects!$C$35,46&lt;Projects!$C$35+Projects!$D$35),Projects!$B$35*INDEX(Curves!$B$4:$AR$4,1,46-Projects!$C$35+1),0)+IF(AND(Projects!$G$36="Yes",Projects!$M$36="Yes",46&gt;=Projects!$C$36,46&lt;Projects!$C$36+Projects!$D$36),Projects!$B$36*INDEX(Curves!$B$4:$AR$4,1,46-Projects!$C$36+1),0)+IF(AND(Projects!$G$37="Yes",Projects!$M$37="Yes",46&gt;=Projects!$C$37,46&lt;Projects!$C$37+Projects!$D$37),Projects!$B$37*INDEX(Curves!$B$4:$AR$4,1,46-Projects!$C$37+1),0)+IF(AND(Projects!$G$38="Yes",Projects!$M$38="Yes",46&gt;=Projects!$C$38,46&lt;Projects!$C$38+Projects!$D$38),Projects!$B$38*INDEX(Curves!$B$4:$AR$4,1,46-Projects!$C$38+1),0)+IF(AND(Projects!$G$39="Yes",Projects!$M$39="Yes",46&gt;=Projects!$C$39,46&lt;Projects!$C$39+Projects!$D$39),Projects!$B$39*INDEX(Curves!$B$4:$AR$4,1,46-Projects!$C$39+1),0)+IF(AND(Projects!$G$40="Yes",Projects!$M$40="Yes",46&gt;=Projects!$C$40,46&lt;Projects!$C$40+Projects!$D$40),Projects!$B$40*INDEX(Curves!$B$4:$AR$4,1,46-Projects!$C$40+1),0)+IF(AND(Projects!$G$41="Yes",Projects!$M$41="Yes",46&gt;=Projects!$C$41,46&lt;Projects!$C$41+Projects!$D$41),Projects!$B$41*INDEX(Curves!$B$4:$AR$4,1,46-Projects!$C$41+1),0)+IF(AND(Projects!$G$42="Yes",Projects!$M$42="Yes",46&gt;=Projects!$C$42,46&lt;Projects!$C$42+Projects!$D$42),Projects!$B$42*INDEX(Curves!$B$4:$AR$4,1,46-Projects!$C$42+1),0)+IF(AND(Projects!$G$43="Yes",Projects!$M$43="Yes",46&gt;=Projects!$C$43,46&lt;Projects!$C$43+Projects!$D$43),Projects!$B$43*INDEX(Curves!$B$4:$AR$4,1,46-Projects!$C$43+1),0)+IF(AND(Projects!$G$44="Yes",Projects!$M$44="Yes",46&gt;=Projects!$C$44,46&lt;Projects!$C$44+Projects!$D$44),Projects!$B$44*INDEX(Curves!$B$4:$AR$4,1,46-Projects!$C$44+1),0)+IF(AND(Projects!$G$45="Yes",Projects!$M$45="Yes",46&gt;=Projects!$C$45,46&lt;Projects!$C$45+Projects!$D$45),Projects!$B$45*INDEX(Curves!$B$4:$AR$4,1,46-Projects!$C$45+1),0)+IF(AND(Projects!$G$46="Yes",Projects!$M$46="Yes",46&gt;=Projects!$C$46,46&lt;Projects!$C$46+Projects!$D$46),Projects!$B$46*INDEX(Curves!$B$4:$AR$4,1,46-Projects!$C$46+1),0)</f>
        <v>974054.99999999988</v>
      </c>
      <c r="AZ101" s="63">
        <f>IF(AND(Projects!$G$17="Yes",Projects!$M$17="Yes",47&gt;=Projects!$C$17,47&lt;Projects!$C$17+Projects!$D$17),Projects!$B$17*INDEX(Curves!$B$4:$AR$4,1,47-Projects!$C$17+1),0)+IF(AND(Projects!$G$18="Yes",Projects!$M$18="Yes",47&gt;=Projects!$C$18,47&lt;Projects!$C$18+Projects!$D$18),Projects!$B$18*INDEX(Curves!$B$4:$AR$4,1,47-Projects!$C$18+1),0)+IF(AND(Projects!$G$19="Yes",Projects!$M$19="Yes",47&gt;=Projects!$C$19,47&lt;Projects!$C$19+Projects!$D$19),Projects!$B$19*INDEX(Curves!$B$4:$AR$4,1,47-Projects!$C$19+1),0)+IF(AND(Projects!$G$20="Yes",Projects!$M$20="Yes",47&gt;=Projects!$C$20,47&lt;Projects!$C$20+Projects!$D$20),Projects!$B$20*INDEX(Curves!$B$4:$AR$4,1,47-Projects!$C$20+1),0)+IF(AND(Projects!$G$21="Yes",Projects!$M$21="Yes",47&gt;=Projects!$C$21,47&lt;Projects!$C$21+Projects!$D$21),Projects!$B$21*INDEX(Curves!$B$4:$AR$4,1,47-Projects!$C$21+1),0)+IF(AND(Projects!$G$22="Yes",Projects!$M$22="Yes",47&gt;=Projects!$C$22,47&lt;Projects!$C$22+Projects!$D$22),Projects!$B$22*INDEX(Curves!$B$4:$AR$4,1,47-Projects!$C$22+1),0)+IF(AND(Projects!$G$23="Yes",Projects!$M$23="Yes",47&gt;=Projects!$C$23,47&lt;Projects!$C$23+Projects!$D$23),Projects!$B$23*INDEX(Curves!$B$4:$AR$4,1,47-Projects!$C$23+1),0)+IF(AND(Projects!$G$24="Yes",Projects!$M$24="Yes",47&gt;=Projects!$C$24,47&lt;Projects!$C$24+Projects!$D$24),Projects!$B$24*INDEX(Curves!$B$4:$AR$4,1,47-Projects!$C$24+1),0)+IF(AND(Projects!$G$25="Yes",Projects!$M$25="Yes",47&gt;=Projects!$C$25,47&lt;Projects!$C$25+Projects!$D$25),Projects!$B$25*INDEX(Curves!$B$4:$AR$4,1,47-Projects!$C$25+1),0)+IF(AND(Projects!$G$26="Yes",Projects!$M$26="Yes",47&gt;=Projects!$C$26,47&lt;Projects!$C$26+Projects!$D$26),Projects!$B$26*INDEX(Curves!$B$4:$AR$4,1,47-Projects!$C$26+1),0)+IF(AND(Projects!$G$27="Yes",Projects!$M$27="Yes",47&gt;=Projects!$C$27,47&lt;Projects!$C$27+Projects!$D$27),Projects!$B$27*INDEX(Curves!$B$4:$AR$4,1,47-Projects!$C$27+1),0)+IF(AND(Projects!$G$28="Yes",Projects!$M$28="Yes",47&gt;=Projects!$C$28,47&lt;Projects!$C$28+Projects!$D$28),Projects!$B$28*INDEX(Curves!$B$4:$AR$4,1,47-Projects!$C$28+1),0)+IF(AND(Projects!$G$29="Yes",Projects!$M$29="Yes",47&gt;=Projects!$C$29,47&lt;Projects!$C$29+Projects!$D$29),Projects!$B$29*INDEX(Curves!$B$4:$AR$4,1,47-Projects!$C$29+1),0)+IF(AND(Projects!$G$30="Yes",Projects!$M$30="Yes",47&gt;=Projects!$C$30,47&lt;Projects!$C$30+Projects!$D$30),Projects!$B$30*INDEX(Curves!$B$4:$AR$4,1,47-Projects!$C$30+1),0)+IF(AND(Projects!$G$31="Yes",Projects!$M$31="Yes",47&gt;=Projects!$C$31,47&lt;Projects!$C$31+Projects!$D$31),Projects!$B$31*INDEX(Curves!$B$4:$AR$4,1,47-Projects!$C$31+1),0)+IF(AND(Projects!$G$32="Yes",Projects!$M$32="Yes",47&gt;=Projects!$C$32,47&lt;Projects!$C$32+Projects!$D$32),Projects!$B$32*INDEX(Curves!$B$4:$AR$4,1,47-Projects!$C$32+1),0)+IF(AND(Projects!$G$33="Yes",Projects!$M$33="Yes",47&gt;=Projects!$C$33,47&lt;Projects!$C$33+Projects!$D$33),Projects!$B$33*INDEX(Curves!$B$4:$AR$4,1,47-Projects!$C$33+1),0)+IF(AND(Projects!$G$34="Yes",Projects!$M$34="Yes",47&gt;=Projects!$C$34,47&lt;Projects!$C$34+Projects!$D$34),Projects!$B$34*INDEX(Curves!$B$4:$AR$4,1,47-Projects!$C$34+1),0)+IF(AND(Projects!$G$35="Yes",Projects!$M$35="Yes",47&gt;=Projects!$C$35,47&lt;Projects!$C$35+Projects!$D$35),Projects!$B$35*INDEX(Curves!$B$4:$AR$4,1,47-Projects!$C$35+1),0)+IF(AND(Projects!$G$36="Yes",Projects!$M$36="Yes",47&gt;=Projects!$C$36,47&lt;Projects!$C$36+Projects!$D$36),Projects!$B$36*INDEX(Curves!$B$4:$AR$4,1,47-Projects!$C$36+1),0)+IF(AND(Projects!$G$37="Yes",Projects!$M$37="Yes",47&gt;=Projects!$C$37,47&lt;Projects!$C$37+Projects!$D$37),Projects!$B$37*INDEX(Curves!$B$4:$AR$4,1,47-Projects!$C$37+1),0)+IF(AND(Projects!$G$38="Yes",Projects!$M$38="Yes",47&gt;=Projects!$C$38,47&lt;Projects!$C$38+Projects!$D$38),Projects!$B$38*INDEX(Curves!$B$4:$AR$4,1,47-Projects!$C$38+1),0)+IF(AND(Projects!$G$39="Yes",Projects!$M$39="Yes",47&gt;=Projects!$C$39,47&lt;Projects!$C$39+Projects!$D$39),Projects!$B$39*INDEX(Curves!$B$4:$AR$4,1,47-Projects!$C$39+1),0)+IF(AND(Projects!$G$40="Yes",Projects!$M$40="Yes",47&gt;=Projects!$C$40,47&lt;Projects!$C$40+Projects!$D$40),Projects!$B$40*INDEX(Curves!$B$4:$AR$4,1,47-Projects!$C$40+1),0)+IF(AND(Projects!$G$41="Yes",Projects!$M$41="Yes",47&gt;=Projects!$C$41,47&lt;Projects!$C$41+Projects!$D$41),Projects!$B$41*INDEX(Curves!$B$4:$AR$4,1,47-Projects!$C$41+1),0)+IF(AND(Projects!$G$42="Yes",Projects!$M$42="Yes",47&gt;=Projects!$C$42,47&lt;Projects!$C$42+Projects!$D$42),Projects!$B$42*INDEX(Curves!$B$4:$AR$4,1,47-Projects!$C$42+1),0)+IF(AND(Projects!$G$43="Yes",Projects!$M$43="Yes",47&gt;=Projects!$C$43,47&lt;Projects!$C$43+Projects!$D$43),Projects!$B$43*INDEX(Curves!$B$4:$AR$4,1,47-Projects!$C$43+1),0)+IF(AND(Projects!$G$44="Yes",Projects!$M$44="Yes",47&gt;=Projects!$C$44,47&lt;Projects!$C$44+Projects!$D$44),Projects!$B$44*INDEX(Curves!$B$4:$AR$4,1,47-Projects!$C$44+1),0)+IF(AND(Projects!$G$45="Yes",Projects!$M$45="Yes",47&gt;=Projects!$C$45,47&lt;Projects!$C$45+Projects!$D$45),Projects!$B$45*INDEX(Curves!$B$4:$AR$4,1,47-Projects!$C$45+1),0)+IF(AND(Projects!$G$46="Yes",Projects!$M$46="Yes",47&gt;=Projects!$C$46,47&lt;Projects!$C$46+Projects!$D$46),Projects!$B$46*INDEX(Curves!$B$4:$AR$4,1,47-Projects!$C$46+1),0)</f>
        <v>892830</v>
      </c>
      <c r="BA101" s="63">
        <f>IF(AND(Projects!$G$17="Yes",Projects!$M$17="Yes",48&gt;=Projects!$C$17,48&lt;Projects!$C$17+Projects!$D$17),Projects!$B$17*INDEX(Curves!$B$4:$AR$4,1,48-Projects!$C$17+1),0)+IF(AND(Projects!$G$18="Yes",Projects!$M$18="Yes",48&gt;=Projects!$C$18,48&lt;Projects!$C$18+Projects!$D$18),Projects!$B$18*INDEX(Curves!$B$4:$AR$4,1,48-Projects!$C$18+1),0)+IF(AND(Projects!$G$19="Yes",Projects!$M$19="Yes",48&gt;=Projects!$C$19,48&lt;Projects!$C$19+Projects!$D$19),Projects!$B$19*INDEX(Curves!$B$4:$AR$4,1,48-Projects!$C$19+1),0)+IF(AND(Projects!$G$20="Yes",Projects!$M$20="Yes",48&gt;=Projects!$C$20,48&lt;Projects!$C$20+Projects!$D$20),Projects!$B$20*INDEX(Curves!$B$4:$AR$4,1,48-Projects!$C$20+1),0)+IF(AND(Projects!$G$21="Yes",Projects!$M$21="Yes",48&gt;=Projects!$C$21,48&lt;Projects!$C$21+Projects!$D$21),Projects!$B$21*INDEX(Curves!$B$4:$AR$4,1,48-Projects!$C$21+1),0)+IF(AND(Projects!$G$22="Yes",Projects!$M$22="Yes",48&gt;=Projects!$C$22,48&lt;Projects!$C$22+Projects!$D$22),Projects!$B$22*INDEX(Curves!$B$4:$AR$4,1,48-Projects!$C$22+1),0)+IF(AND(Projects!$G$23="Yes",Projects!$M$23="Yes",48&gt;=Projects!$C$23,48&lt;Projects!$C$23+Projects!$D$23),Projects!$B$23*INDEX(Curves!$B$4:$AR$4,1,48-Projects!$C$23+1),0)+IF(AND(Projects!$G$24="Yes",Projects!$M$24="Yes",48&gt;=Projects!$C$24,48&lt;Projects!$C$24+Projects!$D$24),Projects!$B$24*INDEX(Curves!$B$4:$AR$4,1,48-Projects!$C$24+1),0)+IF(AND(Projects!$G$25="Yes",Projects!$M$25="Yes",48&gt;=Projects!$C$25,48&lt;Projects!$C$25+Projects!$D$25),Projects!$B$25*INDEX(Curves!$B$4:$AR$4,1,48-Projects!$C$25+1),0)+IF(AND(Projects!$G$26="Yes",Projects!$M$26="Yes",48&gt;=Projects!$C$26,48&lt;Projects!$C$26+Projects!$D$26),Projects!$B$26*INDEX(Curves!$B$4:$AR$4,1,48-Projects!$C$26+1),0)+IF(AND(Projects!$G$27="Yes",Projects!$M$27="Yes",48&gt;=Projects!$C$27,48&lt;Projects!$C$27+Projects!$D$27),Projects!$B$27*INDEX(Curves!$B$4:$AR$4,1,48-Projects!$C$27+1),0)+IF(AND(Projects!$G$28="Yes",Projects!$M$28="Yes",48&gt;=Projects!$C$28,48&lt;Projects!$C$28+Projects!$D$28),Projects!$B$28*INDEX(Curves!$B$4:$AR$4,1,48-Projects!$C$28+1),0)+IF(AND(Projects!$G$29="Yes",Projects!$M$29="Yes",48&gt;=Projects!$C$29,48&lt;Projects!$C$29+Projects!$D$29),Projects!$B$29*INDEX(Curves!$B$4:$AR$4,1,48-Projects!$C$29+1),0)+IF(AND(Projects!$G$30="Yes",Projects!$M$30="Yes",48&gt;=Projects!$C$30,48&lt;Projects!$C$30+Projects!$D$30),Projects!$B$30*INDEX(Curves!$B$4:$AR$4,1,48-Projects!$C$30+1),0)+IF(AND(Projects!$G$31="Yes",Projects!$M$31="Yes",48&gt;=Projects!$C$31,48&lt;Projects!$C$31+Projects!$D$31),Projects!$B$31*INDEX(Curves!$B$4:$AR$4,1,48-Projects!$C$31+1),0)+IF(AND(Projects!$G$32="Yes",Projects!$M$32="Yes",48&gt;=Projects!$C$32,48&lt;Projects!$C$32+Projects!$D$32),Projects!$B$32*INDEX(Curves!$B$4:$AR$4,1,48-Projects!$C$32+1),0)+IF(AND(Projects!$G$33="Yes",Projects!$M$33="Yes",48&gt;=Projects!$C$33,48&lt;Projects!$C$33+Projects!$D$33),Projects!$B$33*INDEX(Curves!$B$4:$AR$4,1,48-Projects!$C$33+1),0)+IF(AND(Projects!$G$34="Yes",Projects!$M$34="Yes",48&gt;=Projects!$C$34,48&lt;Projects!$C$34+Projects!$D$34),Projects!$B$34*INDEX(Curves!$B$4:$AR$4,1,48-Projects!$C$34+1),0)+IF(AND(Projects!$G$35="Yes",Projects!$M$35="Yes",48&gt;=Projects!$C$35,48&lt;Projects!$C$35+Projects!$D$35),Projects!$B$35*INDEX(Curves!$B$4:$AR$4,1,48-Projects!$C$35+1),0)+IF(AND(Projects!$G$36="Yes",Projects!$M$36="Yes",48&gt;=Projects!$C$36,48&lt;Projects!$C$36+Projects!$D$36),Projects!$B$36*INDEX(Curves!$B$4:$AR$4,1,48-Projects!$C$36+1),0)+IF(AND(Projects!$G$37="Yes",Projects!$M$37="Yes",48&gt;=Projects!$C$37,48&lt;Projects!$C$37+Projects!$D$37),Projects!$B$37*INDEX(Curves!$B$4:$AR$4,1,48-Projects!$C$37+1),0)+IF(AND(Projects!$G$38="Yes",Projects!$M$38="Yes",48&gt;=Projects!$C$38,48&lt;Projects!$C$38+Projects!$D$38),Projects!$B$38*INDEX(Curves!$B$4:$AR$4,1,48-Projects!$C$38+1),0)+IF(AND(Projects!$G$39="Yes",Projects!$M$39="Yes",48&gt;=Projects!$C$39,48&lt;Projects!$C$39+Projects!$D$39),Projects!$B$39*INDEX(Curves!$B$4:$AR$4,1,48-Projects!$C$39+1),0)+IF(AND(Projects!$G$40="Yes",Projects!$M$40="Yes",48&gt;=Projects!$C$40,48&lt;Projects!$C$40+Projects!$D$40),Projects!$B$40*INDEX(Curves!$B$4:$AR$4,1,48-Projects!$C$40+1),0)+IF(AND(Projects!$G$41="Yes",Projects!$M$41="Yes",48&gt;=Projects!$C$41,48&lt;Projects!$C$41+Projects!$D$41),Projects!$B$41*INDEX(Curves!$B$4:$AR$4,1,48-Projects!$C$41+1),0)+IF(AND(Projects!$G$42="Yes",Projects!$M$42="Yes",48&gt;=Projects!$C$42,48&lt;Projects!$C$42+Projects!$D$42),Projects!$B$42*INDEX(Curves!$B$4:$AR$4,1,48-Projects!$C$42+1),0)+IF(AND(Projects!$G$43="Yes",Projects!$M$43="Yes",48&gt;=Projects!$C$43,48&lt;Projects!$C$43+Projects!$D$43),Projects!$B$43*INDEX(Curves!$B$4:$AR$4,1,48-Projects!$C$43+1),0)+IF(AND(Projects!$G$44="Yes",Projects!$M$44="Yes",48&gt;=Projects!$C$44,48&lt;Projects!$C$44+Projects!$D$44),Projects!$B$44*INDEX(Curves!$B$4:$AR$4,1,48-Projects!$C$44+1),0)+IF(AND(Projects!$G$45="Yes",Projects!$M$45="Yes",48&gt;=Projects!$C$45,48&lt;Projects!$C$45+Projects!$D$45),Projects!$B$45*INDEX(Curves!$B$4:$AR$4,1,48-Projects!$C$45+1),0)+IF(AND(Projects!$G$46="Yes",Projects!$M$46="Yes",48&gt;=Projects!$C$46,48&lt;Projects!$C$46+Projects!$D$46),Projects!$B$46*INDEX(Curves!$B$4:$AR$4,1,48-Projects!$C$46+1),0)</f>
        <v>798270</v>
      </c>
      <c r="BB101" s="63">
        <f>IF(AND(Projects!$G$17="Yes",Projects!$M$17="Yes",49&gt;=Projects!$C$17,49&lt;Projects!$C$17+Projects!$D$17),Projects!$B$17*INDEX(Curves!$B$4:$AR$4,1,49-Projects!$C$17+1),0)+IF(AND(Projects!$G$18="Yes",Projects!$M$18="Yes",49&gt;=Projects!$C$18,49&lt;Projects!$C$18+Projects!$D$18),Projects!$B$18*INDEX(Curves!$B$4:$AR$4,1,49-Projects!$C$18+1),0)+IF(AND(Projects!$G$19="Yes",Projects!$M$19="Yes",49&gt;=Projects!$C$19,49&lt;Projects!$C$19+Projects!$D$19),Projects!$B$19*INDEX(Curves!$B$4:$AR$4,1,49-Projects!$C$19+1),0)+IF(AND(Projects!$G$20="Yes",Projects!$M$20="Yes",49&gt;=Projects!$C$20,49&lt;Projects!$C$20+Projects!$D$20),Projects!$B$20*INDEX(Curves!$B$4:$AR$4,1,49-Projects!$C$20+1),0)+IF(AND(Projects!$G$21="Yes",Projects!$M$21="Yes",49&gt;=Projects!$C$21,49&lt;Projects!$C$21+Projects!$D$21),Projects!$B$21*INDEX(Curves!$B$4:$AR$4,1,49-Projects!$C$21+1),0)+IF(AND(Projects!$G$22="Yes",Projects!$M$22="Yes",49&gt;=Projects!$C$22,49&lt;Projects!$C$22+Projects!$D$22),Projects!$B$22*INDEX(Curves!$B$4:$AR$4,1,49-Projects!$C$22+1),0)+IF(AND(Projects!$G$23="Yes",Projects!$M$23="Yes",49&gt;=Projects!$C$23,49&lt;Projects!$C$23+Projects!$D$23),Projects!$B$23*INDEX(Curves!$B$4:$AR$4,1,49-Projects!$C$23+1),0)+IF(AND(Projects!$G$24="Yes",Projects!$M$24="Yes",49&gt;=Projects!$C$24,49&lt;Projects!$C$24+Projects!$D$24),Projects!$B$24*INDEX(Curves!$B$4:$AR$4,1,49-Projects!$C$24+1),0)+IF(AND(Projects!$G$25="Yes",Projects!$M$25="Yes",49&gt;=Projects!$C$25,49&lt;Projects!$C$25+Projects!$D$25),Projects!$B$25*INDEX(Curves!$B$4:$AR$4,1,49-Projects!$C$25+1),0)+IF(AND(Projects!$G$26="Yes",Projects!$M$26="Yes",49&gt;=Projects!$C$26,49&lt;Projects!$C$26+Projects!$D$26),Projects!$B$26*INDEX(Curves!$B$4:$AR$4,1,49-Projects!$C$26+1),0)+IF(AND(Projects!$G$27="Yes",Projects!$M$27="Yes",49&gt;=Projects!$C$27,49&lt;Projects!$C$27+Projects!$D$27),Projects!$B$27*INDEX(Curves!$B$4:$AR$4,1,49-Projects!$C$27+1),0)+IF(AND(Projects!$G$28="Yes",Projects!$M$28="Yes",49&gt;=Projects!$C$28,49&lt;Projects!$C$28+Projects!$D$28),Projects!$B$28*INDEX(Curves!$B$4:$AR$4,1,49-Projects!$C$28+1),0)+IF(AND(Projects!$G$29="Yes",Projects!$M$29="Yes",49&gt;=Projects!$C$29,49&lt;Projects!$C$29+Projects!$D$29),Projects!$B$29*INDEX(Curves!$B$4:$AR$4,1,49-Projects!$C$29+1),0)+IF(AND(Projects!$G$30="Yes",Projects!$M$30="Yes",49&gt;=Projects!$C$30,49&lt;Projects!$C$30+Projects!$D$30),Projects!$B$30*INDEX(Curves!$B$4:$AR$4,1,49-Projects!$C$30+1),0)+IF(AND(Projects!$G$31="Yes",Projects!$M$31="Yes",49&gt;=Projects!$C$31,49&lt;Projects!$C$31+Projects!$D$31),Projects!$B$31*INDEX(Curves!$B$4:$AR$4,1,49-Projects!$C$31+1),0)+IF(AND(Projects!$G$32="Yes",Projects!$M$32="Yes",49&gt;=Projects!$C$32,49&lt;Projects!$C$32+Projects!$D$32),Projects!$B$32*INDEX(Curves!$B$4:$AR$4,1,49-Projects!$C$32+1),0)+IF(AND(Projects!$G$33="Yes",Projects!$M$33="Yes",49&gt;=Projects!$C$33,49&lt;Projects!$C$33+Projects!$D$33),Projects!$B$33*INDEX(Curves!$B$4:$AR$4,1,49-Projects!$C$33+1),0)+IF(AND(Projects!$G$34="Yes",Projects!$M$34="Yes",49&gt;=Projects!$C$34,49&lt;Projects!$C$34+Projects!$D$34),Projects!$B$34*INDEX(Curves!$B$4:$AR$4,1,49-Projects!$C$34+1),0)+IF(AND(Projects!$G$35="Yes",Projects!$M$35="Yes",49&gt;=Projects!$C$35,49&lt;Projects!$C$35+Projects!$D$35),Projects!$B$35*INDEX(Curves!$B$4:$AR$4,1,49-Projects!$C$35+1),0)+IF(AND(Projects!$G$36="Yes",Projects!$M$36="Yes",49&gt;=Projects!$C$36,49&lt;Projects!$C$36+Projects!$D$36),Projects!$B$36*INDEX(Curves!$B$4:$AR$4,1,49-Projects!$C$36+1),0)+IF(AND(Projects!$G$37="Yes",Projects!$M$37="Yes",49&gt;=Projects!$C$37,49&lt;Projects!$C$37+Projects!$D$37),Projects!$B$37*INDEX(Curves!$B$4:$AR$4,1,49-Projects!$C$37+1),0)+IF(AND(Projects!$G$38="Yes",Projects!$M$38="Yes",49&gt;=Projects!$C$38,49&lt;Projects!$C$38+Projects!$D$38),Projects!$B$38*INDEX(Curves!$B$4:$AR$4,1,49-Projects!$C$38+1),0)+IF(AND(Projects!$G$39="Yes",Projects!$M$39="Yes",49&gt;=Projects!$C$39,49&lt;Projects!$C$39+Projects!$D$39),Projects!$B$39*INDEX(Curves!$B$4:$AR$4,1,49-Projects!$C$39+1),0)+IF(AND(Projects!$G$40="Yes",Projects!$M$40="Yes",49&gt;=Projects!$C$40,49&lt;Projects!$C$40+Projects!$D$40),Projects!$B$40*INDEX(Curves!$B$4:$AR$4,1,49-Projects!$C$40+1),0)+IF(AND(Projects!$G$41="Yes",Projects!$M$41="Yes",49&gt;=Projects!$C$41,49&lt;Projects!$C$41+Projects!$D$41),Projects!$B$41*INDEX(Curves!$B$4:$AR$4,1,49-Projects!$C$41+1),0)+IF(AND(Projects!$G$42="Yes",Projects!$M$42="Yes",49&gt;=Projects!$C$42,49&lt;Projects!$C$42+Projects!$D$42),Projects!$B$42*INDEX(Curves!$B$4:$AR$4,1,49-Projects!$C$42+1),0)+IF(AND(Projects!$G$43="Yes",Projects!$M$43="Yes",49&gt;=Projects!$C$43,49&lt;Projects!$C$43+Projects!$D$43),Projects!$B$43*INDEX(Curves!$B$4:$AR$4,1,49-Projects!$C$43+1),0)+IF(AND(Projects!$G$44="Yes",Projects!$M$44="Yes",49&gt;=Projects!$C$44,49&lt;Projects!$C$44+Projects!$D$44),Projects!$B$44*INDEX(Curves!$B$4:$AR$4,1,49-Projects!$C$44+1),0)+IF(AND(Projects!$G$45="Yes",Projects!$M$45="Yes",49&gt;=Projects!$C$45,49&lt;Projects!$C$45+Projects!$D$45),Projects!$B$45*INDEX(Curves!$B$4:$AR$4,1,49-Projects!$C$45+1),0)+IF(AND(Projects!$G$46="Yes",Projects!$M$46="Yes",49&gt;=Projects!$C$46,49&lt;Projects!$C$46+Projects!$D$46),Projects!$B$46*INDEX(Curves!$B$4:$AR$4,1,49-Projects!$C$46+1),0)</f>
        <v>696180</v>
      </c>
      <c r="BC101" s="63">
        <f>IF(AND(Projects!$G$17="Yes",Projects!$M$17="Yes",50&gt;=Projects!$C$17,50&lt;Projects!$C$17+Projects!$D$17),Projects!$B$17*INDEX(Curves!$B$4:$AR$4,1,50-Projects!$C$17+1),0)+IF(AND(Projects!$G$18="Yes",Projects!$M$18="Yes",50&gt;=Projects!$C$18,50&lt;Projects!$C$18+Projects!$D$18),Projects!$B$18*INDEX(Curves!$B$4:$AR$4,1,50-Projects!$C$18+1),0)+IF(AND(Projects!$G$19="Yes",Projects!$M$19="Yes",50&gt;=Projects!$C$19,50&lt;Projects!$C$19+Projects!$D$19),Projects!$B$19*INDEX(Curves!$B$4:$AR$4,1,50-Projects!$C$19+1),0)+IF(AND(Projects!$G$20="Yes",Projects!$M$20="Yes",50&gt;=Projects!$C$20,50&lt;Projects!$C$20+Projects!$D$20),Projects!$B$20*INDEX(Curves!$B$4:$AR$4,1,50-Projects!$C$20+1),0)+IF(AND(Projects!$G$21="Yes",Projects!$M$21="Yes",50&gt;=Projects!$C$21,50&lt;Projects!$C$21+Projects!$D$21),Projects!$B$21*INDEX(Curves!$B$4:$AR$4,1,50-Projects!$C$21+1),0)+IF(AND(Projects!$G$22="Yes",Projects!$M$22="Yes",50&gt;=Projects!$C$22,50&lt;Projects!$C$22+Projects!$D$22),Projects!$B$22*INDEX(Curves!$B$4:$AR$4,1,50-Projects!$C$22+1),0)+IF(AND(Projects!$G$23="Yes",Projects!$M$23="Yes",50&gt;=Projects!$C$23,50&lt;Projects!$C$23+Projects!$D$23),Projects!$B$23*INDEX(Curves!$B$4:$AR$4,1,50-Projects!$C$23+1),0)+IF(AND(Projects!$G$24="Yes",Projects!$M$24="Yes",50&gt;=Projects!$C$24,50&lt;Projects!$C$24+Projects!$D$24),Projects!$B$24*INDEX(Curves!$B$4:$AR$4,1,50-Projects!$C$24+1),0)+IF(AND(Projects!$G$25="Yes",Projects!$M$25="Yes",50&gt;=Projects!$C$25,50&lt;Projects!$C$25+Projects!$D$25),Projects!$B$25*INDEX(Curves!$B$4:$AR$4,1,50-Projects!$C$25+1),0)+IF(AND(Projects!$G$26="Yes",Projects!$M$26="Yes",50&gt;=Projects!$C$26,50&lt;Projects!$C$26+Projects!$D$26),Projects!$B$26*INDEX(Curves!$B$4:$AR$4,1,50-Projects!$C$26+1),0)+IF(AND(Projects!$G$27="Yes",Projects!$M$27="Yes",50&gt;=Projects!$C$27,50&lt;Projects!$C$27+Projects!$D$27),Projects!$B$27*INDEX(Curves!$B$4:$AR$4,1,50-Projects!$C$27+1),0)+IF(AND(Projects!$G$28="Yes",Projects!$M$28="Yes",50&gt;=Projects!$C$28,50&lt;Projects!$C$28+Projects!$D$28),Projects!$B$28*INDEX(Curves!$B$4:$AR$4,1,50-Projects!$C$28+1),0)+IF(AND(Projects!$G$29="Yes",Projects!$M$29="Yes",50&gt;=Projects!$C$29,50&lt;Projects!$C$29+Projects!$D$29),Projects!$B$29*INDEX(Curves!$B$4:$AR$4,1,50-Projects!$C$29+1),0)+IF(AND(Projects!$G$30="Yes",Projects!$M$30="Yes",50&gt;=Projects!$C$30,50&lt;Projects!$C$30+Projects!$D$30),Projects!$B$30*INDEX(Curves!$B$4:$AR$4,1,50-Projects!$C$30+1),0)+IF(AND(Projects!$G$31="Yes",Projects!$M$31="Yes",50&gt;=Projects!$C$31,50&lt;Projects!$C$31+Projects!$D$31),Projects!$B$31*INDEX(Curves!$B$4:$AR$4,1,50-Projects!$C$31+1),0)+IF(AND(Projects!$G$32="Yes",Projects!$M$32="Yes",50&gt;=Projects!$C$32,50&lt;Projects!$C$32+Projects!$D$32),Projects!$B$32*INDEX(Curves!$B$4:$AR$4,1,50-Projects!$C$32+1),0)+IF(AND(Projects!$G$33="Yes",Projects!$M$33="Yes",50&gt;=Projects!$C$33,50&lt;Projects!$C$33+Projects!$D$33),Projects!$B$33*INDEX(Curves!$B$4:$AR$4,1,50-Projects!$C$33+1),0)+IF(AND(Projects!$G$34="Yes",Projects!$M$34="Yes",50&gt;=Projects!$C$34,50&lt;Projects!$C$34+Projects!$D$34),Projects!$B$34*INDEX(Curves!$B$4:$AR$4,1,50-Projects!$C$34+1),0)+IF(AND(Projects!$G$35="Yes",Projects!$M$35="Yes",50&gt;=Projects!$C$35,50&lt;Projects!$C$35+Projects!$D$35),Projects!$B$35*INDEX(Curves!$B$4:$AR$4,1,50-Projects!$C$35+1),0)+IF(AND(Projects!$G$36="Yes",Projects!$M$36="Yes",50&gt;=Projects!$C$36,50&lt;Projects!$C$36+Projects!$D$36),Projects!$B$36*INDEX(Curves!$B$4:$AR$4,1,50-Projects!$C$36+1),0)+IF(AND(Projects!$G$37="Yes",Projects!$M$37="Yes",50&gt;=Projects!$C$37,50&lt;Projects!$C$37+Projects!$D$37),Projects!$B$37*INDEX(Curves!$B$4:$AR$4,1,50-Projects!$C$37+1),0)+IF(AND(Projects!$G$38="Yes",Projects!$M$38="Yes",50&gt;=Projects!$C$38,50&lt;Projects!$C$38+Projects!$D$38),Projects!$B$38*INDEX(Curves!$B$4:$AR$4,1,50-Projects!$C$38+1),0)+IF(AND(Projects!$G$39="Yes",Projects!$M$39="Yes",50&gt;=Projects!$C$39,50&lt;Projects!$C$39+Projects!$D$39),Projects!$B$39*INDEX(Curves!$B$4:$AR$4,1,50-Projects!$C$39+1),0)+IF(AND(Projects!$G$40="Yes",Projects!$M$40="Yes",50&gt;=Projects!$C$40,50&lt;Projects!$C$40+Projects!$D$40),Projects!$B$40*INDEX(Curves!$B$4:$AR$4,1,50-Projects!$C$40+1),0)+IF(AND(Projects!$G$41="Yes",Projects!$M$41="Yes",50&gt;=Projects!$C$41,50&lt;Projects!$C$41+Projects!$D$41),Projects!$B$41*INDEX(Curves!$B$4:$AR$4,1,50-Projects!$C$41+1),0)+IF(AND(Projects!$G$42="Yes",Projects!$M$42="Yes",50&gt;=Projects!$C$42,50&lt;Projects!$C$42+Projects!$D$42),Projects!$B$42*INDEX(Curves!$B$4:$AR$4,1,50-Projects!$C$42+1),0)+IF(AND(Projects!$G$43="Yes",Projects!$M$43="Yes",50&gt;=Projects!$C$43,50&lt;Projects!$C$43+Projects!$D$43),Projects!$B$43*INDEX(Curves!$B$4:$AR$4,1,50-Projects!$C$43+1),0)+IF(AND(Projects!$G$44="Yes",Projects!$M$44="Yes",50&gt;=Projects!$C$44,50&lt;Projects!$C$44+Projects!$D$44),Projects!$B$44*INDEX(Curves!$B$4:$AR$4,1,50-Projects!$C$44+1),0)+IF(AND(Projects!$G$45="Yes",Projects!$M$45="Yes",50&gt;=Projects!$C$45,50&lt;Projects!$C$45+Projects!$D$45),Projects!$B$45*INDEX(Curves!$B$4:$AR$4,1,50-Projects!$C$45+1),0)+IF(AND(Projects!$G$46="Yes",Projects!$M$46="Yes",50&gt;=Projects!$C$46,50&lt;Projects!$C$46+Projects!$D$46),Projects!$B$46*INDEX(Curves!$B$4:$AR$4,1,50-Projects!$C$46+1),0)</f>
        <v>592230</v>
      </c>
      <c r="BD101" s="63">
        <f>IF(AND(Projects!$G$17="Yes",Projects!$M$17="Yes",51&gt;=Projects!$C$17,51&lt;Projects!$C$17+Projects!$D$17),Projects!$B$17*INDEX(Curves!$B$4:$AR$4,1,51-Projects!$C$17+1),0)+IF(AND(Projects!$G$18="Yes",Projects!$M$18="Yes",51&gt;=Projects!$C$18,51&lt;Projects!$C$18+Projects!$D$18),Projects!$B$18*INDEX(Curves!$B$4:$AR$4,1,51-Projects!$C$18+1),0)+IF(AND(Projects!$G$19="Yes",Projects!$M$19="Yes",51&gt;=Projects!$C$19,51&lt;Projects!$C$19+Projects!$D$19),Projects!$B$19*INDEX(Curves!$B$4:$AR$4,1,51-Projects!$C$19+1),0)+IF(AND(Projects!$G$20="Yes",Projects!$M$20="Yes",51&gt;=Projects!$C$20,51&lt;Projects!$C$20+Projects!$D$20),Projects!$B$20*INDEX(Curves!$B$4:$AR$4,1,51-Projects!$C$20+1),0)+IF(AND(Projects!$G$21="Yes",Projects!$M$21="Yes",51&gt;=Projects!$C$21,51&lt;Projects!$C$21+Projects!$D$21),Projects!$B$21*INDEX(Curves!$B$4:$AR$4,1,51-Projects!$C$21+1),0)+IF(AND(Projects!$G$22="Yes",Projects!$M$22="Yes",51&gt;=Projects!$C$22,51&lt;Projects!$C$22+Projects!$D$22),Projects!$B$22*INDEX(Curves!$B$4:$AR$4,1,51-Projects!$C$22+1),0)+IF(AND(Projects!$G$23="Yes",Projects!$M$23="Yes",51&gt;=Projects!$C$23,51&lt;Projects!$C$23+Projects!$D$23),Projects!$B$23*INDEX(Curves!$B$4:$AR$4,1,51-Projects!$C$23+1),0)+IF(AND(Projects!$G$24="Yes",Projects!$M$24="Yes",51&gt;=Projects!$C$24,51&lt;Projects!$C$24+Projects!$D$24),Projects!$B$24*INDEX(Curves!$B$4:$AR$4,1,51-Projects!$C$24+1),0)+IF(AND(Projects!$G$25="Yes",Projects!$M$25="Yes",51&gt;=Projects!$C$25,51&lt;Projects!$C$25+Projects!$D$25),Projects!$B$25*INDEX(Curves!$B$4:$AR$4,1,51-Projects!$C$25+1),0)+IF(AND(Projects!$G$26="Yes",Projects!$M$26="Yes",51&gt;=Projects!$C$26,51&lt;Projects!$C$26+Projects!$D$26),Projects!$B$26*INDEX(Curves!$B$4:$AR$4,1,51-Projects!$C$26+1),0)+IF(AND(Projects!$G$27="Yes",Projects!$M$27="Yes",51&gt;=Projects!$C$27,51&lt;Projects!$C$27+Projects!$D$27),Projects!$B$27*INDEX(Curves!$B$4:$AR$4,1,51-Projects!$C$27+1),0)+IF(AND(Projects!$G$28="Yes",Projects!$M$28="Yes",51&gt;=Projects!$C$28,51&lt;Projects!$C$28+Projects!$D$28),Projects!$B$28*INDEX(Curves!$B$4:$AR$4,1,51-Projects!$C$28+1),0)+IF(AND(Projects!$G$29="Yes",Projects!$M$29="Yes",51&gt;=Projects!$C$29,51&lt;Projects!$C$29+Projects!$D$29),Projects!$B$29*INDEX(Curves!$B$4:$AR$4,1,51-Projects!$C$29+1),0)+IF(AND(Projects!$G$30="Yes",Projects!$M$30="Yes",51&gt;=Projects!$C$30,51&lt;Projects!$C$30+Projects!$D$30),Projects!$B$30*INDEX(Curves!$B$4:$AR$4,1,51-Projects!$C$30+1),0)+IF(AND(Projects!$G$31="Yes",Projects!$M$31="Yes",51&gt;=Projects!$C$31,51&lt;Projects!$C$31+Projects!$D$31),Projects!$B$31*INDEX(Curves!$B$4:$AR$4,1,51-Projects!$C$31+1),0)+IF(AND(Projects!$G$32="Yes",Projects!$M$32="Yes",51&gt;=Projects!$C$32,51&lt;Projects!$C$32+Projects!$D$32),Projects!$B$32*INDEX(Curves!$B$4:$AR$4,1,51-Projects!$C$32+1),0)+IF(AND(Projects!$G$33="Yes",Projects!$M$33="Yes",51&gt;=Projects!$C$33,51&lt;Projects!$C$33+Projects!$D$33),Projects!$B$33*INDEX(Curves!$B$4:$AR$4,1,51-Projects!$C$33+1),0)+IF(AND(Projects!$G$34="Yes",Projects!$M$34="Yes",51&gt;=Projects!$C$34,51&lt;Projects!$C$34+Projects!$D$34),Projects!$B$34*INDEX(Curves!$B$4:$AR$4,1,51-Projects!$C$34+1),0)+IF(AND(Projects!$G$35="Yes",Projects!$M$35="Yes",51&gt;=Projects!$C$35,51&lt;Projects!$C$35+Projects!$D$35),Projects!$B$35*INDEX(Curves!$B$4:$AR$4,1,51-Projects!$C$35+1),0)+IF(AND(Projects!$G$36="Yes",Projects!$M$36="Yes",51&gt;=Projects!$C$36,51&lt;Projects!$C$36+Projects!$D$36),Projects!$B$36*INDEX(Curves!$B$4:$AR$4,1,51-Projects!$C$36+1),0)+IF(AND(Projects!$G$37="Yes",Projects!$M$37="Yes",51&gt;=Projects!$C$37,51&lt;Projects!$C$37+Projects!$D$37),Projects!$B$37*INDEX(Curves!$B$4:$AR$4,1,51-Projects!$C$37+1),0)+IF(AND(Projects!$G$38="Yes",Projects!$M$38="Yes",51&gt;=Projects!$C$38,51&lt;Projects!$C$38+Projects!$D$38),Projects!$B$38*INDEX(Curves!$B$4:$AR$4,1,51-Projects!$C$38+1),0)+IF(AND(Projects!$G$39="Yes",Projects!$M$39="Yes",51&gt;=Projects!$C$39,51&lt;Projects!$C$39+Projects!$D$39),Projects!$B$39*INDEX(Curves!$B$4:$AR$4,1,51-Projects!$C$39+1),0)+IF(AND(Projects!$G$40="Yes",Projects!$M$40="Yes",51&gt;=Projects!$C$40,51&lt;Projects!$C$40+Projects!$D$40),Projects!$B$40*INDEX(Curves!$B$4:$AR$4,1,51-Projects!$C$40+1),0)+IF(AND(Projects!$G$41="Yes",Projects!$M$41="Yes",51&gt;=Projects!$C$41,51&lt;Projects!$C$41+Projects!$D$41),Projects!$B$41*INDEX(Curves!$B$4:$AR$4,1,51-Projects!$C$41+1),0)+IF(AND(Projects!$G$42="Yes",Projects!$M$42="Yes",51&gt;=Projects!$C$42,51&lt;Projects!$C$42+Projects!$D$42),Projects!$B$42*INDEX(Curves!$B$4:$AR$4,1,51-Projects!$C$42+1),0)+IF(AND(Projects!$G$43="Yes",Projects!$M$43="Yes",51&gt;=Projects!$C$43,51&lt;Projects!$C$43+Projects!$D$43),Projects!$B$43*INDEX(Curves!$B$4:$AR$4,1,51-Projects!$C$43+1),0)+IF(AND(Projects!$G$44="Yes",Projects!$M$44="Yes",51&gt;=Projects!$C$44,51&lt;Projects!$C$44+Projects!$D$44),Projects!$B$44*INDEX(Curves!$B$4:$AR$4,1,51-Projects!$C$44+1),0)+IF(AND(Projects!$G$45="Yes",Projects!$M$45="Yes",51&gt;=Projects!$C$45,51&lt;Projects!$C$45+Projects!$D$45),Projects!$B$45*INDEX(Curves!$B$4:$AR$4,1,51-Projects!$C$45+1),0)+IF(AND(Projects!$G$46="Yes",Projects!$M$46="Yes",51&gt;=Projects!$C$46,51&lt;Projects!$C$46+Projects!$D$46),Projects!$B$46*INDEX(Curves!$B$4:$AR$4,1,51-Projects!$C$46+1),0)</f>
        <v>491415</v>
      </c>
      <c r="BE101" s="63">
        <f>IF(AND(Projects!$G$17="Yes",Projects!$M$17="Yes",52&gt;=Projects!$C$17,52&lt;Projects!$C$17+Projects!$D$17),Projects!$B$17*INDEX(Curves!$B$4:$AR$4,1,52-Projects!$C$17+1),0)+IF(AND(Projects!$G$18="Yes",Projects!$M$18="Yes",52&gt;=Projects!$C$18,52&lt;Projects!$C$18+Projects!$D$18),Projects!$B$18*INDEX(Curves!$B$4:$AR$4,1,52-Projects!$C$18+1),0)+IF(AND(Projects!$G$19="Yes",Projects!$M$19="Yes",52&gt;=Projects!$C$19,52&lt;Projects!$C$19+Projects!$D$19),Projects!$B$19*INDEX(Curves!$B$4:$AR$4,1,52-Projects!$C$19+1),0)+IF(AND(Projects!$G$20="Yes",Projects!$M$20="Yes",52&gt;=Projects!$C$20,52&lt;Projects!$C$20+Projects!$D$20),Projects!$B$20*INDEX(Curves!$B$4:$AR$4,1,52-Projects!$C$20+1),0)+IF(AND(Projects!$G$21="Yes",Projects!$M$21="Yes",52&gt;=Projects!$C$21,52&lt;Projects!$C$21+Projects!$D$21),Projects!$B$21*INDEX(Curves!$B$4:$AR$4,1,52-Projects!$C$21+1),0)+IF(AND(Projects!$G$22="Yes",Projects!$M$22="Yes",52&gt;=Projects!$C$22,52&lt;Projects!$C$22+Projects!$D$22),Projects!$B$22*INDEX(Curves!$B$4:$AR$4,1,52-Projects!$C$22+1),0)+IF(AND(Projects!$G$23="Yes",Projects!$M$23="Yes",52&gt;=Projects!$C$23,52&lt;Projects!$C$23+Projects!$D$23),Projects!$B$23*INDEX(Curves!$B$4:$AR$4,1,52-Projects!$C$23+1),0)+IF(AND(Projects!$G$24="Yes",Projects!$M$24="Yes",52&gt;=Projects!$C$24,52&lt;Projects!$C$24+Projects!$D$24),Projects!$B$24*INDEX(Curves!$B$4:$AR$4,1,52-Projects!$C$24+1),0)+IF(AND(Projects!$G$25="Yes",Projects!$M$25="Yes",52&gt;=Projects!$C$25,52&lt;Projects!$C$25+Projects!$D$25),Projects!$B$25*INDEX(Curves!$B$4:$AR$4,1,52-Projects!$C$25+1),0)+IF(AND(Projects!$G$26="Yes",Projects!$M$26="Yes",52&gt;=Projects!$C$26,52&lt;Projects!$C$26+Projects!$D$26),Projects!$B$26*INDEX(Curves!$B$4:$AR$4,1,52-Projects!$C$26+1),0)+IF(AND(Projects!$G$27="Yes",Projects!$M$27="Yes",52&gt;=Projects!$C$27,52&lt;Projects!$C$27+Projects!$D$27),Projects!$B$27*INDEX(Curves!$B$4:$AR$4,1,52-Projects!$C$27+1),0)+IF(AND(Projects!$G$28="Yes",Projects!$M$28="Yes",52&gt;=Projects!$C$28,52&lt;Projects!$C$28+Projects!$D$28),Projects!$B$28*INDEX(Curves!$B$4:$AR$4,1,52-Projects!$C$28+1),0)+IF(AND(Projects!$G$29="Yes",Projects!$M$29="Yes",52&gt;=Projects!$C$29,52&lt;Projects!$C$29+Projects!$D$29),Projects!$B$29*INDEX(Curves!$B$4:$AR$4,1,52-Projects!$C$29+1),0)+IF(AND(Projects!$G$30="Yes",Projects!$M$30="Yes",52&gt;=Projects!$C$30,52&lt;Projects!$C$30+Projects!$D$30),Projects!$B$30*INDEX(Curves!$B$4:$AR$4,1,52-Projects!$C$30+1),0)+IF(AND(Projects!$G$31="Yes",Projects!$M$31="Yes",52&gt;=Projects!$C$31,52&lt;Projects!$C$31+Projects!$D$31),Projects!$B$31*INDEX(Curves!$B$4:$AR$4,1,52-Projects!$C$31+1),0)+IF(AND(Projects!$G$32="Yes",Projects!$M$32="Yes",52&gt;=Projects!$C$32,52&lt;Projects!$C$32+Projects!$D$32),Projects!$B$32*INDEX(Curves!$B$4:$AR$4,1,52-Projects!$C$32+1),0)+IF(AND(Projects!$G$33="Yes",Projects!$M$33="Yes",52&gt;=Projects!$C$33,52&lt;Projects!$C$33+Projects!$D$33),Projects!$B$33*INDEX(Curves!$B$4:$AR$4,1,52-Projects!$C$33+1),0)+IF(AND(Projects!$G$34="Yes",Projects!$M$34="Yes",52&gt;=Projects!$C$34,52&lt;Projects!$C$34+Projects!$D$34),Projects!$B$34*INDEX(Curves!$B$4:$AR$4,1,52-Projects!$C$34+1),0)+IF(AND(Projects!$G$35="Yes",Projects!$M$35="Yes",52&gt;=Projects!$C$35,52&lt;Projects!$C$35+Projects!$D$35),Projects!$B$35*INDEX(Curves!$B$4:$AR$4,1,52-Projects!$C$35+1),0)+IF(AND(Projects!$G$36="Yes",Projects!$M$36="Yes",52&gt;=Projects!$C$36,52&lt;Projects!$C$36+Projects!$D$36),Projects!$B$36*INDEX(Curves!$B$4:$AR$4,1,52-Projects!$C$36+1),0)+IF(AND(Projects!$G$37="Yes",Projects!$M$37="Yes",52&gt;=Projects!$C$37,52&lt;Projects!$C$37+Projects!$D$37),Projects!$B$37*INDEX(Curves!$B$4:$AR$4,1,52-Projects!$C$37+1),0)+IF(AND(Projects!$G$38="Yes",Projects!$M$38="Yes",52&gt;=Projects!$C$38,52&lt;Projects!$C$38+Projects!$D$38),Projects!$B$38*INDEX(Curves!$B$4:$AR$4,1,52-Projects!$C$38+1),0)+IF(AND(Projects!$G$39="Yes",Projects!$M$39="Yes",52&gt;=Projects!$C$39,52&lt;Projects!$C$39+Projects!$D$39),Projects!$B$39*INDEX(Curves!$B$4:$AR$4,1,52-Projects!$C$39+1),0)+IF(AND(Projects!$G$40="Yes",Projects!$M$40="Yes",52&gt;=Projects!$C$40,52&lt;Projects!$C$40+Projects!$D$40),Projects!$B$40*INDEX(Curves!$B$4:$AR$4,1,52-Projects!$C$40+1),0)+IF(AND(Projects!$G$41="Yes",Projects!$M$41="Yes",52&gt;=Projects!$C$41,52&lt;Projects!$C$41+Projects!$D$41),Projects!$B$41*INDEX(Curves!$B$4:$AR$4,1,52-Projects!$C$41+1),0)+IF(AND(Projects!$G$42="Yes",Projects!$M$42="Yes",52&gt;=Projects!$C$42,52&lt;Projects!$C$42+Projects!$D$42),Projects!$B$42*INDEX(Curves!$B$4:$AR$4,1,52-Projects!$C$42+1),0)+IF(AND(Projects!$G$43="Yes",Projects!$M$43="Yes",52&gt;=Projects!$C$43,52&lt;Projects!$C$43+Projects!$D$43),Projects!$B$43*INDEX(Curves!$B$4:$AR$4,1,52-Projects!$C$43+1),0)+IF(AND(Projects!$G$44="Yes",Projects!$M$44="Yes",52&gt;=Projects!$C$44,52&lt;Projects!$C$44+Projects!$D$44),Projects!$B$44*INDEX(Curves!$B$4:$AR$4,1,52-Projects!$C$44+1),0)+IF(AND(Projects!$G$45="Yes",Projects!$M$45="Yes",52&gt;=Projects!$C$45,52&lt;Projects!$C$45+Projects!$D$45),Projects!$B$45*INDEX(Curves!$B$4:$AR$4,1,52-Projects!$C$45+1),0)+IF(AND(Projects!$G$46="Yes",Projects!$M$46="Yes",52&gt;=Projects!$C$46,52&lt;Projects!$C$46+Projects!$D$46),Projects!$B$46*INDEX(Curves!$B$4:$AR$4,1,52-Projects!$C$46+1),0)</f>
        <v>397755</v>
      </c>
      <c r="BF101" s="63">
        <f>IF(AND(Projects!$G$17="Yes",Projects!$M$17="Yes",53&gt;=Projects!$C$17,53&lt;Projects!$C$17+Projects!$D$17),Projects!$B$17*INDEX(Curves!$B$4:$AR$4,1,53-Projects!$C$17+1),0)+IF(AND(Projects!$G$18="Yes",Projects!$M$18="Yes",53&gt;=Projects!$C$18,53&lt;Projects!$C$18+Projects!$D$18),Projects!$B$18*INDEX(Curves!$B$4:$AR$4,1,53-Projects!$C$18+1),0)+IF(AND(Projects!$G$19="Yes",Projects!$M$19="Yes",53&gt;=Projects!$C$19,53&lt;Projects!$C$19+Projects!$D$19),Projects!$B$19*INDEX(Curves!$B$4:$AR$4,1,53-Projects!$C$19+1),0)+IF(AND(Projects!$G$20="Yes",Projects!$M$20="Yes",53&gt;=Projects!$C$20,53&lt;Projects!$C$20+Projects!$D$20),Projects!$B$20*INDEX(Curves!$B$4:$AR$4,1,53-Projects!$C$20+1),0)+IF(AND(Projects!$G$21="Yes",Projects!$M$21="Yes",53&gt;=Projects!$C$21,53&lt;Projects!$C$21+Projects!$D$21),Projects!$B$21*INDEX(Curves!$B$4:$AR$4,1,53-Projects!$C$21+1),0)+IF(AND(Projects!$G$22="Yes",Projects!$M$22="Yes",53&gt;=Projects!$C$22,53&lt;Projects!$C$22+Projects!$D$22),Projects!$B$22*INDEX(Curves!$B$4:$AR$4,1,53-Projects!$C$22+1),0)+IF(AND(Projects!$G$23="Yes",Projects!$M$23="Yes",53&gt;=Projects!$C$23,53&lt;Projects!$C$23+Projects!$D$23),Projects!$B$23*INDEX(Curves!$B$4:$AR$4,1,53-Projects!$C$23+1),0)+IF(AND(Projects!$G$24="Yes",Projects!$M$24="Yes",53&gt;=Projects!$C$24,53&lt;Projects!$C$24+Projects!$D$24),Projects!$B$24*INDEX(Curves!$B$4:$AR$4,1,53-Projects!$C$24+1),0)+IF(AND(Projects!$G$25="Yes",Projects!$M$25="Yes",53&gt;=Projects!$C$25,53&lt;Projects!$C$25+Projects!$D$25),Projects!$B$25*INDEX(Curves!$B$4:$AR$4,1,53-Projects!$C$25+1),0)+IF(AND(Projects!$G$26="Yes",Projects!$M$26="Yes",53&gt;=Projects!$C$26,53&lt;Projects!$C$26+Projects!$D$26),Projects!$B$26*INDEX(Curves!$B$4:$AR$4,1,53-Projects!$C$26+1),0)+IF(AND(Projects!$G$27="Yes",Projects!$M$27="Yes",53&gt;=Projects!$C$27,53&lt;Projects!$C$27+Projects!$D$27),Projects!$B$27*INDEX(Curves!$B$4:$AR$4,1,53-Projects!$C$27+1),0)+IF(AND(Projects!$G$28="Yes",Projects!$M$28="Yes",53&gt;=Projects!$C$28,53&lt;Projects!$C$28+Projects!$D$28),Projects!$B$28*INDEX(Curves!$B$4:$AR$4,1,53-Projects!$C$28+1),0)+IF(AND(Projects!$G$29="Yes",Projects!$M$29="Yes",53&gt;=Projects!$C$29,53&lt;Projects!$C$29+Projects!$D$29),Projects!$B$29*INDEX(Curves!$B$4:$AR$4,1,53-Projects!$C$29+1),0)+IF(AND(Projects!$G$30="Yes",Projects!$M$30="Yes",53&gt;=Projects!$C$30,53&lt;Projects!$C$30+Projects!$D$30),Projects!$B$30*INDEX(Curves!$B$4:$AR$4,1,53-Projects!$C$30+1),0)+IF(AND(Projects!$G$31="Yes",Projects!$M$31="Yes",53&gt;=Projects!$C$31,53&lt;Projects!$C$31+Projects!$D$31),Projects!$B$31*INDEX(Curves!$B$4:$AR$4,1,53-Projects!$C$31+1),0)+IF(AND(Projects!$G$32="Yes",Projects!$M$32="Yes",53&gt;=Projects!$C$32,53&lt;Projects!$C$32+Projects!$D$32),Projects!$B$32*INDEX(Curves!$B$4:$AR$4,1,53-Projects!$C$32+1),0)+IF(AND(Projects!$G$33="Yes",Projects!$M$33="Yes",53&gt;=Projects!$C$33,53&lt;Projects!$C$33+Projects!$D$33),Projects!$B$33*INDEX(Curves!$B$4:$AR$4,1,53-Projects!$C$33+1),0)+IF(AND(Projects!$G$34="Yes",Projects!$M$34="Yes",53&gt;=Projects!$C$34,53&lt;Projects!$C$34+Projects!$D$34),Projects!$B$34*INDEX(Curves!$B$4:$AR$4,1,53-Projects!$C$34+1),0)+IF(AND(Projects!$G$35="Yes",Projects!$M$35="Yes",53&gt;=Projects!$C$35,53&lt;Projects!$C$35+Projects!$D$35),Projects!$B$35*INDEX(Curves!$B$4:$AR$4,1,53-Projects!$C$35+1),0)+IF(AND(Projects!$G$36="Yes",Projects!$M$36="Yes",53&gt;=Projects!$C$36,53&lt;Projects!$C$36+Projects!$D$36),Projects!$B$36*INDEX(Curves!$B$4:$AR$4,1,53-Projects!$C$36+1),0)+IF(AND(Projects!$G$37="Yes",Projects!$M$37="Yes",53&gt;=Projects!$C$37,53&lt;Projects!$C$37+Projects!$D$37),Projects!$B$37*INDEX(Curves!$B$4:$AR$4,1,53-Projects!$C$37+1),0)+IF(AND(Projects!$G$38="Yes",Projects!$M$38="Yes",53&gt;=Projects!$C$38,53&lt;Projects!$C$38+Projects!$D$38),Projects!$B$38*INDEX(Curves!$B$4:$AR$4,1,53-Projects!$C$38+1),0)+IF(AND(Projects!$G$39="Yes",Projects!$M$39="Yes",53&gt;=Projects!$C$39,53&lt;Projects!$C$39+Projects!$D$39),Projects!$B$39*INDEX(Curves!$B$4:$AR$4,1,53-Projects!$C$39+1),0)+IF(AND(Projects!$G$40="Yes",Projects!$M$40="Yes",53&gt;=Projects!$C$40,53&lt;Projects!$C$40+Projects!$D$40),Projects!$B$40*INDEX(Curves!$B$4:$AR$4,1,53-Projects!$C$40+1),0)+IF(AND(Projects!$G$41="Yes",Projects!$M$41="Yes",53&gt;=Projects!$C$41,53&lt;Projects!$C$41+Projects!$D$41),Projects!$B$41*INDEX(Curves!$B$4:$AR$4,1,53-Projects!$C$41+1),0)+IF(AND(Projects!$G$42="Yes",Projects!$M$42="Yes",53&gt;=Projects!$C$42,53&lt;Projects!$C$42+Projects!$D$42),Projects!$B$42*INDEX(Curves!$B$4:$AR$4,1,53-Projects!$C$42+1),0)+IF(AND(Projects!$G$43="Yes",Projects!$M$43="Yes",53&gt;=Projects!$C$43,53&lt;Projects!$C$43+Projects!$D$43),Projects!$B$43*INDEX(Curves!$B$4:$AR$4,1,53-Projects!$C$43+1),0)+IF(AND(Projects!$G$44="Yes",Projects!$M$44="Yes",53&gt;=Projects!$C$44,53&lt;Projects!$C$44+Projects!$D$44),Projects!$B$44*INDEX(Curves!$B$4:$AR$4,1,53-Projects!$C$44+1),0)+IF(AND(Projects!$G$45="Yes",Projects!$M$45="Yes",53&gt;=Projects!$C$45,53&lt;Projects!$C$45+Projects!$D$45),Projects!$B$45*INDEX(Curves!$B$4:$AR$4,1,53-Projects!$C$45+1),0)+IF(AND(Projects!$G$46="Yes",Projects!$M$46="Yes",53&gt;=Projects!$C$46,53&lt;Projects!$C$46+Projects!$D$46),Projects!$B$46*INDEX(Curves!$B$4:$AR$4,1,53-Projects!$C$46+1),0)</f>
        <v>0</v>
      </c>
      <c r="BG101" s="63">
        <f>IF(AND(Projects!$G$17="Yes",Projects!$M$17="Yes",54&gt;=Projects!$C$17,54&lt;Projects!$C$17+Projects!$D$17),Projects!$B$17*INDEX(Curves!$B$4:$AR$4,1,54-Projects!$C$17+1),0)+IF(AND(Projects!$G$18="Yes",Projects!$M$18="Yes",54&gt;=Projects!$C$18,54&lt;Projects!$C$18+Projects!$D$18),Projects!$B$18*INDEX(Curves!$B$4:$AR$4,1,54-Projects!$C$18+1),0)+IF(AND(Projects!$G$19="Yes",Projects!$M$19="Yes",54&gt;=Projects!$C$19,54&lt;Projects!$C$19+Projects!$D$19),Projects!$B$19*INDEX(Curves!$B$4:$AR$4,1,54-Projects!$C$19+1),0)+IF(AND(Projects!$G$20="Yes",Projects!$M$20="Yes",54&gt;=Projects!$C$20,54&lt;Projects!$C$20+Projects!$D$20),Projects!$B$20*INDEX(Curves!$B$4:$AR$4,1,54-Projects!$C$20+1),0)+IF(AND(Projects!$G$21="Yes",Projects!$M$21="Yes",54&gt;=Projects!$C$21,54&lt;Projects!$C$21+Projects!$D$21),Projects!$B$21*INDEX(Curves!$B$4:$AR$4,1,54-Projects!$C$21+1),0)+IF(AND(Projects!$G$22="Yes",Projects!$M$22="Yes",54&gt;=Projects!$C$22,54&lt;Projects!$C$22+Projects!$D$22),Projects!$B$22*INDEX(Curves!$B$4:$AR$4,1,54-Projects!$C$22+1),0)+IF(AND(Projects!$G$23="Yes",Projects!$M$23="Yes",54&gt;=Projects!$C$23,54&lt;Projects!$C$23+Projects!$D$23),Projects!$B$23*INDEX(Curves!$B$4:$AR$4,1,54-Projects!$C$23+1),0)+IF(AND(Projects!$G$24="Yes",Projects!$M$24="Yes",54&gt;=Projects!$C$24,54&lt;Projects!$C$24+Projects!$D$24),Projects!$B$24*INDEX(Curves!$B$4:$AR$4,1,54-Projects!$C$24+1),0)+IF(AND(Projects!$G$25="Yes",Projects!$M$25="Yes",54&gt;=Projects!$C$25,54&lt;Projects!$C$25+Projects!$D$25),Projects!$B$25*INDEX(Curves!$B$4:$AR$4,1,54-Projects!$C$25+1),0)+IF(AND(Projects!$G$26="Yes",Projects!$M$26="Yes",54&gt;=Projects!$C$26,54&lt;Projects!$C$26+Projects!$D$26),Projects!$B$26*INDEX(Curves!$B$4:$AR$4,1,54-Projects!$C$26+1),0)+IF(AND(Projects!$G$27="Yes",Projects!$M$27="Yes",54&gt;=Projects!$C$27,54&lt;Projects!$C$27+Projects!$D$27),Projects!$B$27*INDEX(Curves!$B$4:$AR$4,1,54-Projects!$C$27+1),0)+IF(AND(Projects!$G$28="Yes",Projects!$M$28="Yes",54&gt;=Projects!$C$28,54&lt;Projects!$C$28+Projects!$D$28),Projects!$B$28*INDEX(Curves!$B$4:$AR$4,1,54-Projects!$C$28+1),0)+IF(AND(Projects!$G$29="Yes",Projects!$M$29="Yes",54&gt;=Projects!$C$29,54&lt;Projects!$C$29+Projects!$D$29),Projects!$B$29*INDEX(Curves!$B$4:$AR$4,1,54-Projects!$C$29+1),0)+IF(AND(Projects!$G$30="Yes",Projects!$M$30="Yes",54&gt;=Projects!$C$30,54&lt;Projects!$C$30+Projects!$D$30),Projects!$B$30*INDEX(Curves!$B$4:$AR$4,1,54-Projects!$C$30+1),0)+IF(AND(Projects!$G$31="Yes",Projects!$M$31="Yes",54&gt;=Projects!$C$31,54&lt;Projects!$C$31+Projects!$D$31),Projects!$B$31*INDEX(Curves!$B$4:$AR$4,1,54-Projects!$C$31+1),0)+IF(AND(Projects!$G$32="Yes",Projects!$M$32="Yes",54&gt;=Projects!$C$32,54&lt;Projects!$C$32+Projects!$D$32),Projects!$B$32*INDEX(Curves!$B$4:$AR$4,1,54-Projects!$C$32+1),0)+IF(AND(Projects!$G$33="Yes",Projects!$M$33="Yes",54&gt;=Projects!$C$33,54&lt;Projects!$C$33+Projects!$D$33),Projects!$B$33*INDEX(Curves!$B$4:$AR$4,1,54-Projects!$C$33+1),0)+IF(AND(Projects!$G$34="Yes",Projects!$M$34="Yes",54&gt;=Projects!$C$34,54&lt;Projects!$C$34+Projects!$D$34),Projects!$B$34*INDEX(Curves!$B$4:$AR$4,1,54-Projects!$C$34+1),0)+IF(AND(Projects!$G$35="Yes",Projects!$M$35="Yes",54&gt;=Projects!$C$35,54&lt;Projects!$C$35+Projects!$D$35),Projects!$B$35*INDEX(Curves!$B$4:$AR$4,1,54-Projects!$C$35+1),0)+IF(AND(Projects!$G$36="Yes",Projects!$M$36="Yes",54&gt;=Projects!$C$36,54&lt;Projects!$C$36+Projects!$D$36),Projects!$B$36*INDEX(Curves!$B$4:$AR$4,1,54-Projects!$C$36+1),0)+IF(AND(Projects!$G$37="Yes",Projects!$M$37="Yes",54&gt;=Projects!$C$37,54&lt;Projects!$C$37+Projects!$D$37),Projects!$B$37*INDEX(Curves!$B$4:$AR$4,1,54-Projects!$C$37+1),0)+IF(AND(Projects!$G$38="Yes",Projects!$M$38="Yes",54&gt;=Projects!$C$38,54&lt;Projects!$C$38+Projects!$D$38),Projects!$B$38*INDEX(Curves!$B$4:$AR$4,1,54-Projects!$C$38+1),0)+IF(AND(Projects!$G$39="Yes",Projects!$M$39="Yes",54&gt;=Projects!$C$39,54&lt;Projects!$C$39+Projects!$D$39),Projects!$B$39*INDEX(Curves!$B$4:$AR$4,1,54-Projects!$C$39+1),0)+IF(AND(Projects!$G$40="Yes",Projects!$M$40="Yes",54&gt;=Projects!$C$40,54&lt;Projects!$C$40+Projects!$D$40),Projects!$B$40*INDEX(Curves!$B$4:$AR$4,1,54-Projects!$C$40+1),0)+IF(AND(Projects!$G$41="Yes",Projects!$M$41="Yes",54&gt;=Projects!$C$41,54&lt;Projects!$C$41+Projects!$D$41),Projects!$B$41*INDEX(Curves!$B$4:$AR$4,1,54-Projects!$C$41+1),0)+IF(AND(Projects!$G$42="Yes",Projects!$M$42="Yes",54&gt;=Projects!$C$42,54&lt;Projects!$C$42+Projects!$D$42),Projects!$B$42*INDEX(Curves!$B$4:$AR$4,1,54-Projects!$C$42+1),0)+IF(AND(Projects!$G$43="Yes",Projects!$M$43="Yes",54&gt;=Projects!$C$43,54&lt;Projects!$C$43+Projects!$D$43),Projects!$B$43*INDEX(Curves!$B$4:$AR$4,1,54-Projects!$C$43+1),0)+IF(AND(Projects!$G$44="Yes",Projects!$M$44="Yes",54&gt;=Projects!$C$44,54&lt;Projects!$C$44+Projects!$D$44),Projects!$B$44*INDEX(Curves!$B$4:$AR$4,1,54-Projects!$C$44+1),0)+IF(AND(Projects!$G$45="Yes",Projects!$M$45="Yes",54&gt;=Projects!$C$45,54&lt;Projects!$C$45+Projects!$D$45),Projects!$B$45*INDEX(Curves!$B$4:$AR$4,1,54-Projects!$C$45+1),0)+IF(AND(Projects!$G$46="Yes",Projects!$M$46="Yes",54&gt;=Projects!$C$46,54&lt;Projects!$C$46+Projects!$D$46),Projects!$B$46*INDEX(Curves!$B$4:$AR$4,1,54-Projects!$C$46+1),0)</f>
        <v>0</v>
      </c>
      <c r="BH101" s="63">
        <f>IF(AND(Projects!$G$17="Yes",Projects!$M$17="Yes",55&gt;=Projects!$C$17,55&lt;Projects!$C$17+Projects!$D$17),Projects!$B$17*INDEX(Curves!$B$4:$AR$4,1,55-Projects!$C$17+1),0)+IF(AND(Projects!$G$18="Yes",Projects!$M$18="Yes",55&gt;=Projects!$C$18,55&lt;Projects!$C$18+Projects!$D$18),Projects!$B$18*INDEX(Curves!$B$4:$AR$4,1,55-Projects!$C$18+1),0)+IF(AND(Projects!$G$19="Yes",Projects!$M$19="Yes",55&gt;=Projects!$C$19,55&lt;Projects!$C$19+Projects!$D$19),Projects!$B$19*INDEX(Curves!$B$4:$AR$4,1,55-Projects!$C$19+1),0)+IF(AND(Projects!$G$20="Yes",Projects!$M$20="Yes",55&gt;=Projects!$C$20,55&lt;Projects!$C$20+Projects!$D$20),Projects!$B$20*INDEX(Curves!$B$4:$AR$4,1,55-Projects!$C$20+1),0)+IF(AND(Projects!$G$21="Yes",Projects!$M$21="Yes",55&gt;=Projects!$C$21,55&lt;Projects!$C$21+Projects!$D$21),Projects!$B$21*INDEX(Curves!$B$4:$AR$4,1,55-Projects!$C$21+1),0)+IF(AND(Projects!$G$22="Yes",Projects!$M$22="Yes",55&gt;=Projects!$C$22,55&lt;Projects!$C$22+Projects!$D$22),Projects!$B$22*INDEX(Curves!$B$4:$AR$4,1,55-Projects!$C$22+1),0)+IF(AND(Projects!$G$23="Yes",Projects!$M$23="Yes",55&gt;=Projects!$C$23,55&lt;Projects!$C$23+Projects!$D$23),Projects!$B$23*INDEX(Curves!$B$4:$AR$4,1,55-Projects!$C$23+1),0)+IF(AND(Projects!$G$24="Yes",Projects!$M$24="Yes",55&gt;=Projects!$C$24,55&lt;Projects!$C$24+Projects!$D$24),Projects!$B$24*INDEX(Curves!$B$4:$AR$4,1,55-Projects!$C$24+1),0)+IF(AND(Projects!$G$25="Yes",Projects!$M$25="Yes",55&gt;=Projects!$C$25,55&lt;Projects!$C$25+Projects!$D$25),Projects!$B$25*INDEX(Curves!$B$4:$AR$4,1,55-Projects!$C$25+1),0)+IF(AND(Projects!$G$26="Yes",Projects!$M$26="Yes",55&gt;=Projects!$C$26,55&lt;Projects!$C$26+Projects!$D$26),Projects!$B$26*INDEX(Curves!$B$4:$AR$4,1,55-Projects!$C$26+1),0)+IF(AND(Projects!$G$27="Yes",Projects!$M$27="Yes",55&gt;=Projects!$C$27,55&lt;Projects!$C$27+Projects!$D$27),Projects!$B$27*INDEX(Curves!$B$4:$AR$4,1,55-Projects!$C$27+1),0)+IF(AND(Projects!$G$28="Yes",Projects!$M$28="Yes",55&gt;=Projects!$C$28,55&lt;Projects!$C$28+Projects!$D$28),Projects!$B$28*INDEX(Curves!$B$4:$AR$4,1,55-Projects!$C$28+1),0)+IF(AND(Projects!$G$29="Yes",Projects!$M$29="Yes",55&gt;=Projects!$C$29,55&lt;Projects!$C$29+Projects!$D$29),Projects!$B$29*INDEX(Curves!$B$4:$AR$4,1,55-Projects!$C$29+1),0)+IF(AND(Projects!$G$30="Yes",Projects!$M$30="Yes",55&gt;=Projects!$C$30,55&lt;Projects!$C$30+Projects!$D$30),Projects!$B$30*INDEX(Curves!$B$4:$AR$4,1,55-Projects!$C$30+1),0)+IF(AND(Projects!$G$31="Yes",Projects!$M$31="Yes",55&gt;=Projects!$C$31,55&lt;Projects!$C$31+Projects!$D$31),Projects!$B$31*INDEX(Curves!$B$4:$AR$4,1,55-Projects!$C$31+1),0)+IF(AND(Projects!$G$32="Yes",Projects!$M$32="Yes",55&gt;=Projects!$C$32,55&lt;Projects!$C$32+Projects!$D$32),Projects!$B$32*INDEX(Curves!$B$4:$AR$4,1,55-Projects!$C$32+1),0)+IF(AND(Projects!$G$33="Yes",Projects!$M$33="Yes",55&gt;=Projects!$C$33,55&lt;Projects!$C$33+Projects!$D$33),Projects!$B$33*INDEX(Curves!$B$4:$AR$4,1,55-Projects!$C$33+1),0)+IF(AND(Projects!$G$34="Yes",Projects!$M$34="Yes",55&gt;=Projects!$C$34,55&lt;Projects!$C$34+Projects!$D$34),Projects!$B$34*INDEX(Curves!$B$4:$AR$4,1,55-Projects!$C$34+1),0)+IF(AND(Projects!$G$35="Yes",Projects!$M$35="Yes",55&gt;=Projects!$C$35,55&lt;Projects!$C$35+Projects!$D$35),Projects!$B$35*INDEX(Curves!$B$4:$AR$4,1,55-Projects!$C$35+1),0)+IF(AND(Projects!$G$36="Yes",Projects!$M$36="Yes",55&gt;=Projects!$C$36,55&lt;Projects!$C$36+Projects!$D$36),Projects!$B$36*INDEX(Curves!$B$4:$AR$4,1,55-Projects!$C$36+1),0)+IF(AND(Projects!$G$37="Yes",Projects!$M$37="Yes",55&gt;=Projects!$C$37,55&lt;Projects!$C$37+Projects!$D$37),Projects!$B$37*INDEX(Curves!$B$4:$AR$4,1,55-Projects!$C$37+1),0)+IF(AND(Projects!$G$38="Yes",Projects!$M$38="Yes",55&gt;=Projects!$C$38,55&lt;Projects!$C$38+Projects!$D$38),Projects!$B$38*INDEX(Curves!$B$4:$AR$4,1,55-Projects!$C$38+1),0)+IF(AND(Projects!$G$39="Yes",Projects!$M$39="Yes",55&gt;=Projects!$C$39,55&lt;Projects!$C$39+Projects!$D$39),Projects!$B$39*INDEX(Curves!$B$4:$AR$4,1,55-Projects!$C$39+1),0)+IF(AND(Projects!$G$40="Yes",Projects!$M$40="Yes",55&gt;=Projects!$C$40,55&lt;Projects!$C$40+Projects!$D$40),Projects!$B$40*INDEX(Curves!$B$4:$AR$4,1,55-Projects!$C$40+1),0)+IF(AND(Projects!$G$41="Yes",Projects!$M$41="Yes",55&gt;=Projects!$C$41,55&lt;Projects!$C$41+Projects!$D$41),Projects!$B$41*INDEX(Curves!$B$4:$AR$4,1,55-Projects!$C$41+1),0)+IF(AND(Projects!$G$42="Yes",Projects!$M$42="Yes",55&gt;=Projects!$C$42,55&lt;Projects!$C$42+Projects!$D$42),Projects!$B$42*INDEX(Curves!$B$4:$AR$4,1,55-Projects!$C$42+1),0)+IF(AND(Projects!$G$43="Yes",Projects!$M$43="Yes",55&gt;=Projects!$C$43,55&lt;Projects!$C$43+Projects!$D$43),Projects!$B$43*INDEX(Curves!$B$4:$AR$4,1,55-Projects!$C$43+1),0)+IF(AND(Projects!$G$44="Yes",Projects!$M$44="Yes",55&gt;=Projects!$C$44,55&lt;Projects!$C$44+Projects!$D$44),Projects!$B$44*INDEX(Curves!$B$4:$AR$4,1,55-Projects!$C$44+1),0)+IF(AND(Projects!$G$45="Yes",Projects!$M$45="Yes",55&gt;=Projects!$C$45,55&lt;Projects!$C$45+Projects!$D$45),Projects!$B$45*INDEX(Curves!$B$4:$AR$4,1,55-Projects!$C$45+1),0)+IF(AND(Projects!$G$46="Yes",Projects!$M$46="Yes",55&gt;=Projects!$C$46,55&lt;Projects!$C$46+Projects!$D$46),Projects!$B$46*INDEX(Curves!$B$4:$AR$4,1,55-Projects!$C$46+1),0)</f>
        <v>0</v>
      </c>
      <c r="BI101" s="63">
        <f>IF(AND(Projects!$G$17="Yes",Projects!$M$17="Yes",56&gt;=Projects!$C$17,56&lt;Projects!$C$17+Projects!$D$17),Projects!$B$17*INDEX(Curves!$B$4:$AR$4,1,56-Projects!$C$17+1),0)+IF(AND(Projects!$G$18="Yes",Projects!$M$18="Yes",56&gt;=Projects!$C$18,56&lt;Projects!$C$18+Projects!$D$18),Projects!$B$18*INDEX(Curves!$B$4:$AR$4,1,56-Projects!$C$18+1),0)+IF(AND(Projects!$G$19="Yes",Projects!$M$19="Yes",56&gt;=Projects!$C$19,56&lt;Projects!$C$19+Projects!$D$19),Projects!$B$19*INDEX(Curves!$B$4:$AR$4,1,56-Projects!$C$19+1),0)+IF(AND(Projects!$G$20="Yes",Projects!$M$20="Yes",56&gt;=Projects!$C$20,56&lt;Projects!$C$20+Projects!$D$20),Projects!$B$20*INDEX(Curves!$B$4:$AR$4,1,56-Projects!$C$20+1),0)+IF(AND(Projects!$G$21="Yes",Projects!$M$21="Yes",56&gt;=Projects!$C$21,56&lt;Projects!$C$21+Projects!$D$21),Projects!$B$21*INDEX(Curves!$B$4:$AR$4,1,56-Projects!$C$21+1),0)+IF(AND(Projects!$G$22="Yes",Projects!$M$22="Yes",56&gt;=Projects!$C$22,56&lt;Projects!$C$22+Projects!$D$22),Projects!$B$22*INDEX(Curves!$B$4:$AR$4,1,56-Projects!$C$22+1),0)+IF(AND(Projects!$G$23="Yes",Projects!$M$23="Yes",56&gt;=Projects!$C$23,56&lt;Projects!$C$23+Projects!$D$23),Projects!$B$23*INDEX(Curves!$B$4:$AR$4,1,56-Projects!$C$23+1),0)+IF(AND(Projects!$G$24="Yes",Projects!$M$24="Yes",56&gt;=Projects!$C$24,56&lt;Projects!$C$24+Projects!$D$24),Projects!$B$24*INDEX(Curves!$B$4:$AR$4,1,56-Projects!$C$24+1),0)+IF(AND(Projects!$G$25="Yes",Projects!$M$25="Yes",56&gt;=Projects!$C$25,56&lt;Projects!$C$25+Projects!$D$25),Projects!$B$25*INDEX(Curves!$B$4:$AR$4,1,56-Projects!$C$25+1),0)+IF(AND(Projects!$G$26="Yes",Projects!$M$26="Yes",56&gt;=Projects!$C$26,56&lt;Projects!$C$26+Projects!$D$26),Projects!$B$26*INDEX(Curves!$B$4:$AR$4,1,56-Projects!$C$26+1),0)+IF(AND(Projects!$G$27="Yes",Projects!$M$27="Yes",56&gt;=Projects!$C$27,56&lt;Projects!$C$27+Projects!$D$27),Projects!$B$27*INDEX(Curves!$B$4:$AR$4,1,56-Projects!$C$27+1),0)+IF(AND(Projects!$G$28="Yes",Projects!$M$28="Yes",56&gt;=Projects!$C$28,56&lt;Projects!$C$28+Projects!$D$28),Projects!$B$28*INDEX(Curves!$B$4:$AR$4,1,56-Projects!$C$28+1),0)+IF(AND(Projects!$G$29="Yes",Projects!$M$29="Yes",56&gt;=Projects!$C$29,56&lt;Projects!$C$29+Projects!$D$29),Projects!$B$29*INDEX(Curves!$B$4:$AR$4,1,56-Projects!$C$29+1),0)+IF(AND(Projects!$G$30="Yes",Projects!$M$30="Yes",56&gt;=Projects!$C$30,56&lt;Projects!$C$30+Projects!$D$30),Projects!$B$30*INDEX(Curves!$B$4:$AR$4,1,56-Projects!$C$30+1),0)+IF(AND(Projects!$G$31="Yes",Projects!$M$31="Yes",56&gt;=Projects!$C$31,56&lt;Projects!$C$31+Projects!$D$31),Projects!$B$31*INDEX(Curves!$B$4:$AR$4,1,56-Projects!$C$31+1),0)+IF(AND(Projects!$G$32="Yes",Projects!$M$32="Yes",56&gt;=Projects!$C$32,56&lt;Projects!$C$32+Projects!$D$32),Projects!$B$32*INDEX(Curves!$B$4:$AR$4,1,56-Projects!$C$32+1),0)+IF(AND(Projects!$G$33="Yes",Projects!$M$33="Yes",56&gt;=Projects!$C$33,56&lt;Projects!$C$33+Projects!$D$33),Projects!$B$33*INDEX(Curves!$B$4:$AR$4,1,56-Projects!$C$33+1),0)+IF(AND(Projects!$G$34="Yes",Projects!$M$34="Yes",56&gt;=Projects!$C$34,56&lt;Projects!$C$34+Projects!$D$34),Projects!$B$34*INDEX(Curves!$B$4:$AR$4,1,56-Projects!$C$34+1),0)+IF(AND(Projects!$G$35="Yes",Projects!$M$35="Yes",56&gt;=Projects!$C$35,56&lt;Projects!$C$35+Projects!$D$35),Projects!$B$35*INDEX(Curves!$B$4:$AR$4,1,56-Projects!$C$35+1),0)+IF(AND(Projects!$G$36="Yes",Projects!$M$36="Yes",56&gt;=Projects!$C$36,56&lt;Projects!$C$36+Projects!$D$36),Projects!$B$36*INDEX(Curves!$B$4:$AR$4,1,56-Projects!$C$36+1),0)+IF(AND(Projects!$G$37="Yes",Projects!$M$37="Yes",56&gt;=Projects!$C$37,56&lt;Projects!$C$37+Projects!$D$37),Projects!$B$37*INDEX(Curves!$B$4:$AR$4,1,56-Projects!$C$37+1),0)+IF(AND(Projects!$G$38="Yes",Projects!$M$38="Yes",56&gt;=Projects!$C$38,56&lt;Projects!$C$38+Projects!$D$38),Projects!$B$38*INDEX(Curves!$B$4:$AR$4,1,56-Projects!$C$38+1),0)+IF(AND(Projects!$G$39="Yes",Projects!$M$39="Yes",56&gt;=Projects!$C$39,56&lt;Projects!$C$39+Projects!$D$39),Projects!$B$39*INDEX(Curves!$B$4:$AR$4,1,56-Projects!$C$39+1),0)+IF(AND(Projects!$G$40="Yes",Projects!$M$40="Yes",56&gt;=Projects!$C$40,56&lt;Projects!$C$40+Projects!$D$40),Projects!$B$40*INDEX(Curves!$B$4:$AR$4,1,56-Projects!$C$40+1),0)+IF(AND(Projects!$G$41="Yes",Projects!$M$41="Yes",56&gt;=Projects!$C$41,56&lt;Projects!$C$41+Projects!$D$41),Projects!$B$41*INDEX(Curves!$B$4:$AR$4,1,56-Projects!$C$41+1),0)+IF(AND(Projects!$G$42="Yes",Projects!$M$42="Yes",56&gt;=Projects!$C$42,56&lt;Projects!$C$42+Projects!$D$42),Projects!$B$42*INDEX(Curves!$B$4:$AR$4,1,56-Projects!$C$42+1),0)+IF(AND(Projects!$G$43="Yes",Projects!$M$43="Yes",56&gt;=Projects!$C$43,56&lt;Projects!$C$43+Projects!$D$43),Projects!$B$43*INDEX(Curves!$B$4:$AR$4,1,56-Projects!$C$43+1),0)+IF(AND(Projects!$G$44="Yes",Projects!$M$44="Yes",56&gt;=Projects!$C$44,56&lt;Projects!$C$44+Projects!$D$44),Projects!$B$44*INDEX(Curves!$B$4:$AR$4,1,56-Projects!$C$44+1),0)+IF(AND(Projects!$G$45="Yes",Projects!$M$45="Yes",56&gt;=Projects!$C$45,56&lt;Projects!$C$45+Projects!$D$45),Projects!$B$45*INDEX(Curves!$B$4:$AR$4,1,56-Projects!$C$45+1),0)+IF(AND(Projects!$G$46="Yes",Projects!$M$46="Yes",56&gt;=Projects!$C$46,56&lt;Projects!$C$46+Projects!$D$46),Projects!$B$46*INDEX(Curves!$B$4:$AR$4,1,56-Projects!$C$46+1),0)</f>
        <v>0</v>
      </c>
      <c r="BJ101" s="63">
        <f>IF(AND(Projects!$G$17="Yes",Projects!$M$17="Yes",57&gt;=Projects!$C$17,57&lt;Projects!$C$17+Projects!$D$17),Projects!$B$17*INDEX(Curves!$B$4:$AR$4,1,57-Projects!$C$17+1),0)+IF(AND(Projects!$G$18="Yes",Projects!$M$18="Yes",57&gt;=Projects!$C$18,57&lt;Projects!$C$18+Projects!$D$18),Projects!$B$18*INDEX(Curves!$B$4:$AR$4,1,57-Projects!$C$18+1),0)+IF(AND(Projects!$G$19="Yes",Projects!$M$19="Yes",57&gt;=Projects!$C$19,57&lt;Projects!$C$19+Projects!$D$19),Projects!$B$19*INDEX(Curves!$B$4:$AR$4,1,57-Projects!$C$19+1),0)+IF(AND(Projects!$G$20="Yes",Projects!$M$20="Yes",57&gt;=Projects!$C$20,57&lt;Projects!$C$20+Projects!$D$20),Projects!$B$20*INDEX(Curves!$B$4:$AR$4,1,57-Projects!$C$20+1),0)+IF(AND(Projects!$G$21="Yes",Projects!$M$21="Yes",57&gt;=Projects!$C$21,57&lt;Projects!$C$21+Projects!$D$21),Projects!$B$21*INDEX(Curves!$B$4:$AR$4,1,57-Projects!$C$21+1),0)+IF(AND(Projects!$G$22="Yes",Projects!$M$22="Yes",57&gt;=Projects!$C$22,57&lt;Projects!$C$22+Projects!$D$22),Projects!$B$22*INDEX(Curves!$B$4:$AR$4,1,57-Projects!$C$22+1),0)+IF(AND(Projects!$G$23="Yes",Projects!$M$23="Yes",57&gt;=Projects!$C$23,57&lt;Projects!$C$23+Projects!$D$23),Projects!$B$23*INDEX(Curves!$B$4:$AR$4,1,57-Projects!$C$23+1),0)+IF(AND(Projects!$G$24="Yes",Projects!$M$24="Yes",57&gt;=Projects!$C$24,57&lt;Projects!$C$24+Projects!$D$24),Projects!$B$24*INDEX(Curves!$B$4:$AR$4,1,57-Projects!$C$24+1),0)+IF(AND(Projects!$G$25="Yes",Projects!$M$25="Yes",57&gt;=Projects!$C$25,57&lt;Projects!$C$25+Projects!$D$25),Projects!$B$25*INDEX(Curves!$B$4:$AR$4,1,57-Projects!$C$25+1),0)+IF(AND(Projects!$G$26="Yes",Projects!$M$26="Yes",57&gt;=Projects!$C$26,57&lt;Projects!$C$26+Projects!$D$26),Projects!$B$26*INDEX(Curves!$B$4:$AR$4,1,57-Projects!$C$26+1),0)+IF(AND(Projects!$G$27="Yes",Projects!$M$27="Yes",57&gt;=Projects!$C$27,57&lt;Projects!$C$27+Projects!$D$27),Projects!$B$27*INDEX(Curves!$B$4:$AR$4,1,57-Projects!$C$27+1),0)+IF(AND(Projects!$G$28="Yes",Projects!$M$28="Yes",57&gt;=Projects!$C$28,57&lt;Projects!$C$28+Projects!$D$28),Projects!$B$28*INDEX(Curves!$B$4:$AR$4,1,57-Projects!$C$28+1),0)+IF(AND(Projects!$G$29="Yes",Projects!$M$29="Yes",57&gt;=Projects!$C$29,57&lt;Projects!$C$29+Projects!$D$29),Projects!$B$29*INDEX(Curves!$B$4:$AR$4,1,57-Projects!$C$29+1),0)+IF(AND(Projects!$G$30="Yes",Projects!$M$30="Yes",57&gt;=Projects!$C$30,57&lt;Projects!$C$30+Projects!$D$30),Projects!$B$30*INDEX(Curves!$B$4:$AR$4,1,57-Projects!$C$30+1),0)+IF(AND(Projects!$G$31="Yes",Projects!$M$31="Yes",57&gt;=Projects!$C$31,57&lt;Projects!$C$31+Projects!$D$31),Projects!$B$31*INDEX(Curves!$B$4:$AR$4,1,57-Projects!$C$31+1),0)+IF(AND(Projects!$G$32="Yes",Projects!$M$32="Yes",57&gt;=Projects!$C$32,57&lt;Projects!$C$32+Projects!$D$32),Projects!$B$32*INDEX(Curves!$B$4:$AR$4,1,57-Projects!$C$32+1),0)+IF(AND(Projects!$G$33="Yes",Projects!$M$33="Yes",57&gt;=Projects!$C$33,57&lt;Projects!$C$33+Projects!$D$33),Projects!$B$33*INDEX(Curves!$B$4:$AR$4,1,57-Projects!$C$33+1),0)+IF(AND(Projects!$G$34="Yes",Projects!$M$34="Yes",57&gt;=Projects!$C$34,57&lt;Projects!$C$34+Projects!$D$34),Projects!$B$34*INDEX(Curves!$B$4:$AR$4,1,57-Projects!$C$34+1),0)+IF(AND(Projects!$G$35="Yes",Projects!$M$35="Yes",57&gt;=Projects!$C$35,57&lt;Projects!$C$35+Projects!$D$35),Projects!$B$35*INDEX(Curves!$B$4:$AR$4,1,57-Projects!$C$35+1),0)+IF(AND(Projects!$G$36="Yes",Projects!$M$36="Yes",57&gt;=Projects!$C$36,57&lt;Projects!$C$36+Projects!$D$36),Projects!$B$36*INDEX(Curves!$B$4:$AR$4,1,57-Projects!$C$36+1),0)+IF(AND(Projects!$G$37="Yes",Projects!$M$37="Yes",57&gt;=Projects!$C$37,57&lt;Projects!$C$37+Projects!$D$37),Projects!$B$37*INDEX(Curves!$B$4:$AR$4,1,57-Projects!$C$37+1),0)+IF(AND(Projects!$G$38="Yes",Projects!$M$38="Yes",57&gt;=Projects!$C$38,57&lt;Projects!$C$38+Projects!$D$38),Projects!$B$38*INDEX(Curves!$B$4:$AR$4,1,57-Projects!$C$38+1),0)+IF(AND(Projects!$G$39="Yes",Projects!$M$39="Yes",57&gt;=Projects!$C$39,57&lt;Projects!$C$39+Projects!$D$39),Projects!$B$39*INDEX(Curves!$B$4:$AR$4,1,57-Projects!$C$39+1),0)+IF(AND(Projects!$G$40="Yes",Projects!$M$40="Yes",57&gt;=Projects!$C$40,57&lt;Projects!$C$40+Projects!$D$40),Projects!$B$40*INDEX(Curves!$B$4:$AR$4,1,57-Projects!$C$40+1),0)+IF(AND(Projects!$G$41="Yes",Projects!$M$41="Yes",57&gt;=Projects!$C$41,57&lt;Projects!$C$41+Projects!$D$41),Projects!$B$41*INDEX(Curves!$B$4:$AR$4,1,57-Projects!$C$41+1),0)+IF(AND(Projects!$G$42="Yes",Projects!$M$42="Yes",57&gt;=Projects!$C$42,57&lt;Projects!$C$42+Projects!$D$42),Projects!$B$42*INDEX(Curves!$B$4:$AR$4,1,57-Projects!$C$42+1),0)+IF(AND(Projects!$G$43="Yes",Projects!$M$43="Yes",57&gt;=Projects!$C$43,57&lt;Projects!$C$43+Projects!$D$43),Projects!$B$43*INDEX(Curves!$B$4:$AR$4,1,57-Projects!$C$43+1),0)+IF(AND(Projects!$G$44="Yes",Projects!$M$44="Yes",57&gt;=Projects!$C$44,57&lt;Projects!$C$44+Projects!$D$44),Projects!$B$44*INDEX(Curves!$B$4:$AR$4,1,57-Projects!$C$44+1),0)+IF(AND(Projects!$G$45="Yes",Projects!$M$45="Yes",57&gt;=Projects!$C$45,57&lt;Projects!$C$45+Projects!$D$45),Projects!$B$45*INDEX(Curves!$B$4:$AR$4,1,57-Projects!$C$45+1),0)+IF(AND(Projects!$G$46="Yes",Projects!$M$46="Yes",57&gt;=Projects!$C$46,57&lt;Projects!$C$46+Projects!$D$46),Projects!$B$46*INDEX(Curves!$B$4:$AR$4,1,57-Projects!$C$46+1),0)</f>
        <v>0</v>
      </c>
      <c r="BK101" s="63">
        <f>IF(AND(Projects!$G$17="Yes",Projects!$M$17="Yes",58&gt;=Projects!$C$17,58&lt;Projects!$C$17+Projects!$D$17),Projects!$B$17*INDEX(Curves!$B$4:$AR$4,1,58-Projects!$C$17+1),0)+IF(AND(Projects!$G$18="Yes",Projects!$M$18="Yes",58&gt;=Projects!$C$18,58&lt;Projects!$C$18+Projects!$D$18),Projects!$B$18*INDEX(Curves!$B$4:$AR$4,1,58-Projects!$C$18+1),0)+IF(AND(Projects!$G$19="Yes",Projects!$M$19="Yes",58&gt;=Projects!$C$19,58&lt;Projects!$C$19+Projects!$D$19),Projects!$B$19*INDEX(Curves!$B$4:$AR$4,1,58-Projects!$C$19+1),0)+IF(AND(Projects!$G$20="Yes",Projects!$M$20="Yes",58&gt;=Projects!$C$20,58&lt;Projects!$C$20+Projects!$D$20),Projects!$B$20*INDEX(Curves!$B$4:$AR$4,1,58-Projects!$C$20+1),0)+IF(AND(Projects!$G$21="Yes",Projects!$M$21="Yes",58&gt;=Projects!$C$21,58&lt;Projects!$C$21+Projects!$D$21),Projects!$B$21*INDEX(Curves!$B$4:$AR$4,1,58-Projects!$C$21+1),0)+IF(AND(Projects!$G$22="Yes",Projects!$M$22="Yes",58&gt;=Projects!$C$22,58&lt;Projects!$C$22+Projects!$D$22),Projects!$B$22*INDEX(Curves!$B$4:$AR$4,1,58-Projects!$C$22+1),0)+IF(AND(Projects!$G$23="Yes",Projects!$M$23="Yes",58&gt;=Projects!$C$23,58&lt;Projects!$C$23+Projects!$D$23),Projects!$B$23*INDEX(Curves!$B$4:$AR$4,1,58-Projects!$C$23+1),0)+IF(AND(Projects!$G$24="Yes",Projects!$M$24="Yes",58&gt;=Projects!$C$24,58&lt;Projects!$C$24+Projects!$D$24),Projects!$B$24*INDEX(Curves!$B$4:$AR$4,1,58-Projects!$C$24+1),0)+IF(AND(Projects!$G$25="Yes",Projects!$M$25="Yes",58&gt;=Projects!$C$25,58&lt;Projects!$C$25+Projects!$D$25),Projects!$B$25*INDEX(Curves!$B$4:$AR$4,1,58-Projects!$C$25+1),0)+IF(AND(Projects!$G$26="Yes",Projects!$M$26="Yes",58&gt;=Projects!$C$26,58&lt;Projects!$C$26+Projects!$D$26),Projects!$B$26*INDEX(Curves!$B$4:$AR$4,1,58-Projects!$C$26+1),0)+IF(AND(Projects!$G$27="Yes",Projects!$M$27="Yes",58&gt;=Projects!$C$27,58&lt;Projects!$C$27+Projects!$D$27),Projects!$B$27*INDEX(Curves!$B$4:$AR$4,1,58-Projects!$C$27+1),0)+IF(AND(Projects!$G$28="Yes",Projects!$M$28="Yes",58&gt;=Projects!$C$28,58&lt;Projects!$C$28+Projects!$D$28),Projects!$B$28*INDEX(Curves!$B$4:$AR$4,1,58-Projects!$C$28+1),0)+IF(AND(Projects!$G$29="Yes",Projects!$M$29="Yes",58&gt;=Projects!$C$29,58&lt;Projects!$C$29+Projects!$D$29),Projects!$B$29*INDEX(Curves!$B$4:$AR$4,1,58-Projects!$C$29+1),0)+IF(AND(Projects!$G$30="Yes",Projects!$M$30="Yes",58&gt;=Projects!$C$30,58&lt;Projects!$C$30+Projects!$D$30),Projects!$B$30*INDEX(Curves!$B$4:$AR$4,1,58-Projects!$C$30+1),0)+IF(AND(Projects!$G$31="Yes",Projects!$M$31="Yes",58&gt;=Projects!$C$31,58&lt;Projects!$C$31+Projects!$D$31),Projects!$B$31*INDEX(Curves!$B$4:$AR$4,1,58-Projects!$C$31+1),0)+IF(AND(Projects!$G$32="Yes",Projects!$M$32="Yes",58&gt;=Projects!$C$32,58&lt;Projects!$C$32+Projects!$D$32),Projects!$B$32*INDEX(Curves!$B$4:$AR$4,1,58-Projects!$C$32+1),0)+IF(AND(Projects!$G$33="Yes",Projects!$M$33="Yes",58&gt;=Projects!$C$33,58&lt;Projects!$C$33+Projects!$D$33),Projects!$B$33*INDEX(Curves!$B$4:$AR$4,1,58-Projects!$C$33+1),0)+IF(AND(Projects!$G$34="Yes",Projects!$M$34="Yes",58&gt;=Projects!$C$34,58&lt;Projects!$C$34+Projects!$D$34),Projects!$B$34*INDEX(Curves!$B$4:$AR$4,1,58-Projects!$C$34+1),0)+IF(AND(Projects!$G$35="Yes",Projects!$M$35="Yes",58&gt;=Projects!$C$35,58&lt;Projects!$C$35+Projects!$D$35),Projects!$B$35*INDEX(Curves!$B$4:$AR$4,1,58-Projects!$C$35+1),0)+IF(AND(Projects!$G$36="Yes",Projects!$M$36="Yes",58&gt;=Projects!$C$36,58&lt;Projects!$C$36+Projects!$D$36),Projects!$B$36*INDEX(Curves!$B$4:$AR$4,1,58-Projects!$C$36+1),0)+IF(AND(Projects!$G$37="Yes",Projects!$M$37="Yes",58&gt;=Projects!$C$37,58&lt;Projects!$C$37+Projects!$D$37),Projects!$B$37*INDEX(Curves!$B$4:$AR$4,1,58-Projects!$C$37+1),0)+IF(AND(Projects!$G$38="Yes",Projects!$M$38="Yes",58&gt;=Projects!$C$38,58&lt;Projects!$C$38+Projects!$D$38),Projects!$B$38*INDEX(Curves!$B$4:$AR$4,1,58-Projects!$C$38+1),0)+IF(AND(Projects!$G$39="Yes",Projects!$M$39="Yes",58&gt;=Projects!$C$39,58&lt;Projects!$C$39+Projects!$D$39),Projects!$B$39*INDEX(Curves!$B$4:$AR$4,1,58-Projects!$C$39+1),0)+IF(AND(Projects!$G$40="Yes",Projects!$M$40="Yes",58&gt;=Projects!$C$40,58&lt;Projects!$C$40+Projects!$D$40),Projects!$B$40*INDEX(Curves!$B$4:$AR$4,1,58-Projects!$C$40+1),0)+IF(AND(Projects!$G$41="Yes",Projects!$M$41="Yes",58&gt;=Projects!$C$41,58&lt;Projects!$C$41+Projects!$D$41),Projects!$B$41*INDEX(Curves!$B$4:$AR$4,1,58-Projects!$C$41+1),0)+IF(AND(Projects!$G$42="Yes",Projects!$M$42="Yes",58&gt;=Projects!$C$42,58&lt;Projects!$C$42+Projects!$D$42),Projects!$B$42*INDEX(Curves!$B$4:$AR$4,1,58-Projects!$C$42+1),0)+IF(AND(Projects!$G$43="Yes",Projects!$M$43="Yes",58&gt;=Projects!$C$43,58&lt;Projects!$C$43+Projects!$D$43),Projects!$B$43*INDEX(Curves!$B$4:$AR$4,1,58-Projects!$C$43+1),0)+IF(AND(Projects!$G$44="Yes",Projects!$M$44="Yes",58&gt;=Projects!$C$44,58&lt;Projects!$C$44+Projects!$D$44),Projects!$B$44*INDEX(Curves!$B$4:$AR$4,1,58-Projects!$C$44+1),0)+IF(AND(Projects!$G$45="Yes",Projects!$M$45="Yes",58&gt;=Projects!$C$45,58&lt;Projects!$C$45+Projects!$D$45),Projects!$B$45*INDEX(Curves!$B$4:$AR$4,1,58-Projects!$C$45+1),0)+IF(AND(Projects!$G$46="Yes",Projects!$M$46="Yes",58&gt;=Projects!$C$46,58&lt;Projects!$C$46+Projects!$D$46),Projects!$B$46*INDEX(Curves!$B$4:$AR$4,1,58-Projects!$C$46+1),0)</f>
        <v>477306</v>
      </c>
      <c r="BL101" s="63">
        <f>IF(AND(Projects!$G$17="Yes",Projects!$M$17="Yes",59&gt;=Projects!$C$17,59&lt;Projects!$C$17+Projects!$D$17),Projects!$B$17*INDEX(Curves!$B$4:$AR$4,1,59-Projects!$C$17+1),0)+IF(AND(Projects!$G$18="Yes",Projects!$M$18="Yes",59&gt;=Projects!$C$18,59&lt;Projects!$C$18+Projects!$D$18),Projects!$B$18*INDEX(Curves!$B$4:$AR$4,1,59-Projects!$C$18+1),0)+IF(AND(Projects!$G$19="Yes",Projects!$M$19="Yes",59&gt;=Projects!$C$19,59&lt;Projects!$C$19+Projects!$D$19),Projects!$B$19*INDEX(Curves!$B$4:$AR$4,1,59-Projects!$C$19+1),0)+IF(AND(Projects!$G$20="Yes",Projects!$M$20="Yes",59&gt;=Projects!$C$20,59&lt;Projects!$C$20+Projects!$D$20),Projects!$B$20*INDEX(Curves!$B$4:$AR$4,1,59-Projects!$C$20+1),0)+IF(AND(Projects!$G$21="Yes",Projects!$M$21="Yes",59&gt;=Projects!$C$21,59&lt;Projects!$C$21+Projects!$D$21),Projects!$B$21*INDEX(Curves!$B$4:$AR$4,1,59-Projects!$C$21+1),0)+IF(AND(Projects!$G$22="Yes",Projects!$M$22="Yes",59&gt;=Projects!$C$22,59&lt;Projects!$C$22+Projects!$D$22),Projects!$B$22*INDEX(Curves!$B$4:$AR$4,1,59-Projects!$C$22+1),0)+IF(AND(Projects!$G$23="Yes",Projects!$M$23="Yes",59&gt;=Projects!$C$23,59&lt;Projects!$C$23+Projects!$D$23),Projects!$B$23*INDEX(Curves!$B$4:$AR$4,1,59-Projects!$C$23+1),0)+IF(AND(Projects!$G$24="Yes",Projects!$M$24="Yes",59&gt;=Projects!$C$24,59&lt;Projects!$C$24+Projects!$D$24),Projects!$B$24*INDEX(Curves!$B$4:$AR$4,1,59-Projects!$C$24+1),0)+IF(AND(Projects!$G$25="Yes",Projects!$M$25="Yes",59&gt;=Projects!$C$25,59&lt;Projects!$C$25+Projects!$D$25),Projects!$B$25*INDEX(Curves!$B$4:$AR$4,1,59-Projects!$C$25+1),0)+IF(AND(Projects!$G$26="Yes",Projects!$M$26="Yes",59&gt;=Projects!$C$26,59&lt;Projects!$C$26+Projects!$D$26),Projects!$B$26*INDEX(Curves!$B$4:$AR$4,1,59-Projects!$C$26+1),0)+IF(AND(Projects!$G$27="Yes",Projects!$M$27="Yes",59&gt;=Projects!$C$27,59&lt;Projects!$C$27+Projects!$D$27),Projects!$B$27*INDEX(Curves!$B$4:$AR$4,1,59-Projects!$C$27+1),0)+IF(AND(Projects!$G$28="Yes",Projects!$M$28="Yes",59&gt;=Projects!$C$28,59&lt;Projects!$C$28+Projects!$D$28),Projects!$B$28*INDEX(Curves!$B$4:$AR$4,1,59-Projects!$C$28+1),0)+IF(AND(Projects!$G$29="Yes",Projects!$M$29="Yes",59&gt;=Projects!$C$29,59&lt;Projects!$C$29+Projects!$D$29),Projects!$B$29*INDEX(Curves!$B$4:$AR$4,1,59-Projects!$C$29+1),0)+IF(AND(Projects!$G$30="Yes",Projects!$M$30="Yes",59&gt;=Projects!$C$30,59&lt;Projects!$C$30+Projects!$D$30),Projects!$B$30*INDEX(Curves!$B$4:$AR$4,1,59-Projects!$C$30+1),0)+IF(AND(Projects!$G$31="Yes",Projects!$M$31="Yes",59&gt;=Projects!$C$31,59&lt;Projects!$C$31+Projects!$D$31),Projects!$B$31*INDEX(Curves!$B$4:$AR$4,1,59-Projects!$C$31+1),0)+IF(AND(Projects!$G$32="Yes",Projects!$M$32="Yes",59&gt;=Projects!$C$32,59&lt;Projects!$C$32+Projects!$D$32),Projects!$B$32*INDEX(Curves!$B$4:$AR$4,1,59-Projects!$C$32+1),0)+IF(AND(Projects!$G$33="Yes",Projects!$M$33="Yes",59&gt;=Projects!$C$33,59&lt;Projects!$C$33+Projects!$D$33),Projects!$B$33*INDEX(Curves!$B$4:$AR$4,1,59-Projects!$C$33+1),0)+IF(AND(Projects!$G$34="Yes",Projects!$M$34="Yes",59&gt;=Projects!$C$34,59&lt;Projects!$C$34+Projects!$D$34),Projects!$B$34*INDEX(Curves!$B$4:$AR$4,1,59-Projects!$C$34+1),0)+IF(AND(Projects!$G$35="Yes",Projects!$M$35="Yes",59&gt;=Projects!$C$35,59&lt;Projects!$C$35+Projects!$D$35),Projects!$B$35*INDEX(Curves!$B$4:$AR$4,1,59-Projects!$C$35+1),0)+IF(AND(Projects!$G$36="Yes",Projects!$M$36="Yes",59&gt;=Projects!$C$36,59&lt;Projects!$C$36+Projects!$D$36),Projects!$B$36*INDEX(Curves!$B$4:$AR$4,1,59-Projects!$C$36+1),0)+IF(AND(Projects!$G$37="Yes",Projects!$M$37="Yes",59&gt;=Projects!$C$37,59&lt;Projects!$C$37+Projects!$D$37),Projects!$B$37*INDEX(Curves!$B$4:$AR$4,1,59-Projects!$C$37+1),0)+IF(AND(Projects!$G$38="Yes",Projects!$M$38="Yes",59&gt;=Projects!$C$38,59&lt;Projects!$C$38+Projects!$D$38),Projects!$B$38*INDEX(Curves!$B$4:$AR$4,1,59-Projects!$C$38+1),0)+IF(AND(Projects!$G$39="Yes",Projects!$M$39="Yes",59&gt;=Projects!$C$39,59&lt;Projects!$C$39+Projects!$D$39),Projects!$B$39*INDEX(Curves!$B$4:$AR$4,1,59-Projects!$C$39+1),0)+IF(AND(Projects!$G$40="Yes",Projects!$M$40="Yes",59&gt;=Projects!$C$40,59&lt;Projects!$C$40+Projects!$D$40),Projects!$B$40*INDEX(Curves!$B$4:$AR$4,1,59-Projects!$C$40+1),0)+IF(AND(Projects!$G$41="Yes",Projects!$M$41="Yes",59&gt;=Projects!$C$41,59&lt;Projects!$C$41+Projects!$D$41),Projects!$B$41*INDEX(Curves!$B$4:$AR$4,1,59-Projects!$C$41+1),0)+IF(AND(Projects!$G$42="Yes",Projects!$M$42="Yes",59&gt;=Projects!$C$42,59&lt;Projects!$C$42+Projects!$D$42),Projects!$B$42*INDEX(Curves!$B$4:$AR$4,1,59-Projects!$C$42+1),0)+IF(AND(Projects!$G$43="Yes",Projects!$M$43="Yes",59&gt;=Projects!$C$43,59&lt;Projects!$C$43+Projects!$D$43),Projects!$B$43*INDEX(Curves!$B$4:$AR$4,1,59-Projects!$C$43+1),0)+IF(AND(Projects!$G$44="Yes",Projects!$M$44="Yes",59&gt;=Projects!$C$44,59&lt;Projects!$C$44+Projects!$D$44),Projects!$B$44*INDEX(Curves!$B$4:$AR$4,1,59-Projects!$C$44+1),0)+IF(AND(Projects!$G$45="Yes",Projects!$M$45="Yes",59&gt;=Projects!$C$45,59&lt;Projects!$C$45+Projects!$D$45),Projects!$B$45*INDEX(Curves!$B$4:$AR$4,1,59-Projects!$C$45+1),0)+IF(AND(Projects!$G$46="Yes",Projects!$M$46="Yes",59&gt;=Projects!$C$46,59&lt;Projects!$C$46+Projects!$D$46),Projects!$B$46*INDEX(Curves!$B$4:$AR$4,1,59-Projects!$C$46+1),0)</f>
        <v>589698</v>
      </c>
      <c r="BM101" s="63">
        <f>IF(AND(Projects!$G$17="Yes",Projects!$M$17="Yes",60&gt;=Projects!$C$17,60&lt;Projects!$C$17+Projects!$D$17),Projects!$B$17*INDEX(Curves!$B$4:$AR$4,1,60-Projects!$C$17+1),0)+IF(AND(Projects!$G$18="Yes",Projects!$M$18="Yes",60&gt;=Projects!$C$18,60&lt;Projects!$C$18+Projects!$D$18),Projects!$B$18*INDEX(Curves!$B$4:$AR$4,1,60-Projects!$C$18+1),0)+IF(AND(Projects!$G$19="Yes",Projects!$M$19="Yes",60&gt;=Projects!$C$19,60&lt;Projects!$C$19+Projects!$D$19),Projects!$B$19*INDEX(Curves!$B$4:$AR$4,1,60-Projects!$C$19+1),0)+IF(AND(Projects!$G$20="Yes",Projects!$M$20="Yes",60&gt;=Projects!$C$20,60&lt;Projects!$C$20+Projects!$D$20),Projects!$B$20*INDEX(Curves!$B$4:$AR$4,1,60-Projects!$C$20+1),0)+IF(AND(Projects!$G$21="Yes",Projects!$M$21="Yes",60&gt;=Projects!$C$21,60&lt;Projects!$C$21+Projects!$D$21),Projects!$B$21*INDEX(Curves!$B$4:$AR$4,1,60-Projects!$C$21+1),0)+IF(AND(Projects!$G$22="Yes",Projects!$M$22="Yes",60&gt;=Projects!$C$22,60&lt;Projects!$C$22+Projects!$D$22),Projects!$B$22*INDEX(Curves!$B$4:$AR$4,1,60-Projects!$C$22+1),0)+IF(AND(Projects!$G$23="Yes",Projects!$M$23="Yes",60&gt;=Projects!$C$23,60&lt;Projects!$C$23+Projects!$D$23),Projects!$B$23*INDEX(Curves!$B$4:$AR$4,1,60-Projects!$C$23+1),0)+IF(AND(Projects!$G$24="Yes",Projects!$M$24="Yes",60&gt;=Projects!$C$24,60&lt;Projects!$C$24+Projects!$D$24),Projects!$B$24*INDEX(Curves!$B$4:$AR$4,1,60-Projects!$C$24+1),0)+IF(AND(Projects!$G$25="Yes",Projects!$M$25="Yes",60&gt;=Projects!$C$25,60&lt;Projects!$C$25+Projects!$D$25),Projects!$B$25*INDEX(Curves!$B$4:$AR$4,1,60-Projects!$C$25+1),0)+IF(AND(Projects!$G$26="Yes",Projects!$M$26="Yes",60&gt;=Projects!$C$26,60&lt;Projects!$C$26+Projects!$D$26),Projects!$B$26*INDEX(Curves!$B$4:$AR$4,1,60-Projects!$C$26+1),0)+IF(AND(Projects!$G$27="Yes",Projects!$M$27="Yes",60&gt;=Projects!$C$27,60&lt;Projects!$C$27+Projects!$D$27),Projects!$B$27*INDEX(Curves!$B$4:$AR$4,1,60-Projects!$C$27+1),0)+IF(AND(Projects!$G$28="Yes",Projects!$M$28="Yes",60&gt;=Projects!$C$28,60&lt;Projects!$C$28+Projects!$D$28),Projects!$B$28*INDEX(Curves!$B$4:$AR$4,1,60-Projects!$C$28+1),0)+IF(AND(Projects!$G$29="Yes",Projects!$M$29="Yes",60&gt;=Projects!$C$29,60&lt;Projects!$C$29+Projects!$D$29),Projects!$B$29*INDEX(Curves!$B$4:$AR$4,1,60-Projects!$C$29+1),0)+IF(AND(Projects!$G$30="Yes",Projects!$M$30="Yes",60&gt;=Projects!$C$30,60&lt;Projects!$C$30+Projects!$D$30),Projects!$B$30*INDEX(Curves!$B$4:$AR$4,1,60-Projects!$C$30+1),0)+IF(AND(Projects!$G$31="Yes",Projects!$M$31="Yes",60&gt;=Projects!$C$31,60&lt;Projects!$C$31+Projects!$D$31),Projects!$B$31*INDEX(Curves!$B$4:$AR$4,1,60-Projects!$C$31+1),0)+IF(AND(Projects!$G$32="Yes",Projects!$M$32="Yes",60&gt;=Projects!$C$32,60&lt;Projects!$C$32+Projects!$D$32),Projects!$B$32*INDEX(Curves!$B$4:$AR$4,1,60-Projects!$C$32+1),0)+IF(AND(Projects!$G$33="Yes",Projects!$M$33="Yes",60&gt;=Projects!$C$33,60&lt;Projects!$C$33+Projects!$D$33),Projects!$B$33*INDEX(Curves!$B$4:$AR$4,1,60-Projects!$C$33+1),0)+IF(AND(Projects!$G$34="Yes",Projects!$M$34="Yes",60&gt;=Projects!$C$34,60&lt;Projects!$C$34+Projects!$D$34),Projects!$B$34*INDEX(Curves!$B$4:$AR$4,1,60-Projects!$C$34+1),0)+IF(AND(Projects!$G$35="Yes",Projects!$M$35="Yes",60&gt;=Projects!$C$35,60&lt;Projects!$C$35+Projects!$D$35),Projects!$B$35*INDEX(Curves!$B$4:$AR$4,1,60-Projects!$C$35+1),0)+IF(AND(Projects!$G$36="Yes",Projects!$M$36="Yes",60&gt;=Projects!$C$36,60&lt;Projects!$C$36+Projects!$D$36),Projects!$B$36*INDEX(Curves!$B$4:$AR$4,1,60-Projects!$C$36+1),0)+IF(AND(Projects!$G$37="Yes",Projects!$M$37="Yes",60&gt;=Projects!$C$37,60&lt;Projects!$C$37+Projects!$D$37),Projects!$B$37*INDEX(Curves!$B$4:$AR$4,1,60-Projects!$C$37+1),0)+IF(AND(Projects!$G$38="Yes",Projects!$M$38="Yes",60&gt;=Projects!$C$38,60&lt;Projects!$C$38+Projects!$D$38),Projects!$B$38*INDEX(Curves!$B$4:$AR$4,1,60-Projects!$C$38+1),0)+IF(AND(Projects!$G$39="Yes",Projects!$M$39="Yes",60&gt;=Projects!$C$39,60&lt;Projects!$C$39+Projects!$D$39),Projects!$B$39*INDEX(Curves!$B$4:$AR$4,1,60-Projects!$C$39+1),0)+IF(AND(Projects!$G$40="Yes",Projects!$M$40="Yes",60&gt;=Projects!$C$40,60&lt;Projects!$C$40+Projects!$D$40),Projects!$B$40*INDEX(Curves!$B$4:$AR$4,1,60-Projects!$C$40+1),0)+IF(AND(Projects!$G$41="Yes",Projects!$M$41="Yes",60&gt;=Projects!$C$41,60&lt;Projects!$C$41+Projects!$D$41),Projects!$B$41*INDEX(Curves!$B$4:$AR$4,1,60-Projects!$C$41+1),0)+IF(AND(Projects!$G$42="Yes",Projects!$M$42="Yes",60&gt;=Projects!$C$42,60&lt;Projects!$C$42+Projects!$D$42),Projects!$B$42*INDEX(Curves!$B$4:$AR$4,1,60-Projects!$C$42+1),0)+IF(AND(Projects!$G$43="Yes",Projects!$M$43="Yes",60&gt;=Projects!$C$43,60&lt;Projects!$C$43+Projects!$D$43),Projects!$B$43*INDEX(Curves!$B$4:$AR$4,1,60-Projects!$C$43+1),0)+IF(AND(Projects!$G$44="Yes",Projects!$M$44="Yes",60&gt;=Projects!$C$44,60&lt;Projects!$C$44+Projects!$D$44),Projects!$B$44*INDEX(Curves!$B$4:$AR$4,1,60-Projects!$C$44+1),0)+IF(AND(Projects!$G$45="Yes",Projects!$M$45="Yes",60&gt;=Projects!$C$45,60&lt;Projects!$C$45+Projects!$D$45),Projects!$B$45*INDEX(Curves!$B$4:$AR$4,1,60-Projects!$C$45+1),0)+IF(AND(Projects!$G$46="Yes",Projects!$M$46="Yes",60&gt;=Projects!$C$46,60&lt;Projects!$C$46+Projects!$D$46),Projects!$B$46*INDEX(Curves!$B$4:$AR$4,1,60-Projects!$C$46+1),0)</f>
        <v>710676</v>
      </c>
      <c r="BN101" s="63">
        <f>IF(AND(Projects!$G$17="Yes",Projects!$M$17="Yes",61&gt;=Projects!$C$17,61&lt;Projects!$C$17+Projects!$D$17),Projects!$B$17*INDEX(Curves!$B$4:$AR$4,1,61-Projects!$C$17+1),0)+IF(AND(Projects!$G$18="Yes",Projects!$M$18="Yes",61&gt;=Projects!$C$18,61&lt;Projects!$C$18+Projects!$D$18),Projects!$B$18*INDEX(Curves!$B$4:$AR$4,1,61-Projects!$C$18+1),0)+IF(AND(Projects!$G$19="Yes",Projects!$M$19="Yes",61&gt;=Projects!$C$19,61&lt;Projects!$C$19+Projects!$D$19),Projects!$B$19*INDEX(Curves!$B$4:$AR$4,1,61-Projects!$C$19+1),0)+IF(AND(Projects!$G$20="Yes",Projects!$M$20="Yes",61&gt;=Projects!$C$20,61&lt;Projects!$C$20+Projects!$D$20),Projects!$B$20*INDEX(Curves!$B$4:$AR$4,1,61-Projects!$C$20+1),0)+IF(AND(Projects!$G$21="Yes",Projects!$M$21="Yes",61&gt;=Projects!$C$21,61&lt;Projects!$C$21+Projects!$D$21),Projects!$B$21*INDEX(Curves!$B$4:$AR$4,1,61-Projects!$C$21+1),0)+IF(AND(Projects!$G$22="Yes",Projects!$M$22="Yes",61&gt;=Projects!$C$22,61&lt;Projects!$C$22+Projects!$D$22),Projects!$B$22*INDEX(Curves!$B$4:$AR$4,1,61-Projects!$C$22+1),0)+IF(AND(Projects!$G$23="Yes",Projects!$M$23="Yes",61&gt;=Projects!$C$23,61&lt;Projects!$C$23+Projects!$D$23),Projects!$B$23*INDEX(Curves!$B$4:$AR$4,1,61-Projects!$C$23+1),0)+IF(AND(Projects!$G$24="Yes",Projects!$M$24="Yes",61&gt;=Projects!$C$24,61&lt;Projects!$C$24+Projects!$D$24),Projects!$B$24*INDEX(Curves!$B$4:$AR$4,1,61-Projects!$C$24+1),0)+IF(AND(Projects!$G$25="Yes",Projects!$M$25="Yes",61&gt;=Projects!$C$25,61&lt;Projects!$C$25+Projects!$D$25),Projects!$B$25*INDEX(Curves!$B$4:$AR$4,1,61-Projects!$C$25+1),0)+IF(AND(Projects!$G$26="Yes",Projects!$M$26="Yes",61&gt;=Projects!$C$26,61&lt;Projects!$C$26+Projects!$D$26),Projects!$B$26*INDEX(Curves!$B$4:$AR$4,1,61-Projects!$C$26+1),0)+IF(AND(Projects!$G$27="Yes",Projects!$M$27="Yes",61&gt;=Projects!$C$27,61&lt;Projects!$C$27+Projects!$D$27),Projects!$B$27*INDEX(Curves!$B$4:$AR$4,1,61-Projects!$C$27+1),0)+IF(AND(Projects!$G$28="Yes",Projects!$M$28="Yes",61&gt;=Projects!$C$28,61&lt;Projects!$C$28+Projects!$D$28),Projects!$B$28*INDEX(Curves!$B$4:$AR$4,1,61-Projects!$C$28+1),0)+IF(AND(Projects!$G$29="Yes",Projects!$M$29="Yes",61&gt;=Projects!$C$29,61&lt;Projects!$C$29+Projects!$D$29),Projects!$B$29*INDEX(Curves!$B$4:$AR$4,1,61-Projects!$C$29+1),0)+IF(AND(Projects!$G$30="Yes",Projects!$M$30="Yes",61&gt;=Projects!$C$30,61&lt;Projects!$C$30+Projects!$D$30),Projects!$B$30*INDEX(Curves!$B$4:$AR$4,1,61-Projects!$C$30+1),0)+IF(AND(Projects!$G$31="Yes",Projects!$M$31="Yes",61&gt;=Projects!$C$31,61&lt;Projects!$C$31+Projects!$D$31),Projects!$B$31*INDEX(Curves!$B$4:$AR$4,1,61-Projects!$C$31+1),0)+IF(AND(Projects!$G$32="Yes",Projects!$M$32="Yes",61&gt;=Projects!$C$32,61&lt;Projects!$C$32+Projects!$D$32),Projects!$B$32*INDEX(Curves!$B$4:$AR$4,1,61-Projects!$C$32+1),0)+IF(AND(Projects!$G$33="Yes",Projects!$M$33="Yes",61&gt;=Projects!$C$33,61&lt;Projects!$C$33+Projects!$D$33),Projects!$B$33*INDEX(Curves!$B$4:$AR$4,1,61-Projects!$C$33+1),0)+IF(AND(Projects!$G$34="Yes",Projects!$M$34="Yes",61&gt;=Projects!$C$34,61&lt;Projects!$C$34+Projects!$D$34),Projects!$B$34*INDEX(Curves!$B$4:$AR$4,1,61-Projects!$C$34+1),0)+IF(AND(Projects!$G$35="Yes",Projects!$M$35="Yes",61&gt;=Projects!$C$35,61&lt;Projects!$C$35+Projects!$D$35),Projects!$B$35*INDEX(Curves!$B$4:$AR$4,1,61-Projects!$C$35+1),0)+IF(AND(Projects!$G$36="Yes",Projects!$M$36="Yes",61&gt;=Projects!$C$36,61&lt;Projects!$C$36+Projects!$D$36),Projects!$B$36*INDEX(Curves!$B$4:$AR$4,1,61-Projects!$C$36+1),0)+IF(AND(Projects!$G$37="Yes",Projects!$M$37="Yes",61&gt;=Projects!$C$37,61&lt;Projects!$C$37+Projects!$D$37),Projects!$B$37*INDEX(Curves!$B$4:$AR$4,1,61-Projects!$C$37+1),0)+IF(AND(Projects!$G$38="Yes",Projects!$M$38="Yes",61&gt;=Projects!$C$38,61&lt;Projects!$C$38+Projects!$D$38),Projects!$B$38*INDEX(Curves!$B$4:$AR$4,1,61-Projects!$C$38+1),0)+IF(AND(Projects!$G$39="Yes",Projects!$M$39="Yes",61&gt;=Projects!$C$39,61&lt;Projects!$C$39+Projects!$D$39),Projects!$B$39*INDEX(Curves!$B$4:$AR$4,1,61-Projects!$C$39+1),0)+IF(AND(Projects!$G$40="Yes",Projects!$M$40="Yes",61&gt;=Projects!$C$40,61&lt;Projects!$C$40+Projects!$D$40),Projects!$B$40*INDEX(Curves!$B$4:$AR$4,1,61-Projects!$C$40+1),0)+IF(AND(Projects!$G$41="Yes",Projects!$M$41="Yes",61&gt;=Projects!$C$41,61&lt;Projects!$C$41+Projects!$D$41),Projects!$B$41*INDEX(Curves!$B$4:$AR$4,1,61-Projects!$C$41+1),0)+IF(AND(Projects!$G$42="Yes",Projects!$M$42="Yes",61&gt;=Projects!$C$42,61&lt;Projects!$C$42+Projects!$D$42),Projects!$B$42*INDEX(Curves!$B$4:$AR$4,1,61-Projects!$C$42+1),0)+IF(AND(Projects!$G$43="Yes",Projects!$M$43="Yes",61&gt;=Projects!$C$43,61&lt;Projects!$C$43+Projects!$D$43),Projects!$B$43*INDEX(Curves!$B$4:$AR$4,1,61-Projects!$C$43+1),0)+IF(AND(Projects!$G$44="Yes",Projects!$M$44="Yes",61&gt;=Projects!$C$44,61&lt;Projects!$C$44+Projects!$D$44),Projects!$B$44*INDEX(Curves!$B$4:$AR$4,1,61-Projects!$C$44+1),0)+IF(AND(Projects!$G$45="Yes",Projects!$M$45="Yes",61&gt;=Projects!$C$45,61&lt;Projects!$C$45+Projects!$D$45),Projects!$B$45*INDEX(Curves!$B$4:$AR$4,1,61-Projects!$C$45+1),0)+IF(AND(Projects!$G$46="Yes",Projects!$M$46="Yes",61&gt;=Projects!$C$46,61&lt;Projects!$C$46+Projects!$D$46),Projects!$B$46*INDEX(Curves!$B$4:$AR$4,1,61-Projects!$C$46+1),0)</f>
        <v>835416</v>
      </c>
      <c r="BO101" s="63">
        <f>IF(AND(Projects!$G$17="Yes",Projects!$M$17="Yes",62&gt;=Projects!$C$17,62&lt;Projects!$C$17+Projects!$D$17),Projects!$B$17*INDEX(Curves!$B$4:$AR$4,1,62-Projects!$C$17+1),0)+IF(AND(Projects!$G$18="Yes",Projects!$M$18="Yes",62&gt;=Projects!$C$18,62&lt;Projects!$C$18+Projects!$D$18),Projects!$B$18*INDEX(Curves!$B$4:$AR$4,1,62-Projects!$C$18+1),0)+IF(AND(Projects!$G$19="Yes",Projects!$M$19="Yes",62&gt;=Projects!$C$19,62&lt;Projects!$C$19+Projects!$D$19),Projects!$B$19*INDEX(Curves!$B$4:$AR$4,1,62-Projects!$C$19+1),0)+IF(AND(Projects!$G$20="Yes",Projects!$M$20="Yes",62&gt;=Projects!$C$20,62&lt;Projects!$C$20+Projects!$D$20),Projects!$B$20*INDEX(Curves!$B$4:$AR$4,1,62-Projects!$C$20+1),0)+IF(AND(Projects!$G$21="Yes",Projects!$M$21="Yes",62&gt;=Projects!$C$21,62&lt;Projects!$C$21+Projects!$D$21),Projects!$B$21*INDEX(Curves!$B$4:$AR$4,1,62-Projects!$C$21+1),0)+IF(AND(Projects!$G$22="Yes",Projects!$M$22="Yes",62&gt;=Projects!$C$22,62&lt;Projects!$C$22+Projects!$D$22),Projects!$B$22*INDEX(Curves!$B$4:$AR$4,1,62-Projects!$C$22+1),0)+IF(AND(Projects!$G$23="Yes",Projects!$M$23="Yes",62&gt;=Projects!$C$23,62&lt;Projects!$C$23+Projects!$D$23),Projects!$B$23*INDEX(Curves!$B$4:$AR$4,1,62-Projects!$C$23+1),0)+IF(AND(Projects!$G$24="Yes",Projects!$M$24="Yes",62&gt;=Projects!$C$24,62&lt;Projects!$C$24+Projects!$D$24),Projects!$B$24*INDEX(Curves!$B$4:$AR$4,1,62-Projects!$C$24+1),0)+IF(AND(Projects!$G$25="Yes",Projects!$M$25="Yes",62&gt;=Projects!$C$25,62&lt;Projects!$C$25+Projects!$D$25),Projects!$B$25*INDEX(Curves!$B$4:$AR$4,1,62-Projects!$C$25+1),0)+IF(AND(Projects!$G$26="Yes",Projects!$M$26="Yes",62&gt;=Projects!$C$26,62&lt;Projects!$C$26+Projects!$D$26),Projects!$B$26*INDEX(Curves!$B$4:$AR$4,1,62-Projects!$C$26+1),0)+IF(AND(Projects!$G$27="Yes",Projects!$M$27="Yes",62&gt;=Projects!$C$27,62&lt;Projects!$C$27+Projects!$D$27),Projects!$B$27*INDEX(Curves!$B$4:$AR$4,1,62-Projects!$C$27+1),0)+IF(AND(Projects!$G$28="Yes",Projects!$M$28="Yes",62&gt;=Projects!$C$28,62&lt;Projects!$C$28+Projects!$D$28),Projects!$B$28*INDEX(Curves!$B$4:$AR$4,1,62-Projects!$C$28+1),0)+IF(AND(Projects!$G$29="Yes",Projects!$M$29="Yes",62&gt;=Projects!$C$29,62&lt;Projects!$C$29+Projects!$D$29),Projects!$B$29*INDEX(Curves!$B$4:$AR$4,1,62-Projects!$C$29+1),0)+IF(AND(Projects!$G$30="Yes",Projects!$M$30="Yes",62&gt;=Projects!$C$30,62&lt;Projects!$C$30+Projects!$D$30),Projects!$B$30*INDEX(Curves!$B$4:$AR$4,1,62-Projects!$C$30+1),0)+IF(AND(Projects!$G$31="Yes",Projects!$M$31="Yes",62&gt;=Projects!$C$31,62&lt;Projects!$C$31+Projects!$D$31),Projects!$B$31*INDEX(Curves!$B$4:$AR$4,1,62-Projects!$C$31+1),0)+IF(AND(Projects!$G$32="Yes",Projects!$M$32="Yes",62&gt;=Projects!$C$32,62&lt;Projects!$C$32+Projects!$D$32),Projects!$B$32*INDEX(Curves!$B$4:$AR$4,1,62-Projects!$C$32+1),0)+IF(AND(Projects!$G$33="Yes",Projects!$M$33="Yes",62&gt;=Projects!$C$33,62&lt;Projects!$C$33+Projects!$D$33),Projects!$B$33*INDEX(Curves!$B$4:$AR$4,1,62-Projects!$C$33+1),0)+IF(AND(Projects!$G$34="Yes",Projects!$M$34="Yes",62&gt;=Projects!$C$34,62&lt;Projects!$C$34+Projects!$D$34),Projects!$B$34*INDEX(Curves!$B$4:$AR$4,1,62-Projects!$C$34+1),0)+IF(AND(Projects!$G$35="Yes",Projects!$M$35="Yes",62&gt;=Projects!$C$35,62&lt;Projects!$C$35+Projects!$D$35),Projects!$B$35*INDEX(Curves!$B$4:$AR$4,1,62-Projects!$C$35+1),0)+IF(AND(Projects!$G$36="Yes",Projects!$M$36="Yes",62&gt;=Projects!$C$36,62&lt;Projects!$C$36+Projects!$D$36),Projects!$B$36*INDEX(Curves!$B$4:$AR$4,1,62-Projects!$C$36+1),0)+IF(AND(Projects!$G$37="Yes",Projects!$M$37="Yes",62&gt;=Projects!$C$37,62&lt;Projects!$C$37+Projects!$D$37),Projects!$B$37*INDEX(Curves!$B$4:$AR$4,1,62-Projects!$C$37+1),0)+IF(AND(Projects!$G$38="Yes",Projects!$M$38="Yes",62&gt;=Projects!$C$38,62&lt;Projects!$C$38+Projects!$D$38),Projects!$B$38*INDEX(Curves!$B$4:$AR$4,1,62-Projects!$C$38+1),0)+IF(AND(Projects!$G$39="Yes",Projects!$M$39="Yes",62&gt;=Projects!$C$39,62&lt;Projects!$C$39+Projects!$D$39),Projects!$B$39*INDEX(Curves!$B$4:$AR$4,1,62-Projects!$C$39+1),0)+IF(AND(Projects!$G$40="Yes",Projects!$M$40="Yes",62&gt;=Projects!$C$40,62&lt;Projects!$C$40+Projects!$D$40),Projects!$B$40*INDEX(Curves!$B$4:$AR$4,1,62-Projects!$C$40+1),0)+IF(AND(Projects!$G$41="Yes",Projects!$M$41="Yes",62&gt;=Projects!$C$41,62&lt;Projects!$C$41+Projects!$D$41),Projects!$B$41*INDEX(Curves!$B$4:$AR$4,1,62-Projects!$C$41+1),0)+IF(AND(Projects!$G$42="Yes",Projects!$M$42="Yes",62&gt;=Projects!$C$42,62&lt;Projects!$C$42+Projects!$D$42),Projects!$B$42*INDEX(Curves!$B$4:$AR$4,1,62-Projects!$C$42+1),0)+IF(AND(Projects!$G$43="Yes",Projects!$M$43="Yes",62&gt;=Projects!$C$43,62&lt;Projects!$C$43+Projects!$D$43),Projects!$B$43*INDEX(Curves!$B$4:$AR$4,1,62-Projects!$C$43+1),0)+IF(AND(Projects!$G$44="Yes",Projects!$M$44="Yes",62&gt;=Projects!$C$44,62&lt;Projects!$C$44+Projects!$D$44),Projects!$B$44*INDEX(Curves!$B$4:$AR$4,1,62-Projects!$C$44+1),0)+IF(AND(Projects!$G$45="Yes",Projects!$M$45="Yes",62&gt;=Projects!$C$45,62&lt;Projects!$C$45+Projects!$D$45),Projects!$B$45*INDEX(Curves!$B$4:$AR$4,1,62-Projects!$C$45+1),0)+IF(AND(Projects!$G$46="Yes",Projects!$M$46="Yes",62&gt;=Projects!$C$46,62&lt;Projects!$C$46+Projects!$D$46),Projects!$B$46*INDEX(Curves!$B$4:$AR$4,1,62-Projects!$C$46+1),0)</f>
        <v>957924</v>
      </c>
      <c r="BP101" s="63">
        <f>IF(AND(Projects!$G$17="Yes",Projects!$M$17="Yes",63&gt;=Projects!$C$17,63&lt;Projects!$C$17+Projects!$D$17),Projects!$B$17*INDEX(Curves!$B$4:$AR$4,1,63-Projects!$C$17+1),0)+IF(AND(Projects!$G$18="Yes",Projects!$M$18="Yes",63&gt;=Projects!$C$18,63&lt;Projects!$C$18+Projects!$D$18),Projects!$B$18*INDEX(Curves!$B$4:$AR$4,1,63-Projects!$C$18+1),0)+IF(AND(Projects!$G$19="Yes",Projects!$M$19="Yes",63&gt;=Projects!$C$19,63&lt;Projects!$C$19+Projects!$D$19),Projects!$B$19*INDEX(Curves!$B$4:$AR$4,1,63-Projects!$C$19+1),0)+IF(AND(Projects!$G$20="Yes",Projects!$M$20="Yes",63&gt;=Projects!$C$20,63&lt;Projects!$C$20+Projects!$D$20),Projects!$B$20*INDEX(Curves!$B$4:$AR$4,1,63-Projects!$C$20+1),0)+IF(AND(Projects!$G$21="Yes",Projects!$M$21="Yes",63&gt;=Projects!$C$21,63&lt;Projects!$C$21+Projects!$D$21),Projects!$B$21*INDEX(Curves!$B$4:$AR$4,1,63-Projects!$C$21+1),0)+IF(AND(Projects!$G$22="Yes",Projects!$M$22="Yes",63&gt;=Projects!$C$22,63&lt;Projects!$C$22+Projects!$D$22),Projects!$B$22*INDEX(Curves!$B$4:$AR$4,1,63-Projects!$C$22+1),0)+IF(AND(Projects!$G$23="Yes",Projects!$M$23="Yes",63&gt;=Projects!$C$23,63&lt;Projects!$C$23+Projects!$D$23),Projects!$B$23*INDEX(Curves!$B$4:$AR$4,1,63-Projects!$C$23+1),0)+IF(AND(Projects!$G$24="Yes",Projects!$M$24="Yes",63&gt;=Projects!$C$24,63&lt;Projects!$C$24+Projects!$D$24),Projects!$B$24*INDEX(Curves!$B$4:$AR$4,1,63-Projects!$C$24+1),0)+IF(AND(Projects!$G$25="Yes",Projects!$M$25="Yes",63&gt;=Projects!$C$25,63&lt;Projects!$C$25+Projects!$D$25),Projects!$B$25*INDEX(Curves!$B$4:$AR$4,1,63-Projects!$C$25+1),0)+IF(AND(Projects!$G$26="Yes",Projects!$M$26="Yes",63&gt;=Projects!$C$26,63&lt;Projects!$C$26+Projects!$D$26),Projects!$B$26*INDEX(Curves!$B$4:$AR$4,1,63-Projects!$C$26+1),0)+IF(AND(Projects!$G$27="Yes",Projects!$M$27="Yes",63&gt;=Projects!$C$27,63&lt;Projects!$C$27+Projects!$D$27),Projects!$B$27*INDEX(Curves!$B$4:$AR$4,1,63-Projects!$C$27+1),0)+IF(AND(Projects!$G$28="Yes",Projects!$M$28="Yes",63&gt;=Projects!$C$28,63&lt;Projects!$C$28+Projects!$D$28),Projects!$B$28*INDEX(Curves!$B$4:$AR$4,1,63-Projects!$C$28+1),0)+IF(AND(Projects!$G$29="Yes",Projects!$M$29="Yes",63&gt;=Projects!$C$29,63&lt;Projects!$C$29+Projects!$D$29),Projects!$B$29*INDEX(Curves!$B$4:$AR$4,1,63-Projects!$C$29+1),0)+IF(AND(Projects!$G$30="Yes",Projects!$M$30="Yes",63&gt;=Projects!$C$30,63&lt;Projects!$C$30+Projects!$D$30),Projects!$B$30*INDEX(Curves!$B$4:$AR$4,1,63-Projects!$C$30+1),0)+IF(AND(Projects!$G$31="Yes",Projects!$M$31="Yes",63&gt;=Projects!$C$31,63&lt;Projects!$C$31+Projects!$D$31),Projects!$B$31*INDEX(Curves!$B$4:$AR$4,1,63-Projects!$C$31+1),0)+IF(AND(Projects!$G$32="Yes",Projects!$M$32="Yes",63&gt;=Projects!$C$32,63&lt;Projects!$C$32+Projects!$D$32),Projects!$B$32*INDEX(Curves!$B$4:$AR$4,1,63-Projects!$C$32+1),0)+IF(AND(Projects!$G$33="Yes",Projects!$M$33="Yes",63&gt;=Projects!$C$33,63&lt;Projects!$C$33+Projects!$D$33),Projects!$B$33*INDEX(Curves!$B$4:$AR$4,1,63-Projects!$C$33+1),0)+IF(AND(Projects!$G$34="Yes",Projects!$M$34="Yes",63&gt;=Projects!$C$34,63&lt;Projects!$C$34+Projects!$D$34),Projects!$B$34*INDEX(Curves!$B$4:$AR$4,1,63-Projects!$C$34+1),0)+IF(AND(Projects!$G$35="Yes",Projects!$M$35="Yes",63&gt;=Projects!$C$35,63&lt;Projects!$C$35+Projects!$D$35),Projects!$B$35*INDEX(Curves!$B$4:$AR$4,1,63-Projects!$C$35+1),0)+IF(AND(Projects!$G$36="Yes",Projects!$M$36="Yes",63&gt;=Projects!$C$36,63&lt;Projects!$C$36+Projects!$D$36),Projects!$B$36*INDEX(Curves!$B$4:$AR$4,1,63-Projects!$C$36+1),0)+IF(AND(Projects!$G$37="Yes",Projects!$M$37="Yes",63&gt;=Projects!$C$37,63&lt;Projects!$C$37+Projects!$D$37),Projects!$B$37*INDEX(Curves!$B$4:$AR$4,1,63-Projects!$C$37+1),0)+IF(AND(Projects!$G$38="Yes",Projects!$M$38="Yes",63&gt;=Projects!$C$38,63&lt;Projects!$C$38+Projects!$D$38),Projects!$B$38*INDEX(Curves!$B$4:$AR$4,1,63-Projects!$C$38+1),0)+IF(AND(Projects!$G$39="Yes",Projects!$M$39="Yes",63&gt;=Projects!$C$39,63&lt;Projects!$C$39+Projects!$D$39),Projects!$B$39*INDEX(Curves!$B$4:$AR$4,1,63-Projects!$C$39+1),0)+IF(AND(Projects!$G$40="Yes",Projects!$M$40="Yes",63&gt;=Projects!$C$40,63&lt;Projects!$C$40+Projects!$D$40),Projects!$B$40*INDEX(Curves!$B$4:$AR$4,1,63-Projects!$C$40+1),0)+IF(AND(Projects!$G$41="Yes",Projects!$M$41="Yes",63&gt;=Projects!$C$41,63&lt;Projects!$C$41+Projects!$D$41),Projects!$B$41*INDEX(Curves!$B$4:$AR$4,1,63-Projects!$C$41+1),0)+IF(AND(Projects!$G$42="Yes",Projects!$M$42="Yes",63&gt;=Projects!$C$42,63&lt;Projects!$C$42+Projects!$D$42),Projects!$B$42*INDEX(Curves!$B$4:$AR$4,1,63-Projects!$C$42+1),0)+IF(AND(Projects!$G$43="Yes",Projects!$M$43="Yes",63&gt;=Projects!$C$43,63&lt;Projects!$C$43+Projects!$D$43),Projects!$B$43*INDEX(Curves!$B$4:$AR$4,1,63-Projects!$C$43+1),0)+IF(AND(Projects!$G$44="Yes",Projects!$M$44="Yes",63&gt;=Projects!$C$44,63&lt;Projects!$C$44+Projects!$D$44),Projects!$B$44*INDEX(Curves!$B$4:$AR$4,1,63-Projects!$C$44+1),0)+IF(AND(Projects!$G$45="Yes",Projects!$M$45="Yes",63&gt;=Projects!$C$45,63&lt;Projects!$C$45+Projects!$D$45),Projects!$B$45*INDEX(Curves!$B$4:$AR$4,1,63-Projects!$C$45+1),0)+IF(AND(Projects!$G$46="Yes",Projects!$M$46="Yes",63&gt;=Projects!$C$46,63&lt;Projects!$C$46+Projects!$D$46),Projects!$B$46*INDEX(Curves!$B$4:$AR$4,1,63-Projects!$C$46+1),0)</f>
        <v>1071396</v>
      </c>
      <c r="BQ101" s="63">
        <f>IF(AND(Projects!$G$17="Yes",Projects!$M$17="Yes",64&gt;=Projects!$C$17,64&lt;Projects!$C$17+Projects!$D$17),Projects!$B$17*INDEX(Curves!$B$4:$AR$4,1,64-Projects!$C$17+1),0)+IF(AND(Projects!$G$18="Yes",Projects!$M$18="Yes",64&gt;=Projects!$C$18,64&lt;Projects!$C$18+Projects!$D$18),Projects!$B$18*INDEX(Curves!$B$4:$AR$4,1,64-Projects!$C$18+1),0)+IF(AND(Projects!$G$19="Yes",Projects!$M$19="Yes",64&gt;=Projects!$C$19,64&lt;Projects!$C$19+Projects!$D$19),Projects!$B$19*INDEX(Curves!$B$4:$AR$4,1,64-Projects!$C$19+1),0)+IF(AND(Projects!$G$20="Yes",Projects!$M$20="Yes",64&gt;=Projects!$C$20,64&lt;Projects!$C$20+Projects!$D$20),Projects!$B$20*INDEX(Curves!$B$4:$AR$4,1,64-Projects!$C$20+1),0)+IF(AND(Projects!$G$21="Yes",Projects!$M$21="Yes",64&gt;=Projects!$C$21,64&lt;Projects!$C$21+Projects!$D$21),Projects!$B$21*INDEX(Curves!$B$4:$AR$4,1,64-Projects!$C$21+1),0)+IF(AND(Projects!$G$22="Yes",Projects!$M$22="Yes",64&gt;=Projects!$C$22,64&lt;Projects!$C$22+Projects!$D$22),Projects!$B$22*INDEX(Curves!$B$4:$AR$4,1,64-Projects!$C$22+1),0)+IF(AND(Projects!$G$23="Yes",Projects!$M$23="Yes",64&gt;=Projects!$C$23,64&lt;Projects!$C$23+Projects!$D$23),Projects!$B$23*INDEX(Curves!$B$4:$AR$4,1,64-Projects!$C$23+1),0)+IF(AND(Projects!$G$24="Yes",Projects!$M$24="Yes",64&gt;=Projects!$C$24,64&lt;Projects!$C$24+Projects!$D$24),Projects!$B$24*INDEX(Curves!$B$4:$AR$4,1,64-Projects!$C$24+1),0)+IF(AND(Projects!$G$25="Yes",Projects!$M$25="Yes",64&gt;=Projects!$C$25,64&lt;Projects!$C$25+Projects!$D$25),Projects!$B$25*INDEX(Curves!$B$4:$AR$4,1,64-Projects!$C$25+1),0)+IF(AND(Projects!$G$26="Yes",Projects!$M$26="Yes",64&gt;=Projects!$C$26,64&lt;Projects!$C$26+Projects!$D$26),Projects!$B$26*INDEX(Curves!$B$4:$AR$4,1,64-Projects!$C$26+1),0)+IF(AND(Projects!$G$27="Yes",Projects!$M$27="Yes",64&gt;=Projects!$C$27,64&lt;Projects!$C$27+Projects!$D$27),Projects!$B$27*INDEX(Curves!$B$4:$AR$4,1,64-Projects!$C$27+1),0)+IF(AND(Projects!$G$28="Yes",Projects!$M$28="Yes",64&gt;=Projects!$C$28,64&lt;Projects!$C$28+Projects!$D$28),Projects!$B$28*INDEX(Curves!$B$4:$AR$4,1,64-Projects!$C$28+1),0)+IF(AND(Projects!$G$29="Yes",Projects!$M$29="Yes",64&gt;=Projects!$C$29,64&lt;Projects!$C$29+Projects!$D$29),Projects!$B$29*INDEX(Curves!$B$4:$AR$4,1,64-Projects!$C$29+1),0)+IF(AND(Projects!$G$30="Yes",Projects!$M$30="Yes",64&gt;=Projects!$C$30,64&lt;Projects!$C$30+Projects!$D$30),Projects!$B$30*INDEX(Curves!$B$4:$AR$4,1,64-Projects!$C$30+1),0)+IF(AND(Projects!$G$31="Yes",Projects!$M$31="Yes",64&gt;=Projects!$C$31,64&lt;Projects!$C$31+Projects!$D$31),Projects!$B$31*INDEX(Curves!$B$4:$AR$4,1,64-Projects!$C$31+1),0)+IF(AND(Projects!$G$32="Yes",Projects!$M$32="Yes",64&gt;=Projects!$C$32,64&lt;Projects!$C$32+Projects!$D$32),Projects!$B$32*INDEX(Curves!$B$4:$AR$4,1,64-Projects!$C$32+1),0)+IF(AND(Projects!$G$33="Yes",Projects!$M$33="Yes",64&gt;=Projects!$C$33,64&lt;Projects!$C$33+Projects!$D$33),Projects!$B$33*INDEX(Curves!$B$4:$AR$4,1,64-Projects!$C$33+1),0)+IF(AND(Projects!$G$34="Yes",Projects!$M$34="Yes",64&gt;=Projects!$C$34,64&lt;Projects!$C$34+Projects!$D$34),Projects!$B$34*INDEX(Curves!$B$4:$AR$4,1,64-Projects!$C$34+1),0)+IF(AND(Projects!$G$35="Yes",Projects!$M$35="Yes",64&gt;=Projects!$C$35,64&lt;Projects!$C$35+Projects!$D$35),Projects!$B$35*INDEX(Curves!$B$4:$AR$4,1,64-Projects!$C$35+1),0)+IF(AND(Projects!$G$36="Yes",Projects!$M$36="Yes",64&gt;=Projects!$C$36,64&lt;Projects!$C$36+Projects!$D$36),Projects!$B$36*INDEX(Curves!$B$4:$AR$4,1,64-Projects!$C$36+1),0)+IF(AND(Projects!$G$37="Yes",Projects!$M$37="Yes",64&gt;=Projects!$C$37,64&lt;Projects!$C$37+Projects!$D$37),Projects!$B$37*INDEX(Curves!$B$4:$AR$4,1,64-Projects!$C$37+1),0)+IF(AND(Projects!$G$38="Yes",Projects!$M$38="Yes",64&gt;=Projects!$C$38,64&lt;Projects!$C$38+Projects!$D$38),Projects!$B$38*INDEX(Curves!$B$4:$AR$4,1,64-Projects!$C$38+1),0)+IF(AND(Projects!$G$39="Yes",Projects!$M$39="Yes",64&gt;=Projects!$C$39,64&lt;Projects!$C$39+Projects!$D$39),Projects!$B$39*INDEX(Curves!$B$4:$AR$4,1,64-Projects!$C$39+1),0)+IF(AND(Projects!$G$40="Yes",Projects!$M$40="Yes",64&gt;=Projects!$C$40,64&lt;Projects!$C$40+Projects!$D$40),Projects!$B$40*INDEX(Curves!$B$4:$AR$4,1,64-Projects!$C$40+1),0)+IF(AND(Projects!$G$41="Yes",Projects!$M$41="Yes",64&gt;=Projects!$C$41,64&lt;Projects!$C$41+Projects!$D$41),Projects!$B$41*INDEX(Curves!$B$4:$AR$4,1,64-Projects!$C$41+1),0)+IF(AND(Projects!$G$42="Yes",Projects!$M$42="Yes",64&gt;=Projects!$C$42,64&lt;Projects!$C$42+Projects!$D$42),Projects!$B$42*INDEX(Curves!$B$4:$AR$4,1,64-Projects!$C$42+1),0)+IF(AND(Projects!$G$43="Yes",Projects!$M$43="Yes",64&gt;=Projects!$C$43,64&lt;Projects!$C$43+Projects!$D$43),Projects!$B$43*INDEX(Curves!$B$4:$AR$4,1,64-Projects!$C$43+1),0)+IF(AND(Projects!$G$44="Yes",Projects!$M$44="Yes",64&gt;=Projects!$C$44,64&lt;Projects!$C$44+Projects!$D$44),Projects!$B$44*INDEX(Curves!$B$4:$AR$4,1,64-Projects!$C$44+1),0)+IF(AND(Projects!$G$45="Yes",Projects!$M$45="Yes",64&gt;=Projects!$C$45,64&lt;Projects!$C$45+Projects!$D$45),Projects!$B$45*INDEX(Curves!$B$4:$AR$4,1,64-Projects!$C$45+1),0)+IF(AND(Projects!$G$46="Yes",Projects!$M$46="Yes",64&gt;=Projects!$C$46,64&lt;Projects!$C$46+Projects!$D$46),Projects!$B$46*INDEX(Curves!$B$4:$AR$4,1,64-Projects!$C$46+1),0)</f>
        <v>1168866</v>
      </c>
      <c r="BR101" s="63">
        <f>IF(AND(Projects!$G$17="Yes",Projects!$M$17="Yes",65&gt;=Projects!$C$17,65&lt;Projects!$C$17+Projects!$D$17),Projects!$B$17*INDEX(Curves!$B$4:$AR$4,1,65-Projects!$C$17+1),0)+IF(AND(Projects!$G$18="Yes",Projects!$M$18="Yes",65&gt;=Projects!$C$18,65&lt;Projects!$C$18+Projects!$D$18),Projects!$B$18*INDEX(Curves!$B$4:$AR$4,1,65-Projects!$C$18+1),0)+IF(AND(Projects!$G$19="Yes",Projects!$M$19="Yes",65&gt;=Projects!$C$19,65&lt;Projects!$C$19+Projects!$D$19),Projects!$B$19*INDEX(Curves!$B$4:$AR$4,1,65-Projects!$C$19+1),0)+IF(AND(Projects!$G$20="Yes",Projects!$M$20="Yes",65&gt;=Projects!$C$20,65&lt;Projects!$C$20+Projects!$D$20),Projects!$B$20*INDEX(Curves!$B$4:$AR$4,1,65-Projects!$C$20+1),0)+IF(AND(Projects!$G$21="Yes",Projects!$M$21="Yes",65&gt;=Projects!$C$21,65&lt;Projects!$C$21+Projects!$D$21),Projects!$B$21*INDEX(Curves!$B$4:$AR$4,1,65-Projects!$C$21+1),0)+IF(AND(Projects!$G$22="Yes",Projects!$M$22="Yes",65&gt;=Projects!$C$22,65&lt;Projects!$C$22+Projects!$D$22),Projects!$B$22*INDEX(Curves!$B$4:$AR$4,1,65-Projects!$C$22+1),0)+IF(AND(Projects!$G$23="Yes",Projects!$M$23="Yes",65&gt;=Projects!$C$23,65&lt;Projects!$C$23+Projects!$D$23),Projects!$B$23*INDEX(Curves!$B$4:$AR$4,1,65-Projects!$C$23+1),0)+IF(AND(Projects!$G$24="Yes",Projects!$M$24="Yes",65&gt;=Projects!$C$24,65&lt;Projects!$C$24+Projects!$D$24),Projects!$B$24*INDEX(Curves!$B$4:$AR$4,1,65-Projects!$C$24+1),0)+IF(AND(Projects!$G$25="Yes",Projects!$M$25="Yes",65&gt;=Projects!$C$25,65&lt;Projects!$C$25+Projects!$D$25),Projects!$B$25*INDEX(Curves!$B$4:$AR$4,1,65-Projects!$C$25+1),0)+IF(AND(Projects!$G$26="Yes",Projects!$M$26="Yes",65&gt;=Projects!$C$26,65&lt;Projects!$C$26+Projects!$D$26),Projects!$B$26*INDEX(Curves!$B$4:$AR$4,1,65-Projects!$C$26+1),0)+IF(AND(Projects!$G$27="Yes",Projects!$M$27="Yes",65&gt;=Projects!$C$27,65&lt;Projects!$C$27+Projects!$D$27),Projects!$B$27*INDEX(Curves!$B$4:$AR$4,1,65-Projects!$C$27+1),0)+IF(AND(Projects!$G$28="Yes",Projects!$M$28="Yes",65&gt;=Projects!$C$28,65&lt;Projects!$C$28+Projects!$D$28),Projects!$B$28*INDEX(Curves!$B$4:$AR$4,1,65-Projects!$C$28+1),0)+IF(AND(Projects!$G$29="Yes",Projects!$M$29="Yes",65&gt;=Projects!$C$29,65&lt;Projects!$C$29+Projects!$D$29),Projects!$B$29*INDEX(Curves!$B$4:$AR$4,1,65-Projects!$C$29+1),0)+IF(AND(Projects!$G$30="Yes",Projects!$M$30="Yes",65&gt;=Projects!$C$30,65&lt;Projects!$C$30+Projects!$D$30),Projects!$B$30*INDEX(Curves!$B$4:$AR$4,1,65-Projects!$C$30+1),0)+IF(AND(Projects!$G$31="Yes",Projects!$M$31="Yes",65&gt;=Projects!$C$31,65&lt;Projects!$C$31+Projects!$D$31),Projects!$B$31*INDEX(Curves!$B$4:$AR$4,1,65-Projects!$C$31+1),0)+IF(AND(Projects!$G$32="Yes",Projects!$M$32="Yes",65&gt;=Projects!$C$32,65&lt;Projects!$C$32+Projects!$D$32),Projects!$B$32*INDEX(Curves!$B$4:$AR$4,1,65-Projects!$C$32+1),0)+IF(AND(Projects!$G$33="Yes",Projects!$M$33="Yes",65&gt;=Projects!$C$33,65&lt;Projects!$C$33+Projects!$D$33),Projects!$B$33*INDEX(Curves!$B$4:$AR$4,1,65-Projects!$C$33+1),0)+IF(AND(Projects!$G$34="Yes",Projects!$M$34="Yes",65&gt;=Projects!$C$34,65&lt;Projects!$C$34+Projects!$D$34),Projects!$B$34*INDEX(Curves!$B$4:$AR$4,1,65-Projects!$C$34+1),0)+IF(AND(Projects!$G$35="Yes",Projects!$M$35="Yes",65&gt;=Projects!$C$35,65&lt;Projects!$C$35+Projects!$D$35),Projects!$B$35*INDEX(Curves!$B$4:$AR$4,1,65-Projects!$C$35+1),0)+IF(AND(Projects!$G$36="Yes",Projects!$M$36="Yes",65&gt;=Projects!$C$36,65&lt;Projects!$C$36+Projects!$D$36),Projects!$B$36*INDEX(Curves!$B$4:$AR$4,1,65-Projects!$C$36+1),0)+IF(AND(Projects!$G$37="Yes",Projects!$M$37="Yes",65&gt;=Projects!$C$37,65&lt;Projects!$C$37+Projects!$D$37),Projects!$B$37*INDEX(Curves!$B$4:$AR$4,1,65-Projects!$C$37+1),0)+IF(AND(Projects!$G$38="Yes",Projects!$M$38="Yes",65&gt;=Projects!$C$38,65&lt;Projects!$C$38+Projects!$D$38),Projects!$B$38*INDEX(Curves!$B$4:$AR$4,1,65-Projects!$C$38+1),0)+IF(AND(Projects!$G$39="Yes",Projects!$M$39="Yes",65&gt;=Projects!$C$39,65&lt;Projects!$C$39+Projects!$D$39),Projects!$B$39*INDEX(Curves!$B$4:$AR$4,1,65-Projects!$C$39+1),0)+IF(AND(Projects!$G$40="Yes",Projects!$M$40="Yes",65&gt;=Projects!$C$40,65&lt;Projects!$C$40+Projects!$D$40),Projects!$B$40*INDEX(Curves!$B$4:$AR$4,1,65-Projects!$C$40+1),0)+IF(AND(Projects!$G$41="Yes",Projects!$M$41="Yes",65&gt;=Projects!$C$41,65&lt;Projects!$C$41+Projects!$D$41),Projects!$B$41*INDEX(Curves!$B$4:$AR$4,1,65-Projects!$C$41+1),0)+IF(AND(Projects!$G$42="Yes",Projects!$M$42="Yes",65&gt;=Projects!$C$42,65&lt;Projects!$C$42+Projects!$D$42),Projects!$B$42*INDEX(Curves!$B$4:$AR$4,1,65-Projects!$C$42+1),0)+IF(AND(Projects!$G$43="Yes",Projects!$M$43="Yes",65&gt;=Projects!$C$43,65&lt;Projects!$C$43+Projects!$D$43),Projects!$B$43*INDEX(Curves!$B$4:$AR$4,1,65-Projects!$C$43+1),0)+IF(AND(Projects!$G$44="Yes",Projects!$M$44="Yes",65&gt;=Projects!$C$44,65&lt;Projects!$C$44+Projects!$D$44),Projects!$B$44*INDEX(Curves!$B$4:$AR$4,1,65-Projects!$C$44+1),0)+IF(AND(Projects!$G$45="Yes",Projects!$M$45="Yes",65&gt;=Projects!$C$45,65&lt;Projects!$C$45+Projects!$D$45),Projects!$B$45*INDEX(Curves!$B$4:$AR$4,1,65-Projects!$C$45+1),0)+IF(AND(Projects!$G$46="Yes",Projects!$M$46="Yes",65&gt;=Projects!$C$46,65&lt;Projects!$C$46+Projects!$D$46),Projects!$B$46*INDEX(Curves!$B$4:$AR$4,1,65-Projects!$C$46+1),0)</f>
        <v>1243872</v>
      </c>
      <c r="BS101" s="63">
        <f>IF(AND(Projects!$G$17="Yes",Projects!$M$17="Yes",66&gt;=Projects!$C$17,66&lt;Projects!$C$17+Projects!$D$17),Projects!$B$17*INDEX(Curves!$B$4:$AR$4,1,66-Projects!$C$17+1),0)+IF(AND(Projects!$G$18="Yes",Projects!$M$18="Yes",66&gt;=Projects!$C$18,66&lt;Projects!$C$18+Projects!$D$18),Projects!$B$18*INDEX(Curves!$B$4:$AR$4,1,66-Projects!$C$18+1),0)+IF(AND(Projects!$G$19="Yes",Projects!$M$19="Yes",66&gt;=Projects!$C$19,66&lt;Projects!$C$19+Projects!$D$19),Projects!$B$19*INDEX(Curves!$B$4:$AR$4,1,66-Projects!$C$19+1),0)+IF(AND(Projects!$G$20="Yes",Projects!$M$20="Yes",66&gt;=Projects!$C$20,66&lt;Projects!$C$20+Projects!$D$20),Projects!$B$20*INDEX(Curves!$B$4:$AR$4,1,66-Projects!$C$20+1),0)+IF(AND(Projects!$G$21="Yes",Projects!$M$21="Yes",66&gt;=Projects!$C$21,66&lt;Projects!$C$21+Projects!$D$21),Projects!$B$21*INDEX(Curves!$B$4:$AR$4,1,66-Projects!$C$21+1),0)+IF(AND(Projects!$G$22="Yes",Projects!$M$22="Yes",66&gt;=Projects!$C$22,66&lt;Projects!$C$22+Projects!$D$22),Projects!$B$22*INDEX(Curves!$B$4:$AR$4,1,66-Projects!$C$22+1),0)+IF(AND(Projects!$G$23="Yes",Projects!$M$23="Yes",66&gt;=Projects!$C$23,66&lt;Projects!$C$23+Projects!$D$23),Projects!$B$23*INDEX(Curves!$B$4:$AR$4,1,66-Projects!$C$23+1),0)+IF(AND(Projects!$G$24="Yes",Projects!$M$24="Yes",66&gt;=Projects!$C$24,66&lt;Projects!$C$24+Projects!$D$24),Projects!$B$24*INDEX(Curves!$B$4:$AR$4,1,66-Projects!$C$24+1),0)+IF(AND(Projects!$G$25="Yes",Projects!$M$25="Yes",66&gt;=Projects!$C$25,66&lt;Projects!$C$25+Projects!$D$25),Projects!$B$25*INDEX(Curves!$B$4:$AR$4,1,66-Projects!$C$25+1),0)+IF(AND(Projects!$G$26="Yes",Projects!$M$26="Yes",66&gt;=Projects!$C$26,66&lt;Projects!$C$26+Projects!$D$26),Projects!$B$26*INDEX(Curves!$B$4:$AR$4,1,66-Projects!$C$26+1),0)+IF(AND(Projects!$G$27="Yes",Projects!$M$27="Yes",66&gt;=Projects!$C$27,66&lt;Projects!$C$27+Projects!$D$27),Projects!$B$27*INDEX(Curves!$B$4:$AR$4,1,66-Projects!$C$27+1),0)+IF(AND(Projects!$G$28="Yes",Projects!$M$28="Yes",66&gt;=Projects!$C$28,66&lt;Projects!$C$28+Projects!$D$28),Projects!$B$28*INDEX(Curves!$B$4:$AR$4,1,66-Projects!$C$28+1),0)+IF(AND(Projects!$G$29="Yes",Projects!$M$29="Yes",66&gt;=Projects!$C$29,66&lt;Projects!$C$29+Projects!$D$29),Projects!$B$29*INDEX(Curves!$B$4:$AR$4,1,66-Projects!$C$29+1),0)+IF(AND(Projects!$G$30="Yes",Projects!$M$30="Yes",66&gt;=Projects!$C$30,66&lt;Projects!$C$30+Projects!$D$30),Projects!$B$30*INDEX(Curves!$B$4:$AR$4,1,66-Projects!$C$30+1),0)+IF(AND(Projects!$G$31="Yes",Projects!$M$31="Yes",66&gt;=Projects!$C$31,66&lt;Projects!$C$31+Projects!$D$31),Projects!$B$31*INDEX(Curves!$B$4:$AR$4,1,66-Projects!$C$31+1),0)+IF(AND(Projects!$G$32="Yes",Projects!$M$32="Yes",66&gt;=Projects!$C$32,66&lt;Projects!$C$32+Projects!$D$32),Projects!$B$32*INDEX(Curves!$B$4:$AR$4,1,66-Projects!$C$32+1),0)+IF(AND(Projects!$G$33="Yes",Projects!$M$33="Yes",66&gt;=Projects!$C$33,66&lt;Projects!$C$33+Projects!$D$33),Projects!$B$33*INDEX(Curves!$B$4:$AR$4,1,66-Projects!$C$33+1),0)+IF(AND(Projects!$G$34="Yes",Projects!$M$34="Yes",66&gt;=Projects!$C$34,66&lt;Projects!$C$34+Projects!$D$34),Projects!$B$34*INDEX(Curves!$B$4:$AR$4,1,66-Projects!$C$34+1),0)+IF(AND(Projects!$G$35="Yes",Projects!$M$35="Yes",66&gt;=Projects!$C$35,66&lt;Projects!$C$35+Projects!$D$35),Projects!$B$35*INDEX(Curves!$B$4:$AR$4,1,66-Projects!$C$35+1),0)+IF(AND(Projects!$G$36="Yes",Projects!$M$36="Yes",66&gt;=Projects!$C$36,66&lt;Projects!$C$36+Projects!$D$36),Projects!$B$36*INDEX(Curves!$B$4:$AR$4,1,66-Projects!$C$36+1),0)+IF(AND(Projects!$G$37="Yes",Projects!$M$37="Yes",66&gt;=Projects!$C$37,66&lt;Projects!$C$37+Projects!$D$37),Projects!$B$37*INDEX(Curves!$B$4:$AR$4,1,66-Projects!$C$37+1),0)+IF(AND(Projects!$G$38="Yes",Projects!$M$38="Yes",66&gt;=Projects!$C$38,66&lt;Projects!$C$38+Projects!$D$38),Projects!$B$38*INDEX(Curves!$B$4:$AR$4,1,66-Projects!$C$38+1),0)+IF(AND(Projects!$G$39="Yes",Projects!$M$39="Yes",66&gt;=Projects!$C$39,66&lt;Projects!$C$39+Projects!$D$39),Projects!$B$39*INDEX(Curves!$B$4:$AR$4,1,66-Projects!$C$39+1),0)+IF(AND(Projects!$G$40="Yes",Projects!$M$40="Yes",66&gt;=Projects!$C$40,66&lt;Projects!$C$40+Projects!$D$40),Projects!$B$40*INDEX(Curves!$B$4:$AR$4,1,66-Projects!$C$40+1),0)+IF(AND(Projects!$G$41="Yes",Projects!$M$41="Yes",66&gt;=Projects!$C$41,66&lt;Projects!$C$41+Projects!$D$41),Projects!$B$41*INDEX(Curves!$B$4:$AR$4,1,66-Projects!$C$41+1),0)+IF(AND(Projects!$G$42="Yes",Projects!$M$42="Yes",66&gt;=Projects!$C$42,66&lt;Projects!$C$42+Projects!$D$42),Projects!$B$42*INDEX(Curves!$B$4:$AR$4,1,66-Projects!$C$42+1),0)+IF(AND(Projects!$G$43="Yes",Projects!$M$43="Yes",66&gt;=Projects!$C$43,66&lt;Projects!$C$43+Projects!$D$43),Projects!$B$43*INDEX(Curves!$B$4:$AR$4,1,66-Projects!$C$43+1),0)+IF(AND(Projects!$G$44="Yes",Projects!$M$44="Yes",66&gt;=Projects!$C$44,66&lt;Projects!$C$44+Projects!$D$44),Projects!$B$44*INDEX(Curves!$B$4:$AR$4,1,66-Projects!$C$44+1),0)+IF(AND(Projects!$G$45="Yes",Projects!$M$45="Yes",66&gt;=Projects!$C$45,66&lt;Projects!$C$45+Projects!$D$45),Projects!$B$45*INDEX(Curves!$B$4:$AR$4,1,66-Projects!$C$45+1),0)+IF(AND(Projects!$G$46="Yes",Projects!$M$46="Yes",66&gt;=Projects!$C$46,66&lt;Projects!$C$46+Projects!$D$46),Projects!$B$46*INDEX(Curves!$B$4:$AR$4,1,66-Projects!$C$46+1),0)</f>
        <v>1291176</v>
      </c>
      <c r="BT101" s="63">
        <f>IF(AND(Projects!$G$17="Yes",Projects!$M$17="Yes",67&gt;=Projects!$C$17,67&lt;Projects!$C$17+Projects!$D$17),Projects!$B$17*INDEX(Curves!$B$4:$AR$4,1,67-Projects!$C$17+1),0)+IF(AND(Projects!$G$18="Yes",Projects!$M$18="Yes",67&gt;=Projects!$C$18,67&lt;Projects!$C$18+Projects!$D$18),Projects!$B$18*INDEX(Curves!$B$4:$AR$4,1,67-Projects!$C$18+1),0)+IF(AND(Projects!$G$19="Yes",Projects!$M$19="Yes",67&gt;=Projects!$C$19,67&lt;Projects!$C$19+Projects!$D$19),Projects!$B$19*INDEX(Curves!$B$4:$AR$4,1,67-Projects!$C$19+1),0)+IF(AND(Projects!$G$20="Yes",Projects!$M$20="Yes",67&gt;=Projects!$C$20,67&lt;Projects!$C$20+Projects!$D$20),Projects!$B$20*INDEX(Curves!$B$4:$AR$4,1,67-Projects!$C$20+1),0)+IF(AND(Projects!$G$21="Yes",Projects!$M$21="Yes",67&gt;=Projects!$C$21,67&lt;Projects!$C$21+Projects!$D$21),Projects!$B$21*INDEX(Curves!$B$4:$AR$4,1,67-Projects!$C$21+1),0)+IF(AND(Projects!$G$22="Yes",Projects!$M$22="Yes",67&gt;=Projects!$C$22,67&lt;Projects!$C$22+Projects!$D$22),Projects!$B$22*INDEX(Curves!$B$4:$AR$4,1,67-Projects!$C$22+1),0)+IF(AND(Projects!$G$23="Yes",Projects!$M$23="Yes",67&gt;=Projects!$C$23,67&lt;Projects!$C$23+Projects!$D$23),Projects!$B$23*INDEX(Curves!$B$4:$AR$4,1,67-Projects!$C$23+1),0)+IF(AND(Projects!$G$24="Yes",Projects!$M$24="Yes",67&gt;=Projects!$C$24,67&lt;Projects!$C$24+Projects!$D$24),Projects!$B$24*INDEX(Curves!$B$4:$AR$4,1,67-Projects!$C$24+1),0)+IF(AND(Projects!$G$25="Yes",Projects!$M$25="Yes",67&gt;=Projects!$C$25,67&lt;Projects!$C$25+Projects!$D$25),Projects!$B$25*INDEX(Curves!$B$4:$AR$4,1,67-Projects!$C$25+1),0)+IF(AND(Projects!$G$26="Yes",Projects!$M$26="Yes",67&gt;=Projects!$C$26,67&lt;Projects!$C$26+Projects!$D$26),Projects!$B$26*INDEX(Curves!$B$4:$AR$4,1,67-Projects!$C$26+1),0)+IF(AND(Projects!$G$27="Yes",Projects!$M$27="Yes",67&gt;=Projects!$C$27,67&lt;Projects!$C$27+Projects!$D$27),Projects!$B$27*INDEX(Curves!$B$4:$AR$4,1,67-Projects!$C$27+1),0)+IF(AND(Projects!$G$28="Yes",Projects!$M$28="Yes",67&gt;=Projects!$C$28,67&lt;Projects!$C$28+Projects!$D$28),Projects!$B$28*INDEX(Curves!$B$4:$AR$4,1,67-Projects!$C$28+1),0)+IF(AND(Projects!$G$29="Yes",Projects!$M$29="Yes",67&gt;=Projects!$C$29,67&lt;Projects!$C$29+Projects!$D$29),Projects!$B$29*INDEX(Curves!$B$4:$AR$4,1,67-Projects!$C$29+1),0)+IF(AND(Projects!$G$30="Yes",Projects!$M$30="Yes",67&gt;=Projects!$C$30,67&lt;Projects!$C$30+Projects!$D$30),Projects!$B$30*INDEX(Curves!$B$4:$AR$4,1,67-Projects!$C$30+1),0)+IF(AND(Projects!$G$31="Yes",Projects!$M$31="Yes",67&gt;=Projects!$C$31,67&lt;Projects!$C$31+Projects!$D$31),Projects!$B$31*INDEX(Curves!$B$4:$AR$4,1,67-Projects!$C$31+1),0)+IF(AND(Projects!$G$32="Yes",Projects!$M$32="Yes",67&gt;=Projects!$C$32,67&lt;Projects!$C$32+Projects!$D$32),Projects!$B$32*INDEX(Curves!$B$4:$AR$4,1,67-Projects!$C$32+1),0)+IF(AND(Projects!$G$33="Yes",Projects!$M$33="Yes",67&gt;=Projects!$C$33,67&lt;Projects!$C$33+Projects!$D$33),Projects!$B$33*INDEX(Curves!$B$4:$AR$4,1,67-Projects!$C$33+1),0)+IF(AND(Projects!$G$34="Yes",Projects!$M$34="Yes",67&gt;=Projects!$C$34,67&lt;Projects!$C$34+Projects!$D$34),Projects!$B$34*INDEX(Curves!$B$4:$AR$4,1,67-Projects!$C$34+1),0)+IF(AND(Projects!$G$35="Yes",Projects!$M$35="Yes",67&gt;=Projects!$C$35,67&lt;Projects!$C$35+Projects!$D$35),Projects!$B$35*INDEX(Curves!$B$4:$AR$4,1,67-Projects!$C$35+1),0)+IF(AND(Projects!$G$36="Yes",Projects!$M$36="Yes",67&gt;=Projects!$C$36,67&lt;Projects!$C$36+Projects!$D$36),Projects!$B$36*INDEX(Curves!$B$4:$AR$4,1,67-Projects!$C$36+1),0)+IF(AND(Projects!$G$37="Yes",Projects!$M$37="Yes",67&gt;=Projects!$C$37,67&lt;Projects!$C$37+Projects!$D$37),Projects!$B$37*INDEX(Curves!$B$4:$AR$4,1,67-Projects!$C$37+1),0)+IF(AND(Projects!$G$38="Yes",Projects!$M$38="Yes",67&gt;=Projects!$C$38,67&lt;Projects!$C$38+Projects!$D$38),Projects!$B$38*INDEX(Curves!$B$4:$AR$4,1,67-Projects!$C$38+1),0)+IF(AND(Projects!$G$39="Yes",Projects!$M$39="Yes",67&gt;=Projects!$C$39,67&lt;Projects!$C$39+Projects!$D$39),Projects!$B$39*INDEX(Curves!$B$4:$AR$4,1,67-Projects!$C$39+1),0)+IF(AND(Projects!$G$40="Yes",Projects!$M$40="Yes",67&gt;=Projects!$C$40,67&lt;Projects!$C$40+Projects!$D$40),Projects!$B$40*INDEX(Curves!$B$4:$AR$4,1,67-Projects!$C$40+1),0)+IF(AND(Projects!$G$41="Yes",Projects!$M$41="Yes",67&gt;=Projects!$C$41,67&lt;Projects!$C$41+Projects!$D$41),Projects!$B$41*INDEX(Curves!$B$4:$AR$4,1,67-Projects!$C$41+1),0)+IF(AND(Projects!$G$42="Yes",Projects!$M$42="Yes",67&gt;=Projects!$C$42,67&lt;Projects!$C$42+Projects!$D$42),Projects!$B$42*INDEX(Curves!$B$4:$AR$4,1,67-Projects!$C$42+1),0)+IF(AND(Projects!$G$43="Yes",Projects!$M$43="Yes",67&gt;=Projects!$C$43,67&lt;Projects!$C$43+Projects!$D$43),Projects!$B$43*INDEX(Curves!$B$4:$AR$4,1,67-Projects!$C$43+1),0)+IF(AND(Projects!$G$44="Yes",Projects!$M$44="Yes",67&gt;=Projects!$C$44,67&lt;Projects!$C$44+Projects!$D$44),Projects!$B$44*INDEX(Curves!$B$4:$AR$4,1,67-Projects!$C$44+1),0)+IF(AND(Projects!$G$45="Yes",Projects!$M$45="Yes",67&gt;=Projects!$C$45,67&lt;Projects!$C$45+Projects!$D$45),Projects!$B$45*INDEX(Curves!$B$4:$AR$4,1,67-Projects!$C$45+1),0)+IF(AND(Projects!$G$46="Yes",Projects!$M$46="Yes",67&gt;=Projects!$C$46,67&lt;Projects!$C$46+Projects!$D$46),Projects!$B$46*INDEX(Curves!$B$4:$AR$4,1,67-Projects!$C$46+1),0)</f>
        <v>1307340</v>
      </c>
      <c r="BU101" s="63">
        <f>IF(AND(Projects!$G$17="Yes",Projects!$M$17="Yes",68&gt;=Projects!$C$17,68&lt;Projects!$C$17+Projects!$D$17),Projects!$B$17*INDEX(Curves!$B$4:$AR$4,1,68-Projects!$C$17+1),0)+IF(AND(Projects!$G$18="Yes",Projects!$M$18="Yes",68&gt;=Projects!$C$18,68&lt;Projects!$C$18+Projects!$D$18),Projects!$B$18*INDEX(Curves!$B$4:$AR$4,1,68-Projects!$C$18+1),0)+IF(AND(Projects!$G$19="Yes",Projects!$M$19="Yes",68&gt;=Projects!$C$19,68&lt;Projects!$C$19+Projects!$D$19),Projects!$B$19*INDEX(Curves!$B$4:$AR$4,1,68-Projects!$C$19+1),0)+IF(AND(Projects!$G$20="Yes",Projects!$M$20="Yes",68&gt;=Projects!$C$20,68&lt;Projects!$C$20+Projects!$D$20),Projects!$B$20*INDEX(Curves!$B$4:$AR$4,1,68-Projects!$C$20+1),0)+IF(AND(Projects!$G$21="Yes",Projects!$M$21="Yes",68&gt;=Projects!$C$21,68&lt;Projects!$C$21+Projects!$D$21),Projects!$B$21*INDEX(Curves!$B$4:$AR$4,1,68-Projects!$C$21+1),0)+IF(AND(Projects!$G$22="Yes",Projects!$M$22="Yes",68&gt;=Projects!$C$22,68&lt;Projects!$C$22+Projects!$D$22),Projects!$B$22*INDEX(Curves!$B$4:$AR$4,1,68-Projects!$C$22+1),0)+IF(AND(Projects!$G$23="Yes",Projects!$M$23="Yes",68&gt;=Projects!$C$23,68&lt;Projects!$C$23+Projects!$D$23),Projects!$B$23*INDEX(Curves!$B$4:$AR$4,1,68-Projects!$C$23+1),0)+IF(AND(Projects!$G$24="Yes",Projects!$M$24="Yes",68&gt;=Projects!$C$24,68&lt;Projects!$C$24+Projects!$D$24),Projects!$B$24*INDEX(Curves!$B$4:$AR$4,1,68-Projects!$C$24+1),0)+IF(AND(Projects!$G$25="Yes",Projects!$M$25="Yes",68&gt;=Projects!$C$25,68&lt;Projects!$C$25+Projects!$D$25),Projects!$B$25*INDEX(Curves!$B$4:$AR$4,1,68-Projects!$C$25+1),0)+IF(AND(Projects!$G$26="Yes",Projects!$M$26="Yes",68&gt;=Projects!$C$26,68&lt;Projects!$C$26+Projects!$D$26),Projects!$B$26*INDEX(Curves!$B$4:$AR$4,1,68-Projects!$C$26+1),0)+IF(AND(Projects!$G$27="Yes",Projects!$M$27="Yes",68&gt;=Projects!$C$27,68&lt;Projects!$C$27+Projects!$D$27),Projects!$B$27*INDEX(Curves!$B$4:$AR$4,1,68-Projects!$C$27+1),0)+IF(AND(Projects!$G$28="Yes",Projects!$M$28="Yes",68&gt;=Projects!$C$28,68&lt;Projects!$C$28+Projects!$D$28),Projects!$B$28*INDEX(Curves!$B$4:$AR$4,1,68-Projects!$C$28+1),0)+IF(AND(Projects!$G$29="Yes",Projects!$M$29="Yes",68&gt;=Projects!$C$29,68&lt;Projects!$C$29+Projects!$D$29),Projects!$B$29*INDEX(Curves!$B$4:$AR$4,1,68-Projects!$C$29+1),0)+IF(AND(Projects!$G$30="Yes",Projects!$M$30="Yes",68&gt;=Projects!$C$30,68&lt;Projects!$C$30+Projects!$D$30),Projects!$B$30*INDEX(Curves!$B$4:$AR$4,1,68-Projects!$C$30+1),0)+IF(AND(Projects!$G$31="Yes",Projects!$M$31="Yes",68&gt;=Projects!$C$31,68&lt;Projects!$C$31+Projects!$D$31),Projects!$B$31*INDEX(Curves!$B$4:$AR$4,1,68-Projects!$C$31+1),0)+IF(AND(Projects!$G$32="Yes",Projects!$M$32="Yes",68&gt;=Projects!$C$32,68&lt;Projects!$C$32+Projects!$D$32),Projects!$B$32*INDEX(Curves!$B$4:$AR$4,1,68-Projects!$C$32+1),0)+IF(AND(Projects!$G$33="Yes",Projects!$M$33="Yes",68&gt;=Projects!$C$33,68&lt;Projects!$C$33+Projects!$D$33),Projects!$B$33*INDEX(Curves!$B$4:$AR$4,1,68-Projects!$C$33+1),0)+IF(AND(Projects!$G$34="Yes",Projects!$M$34="Yes",68&gt;=Projects!$C$34,68&lt;Projects!$C$34+Projects!$D$34),Projects!$B$34*INDEX(Curves!$B$4:$AR$4,1,68-Projects!$C$34+1),0)+IF(AND(Projects!$G$35="Yes",Projects!$M$35="Yes",68&gt;=Projects!$C$35,68&lt;Projects!$C$35+Projects!$D$35),Projects!$B$35*INDEX(Curves!$B$4:$AR$4,1,68-Projects!$C$35+1),0)+IF(AND(Projects!$G$36="Yes",Projects!$M$36="Yes",68&gt;=Projects!$C$36,68&lt;Projects!$C$36+Projects!$D$36),Projects!$B$36*INDEX(Curves!$B$4:$AR$4,1,68-Projects!$C$36+1),0)+IF(AND(Projects!$G$37="Yes",Projects!$M$37="Yes",68&gt;=Projects!$C$37,68&lt;Projects!$C$37+Projects!$D$37),Projects!$B$37*INDEX(Curves!$B$4:$AR$4,1,68-Projects!$C$37+1),0)+IF(AND(Projects!$G$38="Yes",Projects!$M$38="Yes",68&gt;=Projects!$C$38,68&lt;Projects!$C$38+Projects!$D$38),Projects!$B$38*INDEX(Curves!$B$4:$AR$4,1,68-Projects!$C$38+1),0)+IF(AND(Projects!$G$39="Yes",Projects!$M$39="Yes",68&gt;=Projects!$C$39,68&lt;Projects!$C$39+Projects!$D$39),Projects!$B$39*INDEX(Curves!$B$4:$AR$4,1,68-Projects!$C$39+1),0)+IF(AND(Projects!$G$40="Yes",Projects!$M$40="Yes",68&gt;=Projects!$C$40,68&lt;Projects!$C$40+Projects!$D$40),Projects!$B$40*INDEX(Curves!$B$4:$AR$4,1,68-Projects!$C$40+1),0)+IF(AND(Projects!$G$41="Yes",Projects!$M$41="Yes",68&gt;=Projects!$C$41,68&lt;Projects!$C$41+Projects!$D$41),Projects!$B$41*INDEX(Curves!$B$4:$AR$4,1,68-Projects!$C$41+1),0)+IF(AND(Projects!$G$42="Yes",Projects!$M$42="Yes",68&gt;=Projects!$C$42,68&lt;Projects!$C$42+Projects!$D$42),Projects!$B$42*INDEX(Curves!$B$4:$AR$4,1,68-Projects!$C$42+1),0)+IF(AND(Projects!$G$43="Yes",Projects!$M$43="Yes",68&gt;=Projects!$C$43,68&lt;Projects!$C$43+Projects!$D$43),Projects!$B$43*INDEX(Curves!$B$4:$AR$4,1,68-Projects!$C$43+1),0)+IF(AND(Projects!$G$44="Yes",Projects!$M$44="Yes",68&gt;=Projects!$C$44,68&lt;Projects!$C$44+Projects!$D$44),Projects!$B$44*INDEX(Curves!$B$4:$AR$4,1,68-Projects!$C$44+1),0)+IF(AND(Projects!$G$45="Yes",Projects!$M$45="Yes",68&gt;=Projects!$C$45,68&lt;Projects!$C$45+Projects!$D$45),Projects!$B$45*INDEX(Curves!$B$4:$AR$4,1,68-Projects!$C$45+1),0)+IF(AND(Projects!$G$46="Yes",Projects!$M$46="Yes",68&gt;=Projects!$C$46,68&lt;Projects!$C$46+Projects!$D$46),Projects!$B$46*INDEX(Curves!$B$4:$AR$4,1,68-Projects!$C$46+1),0)</f>
        <v>1291176</v>
      </c>
      <c r="BV101" s="63">
        <f>IF(AND(Projects!$G$17="Yes",Projects!$M$17="Yes",69&gt;=Projects!$C$17,69&lt;Projects!$C$17+Projects!$D$17),Projects!$B$17*INDEX(Curves!$B$4:$AR$4,1,69-Projects!$C$17+1),0)+IF(AND(Projects!$G$18="Yes",Projects!$M$18="Yes",69&gt;=Projects!$C$18,69&lt;Projects!$C$18+Projects!$D$18),Projects!$B$18*INDEX(Curves!$B$4:$AR$4,1,69-Projects!$C$18+1),0)+IF(AND(Projects!$G$19="Yes",Projects!$M$19="Yes",69&gt;=Projects!$C$19,69&lt;Projects!$C$19+Projects!$D$19),Projects!$B$19*INDEX(Curves!$B$4:$AR$4,1,69-Projects!$C$19+1),0)+IF(AND(Projects!$G$20="Yes",Projects!$M$20="Yes",69&gt;=Projects!$C$20,69&lt;Projects!$C$20+Projects!$D$20),Projects!$B$20*INDEX(Curves!$B$4:$AR$4,1,69-Projects!$C$20+1),0)+IF(AND(Projects!$G$21="Yes",Projects!$M$21="Yes",69&gt;=Projects!$C$21,69&lt;Projects!$C$21+Projects!$D$21),Projects!$B$21*INDEX(Curves!$B$4:$AR$4,1,69-Projects!$C$21+1),0)+IF(AND(Projects!$G$22="Yes",Projects!$M$22="Yes",69&gt;=Projects!$C$22,69&lt;Projects!$C$22+Projects!$D$22),Projects!$B$22*INDEX(Curves!$B$4:$AR$4,1,69-Projects!$C$22+1),0)+IF(AND(Projects!$G$23="Yes",Projects!$M$23="Yes",69&gt;=Projects!$C$23,69&lt;Projects!$C$23+Projects!$D$23),Projects!$B$23*INDEX(Curves!$B$4:$AR$4,1,69-Projects!$C$23+1),0)+IF(AND(Projects!$G$24="Yes",Projects!$M$24="Yes",69&gt;=Projects!$C$24,69&lt;Projects!$C$24+Projects!$D$24),Projects!$B$24*INDEX(Curves!$B$4:$AR$4,1,69-Projects!$C$24+1),0)+IF(AND(Projects!$G$25="Yes",Projects!$M$25="Yes",69&gt;=Projects!$C$25,69&lt;Projects!$C$25+Projects!$D$25),Projects!$B$25*INDEX(Curves!$B$4:$AR$4,1,69-Projects!$C$25+1),0)+IF(AND(Projects!$G$26="Yes",Projects!$M$26="Yes",69&gt;=Projects!$C$26,69&lt;Projects!$C$26+Projects!$D$26),Projects!$B$26*INDEX(Curves!$B$4:$AR$4,1,69-Projects!$C$26+1),0)+IF(AND(Projects!$G$27="Yes",Projects!$M$27="Yes",69&gt;=Projects!$C$27,69&lt;Projects!$C$27+Projects!$D$27),Projects!$B$27*INDEX(Curves!$B$4:$AR$4,1,69-Projects!$C$27+1),0)+IF(AND(Projects!$G$28="Yes",Projects!$M$28="Yes",69&gt;=Projects!$C$28,69&lt;Projects!$C$28+Projects!$D$28),Projects!$B$28*INDEX(Curves!$B$4:$AR$4,1,69-Projects!$C$28+1),0)+IF(AND(Projects!$G$29="Yes",Projects!$M$29="Yes",69&gt;=Projects!$C$29,69&lt;Projects!$C$29+Projects!$D$29),Projects!$B$29*INDEX(Curves!$B$4:$AR$4,1,69-Projects!$C$29+1),0)+IF(AND(Projects!$G$30="Yes",Projects!$M$30="Yes",69&gt;=Projects!$C$30,69&lt;Projects!$C$30+Projects!$D$30),Projects!$B$30*INDEX(Curves!$B$4:$AR$4,1,69-Projects!$C$30+1),0)+IF(AND(Projects!$G$31="Yes",Projects!$M$31="Yes",69&gt;=Projects!$C$31,69&lt;Projects!$C$31+Projects!$D$31),Projects!$B$31*INDEX(Curves!$B$4:$AR$4,1,69-Projects!$C$31+1),0)+IF(AND(Projects!$G$32="Yes",Projects!$M$32="Yes",69&gt;=Projects!$C$32,69&lt;Projects!$C$32+Projects!$D$32),Projects!$B$32*INDEX(Curves!$B$4:$AR$4,1,69-Projects!$C$32+1),0)+IF(AND(Projects!$G$33="Yes",Projects!$M$33="Yes",69&gt;=Projects!$C$33,69&lt;Projects!$C$33+Projects!$D$33),Projects!$B$33*INDEX(Curves!$B$4:$AR$4,1,69-Projects!$C$33+1),0)+IF(AND(Projects!$G$34="Yes",Projects!$M$34="Yes",69&gt;=Projects!$C$34,69&lt;Projects!$C$34+Projects!$D$34),Projects!$B$34*INDEX(Curves!$B$4:$AR$4,1,69-Projects!$C$34+1),0)+IF(AND(Projects!$G$35="Yes",Projects!$M$35="Yes",69&gt;=Projects!$C$35,69&lt;Projects!$C$35+Projects!$D$35),Projects!$B$35*INDEX(Curves!$B$4:$AR$4,1,69-Projects!$C$35+1),0)+IF(AND(Projects!$G$36="Yes",Projects!$M$36="Yes",69&gt;=Projects!$C$36,69&lt;Projects!$C$36+Projects!$D$36),Projects!$B$36*INDEX(Curves!$B$4:$AR$4,1,69-Projects!$C$36+1),0)+IF(AND(Projects!$G$37="Yes",Projects!$M$37="Yes",69&gt;=Projects!$C$37,69&lt;Projects!$C$37+Projects!$D$37),Projects!$B$37*INDEX(Curves!$B$4:$AR$4,1,69-Projects!$C$37+1),0)+IF(AND(Projects!$G$38="Yes",Projects!$M$38="Yes",69&gt;=Projects!$C$38,69&lt;Projects!$C$38+Projects!$D$38),Projects!$B$38*INDEX(Curves!$B$4:$AR$4,1,69-Projects!$C$38+1),0)+IF(AND(Projects!$G$39="Yes",Projects!$M$39="Yes",69&gt;=Projects!$C$39,69&lt;Projects!$C$39+Projects!$D$39),Projects!$B$39*INDEX(Curves!$B$4:$AR$4,1,69-Projects!$C$39+1),0)+IF(AND(Projects!$G$40="Yes",Projects!$M$40="Yes",69&gt;=Projects!$C$40,69&lt;Projects!$C$40+Projects!$D$40),Projects!$B$40*INDEX(Curves!$B$4:$AR$4,1,69-Projects!$C$40+1),0)+IF(AND(Projects!$G$41="Yes",Projects!$M$41="Yes",69&gt;=Projects!$C$41,69&lt;Projects!$C$41+Projects!$D$41),Projects!$B$41*INDEX(Curves!$B$4:$AR$4,1,69-Projects!$C$41+1),0)+IF(AND(Projects!$G$42="Yes",Projects!$M$42="Yes",69&gt;=Projects!$C$42,69&lt;Projects!$C$42+Projects!$D$42),Projects!$B$42*INDEX(Curves!$B$4:$AR$4,1,69-Projects!$C$42+1),0)+IF(AND(Projects!$G$43="Yes",Projects!$M$43="Yes",69&gt;=Projects!$C$43,69&lt;Projects!$C$43+Projects!$D$43),Projects!$B$43*INDEX(Curves!$B$4:$AR$4,1,69-Projects!$C$43+1),0)+IF(AND(Projects!$G$44="Yes",Projects!$M$44="Yes",69&gt;=Projects!$C$44,69&lt;Projects!$C$44+Projects!$D$44),Projects!$B$44*INDEX(Curves!$B$4:$AR$4,1,69-Projects!$C$44+1),0)+IF(AND(Projects!$G$45="Yes",Projects!$M$45="Yes",69&gt;=Projects!$C$45,69&lt;Projects!$C$45+Projects!$D$45),Projects!$B$45*INDEX(Curves!$B$4:$AR$4,1,69-Projects!$C$45+1),0)+IF(AND(Projects!$G$46="Yes",Projects!$M$46="Yes",69&gt;=Projects!$C$46,69&lt;Projects!$C$46+Projects!$D$46),Projects!$B$46*INDEX(Curves!$B$4:$AR$4,1,69-Projects!$C$46+1),0)</f>
        <v>1243872</v>
      </c>
      <c r="BW101" s="63">
        <f>IF(AND(Projects!$G$17="Yes",Projects!$M$17="Yes",70&gt;=Projects!$C$17,70&lt;Projects!$C$17+Projects!$D$17),Projects!$B$17*INDEX(Curves!$B$4:$AR$4,1,70-Projects!$C$17+1),0)+IF(AND(Projects!$G$18="Yes",Projects!$M$18="Yes",70&gt;=Projects!$C$18,70&lt;Projects!$C$18+Projects!$D$18),Projects!$B$18*INDEX(Curves!$B$4:$AR$4,1,70-Projects!$C$18+1),0)+IF(AND(Projects!$G$19="Yes",Projects!$M$19="Yes",70&gt;=Projects!$C$19,70&lt;Projects!$C$19+Projects!$D$19),Projects!$B$19*INDEX(Curves!$B$4:$AR$4,1,70-Projects!$C$19+1),0)+IF(AND(Projects!$G$20="Yes",Projects!$M$20="Yes",70&gt;=Projects!$C$20,70&lt;Projects!$C$20+Projects!$D$20),Projects!$B$20*INDEX(Curves!$B$4:$AR$4,1,70-Projects!$C$20+1),0)+IF(AND(Projects!$G$21="Yes",Projects!$M$21="Yes",70&gt;=Projects!$C$21,70&lt;Projects!$C$21+Projects!$D$21),Projects!$B$21*INDEX(Curves!$B$4:$AR$4,1,70-Projects!$C$21+1),0)+IF(AND(Projects!$G$22="Yes",Projects!$M$22="Yes",70&gt;=Projects!$C$22,70&lt;Projects!$C$22+Projects!$D$22),Projects!$B$22*INDEX(Curves!$B$4:$AR$4,1,70-Projects!$C$22+1),0)+IF(AND(Projects!$G$23="Yes",Projects!$M$23="Yes",70&gt;=Projects!$C$23,70&lt;Projects!$C$23+Projects!$D$23),Projects!$B$23*INDEX(Curves!$B$4:$AR$4,1,70-Projects!$C$23+1),0)+IF(AND(Projects!$G$24="Yes",Projects!$M$24="Yes",70&gt;=Projects!$C$24,70&lt;Projects!$C$24+Projects!$D$24),Projects!$B$24*INDEX(Curves!$B$4:$AR$4,1,70-Projects!$C$24+1),0)+IF(AND(Projects!$G$25="Yes",Projects!$M$25="Yes",70&gt;=Projects!$C$25,70&lt;Projects!$C$25+Projects!$D$25),Projects!$B$25*INDEX(Curves!$B$4:$AR$4,1,70-Projects!$C$25+1),0)+IF(AND(Projects!$G$26="Yes",Projects!$M$26="Yes",70&gt;=Projects!$C$26,70&lt;Projects!$C$26+Projects!$D$26),Projects!$B$26*INDEX(Curves!$B$4:$AR$4,1,70-Projects!$C$26+1),0)+IF(AND(Projects!$G$27="Yes",Projects!$M$27="Yes",70&gt;=Projects!$C$27,70&lt;Projects!$C$27+Projects!$D$27),Projects!$B$27*INDEX(Curves!$B$4:$AR$4,1,70-Projects!$C$27+1),0)+IF(AND(Projects!$G$28="Yes",Projects!$M$28="Yes",70&gt;=Projects!$C$28,70&lt;Projects!$C$28+Projects!$D$28),Projects!$B$28*INDEX(Curves!$B$4:$AR$4,1,70-Projects!$C$28+1),0)+IF(AND(Projects!$G$29="Yes",Projects!$M$29="Yes",70&gt;=Projects!$C$29,70&lt;Projects!$C$29+Projects!$D$29),Projects!$B$29*INDEX(Curves!$B$4:$AR$4,1,70-Projects!$C$29+1),0)+IF(AND(Projects!$G$30="Yes",Projects!$M$30="Yes",70&gt;=Projects!$C$30,70&lt;Projects!$C$30+Projects!$D$30),Projects!$B$30*INDEX(Curves!$B$4:$AR$4,1,70-Projects!$C$30+1),0)+IF(AND(Projects!$G$31="Yes",Projects!$M$31="Yes",70&gt;=Projects!$C$31,70&lt;Projects!$C$31+Projects!$D$31),Projects!$B$31*INDEX(Curves!$B$4:$AR$4,1,70-Projects!$C$31+1),0)+IF(AND(Projects!$G$32="Yes",Projects!$M$32="Yes",70&gt;=Projects!$C$32,70&lt;Projects!$C$32+Projects!$D$32),Projects!$B$32*INDEX(Curves!$B$4:$AR$4,1,70-Projects!$C$32+1),0)+IF(AND(Projects!$G$33="Yes",Projects!$M$33="Yes",70&gt;=Projects!$C$33,70&lt;Projects!$C$33+Projects!$D$33),Projects!$B$33*INDEX(Curves!$B$4:$AR$4,1,70-Projects!$C$33+1),0)+IF(AND(Projects!$G$34="Yes",Projects!$M$34="Yes",70&gt;=Projects!$C$34,70&lt;Projects!$C$34+Projects!$D$34),Projects!$B$34*INDEX(Curves!$B$4:$AR$4,1,70-Projects!$C$34+1),0)+IF(AND(Projects!$G$35="Yes",Projects!$M$35="Yes",70&gt;=Projects!$C$35,70&lt;Projects!$C$35+Projects!$D$35),Projects!$B$35*INDEX(Curves!$B$4:$AR$4,1,70-Projects!$C$35+1),0)+IF(AND(Projects!$G$36="Yes",Projects!$M$36="Yes",70&gt;=Projects!$C$36,70&lt;Projects!$C$36+Projects!$D$36),Projects!$B$36*INDEX(Curves!$B$4:$AR$4,1,70-Projects!$C$36+1),0)+IF(AND(Projects!$G$37="Yes",Projects!$M$37="Yes",70&gt;=Projects!$C$37,70&lt;Projects!$C$37+Projects!$D$37),Projects!$B$37*INDEX(Curves!$B$4:$AR$4,1,70-Projects!$C$37+1),0)+IF(AND(Projects!$G$38="Yes",Projects!$M$38="Yes",70&gt;=Projects!$C$38,70&lt;Projects!$C$38+Projects!$D$38),Projects!$B$38*INDEX(Curves!$B$4:$AR$4,1,70-Projects!$C$38+1),0)+IF(AND(Projects!$G$39="Yes",Projects!$M$39="Yes",70&gt;=Projects!$C$39,70&lt;Projects!$C$39+Projects!$D$39),Projects!$B$39*INDEX(Curves!$B$4:$AR$4,1,70-Projects!$C$39+1),0)+IF(AND(Projects!$G$40="Yes",Projects!$M$40="Yes",70&gt;=Projects!$C$40,70&lt;Projects!$C$40+Projects!$D$40),Projects!$B$40*INDEX(Curves!$B$4:$AR$4,1,70-Projects!$C$40+1),0)+IF(AND(Projects!$G$41="Yes",Projects!$M$41="Yes",70&gt;=Projects!$C$41,70&lt;Projects!$C$41+Projects!$D$41),Projects!$B$41*INDEX(Curves!$B$4:$AR$4,1,70-Projects!$C$41+1),0)+IF(AND(Projects!$G$42="Yes",Projects!$M$42="Yes",70&gt;=Projects!$C$42,70&lt;Projects!$C$42+Projects!$D$42),Projects!$B$42*INDEX(Curves!$B$4:$AR$4,1,70-Projects!$C$42+1),0)+IF(AND(Projects!$G$43="Yes",Projects!$M$43="Yes",70&gt;=Projects!$C$43,70&lt;Projects!$C$43+Projects!$D$43),Projects!$B$43*INDEX(Curves!$B$4:$AR$4,1,70-Projects!$C$43+1),0)+IF(AND(Projects!$G$44="Yes",Projects!$M$44="Yes",70&gt;=Projects!$C$44,70&lt;Projects!$C$44+Projects!$D$44),Projects!$B$44*INDEX(Curves!$B$4:$AR$4,1,70-Projects!$C$44+1),0)+IF(AND(Projects!$G$45="Yes",Projects!$M$45="Yes",70&gt;=Projects!$C$45,70&lt;Projects!$C$45+Projects!$D$45),Projects!$B$45*INDEX(Curves!$B$4:$AR$4,1,70-Projects!$C$45+1),0)+IF(AND(Projects!$G$46="Yes",Projects!$M$46="Yes",70&gt;=Projects!$C$46,70&lt;Projects!$C$46+Projects!$D$46),Projects!$B$46*INDEX(Curves!$B$4:$AR$4,1,70-Projects!$C$46+1),0)</f>
        <v>1168866</v>
      </c>
      <c r="BX101" s="63">
        <f>IF(AND(Projects!$G$17="Yes",Projects!$M$17="Yes",71&gt;=Projects!$C$17,71&lt;Projects!$C$17+Projects!$D$17),Projects!$B$17*INDEX(Curves!$B$4:$AR$4,1,71-Projects!$C$17+1),0)+IF(AND(Projects!$G$18="Yes",Projects!$M$18="Yes",71&gt;=Projects!$C$18,71&lt;Projects!$C$18+Projects!$D$18),Projects!$B$18*INDEX(Curves!$B$4:$AR$4,1,71-Projects!$C$18+1),0)+IF(AND(Projects!$G$19="Yes",Projects!$M$19="Yes",71&gt;=Projects!$C$19,71&lt;Projects!$C$19+Projects!$D$19),Projects!$B$19*INDEX(Curves!$B$4:$AR$4,1,71-Projects!$C$19+1),0)+IF(AND(Projects!$G$20="Yes",Projects!$M$20="Yes",71&gt;=Projects!$C$20,71&lt;Projects!$C$20+Projects!$D$20),Projects!$B$20*INDEX(Curves!$B$4:$AR$4,1,71-Projects!$C$20+1),0)+IF(AND(Projects!$G$21="Yes",Projects!$M$21="Yes",71&gt;=Projects!$C$21,71&lt;Projects!$C$21+Projects!$D$21),Projects!$B$21*INDEX(Curves!$B$4:$AR$4,1,71-Projects!$C$21+1),0)+IF(AND(Projects!$G$22="Yes",Projects!$M$22="Yes",71&gt;=Projects!$C$22,71&lt;Projects!$C$22+Projects!$D$22),Projects!$B$22*INDEX(Curves!$B$4:$AR$4,1,71-Projects!$C$22+1),0)+IF(AND(Projects!$G$23="Yes",Projects!$M$23="Yes",71&gt;=Projects!$C$23,71&lt;Projects!$C$23+Projects!$D$23),Projects!$B$23*INDEX(Curves!$B$4:$AR$4,1,71-Projects!$C$23+1),0)+IF(AND(Projects!$G$24="Yes",Projects!$M$24="Yes",71&gt;=Projects!$C$24,71&lt;Projects!$C$24+Projects!$D$24),Projects!$B$24*INDEX(Curves!$B$4:$AR$4,1,71-Projects!$C$24+1),0)+IF(AND(Projects!$G$25="Yes",Projects!$M$25="Yes",71&gt;=Projects!$C$25,71&lt;Projects!$C$25+Projects!$D$25),Projects!$B$25*INDEX(Curves!$B$4:$AR$4,1,71-Projects!$C$25+1),0)+IF(AND(Projects!$G$26="Yes",Projects!$M$26="Yes",71&gt;=Projects!$C$26,71&lt;Projects!$C$26+Projects!$D$26),Projects!$B$26*INDEX(Curves!$B$4:$AR$4,1,71-Projects!$C$26+1),0)+IF(AND(Projects!$G$27="Yes",Projects!$M$27="Yes",71&gt;=Projects!$C$27,71&lt;Projects!$C$27+Projects!$D$27),Projects!$B$27*INDEX(Curves!$B$4:$AR$4,1,71-Projects!$C$27+1),0)+IF(AND(Projects!$G$28="Yes",Projects!$M$28="Yes",71&gt;=Projects!$C$28,71&lt;Projects!$C$28+Projects!$D$28),Projects!$B$28*INDEX(Curves!$B$4:$AR$4,1,71-Projects!$C$28+1),0)+IF(AND(Projects!$G$29="Yes",Projects!$M$29="Yes",71&gt;=Projects!$C$29,71&lt;Projects!$C$29+Projects!$D$29),Projects!$B$29*INDEX(Curves!$B$4:$AR$4,1,71-Projects!$C$29+1),0)+IF(AND(Projects!$G$30="Yes",Projects!$M$30="Yes",71&gt;=Projects!$C$30,71&lt;Projects!$C$30+Projects!$D$30),Projects!$B$30*INDEX(Curves!$B$4:$AR$4,1,71-Projects!$C$30+1),0)+IF(AND(Projects!$G$31="Yes",Projects!$M$31="Yes",71&gt;=Projects!$C$31,71&lt;Projects!$C$31+Projects!$D$31),Projects!$B$31*INDEX(Curves!$B$4:$AR$4,1,71-Projects!$C$31+1),0)+IF(AND(Projects!$G$32="Yes",Projects!$M$32="Yes",71&gt;=Projects!$C$32,71&lt;Projects!$C$32+Projects!$D$32),Projects!$B$32*INDEX(Curves!$B$4:$AR$4,1,71-Projects!$C$32+1),0)+IF(AND(Projects!$G$33="Yes",Projects!$M$33="Yes",71&gt;=Projects!$C$33,71&lt;Projects!$C$33+Projects!$D$33),Projects!$B$33*INDEX(Curves!$B$4:$AR$4,1,71-Projects!$C$33+1),0)+IF(AND(Projects!$G$34="Yes",Projects!$M$34="Yes",71&gt;=Projects!$C$34,71&lt;Projects!$C$34+Projects!$D$34),Projects!$B$34*INDEX(Curves!$B$4:$AR$4,1,71-Projects!$C$34+1),0)+IF(AND(Projects!$G$35="Yes",Projects!$M$35="Yes",71&gt;=Projects!$C$35,71&lt;Projects!$C$35+Projects!$D$35),Projects!$B$35*INDEX(Curves!$B$4:$AR$4,1,71-Projects!$C$35+1),0)+IF(AND(Projects!$G$36="Yes",Projects!$M$36="Yes",71&gt;=Projects!$C$36,71&lt;Projects!$C$36+Projects!$D$36),Projects!$B$36*INDEX(Curves!$B$4:$AR$4,1,71-Projects!$C$36+1),0)+IF(AND(Projects!$G$37="Yes",Projects!$M$37="Yes",71&gt;=Projects!$C$37,71&lt;Projects!$C$37+Projects!$D$37),Projects!$B$37*INDEX(Curves!$B$4:$AR$4,1,71-Projects!$C$37+1),0)+IF(AND(Projects!$G$38="Yes",Projects!$M$38="Yes",71&gt;=Projects!$C$38,71&lt;Projects!$C$38+Projects!$D$38),Projects!$B$38*INDEX(Curves!$B$4:$AR$4,1,71-Projects!$C$38+1),0)+IF(AND(Projects!$G$39="Yes",Projects!$M$39="Yes",71&gt;=Projects!$C$39,71&lt;Projects!$C$39+Projects!$D$39),Projects!$B$39*INDEX(Curves!$B$4:$AR$4,1,71-Projects!$C$39+1),0)+IF(AND(Projects!$G$40="Yes",Projects!$M$40="Yes",71&gt;=Projects!$C$40,71&lt;Projects!$C$40+Projects!$D$40),Projects!$B$40*INDEX(Curves!$B$4:$AR$4,1,71-Projects!$C$40+1),0)+IF(AND(Projects!$G$41="Yes",Projects!$M$41="Yes",71&gt;=Projects!$C$41,71&lt;Projects!$C$41+Projects!$D$41),Projects!$B$41*INDEX(Curves!$B$4:$AR$4,1,71-Projects!$C$41+1),0)+IF(AND(Projects!$G$42="Yes",Projects!$M$42="Yes",71&gt;=Projects!$C$42,71&lt;Projects!$C$42+Projects!$D$42),Projects!$B$42*INDEX(Curves!$B$4:$AR$4,1,71-Projects!$C$42+1),0)+IF(AND(Projects!$G$43="Yes",Projects!$M$43="Yes",71&gt;=Projects!$C$43,71&lt;Projects!$C$43+Projects!$D$43),Projects!$B$43*INDEX(Curves!$B$4:$AR$4,1,71-Projects!$C$43+1),0)+IF(AND(Projects!$G$44="Yes",Projects!$M$44="Yes",71&gt;=Projects!$C$44,71&lt;Projects!$C$44+Projects!$D$44),Projects!$B$44*INDEX(Curves!$B$4:$AR$4,1,71-Projects!$C$44+1),0)+IF(AND(Projects!$G$45="Yes",Projects!$M$45="Yes",71&gt;=Projects!$C$45,71&lt;Projects!$C$45+Projects!$D$45),Projects!$B$45*INDEX(Curves!$B$4:$AR$4,1,71-Projects!$C$45+1),0)+IF(AND(Projects!$G$46="Yes",Projects!$M$46="Yes",71&gt;=Projects!$C$46,71&lt;Projects!$C$46+Projects!$D$46),Projects!$B$46*INDEX(Curves!$B$4:$AR$4,1,71-Projects!$C$46+1),0)</f>
        <v>1071396</v>
      </c>
      <c r="BY101" s="63">
        <f>IF(AND(Projects!$G$17="Yes",Projects!$M$17="Yes",72&gt;=Projects!$C$17,72&lt;Projects!$C$17+Projects!$D$17),Projects!$B$17*INDEX(Curves!$B$4:$AR$4,1,72-Projects!$C$17+1),0)+IF(AND(Projects!$G$18="Yes",Projects!$M$18="Yes",72&gt;=Projects!$C$18,72&lt;Projects!$C$18+Projects!$D$18),Projects!$B$18*INDEX(Curves!$B$4:$AR$4,1,72-Projects!$C$18+1),0)+IF(AND(Projects!$G$19="Yes",Projects!$M$19="Yes",72&gt;=Projects!$C$19,72&lt;Projects!$C$19+Projects!$D$19),Projects!$B$19*INDEX(Curves!$B$4:$AR$4,1,72-Projects!$C$19+1),0)+IF(AND(Projects!$G$20="Yes",Projects!$M$20="Yes",72&gt;=Projects!$C$20,72&lt;Projects!$C$20+Projects!$D$20),Projects!$B$20*INDEX(Curves!$B$4:$AR$4,1,72-Projects!$C$20+1),0)+IF(AND(Projects!$G$21="Yes",Projects!$M$21="Yes",72&gt;=Projects!$C$21,72&lt;Projects!$C$21+Projects!$D$21),Projects!$B$21*INDEX(Curves!$B$4:$AR$4,1,72-Projects!$C$21+1),0)+IF(AND(Projects!$G$22="Yes",Projects!$M$22="Yes",72&gt;=Projects!$C$22,72&lt;Projects!$C$22+Projects!$D$22),Projects!$B$22*INDEX(Curves!$B$4:$AR$4,1,72-Projects!$C$22+1),0)+IF(AND(Projects!$G$23="Yes",Projects!$M$23="Yes",72&gt;=Projects!$C$23,72&lt;Projects!$C$23+Projects!$D$23),Projects!$B$23*INDEX(Curves!$B$4:$AR$4,1,72-Projects!$C$23+1),0)+IF(AND(Projects!$G$24="Yes",Projects!$M$24="Yes",72&gt;=Projects!$C$24,72&lt;Projects!$C$24+Projects!$D$24),Projects!$B$24*INDEX(Curves!$B$4:$AR$4,1,72-Projects!$C$24+1),0)+IF(AND(Projects!$G$25="Yes",Projects!$M$25="Yes",72&gt;=Projects!$C$25,72&lt;Projects!$C$25+Projects!$D$25),Projects!$B$25*INDEX(Curves!$B$4:$AR$4,1,72-Projects!$C$25+1),0)+IF(AND(Projects!$G$26="Yes",Projects!$M$26="Yes",72&gt;=Projects!$C$26,72&lt;Projects!$C$26+Projects!$D$26),Projects!$B$26*INDEX(Curves!$B$4:$AR$4,1,72-Projects!$C$26+1),0)+IF(AND(Projects!$G$27="Yes",Projects!$M$27="Yes",72&gt;=Projects!$C$27,72&lt;Projects!$C$27+Projects!$D$27),Projects!$B$27*INDEX(Curves!$B$4:$AR$4,1,72-Projects!$C$27+1),0)+IF(AND(Projects!$G$28="Yes",Projects!$M$28="Yes",72&gt;=Projects!$C$28,72&lt;Projects!$C$28+Projects!$D$28),Projects!$B$28*INDEX(Curves!$B$4:$AR$4,1,72-Projects!$C$28+1),0)+IF(AND(Projects!$G$29="Yes",Projects!$M$29="Yes",72&gt;=Projects!$C$29,72&lt;Projects!$C$29+Projects!$D$29),Projects!$B$29*INDEX(Curves!$B$4:$AR$4,1,72-Projects!$C$29+1),0)+IF(AND(Projects!$G$30="Yes",Projects!$M$30="Yes",72&gt;=Projects!$C$30,72&lt;Projects!$C$30+Projects!$D$30),Projects!$B$30*INDEX(Curves!$B$4:$AR$4,1,72-Projects!$C$30+1),0)+IF(AND(Projects!$G$31="Yes",Projects!$M$31="Yes",72&gt;=Projects!$C$31,72&lt;Projects!$C$31+Projects!$D$31),Projects!$B$31*INDEX(Curves!$B$4:$AR$4,1,72-Projects!$C$31+1),0)+IF(AND(Projects!$G$32="Yes",Projects!$M$32="Yes",72&gt;=Projects!$C$32,72&lt;Projects!$C$32+Projects!$D$32),Projects!$B$32*INDEX(Curves!$B$4:$AR$4,1,72-Projects!$C$32+1),0)+IF(AND(Projects!$G$33="Yes",Projects!$M$33="Yes",72&gt;=Projects!$C$33,72&lt;Projects!$C$33+Projects!$D$33),Projects!$B$33*INDEX(Curves!$B$4:$AR$4,1,72-Projects!$C$33+1),0)+IF(AND(Projects!$G$34="Yes",Projects!$M$34="Yes",72&gt;=Projects!$C$34,72&lt;Projects!$C$34+Projects!$D$34),Projects!$B$34*INDEX(Curves!$B$4:$AR$4,1,72-Projects!$C$34+1),0)+IF(AND(Projects!$G$35="Yes",Projects!$M$35="Yes",72&gt;=Projects!$C$35,72&lt;Projects!$C$35+Projects!$D$35),Projects!$B$35*INDEX(Curves!$B$4:$AR$4,1,72-Projects!$C$35+1),0)+IF(AND(Projects!$G$36="Yes",Projects!$M$36="Yes",72&gt;=Projects!$C$36,72&lt;Projects!$C$36+Projects!$D$36),Projects!$B$36*INDEX(Curves!$B$4:$AR$4,1,72-Projects!$C$36+1),0)+IF(AND(Projects!$G$37="Yes",Projects!$M$37="Yes",72&gt;=Projects!$C$37,72&lt;Projects!$C$37+Projects!$D$37),Projects!$B$37*INDEX(Curves!$B$4:$AR$4,1,72-Projects!$C$37+1),0)+IF(AND(Projects!$G$38="Yes",Projects!$M$38="Yes",72&gt;=Projects!$C$38,72&lt;Projects!$C$38+Projects!$D$38),Projects!$B$38*INDEX(Curves!$B$4:$AR$4,1,72-Projects!$C$38+1),0)+IF(AND(Projects!$G$39="Yes",Projects!$M$39="Yes",72&gt;=Projects!$C$39,72&lt;Projects!$C$39+Projects!$D$39),Projects!$B$39*INDEX(Curves!$B$4:$AR$4,1,72-Projects!$C$39+1),0)+IF(AND(Projects!$G$40="Yes",Projects!$M$40="Yes",72&gt;=Projects!$C$40,72&lt;Projects!$C$40+Projects!$D$40),Projects!$B$40*INDEX(Curves!$B$4:$AR$4,1,72-Projects!$C$40+1),0)+IF(AND(Projects!$G$41="Yes",Projects!$M$41="Yes",72&gt;=Projects!$C$41,72&lt;Projects!$C$41+Projects!$D$41),Projects!$B$41*INDEX(Curves!$B$4:$AR$4,1,72-Projects!$C$41+1),0)+IF(AND(Projects!$G$42="Yes",Projects!$M$42="Yes",72&gt;=Projects!$C$42,72&lt;Projects!$C$42+Projects!$D$42),Projects!$B$42*INDEX(Curves!$B$4:$AR$4,1,72-Projects!$C$42+1),0)+IF(AND(Projects!$G$43="Yes",Projects!$M$43="Yes",72&gt;=Projects!$C$43,72&lt;Projects!$C$43+Projects!$D$43),Projects!$B$43*INDEX(Curves!$B$4:$AR$4,1,72-Projects!$C$43+1),0)+IF(AND(Projects!$G$44="Yes",Projects!$M$44="Yes",72&gt;=Projects!$C$44,72&lt;Projects!$C$44+Projects!$D$44),Projects!$B$44*INDEX(Curves!$B$4:$AR$4,1,72-Projects!$C$44+1),0)+IF(AND(Projects!$G$45="Yes",Projects!$M$45="Yes",72&gt;=Projects!$C$45,72&lt;Projects!$C$45+Projects!$D$45),Projects!$B$45*INDEX(Curves!$B$4:$AR$4,1,72-Projects!$C$45+1),0)+IF(AND(Projects!$G$46="Yes",Projects!$M$46="Yes",72&gt;=Projects!$C$46,72&lt;Projects!$C$46+Projects!$D$46),Projects!$B$46*INDEX(Curves!$B$4:$AR$4,1,72-Projects!$C$46+1),0)</f>
        <v>957924</v>
      </c>
      <c r="BZ101" s="63">
        <f>IF(AND(Projects!$G$17="Yes",Projects!$M$17="Yes",73&gt;=Projects!$C$17,73&lt;Projects!$C$17+Projects!$D$17),Projects!$B$17*INDEX(Curves!$B$4:$AR$4,1,73-Projects!$C$17+1),0)+IF(AND(Projects!$G$18="Yes",Projects!$M$18="Yes",73&gt;=Projects!$C$18,73&lt;Projects!$C$18+Projects!$D$18),Projects!$B$18*INDEX(Curves!$B$4:$AR$4,1,73-Projects!$C$18+1),0)+IF(AND(Projects!$G$19="Yes",Projects!$M$19="Yes",73&gt;=Projects!$C$19,73&lt;Projects!$C$19+Projects!$D$19),Projects!$B$19*INDEX(Curves!$B$4:$AR$4,1,73-Projects!$C$19+1),0)+IF(AND(Projects!$G$20="Yes",Projects!$M$20="Yes",73&gt;=Projects!$C$20,73&lt;Projects!$C$20+Projects!$D$20),Projects!$B$20*INDEX(Curves!$B$4:$AR$4,1,73-Projects!$C$20+1),0)+IF(AND(Projects!$G$21="Yes",Projects!$M$21="Yes",73&gt;=Projects!$C$21,73&lt;Projects!$C$21+Projects!$D$21),Projects!$B$21*INDEX(Curves!$B$4:$AR$4,1,73-Projects!$C$21+1),0)+IF(AND(Projects!$G$22="Yes",Projects!$M$22="Yes",73&gt;=Projects!$C$22,73&lt;Projects!$C$22+Projects!$D$22),Projects!$B$22*INDEX(Curves!$B$4:$AR$4,1,73-Projects!$C$22+1),0)+IF(AND(Projects!$G$23="Yes",Projects!$M$23="Yes",73&gt;=Projects!$C$23,73&lt;Projects!$C$23+Projects!$D$23),Projects!$B$23*INDEX(Curves!$B$4:$AR$4,1,73-Projects!$C$23+1),0)+IF(AND(Projects!$G$24="Yes",Projects!$M$24="Yes",73&gt;=Projects!$C$24,73&lt;Projects!$C$24+Projects!$D$24),Projects!$B$24*INDEX(Curves!$B$4:$AR$4,1,73-Projects!$C$24+1),0)+IF(AND(Projects!$G$25="Yes",Projects!$M$25="Yes",73&gt;=Projects!$C$25,73&lt;Projects!$C$25+Projects!$D$25),Projects!$B$25*INDEX(Curves!$B$4:$AR$4,1,73-Projects!$C$25+1),0)+IF(AND(Projects!$G$26="Yes",Projects!$M$26="Yes",73&gt;=Projects!$C$26,73&lt;Projects!$C$26+Projects!$D$26),Projects!$B$26*INDEX(Curves!$B$4:$AR$4,1,73-Projects!$C$26+1),0)+IF(AND(Projects!$G$27="Yes",Projects!$M$27="Yes",73&gt;=Projects!$C$27,73&lt;Projects!$C$27+Projects!$D$27),Projects!$B$27*INDEX(Curves!$B$4:$AR$4,1,73-Projects!$C$27+1),0)+IF(AND(Projects!$G$28="Yes",Projects!$M$28="Yes",73&gt;=Projects!$C$28,73&lt;Projects!$C$28+Projects!$D$28),Projects!$B$28*INDEX(Curves!$B$4:$AR$4,1,73-Projects!$C$28+1),0)+IF(AND(Projects!$G$29="Yes",Projects!$M$29="Yes",73&gt;=Projects!$C$29,73&lt;Projects!$C$29+Projects!$D$29),Projects!$B$29*INDEX(Curves!$B$4:$AR$4,1,73-Projects!$C$29+1),0)+IF(AND(Projects!$G$30="Yes",Projects!$M$30="Yes",73&gt;=Projects!$C$30,73&lt;Projects!$C$30+Projects!$D$30),Projects!$B$30*INDEX(Curves!$B$4:$AR$4,1,73-Projects!$C$30+1),0)+IF(AND(Projects!$G$31="Yes",Projects!$M$31="Yes",73&gt;=Projects!$C$31,73&lt;Projects!$C$31+Projects!$D$31),Projects!$B$31*INDEX(Curves!$B$4:$AR$4,1,73-Projects!$C$31+1),0)+IF(AND(Projects!$G$32="Yes",Projects!$M$32="Yes",73&gt;=Projects!$C$32,73&lt;Projects!$C$32+Projects!$D$32),Projects!$B$32*INDEX(Curves!$B$4:$AR$4,1,73-Projects!$C$32+1),0)+IF(AND(Projects!$G$33="Yes",Projects!$M$33="Yes",73&gt;=Projects!$C$33,73&lt;Projects!$C$33+Projects!$D$33),Projects!$B$33*INDEX(Curves!$B$4:$AR$4,1,73-Projects!$C$33+1),0)+IF(AND(Projects!$G$34="Yes",Projects!$M$34="Yes",73&gt;=Projects!$C$34,73&lt;Projects!$C$34+Projects!$D$34),Projects!$B$34*INDEX(Curves!$B$4:$AR$4,1,73-Projects!$C$34+1),0)+IF(AND(Projects!$G$35="Yes",Projects!$M$35="Yes",73&gt;=Projects!$C$35,73&lt;Projects!$C$35+Projects!$D$35),Projects!$B$35*INDEX(Curves!$B$4:$AR$4,1,73-Projects!$C$35+1),0)+IF(AND(Projects!$G$36="Yes",Projects!$M$36="Yes",73&gt;=Projects!$C$36,73&lt;Projects!$C$36+Projects!$D$36),Projects!$B$36*INDEX(Curves!$B$4:$AR$4,1,73-Projects!$C$36+1),0)+IF(AND(Projects!$G$37="Yes",Projects!$M$37="Yes",73&gt;=Projects!$C$37,73&lt;Projects!$C$37+Projects!$D$37),Projects!$B$37*INDEX(Curves!$B$4:$AR$4,1,73-Projects!$C$37+1),0)+IF(AND(Projects!$G$38="Yes",Projects!$M$38="Yes",73&gt;=Projects!$C$38,73&lt;Projects!$C$38+Projects!$D$38),Projects!$B$38*INDEX(Curves!$B$4:$AR$4,1,73-Projects!$C$38+1),0)+IF(AND(Projects!$G$39="Yes",Projects!$M$39="Yes",73&gt;=Projects!$C$39,73&lt;Projects!$C$39+Projects!$D$39),Projects!$B$39*INDEX(Curves!$B$4:$AR$4,1,73-Projects!$C$39+1),0)+IF(AND(Projects!$G$40="Yes",Projects!$M$40="Yes",73&gt;=Projects!$C$40,73&lt;Projects!$C$40+Projects!$D$40),Projects!$B$40*INDEX(Curves!$B$4:$AR$4,1,73-Projects!$C$40+1),0)+IF(AND(Projects!$G$41="Yes",Projects!$M$41="Yes",73&gt;=Projects!$C$41,73&lt;Projects!$C$41+Projects!$D$41),Projects!$B$41*INDEX(Curves!$B$4:$AR$4,1,73-Projects!$C$41+1),0)+IF(AND(Projects!$G$42="Yes",Projects!$M$42="Yes",73&gt;=Projects!$C$42,73&lt;Projects!$C$42+Projects!$D$42),Projects!$B$42*INDEX(Curves!$B$4:$AR$4,1,73-Projects!$C$42+1),0)+IF(AND(Projects!$G$43="Yes",Projects!$M$43="Yes",73&gt;=Projects!$C$43,73&lt;Projects!$C$43+Projects!$D$43),Projects!$B$43*INDEX(Curves!$B$4:$AR$4,1,73-Projects!$C$43+1),0)+IF(AND(Projects!$G$44="Yes",Projects!$M$44="Yes",73&gt;=Projects!$C$44,73&lt;Projects!$C$44+Projects!$D$44),Projects!$B$44*INDEX(Curves!$B$4:$AR$4,1,73-Projects!$C$44+1),0)+IF(AND(Projects!$G$45="Yes",Projects!$M$45="Yes",73&gt;=Projects!$C$45,73&lt;Projects!$C$45+Projects!$D$45),Projects!$B$45*INDEX(Curves!$B$4:$AR$4,1,73-Projects!$C$45+1),0)+IF(AND(Projects!$G$46="Yes",Projects!$M$46="Yes",73&gt;=Projects!$C$46,73&lt;Projects!$C$46+Projects!$D$46),Projects!$B$46*INDEX(Curves!$B$4:$AR$4,1,73-Projects!$C$46+1),0)</f>
        <v>835416</v>
      </c>
      <c r="CA101" s="63">
        <f>IF(AND(Projects!$G$17="Yes",Projects!$M$17="Yes",74&gt;=Projects!$C$17,74&lt;Projects!$C$17+Projects!$D$17),Projects!$B$17*INDEX(Curves!$B$4:$AR$4,1,74-Projects!$C$17+1),0)+IF(AND(Projects!$G$18="Yes",Projects!$M$18="Yes",74&gt;=Projects!$C$18,74&lt;Projects!$C$18+Projects!$D$18),Projects!$B$18*INDEX(Curves!$B$4:$AR$4,1,74-Projects!$C$18+1),0)+IF(AND(Projects!$G$19="Yes",Projects!$M$19="Yes",74&gt;=Projects!$C$19,74&lt;Projects!$C$19+Projects!$D$19),Projects!$B$19*INDEX(Curves!$B$4:$AR$4,1,74-Projects!$C$19+1),0)+IF(AND(Projects!$G$20="Yes",Projects!$M$20="Yes",74&gt;=Projects!$C$20,74&lt;Projects!$C$20+Projects!$D$20),Projects!$B$20*INDEX(Curves!$B$4:$AR$4,1,74-Projects!$C$20+1),0)+IF(AND(Projects!$G$21="Yes",Projects!$M$21="Yes",74&gt;=Projects!$C$21,74&lt;Projects!$C$21+Projects!$D$21),Projects!$B$21*INDEX(Curves!$B$4:$AR$4,1,74-Projects!$C$21+1),0)+IF(AND(Projects!$G$22="Yes",Projects!$M$22="Yes",74&gt;=Projects!$C$22,74&lt;Projects!$C$22+Projects!$D$22),Projects!$B$22*INDEX(Curves!$B$4:$AR$4,1,74-Projects!$C$22+1),0)+IF(AND(Projects!$G$23="Yes",Projects!$M$23="Yes",74&gt;=Projects!$C$23,74&lt;Projects!$C$23+Projects!$D$23),Projects!$B$23*INDEX(Curves!$B$4:$AR$4,1,74-Projects!$C$23+1),0)+IF(AND(Projects!$G$24="Yes",Projects!$M$24="Yes",74&gt;=Projects!$C$24,74&lt;Projects!$C$24+Projects!$D$24),Projects!$B$24*INDEX(Curves!$B$4:$AR$4,1,74-Projects!$C$24+1),0)+IF(AND(Projects!$G$25="Yes",Projects!$M$25="Yes",74&gt;=Projects!$C$25,74&lt;Projects!$C$25+Projects!$D$25),Projects!$B$25*INDEX(Curves!$B$4:$AR$4,1,74-Projects!$C$25+1),0)+IF(AND(Projects!$G$26="Yes",Projects!$M$26="Yes",74&gt;=Projects!$C$26,74&lt;Projects!$C$26+Projects!$D$26),Projects!$B$26*INDEX(Curves!$B$4:$AR$4,1,74-Projects!$C$26+1),0)+IF(AND(Projects!$G$27="Yes",Projects!$M$27="Yes",74&gt;=Projects!$C$27,74&lt;Projects!$C$27+Projects!$D$27),Projects!$B$27*INDEX(Curves!$B$4:$AR$4,1,74-Projects!$C$27+1),0)+IF(AND(Projects!$G$28="Yes",Projects!$M$28="Yes",74&gt;=Projects!$C$28,74&lt;Projects!$C$28+Projects!$D$28),Projects!$B$28*INDEX(Curves!$B$4:$AR$4,1,74-Projects!$C$28+1),0)+IF(AND(Projects!$G$29="Yes",Projects!$M$29="Yes",74&gt;=Projects!$C$29,74&lt;Projects!$C$29+Projects!$D$29),Projects!$B$29*INDEX(Curves!$B$4:$AR$4,1,74-Projects!$C$29+1),0)+IF(AND(Projects!$G$30="Yes",Projects!$M$30="Yes",74&gt;=Projects!$C$30,74&lt;Projects!$C$30+Projects!$D$30),Projects!$B$30*INDEX(Curves!$B$4:$AR$4,1,74-Projects!$C$30+1),0)+IF(AND(Projects!$G$31="Yes",Projects!$M$31="Yes",74&gt;=Projects!$C$31,74&lt;Projects!$C$31+Projects!$D$31),Projects!$B$31*INDEX(Curves!$B$4:$AR$4,1,74-Projects!$C$31+1),0)+IF(AND(Projects!$G$32="Yes",Projects!$M$32="Yes",74&gt;=Projects!$C$32,74&lt;Projects!$C$32+Projects!$D$32),Projects!$B$32*INDEX(Curves!$B$4:$AR$4,1,74-Projects!$C$32+1),0)+IF(AND(Projects!$G$33="Yes",Projects!$M$33="Yes",74&gt;=Projects!$C$33,74&lt;Projects!$C$33+Projects!$D$33),Projects!$B$33*INDEX(Curves!$B$4:$AR$4,1,74-Projects!$C$33+1),0)+IF(AND(Projects!$G$34="Yes",Projects!$M$34="Yes",74&gt;=Projects!$C$34,74&lt;Projects!$C$34+Projects!$D$34),Projects!$B$34*INDEX(Curves!$B$4:$AR$4,1,74-Projects!$C$34+1),0)+IF(AND(Projects!$G$35="Yes",Projects!$M$35="Yes",74&gt;=Projects!$C$35,74&lt;Projects!$C$35+Projects!$D$35),Projects!$B$35*INDEX(Curves!$B$4:$AR$4,1,74-Projects!$C$35+1),0)+IF(AND(Projects!$G$36="Yes",Projects!$M$36="Yes",74&gt;=Projects!$C$36,74&lt;Projects!$C$36+Projects!$D$36),Projects!$B$36*INDEX(Curves!$B$4:$AR$4,1,74-Projects!$C$36+1),0)+IF(AND(Projects!$G$37="Yes",Projects!$M$37="Yes",74&gt;=Projects!$C$37,74&lt;Projects!$C$37+Projects!$D$37),Projects!$B$37*INDEX(Curves!$B$4:$AR$4,1,74-Projects!$C$37+1),0)+IF(AND(Projects!$G$38="Yes",Projects!$M$38="Yes",74&gt;=Projects!$C$38,74&lt;Projects!$C$38+Projects!$D$38),Projects!$B$38*INDEX(Curves!$B$4:$AR$4,1,74-Projects!$C$38+1),0)+IF(AND(Projects!$G$39="Yes",Projects!$M$39="Yes",74&gt;=Projects!$C$39,74&lt;Projects!$C$39+Projects!$D$39),Projects!$B$39*INDEX(Curves!$B$4:$AR$4,1,74-Projects!$C$39+1),0)+IF(AND(Projects!$G$40="Yes",Projects!$M$40="Yes",74&gt;=Projects!$C$40,74&lt;Projects!$C$40+Projects!$D$40),Projects!$B$40*INDEX(Curves!$B$4:$AR$4,1,74-Projects!$C$40+1),0)+IF(AND(Projects!$G$41="Yes",Projects!$M$41="Yes",74&gt;=Projects!$C$41,74&lt;Projects!$C$41+Projects!$D$41),Projects!$B$41*INDEX(Curves!$B$4:$AR$4,1,74-Projects!$C$41+1),0)+IF(AND(Projects!$G$42="Yes",Projects!$M$42="Yes",74&gt;=Projects!$C$42,74&lt;Projects!$C$42+Projects!$D$42),Projects!$B$42*INDEX(Curves!$B$4:$AR$4,1,74-Projects!$C$42+1),0)+IF(AND(Projects!$G$43="Yes",Projects!$M$43="Yes",74&gt;=Projects!$C$43,74&lt;Projects!$C$43+Projects!$D$43),Projects!$B$43*INDEX(Curves!$B$4:$AR$4,1,74-Projects!$C$43+1),0)+IF(AND(Projects!$G$44="Yes",Projects!$M$44="Yes",74&gt;=Projects!$C$44,74&lt;Projects!$C$44+Projects!$D$44),Projects!$B$44*INDEX(Curves!$B$4:$AR$4,1,74-Projects!$C$44+1),0)+IF(AND(Projects!$G$45="Yes",Projects!$M$45="Yes",74&gt;=Projects!$C$45,74&lt;Projects!$C$45+Projects!$D$45),Projects!$B$45*INDEX(Curves!$B$4:$AR$4,1,74-Projects!$C$45+1),0)+IF(AND(Projects!$G$46="Yes",Projects!$M$46="Yes",74&gt;=Projects!$C$46,74&lt;Projects!$C$46+Projects!$D$46),Projects!$B$46*INDEX(Curves!$B$4:$AR$4,1,74-Projects!$C$46+1),0)</f>
        <v>710676</v>
      </c>
      <c r="CB101" s="63">
        <f>IF(AND(Projects!$G$17="Yes",Projects!$M$17="Yes",75&gt;=Projects!$C$17,75&lt;Projects!$C$17+Projects!$D$17),Projects!$B$17*INDEX(Curves!$B$4:$AR$4,1,75-Projects!$C$17+1),0)+IF(AND(Projects!$G$18="Yes",Projects!$M$18="Yes",75&gt;=Projects!$C$18,75&lt;Projects!$C$18+Projects!$D$18),Projects!$B$18*INDEX(Curves!$B$4:$AR$4,1,75-Projects!$C$18+1),0)+IF(AND(Projects!$G$19="Yes",Projects!$M$19="Yes",75&gt;=Projects!$C$19,75&lt;Projects!$C$19+Projects!$D$19),Projects!$B$19*INDEX(Curves!$B$4:$AR$4,1,75-Projects!$C$19+1),0)+IF(AND(Projects!$G$20="Yes",Projects!$M$20="Yes",75&gt;=Projects!$C$20,75&lt;Projects!$C$20+Projects!$D$20),Projects!$B$20*INDEX(Curves!$B$4:$AR$4,1,75-Projects!$C$20+1),0)+IF(AND(Projects!$G$21="Yes",Projects!$M$21="Yes",75&gt;=Projects!$C$21,75&lt;Projects!$C$21+Projects!$D$21),Projects!$B$21*INDEX(Curves!$B$4:$AR$4,1,75-Projects!$C$21+1),0)+IF(AND(Projects!$G$22="Yes",Projects!$M$22="Yes",75&gt;=Projects!$C$22,75&lt;Projects!$C$22+Projects!$D$22),Projects!$B$22*INDEX(Curves!$B$4:$AR$4,1,75-Projects!$C$22+1),0)+IF(AND(Projects!$G$23="Yes",Projects!$M$23="Yes",75&gt;=Projects!$C$23,75&lt;Projects!$C$23+Projects!$D$23),Projects!$B$23*INDEX(Curves!$B$4:$AR$4,1,75-Projects!$C$23+1),0)+IF(AND(Projects!$G$24="Yes",Projects!$M$24="Yes",75&gt;=Projects!$C$24,75&lt;Projects!$C$24+Projects!$D$24),Projects!$B$24*INDEX(Curves!$B$4:$AR$4,1,75-Projects!$C$24+1),0)+IF(AND(Projects!$G$25="Yes",Projects!$M$25="Yes",75&gt;=Projects!$C$25,75&lt;Projects!$C$25+Projects!$D$25),Projects!$B$25*INDEX(Curves!$B$4:$AR$4,1,75-Projects!$C$25+1),0)+IF(AND(Projects!$G$26="Yes",Projects!$M$26="Yes",75&gt;=Projects!$C$26,75&lt;Projects!$C$26+Projects!$D$26),Projects!$B$26*INDEX(Curves!$B$4:$AR$4,1,75-Projects!$C$26+1),0)+IF(AND(Projects!$G$27="Yes",Projects!$M$27="Yes",75&gt;=Projects!$C$27,75&lt;Projects!$C$27+Projects!$D$27),Projects!$B$27*INDEX(Curves!$B$4:$AR$4,1,75-Projects!$C$27+1),0)+IF(AND(Projects!$G$28="Yes",Projects!$M$28="Yes",75&gt;=Projects!$C$28,75&lt;Projects!$C$28+Projects!$D$28),Projects!$B$28*INDEX(Curves!$B$4:$AR$4,1,75-Projects!$C$28+1),0)+IF(AND(Projects!$G$29="Yes",Projects!$M$29="Yes",75&gt;=Projects!$C$29,75&lt;Projects!$C$29+Projects!$D$29),Projects!$B$29*INDEX(Curves!$B$4:$AR$4,1,75-Projects!$C$29+1),0)+IF(AND(Projects!$G$30="Yes",Projects!$M$30="Yes",75&gt;=Projects!$C$30,75&lt;Projects!$C$30+Projects!$D$30),Projects!$B$30*INDEX(Curves!$B$4:$AR$4,1,75-Projects!$C$30+1),0)+IF(AND(Projects!$G$31="Yes",Projects!$M$31="Yes",75&gt;=Projects!$C$31,75&lt;Projects!$C$31+Projects!$D$31),Projects!$B$31*INDEX(Curves!$B$4:$AR$4,1,75-Projects!$C$31+1),0)+IF(AND(Projects!$G$32="Yes",Projects!$M$32="Yes",75&gt;=Projects!$C$32,75&lt;Projects!$C$32+Projects!$D$32),Projects!$B$32*INDEX(Curves!$B$4:$AR$4,1,75-Projects!$C$32+1),0)+IF(AND(Projects!$G$33="Yes",Projects!$M$33="Yes",75&gt;=Projects!$C$33,75&lt;Projects!$C$33+Projects!$D$33),Projects!$B$33*INDEX(Curves!$B$4:$AR$4,1,75-Projects!$C$33+1),0)+IF(AND(Projects!$G$34="Yes",Projects!$M$34="Yes",75&gt;=Projects!$C$34,75&lt;Projects!$C$34+Projects!$D$34),Projects!$B$34*INDEX(Curves!$B$4:$AR$4,1,75-Projects!$C$34+1),0)+IF(AND(Projects!$G$35="Yes",Projects!$M$35="Yes",75&gt;=Projects!$C$35,75&lt;Projects!$C$35+Projects!$D$35),Projects!$B$35*INDEX(Curves!$B$4:$AR$4,1,75-Projects!$C$35+1),0)+IF(AND(Projects!$G$36="Yes",Projects!$M$36="Yes",75&gt;=Projects!$C$36,75&lt;Projects!$C$36+Projects!$D$36),Projects!$B$36*INDEX(Curves!$B$4:$AR$4,1,75-Projects!$C$36+1),0)+IF(AND(Projects!$G$37="Yes",Projects!$M$37="Yes",75&gt;=Projects!$C$37,75&lt;Projects!$C$37+Projects!$D$37),Projects!$B$37*INDEX(Curves!$B$4:$AR$4,1,75-Projects!$C$37+1),0)+IF(AND(Projects!$G$38="Yes",Projects!$M$38="Yes",75&gt;=Projects!$C$38,75&lt;Projects!$C$38+Projects!$D$38),Projects!$B$38*INDEX(Curves!$B$4:$AR$4,1,75-Projects!$C$38+1),0)+IF(AND(Projects!$G$39="Yes",Projects!$M$39="Yes",75&gt;=Projects!$C$39,75&lt;Projects!$C$39+Projects!$D$39),Projects!$B$39*INDEX(Curves!$B$4:$AR$4,1,75-Projects!$C$39+1),0)+IF(AND(Projects!$G$40="Yes",Projects!$M$40="Yes",75&gt;=Projects!$C$40,75&lt;Projects!$C$40+Projects!$D$40),Projects!$B$40*INDEX(Curves!$B$4:$AR$4,1,75-Projects!$C$40+1),0)+IF(AND(Projects!$G$41="Yes",Projects!$M$41="Yes",75&gt;=Projects!$C$41,75&lt;Projects!$C$41+Projects!$D$41),Projects!$B$41*INDEX(Curves!$B$4:$AR$4,1,75-Projects!$C$41+1),0)+IF(AND(Projects!$G$42="Yes",Projects!$M$42="Yes",75&gt;=Projects!$C$42,75&lt;Projects!$C$42+Projects!$D$42),Projects!$B$42*INDEX(Curves!$B$4:$AR$4,1,75-Projects!$C$42+1),0)+IF(AND(Projects!$G$43="Yes",Projects!$M$43="Yes",75&gt;=Projects!$C$43,75&lt;Projects!$C$43+Projects!$D$43),Projects!$B$43*INDEX(Curves!$B$4:$AR$4,1,75-Projects!$C$43+1),0)+IF(AND(Projects!$G$44="Yes",Projects!$M$44="Yes",75&gt;=Projects!$C$44,75&lt;Projects!$C$44+Projects!$D$44),Projects!$B$44*INDEX(Curves!$B$4:$AR$4,1,75-Projects!$C$44+1),0)+IF(AND(Projects!$G$45="Yes",Projects!$M$45="Yes",75&gt;=Projects!$C$45,75&lt;Projects!$C$45+Projects!$D$45),Projects!$B$45*INDEX(Curves!$B$4:$AR$4,1,75-Projects!$C$45+1),0)+IF(AND(Projects!$G$46="Yes",Projects!$M$46="Yes",75&gt;=Projects!$C$46,75&lt;Projects!$C$46+Projects!$D$46),Projects!$B$46*INDEX(Curves!$B$4:$AR$4,1,75-Projects!$C$46+1),0)</f>
        <v>589698</v>
      </c>
      <c r="CC101" s="63">
        <f>IF(AND(Projects!$G$17="Yes",Projects!$M$17="Yes",76&gt;=Projects!$C$17,76&lt;Projects!$C$17+Projects!$D$17),Projects!$B$17*INDEX(Curves!$B$4:$AR$4,1,76-Projects!$C$17+1),0)+IF(AND(Projects!$G$18="Yes",Projects!$M$18="Yes",76&gt;=Projects!$C$18,76&lt;Projects!$C$18+Projects!$D$18),Projects!$B$18*INDEX(Curves!$B$4:$AR$4,1,76-Projects!$C$18+1),0)+IF(AND(Projects!$G$19="Yes",Projects!$M$19="Yes",76&gt;=Projects!$C$19,76&lt;Projects!$C$19+Projects!$D$19),Projects!$B$19*INDEX(Curves!$B$4:$AR$4,1,76-Projects!$C$19+1),0)+IF(AND(Projects!$G$20="Yes",Projects!$M$20="Yes",76&gt;=Projects!$C$20,76&lt;Projects!$C$20+Projects!$D$20),Projects!$B$20*INDEX(Curves!$B$4:$AR$4,1,76-Projects!$C$20+1),0)+IF(AND(Projects!$G$21="Yes",Projects!$M$21="Yes",76&gt;=Projects!$C$21,76&lt;Projects!$C$21+Projects!$D$21),Projects!$B$21*INDEX(Curves!$B$4:$AR$4,1,76-Projects!$C$21+1),0)+IF(AND(Projects!$G$22="Yes",Projects!$M$22="Yes",76&gt;=Projects!$C$22,76&lt;Projects!$C$22+Projects!$D$22),Projects!$B$22*INDEX(Curves!$B$4:$AR$4,1,76-Projects!$C$22+1),0)+IF(AND(Projects!$G$23="Yes",Projects!$M$23="Yes",76&gt;=Projects!$C$23,76&lt;Projects!$C$23+Projects!$D$23),Projects!$B$23*INDEX(Curves!$B$4:$AR$4,1,76-Projects!$C$23+1),0)+IF(AND(Projects!$G$24="Yes",Projects!$M$24="Yes",76&gt;=Projects!$C$24,76&lt;Projects!$C$24+Projects!$D$24),Projects!$B$24*INDEX(Curves!$B$4:$AR$4,1,76-Projects!$C$24+1),0)+IF(AND(Projects!$G$25="Yes",Projects!$M$25="Yes",76&gt;=Projects!$C$25,76&lt;Projects!$C$25+Projects!$D$25),Projects!$B$25*INDEX(Curves!$B$4:$AR$4,1,76-Projects!$C$25+1),0)+IF(AND(Projects!$G$26="Yes",Projects!$M$26="Yes",76&gt;=Projects!$C$26,76&lt;Projects!$C$26+Projects!$D$26),Projects!$B$26*INDEX(Curves!$B$4:$AR$4,1,76-Projects!$C$26+1),0)+IF(AND(Projects!$G$27="Yes",Projects!$M$27="Yes",76&gt;=Projects!$C$27,76&lt;Projects!$C$27+Projects!$D$27),Projects!$B$27*INDEX(Curves!$B$4:$AR$4,1,76-Projects!$C$27+1),0)+IF(AND(Projects!$G$28="Yes",Projects!$M$28="Yes",76&gt;=Projects!$C$28,76&lt;Projects!$C$28+Projects!$D$28),Projects!$B$28*INDEX(Curves!$B$4:$AR$4,1,76-Projects!$C$28+1),0)+IF(AND(Projects!$G$29="Yes",Projects!$M$29="Yes",76&gt;=Projects!$C$29,76&lt;Projects!$C$29+Projects!$D$29),Projects!$B$29*INDEX(Curves!$B$4:$AR$4,1,76-Projects!$C$29+1),0)+IF(AND(Projects!$G$30="Yes",Projects!$M$30="Yes",76&gt;=Projects!$C$30,76&lt;Projects!$C$30+Projects!$D$30),Projects!$B$30*INDEX(Curves!$B$4:$AR$4,1,76-Projects!$C$30+1),0)+IF(AND(Projects!$G$31="Yes",Projects!$M$31="Yes",76&gt;=Projects!$C$31,76&lt;Projects!$C$31+Projects!$D$31),Projects!$B$31*INDEX(Curves!$B$4:$AR$4,1,76-Projects!$C$31+1),0)+IF(AND(Projects!$G$32="Yes",Projects!$M$32="Yes",76&gt;=Projects!$C$32,76&lt;Projects!$C$32+Projects!$D$32),Projects!$B$32*INDEX(Curves!$B$4:$AR$4,1,76-Projects!$C$32+1),0)+IF(AND(Projects!$G$33="Yes",Projects!$M$33="Yes",76&gt;=Projects!$C$33,76&lt;Projects!$C$33+Projects!$D$33),Projects!$B$33*INDEX(Curves!$B$4:$AR$4,1,76-Projects!$C$33+1),0)+IF(AND(Projects!$G$34="Yes",Projects!$M$34="Yes",76&gt;=Projects!$C$34,76&lt;Projects!$C$34+Projects!$D$34),Projects!$B$34*INDEX(Curves!$B$4:$AR$4,1,76-Projects!$C$34+1),0)+IF(AND(Projects!$G$35="Yes",Projects!$M$35="Yes",76&gt;=Projects!$C$35,76&lt;Projects!$C$35+Projects!$D$35),Projects!$B$35*INDEX(Curves!$B$4:$AR$4,1,76-Projects!$C$35+1),0)+IF(AND(Projects!$G$36="Yes",Projects!$M$36="Yes",76&gt;=Projects!$C$36,76&lt;Projects!$C$36+Projects!$D$36),Projects!$B$36*INDEX(Curves!$B$4:$AR$4,1,76-Projects!$C$36+1),0)+IF(AND(Projects!$G$37="Yes",Projects!$M$37="Yes",76&gt;=Projects!$C$37,76&lt;Projects!$C$37+Projects!$D$37),Projects!$B$37*INDEX(Curves!$B$4:$AR$4,1,76-Projects!$C$37+1),0)+IF(AND(Projects!$G$38="Yes",Projects!$M$38="Yes",76&gt;=Projects!$C$38,76&lt;Projects!$C$38+Projects!$D$38),Projects!$B$38*INDEX(Curves!$B$4:$AR$4,1,76-Projects!$C$38+1),0)+IF(AND(Projects!$G$39="Yes",Projects!$M$39="Yes",76&gt;=Projects!$C$39,76&lt;Projects!$C$39+Projects!$D$39),Projects!$B$39*INDEX(Curves!$B$4:$AR$4,1,76-Projects!$C$39+1),0)+IF(AND(Projects!$G$40="Yes",Projects!$M$40="Yes",76&gt;=Projects!$C$40,76&lt;Projects!$C$40+Projects!$D$40),Projects!$B$40*INDEX(Curves!$B$4:$AR$4,1,76-Projects!$C$40+1),0)+IF(AND(Projects!$G$41="Yes",Projects!$M$41="Yes",76&gt;=Projects!$C$41,76&lt;Projects!$C$41+Projects!$D$41),Projects!$B$41*INDEX(Curves!$B$4:$AR$4,1,76-Projects!$C$41+1),0)+IF(AND(Projects!$G$42="Yes",Projects!$M$42="Yes",76&gt;=Projects!$C$42,76&lt;Projects!$C$42+Projects!$D$42),Projects!$B$42*INDEX(Curves!$B$4:$AR$4,1,76-Projects!$C$42+1),0)+IF(AND(Projects!$G$43="Yes",Projects!$M$43="Yes",76&gt;=Projects!$C$43,76&lt;Projects!$C$43+Projects!$D$43),Projects!$B$43*INDEX(Curves!$B$4:$AR$4,1,76-Projects!$C$43+1),0)+IF(AND(Projects!$G$44="Yes",Projects!$M$44="Yes",76&gt;=Projects!$C$44,76&lt;Projects!$C$44+Projects!$D$44),Projects!$B$44*INDEX(Curves!$B$4:$AR$4,1,76-Projects!$C$44+1),0)+IF(AND(Projects!$G$45="Yes",Projects!$M$45="Yes",76&gt;=Projects!$C$45,76&lt;Projects!$C$45+Projects!$D$45),Projects!$B$45*INDEX(Curves!$B$4:$AR$4,1,76-Projects!$C$45+1),0)+IF(AND(Projects!$G$46="Yes",Projects!$M$46="Yes",76&gt;=Projects!$C$46,76&lt;Projects!$C$46+Projects!$D$46),Projects!$B$46*INDEX(Curves!$B$4:$AR$4,1,76-Projects!$C$46+1),0)</f>
        <v>477306</v>
      </c>
      <c r="CD101" s="63">
        <f>IF(AND(Projects!$G$17="Yes",Projects!$M$17="Yes",77&gt;=Projects!$C$17,77&lt;Projects!$C$17+Projects!$D$17),Projects!$B$17*INDEX(Curves!$B$4:$AR$4,1,77-Projects!$C$17+1),0)+IF(AND(Projects!$G$18="Yes",Projects!$M$18="Yes",77&gt;=Projects!$C$18,77&lt;Projects!$C$18+Projects!$D$18),Projects!$B$18*INDEX(Curves!$B$4:$AR$4,1,77-Projects!$C$18+1),0)+IF(AND(Projects!$G$19="Yes",Projects!$M$19="Yes",77&gt;=Projects!$C$19,77&lt;Projects!$C$19+Projects!$D$19),Projects!$B$19*INDEX(Curves!$B$4:$AR$4,1,77-Projects!$C$19+1),0)+IF(AND(Projects!$G$20="Yes",Projects!$M$20="Yes",77&gt;=Projects!$C$20,77&lt;Projects!$C$20+Projects!$D$20),Projects!$B$20*INDEX(Curves!$B$4:$AR$4,1,77-Projects!$C$20+1),0)+IF(AND(Projects!$G$21="Yes",Projects!$M$21="Yes",77&gt;=Projects!$C$21,77&lt;Projects!$C$21+Projects!$D$21),Projects!$B$21*INDEX(Curves!$B$4:$AR$4,1,77-Projects!$C$21+1),0)+IF(AND(Projects!$G$22="Yes",Projects!$M$22="Yes",77&gt;=Projects!$C$22,77&lt;Projects!$C$22+Projects!$D$22),Projects!$B$22*INDEX(Curves!$B$4:$AR$4,1,77-Projects!$C$22+1),0)+IF(AND(Projects!$G$23="Yes",Projects!$M$23="Yes",77&gt;=Projects!$C$23,77&lt;Projects!$C$23+Projects!$D$23),Projects!$B$23*INDEX(Curves!$B$4:$AR$4,1,77-Projects!$C$23+1),0)+IF(AND(Projects!$G$24="Yes",Projects!$M$24="Yes",77&gt;=Projects!$C$24,77&lt;Projects!$C$24+Projects!$D$24),Projects!$B$24*INDEX(Curves!$B$4:$AR$4,1,77-Projects!$C$24+1),0)+IF(AND(Projects!$G$25="Yes",Projects!$M$25="Yes",77&gt;=Projects!$C$25,77&lt;Projects!$C$25+Projects!$D$25),Projects!$B$25*INDEX(Curves!$B$4:$AR$4,1,77-Projects!$C$25+1),0)+IF(AND(Projects!$G$26="Yes",Projects!$M$26="Yes",77&gt;=Projects!$C$26,77&lt;Projects!$C$26+Projects!$D$26),Projects!$B$26*INDEX(Curves!$B$4:$AR$4,1,77-Projects!$C$26+1),0)+IF(AND(Projects!$G$27="Yes",Projects!$M$27="Yes",77&gt;=Projects!$C$27,77&lt;Projects!$C$27+Projects!$D$27),Projects!$B$27*INDEX(Curves!$B$4:$AR$4,1,77-Projects!$C$27+1),0)+IF(AND(Projects!$G$28="Yes",Projects!$M$28="Yes",77&gt;=Projects!$C$28,77&lt;Projects!$C$28+Projects!$D$28),Projects!$B$28*INDEX(Curves!$B$4:$AR$4,1,77-Projects!$C$28+1),0)+IF(AND(Projects!$G$29="Yes",Projects!$M$29="Yes",77&gt;=Projects!$C$29,77&lt;Projects!$C$29+Projects!$D$29),Projects!$B$29*INDEX(Curves!$B$4:$AR$4,1,77-Projects!$C$29+1),0)+IF(AND(Projects!$G$30="Yes",Projects!$M$30="Yes",77&gt;=Projects!$C$30,77&lt;Projects!$C$30+Projects!$D$30),Projects!$B$30*INDEX(Curves!$B$4:$AR$4,1,77-Projects!$C$30+1),0)+IF(AND(Projects!$G$31="Yes",Projects!$M$31="Yes",77&gt;=Projects!$C$31,77&lt;Projects!$C$31+Projects!$D$31),Projects!$B$31*INDEX(Curves!$B$4:$AR$4,1,77-Projects!$C$31+1),0)+IF(AND(Projects!$G$32="Yes",Projects!$M$32="Yes",77&gt;=Projects!$C$32,77&lt;Projects!$C$32+Projects!$D$32),Projects!$B$32*INDEX(Curves!$B$4:$AR$4,1,77-Projects!$C$32+1),0)+IF(AND(Projects!$G$33="Yes",Projects!$M$33="Yes",77&gt;=Projects!$C$33,77&lt;Projects!$C$33+Projects!$D$33),Projects!$B$33*INDEX(Curves!$B$4:$AR$4,1,77-Projects!$C$33+1),0)+IF(AND(Projects!$G$34="Yes",Projects!$M$34="Yes",77&gt;=Projects!$C$34,77&lt;Projects!$C$34+Projects!$D$34),Projects!$B$34*INDEX(Curves!$B$4:$AR$4,1,77-Projects!$C$34+1),0)+IF(AND(Projects!$G$35="Yes",Projects!$M$35="Yes",77&gt;=Projects!$C$35,77&lt;Projects!$C$35+Projects!$D$35),Projects!$B$35*INDEX(Curves!$B$4:$AR$4,1,77-Projects!$C$35+1),0)+IF(AND(Projects!$G$36="Yes",Projects!$M$36="Yes",77&gt;=Projects!$C$36,77&lt;Projects!$C$36+Projects!$D$36),Projects!$B$36*INDEX(Curves!$B$4:$AR$4,1,77-Projects!$C$36+1),0)+IF(AND(Projects!$G$37="Yes",Projects!$M$37="Yes",77&gt;=Projects!$C$37,77&lt;Projects!$C$37+Projects!$D$37),Projects!$B$37*INDEX(Curves!$B$4:$AR$4,1,77-Projects!$C$37+1),0)+IF(AND(Projects!$G$38="Yes",Projects!$M$38="Yes",77&gt;=Projects!$C$38,77&lt;Projects!$C$38+Projects!$D$38),Projects!$B$38*INDEX(Curves!$B$4:$AR$4,1,77-Projects!$C$38+1),0)+IF(AND(Projects!$G$39="Yes",Projects!$M$39="Yes",77&gt;=Projects!$C$39,77&lt;Projects!$C$39+Projects!$D$39),Projects!$B$39*INDEX(Curves!$B$4:$AR$4,1,77-Projects!$C$39+1),0)+IF(AND(Projects!$G$40="Yes",Projects!$M$40="Yes",77&gt;=Projects!$C$40,77&lt;Projects!$C$40+Projects!$D$40),Projects!$B$40*INDEX(Curves!$B$4:$AR$4,1,77-Projects!$C$40+1),0)+IF(AND(Projects!$G$41="Yes",Projects!$M$41="Yes",77&gt;=Projects!$C$41,77&lt;Projects!$C$41+Projects!$D$41),Projects!$B$41*INDEX(Curves!$B$4:$AR$4,1,77-Projects!$C$41+1),0)+IF(AND(Projects!$G$42="Yes",Projects!$M$42="Yes",77&gt;=Projects!$C$42,77&lt;Projects!$C$42+Projects!$D$42),Projects!$B$42*INDEX(Curves!$B$4:$AR$4,1,77-Projects!$C$42+1),0)+IF(AND(Projects!$G$43="Yes",Projects!$M$43="Yes",77&gt;=Projects!$C$43,77&lt;Projects!$C$43+Projects!$D$43),Projects!$B$43*INDEX(Curves!$B$4:$AR$4,1,77-Projects!$C$43+1),0)+IF(AND(Projects!$G$44="Yes",Projects!$M$44="Yes",77&gt;=Projects!$C$44,77&lt;Projects!$C$44+Projects!$D$44),Projects!$B$44*INDEX(Curves!$B$4:$AR$4,1,77-Projects!$C$44+1),0)+IF(AND(Projects!$G$45="Yes",Projects!$M$45="Yes",77&gt;=Projects!$C$45,77&lt;Projects!$C$45+Projects!$D$45),Projects!$B$45*INDEX(Curves!$B$4:$AR$4,1,77-Projects!$C$45+1),0)+IF(AND(Projects!$G$46="Yes",Projects!$M$46="Yes",77&gt;=Projects!$C$46,77&lt;Projects!$C$46+Projects!$D$46),Projects!$B$46*INDEX(Curves!$B$4:$AR$4,1,77-Projects!$C$46+1),0)</f>
        <v>0</v>
      </c>
      <c r="CE101" s="63">
        <f>IF(AND(Projects!$G$17="Yes",Projects!$M$17="Yes",78&gt;=Projects!$C$17,78&lt;Projects!$C$17+Projects!$D$17),Projects!$B$17*INDEX(Curves!$B$4:$AR$4,1,78-Projects!$C$17+1),0)+IF(AND(Projects!$G$18="Yes",Projects!$M$18="Yes",78&gt;=Projects!$C$18,78&lt;Projects!$C$18+Projects!$D$18),Projects!$B$18*INDEX(Curves!$B$4:$AR$4,1,78-Projects!$C$18+1),0)+IF(AND(Projects!$G$19="Yes",Projects!$M$19="Yes",78&gt;=Projects!$C$19,78&lt;Projects!$C$19+Projects!$D$19),Projects!$B$19*INDEX(Curves!$B$4:$AR$4,1,78-Projects!$C$19+1),0)+IF(AND(Projects!$G$20="Yes",Projects!$M$20="Yes",78&gt;=Projects!$C$20,78&lt;Projects!$C$20+Projects!$D$20),Projects!$B$20*INDEX(Curves!$B$4:$AR$4,1,78-Projects!$C$20+1),0)+IF(AND(Projects!$G$21="Yes",Projects!$M$21="Yes",78&gt;=Projects!$C$21,78&lt;Projects!$C$21+Projects!$D$21),Projects!$B$21*INDEX(Curves!$B$4:$AR$4,1,78-Projects!$C$21+1),0)+IF(AND(Projects!$G$22="Yes",Projects!$M$22="Yes",78&gt;=Projects!$C$22,78&lt;Projects!$C$22+Projects!$D$22),Projects!$B$22*INDEX(Curves!$B$4:$AR$4,1,78-Projects!$C$22+1),0)+IF(AND(Projects!$G$23="Yes",Projects!$M$23="Yes",78&gt;=Projects!$C$23,78&lt;Projects!$C$23+Projects!$D$23),Projects!$B$23*INDEX(Curves!$B$4:$AR$4,1,78-Projects!$C$23+1),0)+IF(AND(Projects!$G$24="Yes",Projects!$M$24="Yes",78&gt;=Projects!$C$24,78&lt;Projects!$C$24+Projects!$D$24),Projects!$B$24*INDEX(Curves!$B$4:$AR$4,1,78-Projects!$C$24+1),0)+IF(AND(Projects!$G$25="Yes",Projects!$M$25="Yes",78&gt;=Projects!$C$25,78&lt;Projects!$C$25+Projects!$D$25),Projects!$B$25*INDEX(Curves!$B$4:$AR$4,1,78-Projects!$C$25+1),0)+IF(AND(Projects!$G$26="Yes",Projects!$M$26="Yes",78&gt;=Projects!$C$26,78&lt;Projects!$C$26+Projects!$D$26),Projects!$B$26*INDEX(Curves!$B$4:$AR$4,1,78-Projects!$C$26+1),0)+IF(AND(Projects!$G$27="Yes",Projects!$M$27="Yes",78&gt;=Projects!$C$27,78&lt;Projects!$C$27+Projects!$D$27),Projects!$B$27*INDEX(Curves!$B$4:$AR$4,1,78-Projects!$C$27+1),0)+IF(AND(Projects!$G$28="Yes",Projects!$M$28="Yes",78&gt;=Projects!$C$28,78&lt;Projects!$C$28+Projects!$D$28),Projects!$B$28*INDEX(Curves!$B$4:$AR$4,1,78-Projects!$C$28+1),0)+IF(AND(Projects!$G$29="Yes",Projects!$M$29="Yes",78&gt;=Projects!$C$29,78&lt;Projects!$C$29+Projects!$D$29),Projects!$B$29*INDEX(Curves!$B$4:$AR$4,1,78-Projects!$C$29+1),0)+IF(AND(Projects!$G$30="Yes",Projects!$M$30="Yes",78&gt;=Projects!$C$30,78&lt;Projects!$C$30+Projects!$D$30),Projects!$B$30*INDEX(Curves!$B$4:$AR$4,1,78-Projects!$C$30+1),0)+IF(AND(Projects!$G$31="Yes",Projects!$M$31="Yes",78&gt;=Projects!$C$31,78&lt;Projects!$C$31+Projects!$D$31),Projects!$B$31*INDEX(Curves!$B$4:$AR$4,1,78-Projects!$C$31+1),0)+IF(AND(Projects!$G$32="Yes",Projects!$M$32="Yes",78&gt;=Projects!$C$32,78&lt;Projects!$C$32+Projects!$D$32),Projects!$B$32*INDEX(Curves!$B$4:$AR$4,1,78-Projects!$C$32+1),0)+IF(AND(Projects!$G$33="Yes",Projects!$M$33="Yes",78&gt;=Projects!$C$33,78&lt;Projects!$C$33+Projects!$D$33),Projects!$B$33*INDEX(Curves!$B$4:$AR$4,1,78-Projects!$C$33+1),0)+IF(AND(Projects!$G$34="Yes",Projects!$M$34="Yes",78&gt;=Projects!$C$34,78&lt;Projects!$C$34+Projects!$D$34),Projects!$B$34*INDEX(Curves!$B$4:$AR$4,1,78-Projects!$C$34+1),0)+IF(AND(Projects!$G$35="Yes",Projects!$M$35="Yes",78&gt;=Projects!$C$35,78&lt;Projects!$C$35+Projects!$D$35),Projects!$B$35*INDEX(Curves!$B$4:$AR$4,1,78-Projects!$C$35+1),0)+IF(AND(Projects!$G$36="Yes",Projects!$M$36="Yes",78&gt;=Projects!$C$36,78&lt;Projects!$C$36+Projects!$D$36),Projects!$B$36*INDEX(Curves!$B$4:$AR$4,1,78-Projects!$C$36+1),0)+IF(AND(Projects!$G$37="Yes",Projects!$M$37="Yes",78&gt;=Projects!$C$37,78&lt;Projects!$C$37+Projects!$D$37),Projects!$B$37*INDEX(Curves!$B$4:$AR$4,1,78-Projects!$C$37+1),0)+IF(AND(Projects!$G$38="Yes",Projects!$M$38="Yes",78&gt;=Projects!$C$38,78&lt;Projects!$C$38+Projects!$D$38),Projects!$B$38*INDEX(Curves!$B$4:$AR$4,1,78-Projects!$C$38+1),0)+IF(AND(Projects!$G$39="Yes",Projects!$M$39="Yes",78&gt;=Projects!$C$39,78&lt;Projects!$C$39+Projects!$D$39),Projects!$B$39*INDEX(Curves!$B$4:$AR$4,1,78-Projects!$C$39+1),0)+IF(AND(Projects!$G$40="Yes",Projects!$M$40="Yes",78&gt;=Projects!$C$40,78&lt;Projects!$C$40+Projects!$D$40),Projects!$B$40*INDEX(Curves!$B$4:$AR$4,1,78-Projects!$C$40+1),0)+IF(AND(Projects!$G$41="Yes",Projects!$M$41="Yes",78&gt;=Projects!$C$41,78&lt;Projects!$C$41+Projects!$D$41),Projects!$B$41*INDEX(Curves!$B$4:$AR$4,1,78-Projects!$C$41+1),0)+IF(AND(Projects!$G$42="Yes",Projects!$M$42="Yes",78&gt;=Projects!$C$42,78&lt;Projects!$C$42+Projects!$D$42),Projects!$B$42*INDEX(Curves!$B$4:$AR$4,1,78-Projects!$C$42+1),0)+IF(AND(Projects!$G$43="Yes",Projects!$M$43="Yes",78&gt;=Projects!$C$43,78&lt;Projects!$C$43+Projects!$D$43),Projects!$B$43*INDEX(Curves!$B$4:$AR$4,1,78-Projects!$C$43+1),0)+IF(AND(Projects!$G$44="Yes",Projects!$M$44="Yes",78&gt;=Projects!$C$44,78&lt;Projects!$C$44+Projects!$D$44),Projects!$B$44*INDEX(Curves!$B$4:$AR$4,1,78-Projects!$C$44+1),0)+IF(AND(Projects!$G$45="Yes",Projects!$M$45="Yes",78&gt;=Projects!$C$45,78&lt;Projects!$C$45+Projects!$D$45),Projects!$B$45*INDEX(Curves!$B$4:$AR$4,1,78-Projects!$C$45+1),0)+IF(AND(Projects!$G$46="Yes",Projects!$M$46="Yes",78&gt;=Projects!$C$46,78&lt;Projects!$C$46+Projects!$D$46),Projects!$B$46*INDEX(Curves!$B$4:$AR$4,1,78-Projects!$C$46+1),0)</f>
        <v>0</v>
      </c>
      <c r="CF101" s="63">
        <f>IF(AND(Projects!$G$17="Yes",Projects!$M$17="Yes",79&gt;=Projects!$C$17,79&lt;Projects!$C$17+Projects!$D$17),Projects!$B$17*INDEX(Curves!$B$4:$AR$4,1,79-Projects!$C$17+1),0)+IF(AND(Projects!$G$18="Yes",Projects!$M$18="Yes",79&gt;=Projects!$C$18,79&lt;Projects!$C$18+Projects!$D$18),Projects!$B$18*INDEX(Curves!$B$4:$AR$4,1,79-Projects!$C$18+1),0)+IF(AND(Projects!$G$19="Yes",Projects!$M$19="Yes",79&gt;=Projects!$C$19,79&lt;Projects!$C$19+Projects!$D$19),Projects!$B$19*INDEX(Curves!$B$4:$AR$4,1,79-Projects!$C$19+1),0)+IF(AND(Projects!$G$20="Yes",Projects!$M$20="Yes",79&gt;=Projects!$C$20,79&lt;Projects!$C$20+Projects!$D$20),Projects!$B$20*INDEX(Curves!$B$4:$AR$4,1,79-Projects!$C$20+1),0)+IF(AND(Projects!$G$21="Yes",Projects!$M$21="Yes",79&gt;=Projects!$C$21,79&lt;Projects!$C$21+Projects!$D$21),Projects!$B$21*INDEX(Curves!$B$4:$AR$4,1,79-Projects!$C$21+1),0)+IF(AND(Projects!$G$22="Yes",Projects!$M$22="Yes",79&gt;=Projects!$C$22,79&lt;Projects!$C$22+Projects!$D$22),Projects!$B$22*INDEX(Curves!$B$4:$AR$4,1,79-Projects!$C$22+1),0)+IF(AND(Projects!$G$23="Yes",Projects!$M$23="Yes",79&gt;=Projects!$C$23,79&lt;Projects!$C$23+Projects!$D$23),Projects!$B$23*INDEX(Curves!$B$4:$AR$4,1,79-Projects!$C$23+1),0)+IF(AND(Projects!$G$24="Yes",Projects!$M$24="Yes",79&gt;=Projects!$C$24,79&lt;Projects!$C$24+Projects!$D$24),Projects!$B$24*INDEX(Curves!$B$4:$AR$4,1,79-Projects!$C$24+1),0)+IF(AND(Projects!$G$25="Yes",Projects!$M$25="Yes",79&gt;=Projects!$C$25,79&lt;Projects!$C$25+Projects!$D$25),Projects!$B$25*INDEX(Curves!$B$4:$AR$4,1,79-Projects!$C$25+1),0)+IF(AND(Projects!$G$26="Yes",Projects!$M$26="Yes",79&gt;=Projects!$C$26,79&lt;Projects!$C$26+Projects!$D$26),Projects!$B$26*INDEX(Curves!$B$4:$AR$4,1,79-Projects!$C$26+1),0)+IF(AND(Projects!$G$27="Yes",Projects!$M$27="Yes",79&gt;=Projects!$C$27,79&lt;Projects!$C$27+Projects!$D$27),Projects!$B$27*INDEX(Curves!$B$4:$AR$4,1,79-Projects!$C$27+1),0)+IF(AND(Projects!$G$28="Yes",Projects!$M$28="Yes",79&gt;=Projects!$C$28,79&lt;Projects!$C$28+Projects!$D$28),Projects!$B$28*INDEX(Curves!$B$4:$AR$4,1,79-Projects!$C$28+1),0)+IF(AND(Projects!$G$29="Yes",Projects!$M$29="Yes",79&gt;=Projects!$C$29,79&lt;Projects!$C$29+Projects!$D$29),Projects!$B$29*INDEX(Curves!$B$4:$AR$4,1,79-Projects!$C$29+1),0)+IF(AND(Projects!$G$30="Yes",Projects!$M$30="Yes",79&gt;=Projects!$C$30,79&lt;Projects!$C$30+Projects!$D$30),Projects!$B$30*INDEX(Curves!$B$4:$AR$4,1,79-Projects!$C$30+1),0)+IF(AND(Projects!$G$31="Yes",Projects!$M$31="Yes",79&gt;=Projects!$C$31,79&lt;Projects!$C$31+Projects!$D$31),Projects!$B$31*INDEX(Curves!$B$4:$AR$4,1,79-Projects!$C$31+1),0)+IF(AND(Projects!$G$32="Yes",Projects!$M$32="Yes",79&gt;=Projects!$C$32,79&lt;Projects!$C$32+Projects!$D$32),Projects!$B$32*INDEX(Curves!$B$4:$AR$4,1,79-Projects!$C$32+1),0)+IF(AND(Projects!$G$33="Yes",Projects!$M$33="Yes",79&gt;=Projects!$C$33,79&lt;Projects!$C$33+Projects!$D$33),Projects!$B$33*INDEX(Curves!$B$4:$AR$4,1,79-Projects!$C$33+1),0)+IF(AND(Projects!$G$34="Yes",Projects!$M$34="Yes",79&gt;=Projects!$C$34,79&lt;Projects!$C$34+Projects!$D$34),Projects!$B$34*INDEX(Curves!$B$4:$AR$4,1,79-Projects!$C$34+1),0)+IF(AND(Projects!$G$35="Yes",Projects!$M$35="Yes",79&gt;=Projects!$C$35,79&lt;Projects!$C$35+Projects!$D$35),Projects!$B$35*INDEX(Curves!$B$4:$AR$4,1,79-Projects!$C$35+1),0)+IF(AND(Projects!$G$36="Yes",Projects!$M$36="Yes",79&gt;=Projects!$C$36,79&lt;Projects!$C$36+Projects!$D$36),Projects!$B$36*INDEX(Curves!$B$4:$AR$4,1,79-Projects!$C$36+1),0)+IF(AND(Projects!$G$37="Yes",Projects!$M$37="Yes",79&gt;=Projects!$C$37,79&lt;Projects!$C$37+Projects!$D$37),Projects!$B$37*INDEX(Curves!$B$4:$AR$4,1,79-Projects!$C$37+1),0)+IF(AND(Projects!$G$38="Yes",Projects!$M$38="Yes",79&gt;=Projects!$C$38,79&lt;Projects!$C$38+Projects!$D$38),Projects!$B$38*INDEX(Curves!$B$4:$AR$4,1,79-Projects!$C$38+1),0)+IF(AND(Projects!$G$39="Yes",Projects!$M$39="Yes",79&gt;=Projects!$C$39,79&lt;Projects!$C$39+Projects!$D$39),Projects!$B$39*INDEX(Curves!$B$4:$AR$4,1,79-Projects!$C$39+1),0)+IF(AND(Projects!$G$40="Yes",Projects!$M$40="Yes",79&gt;=Projects!$C$40,79&lt;Projects!$C$40+Projects!$D$40),Projects!$B$40*INDEX(Curves!$B$4:$AR$4,1,79-Projects!$C$40+1),0)+IF(AND(Projects!$G$41="Yes",Projects!$M$41="Yes",79&gt;=Projects!$C$41,79&lt;Projects!$C$41+Projects!$D$41),Projects!$B$41*INDEX(Curves!$B$4:$AR$4,1,79-Projects!$C$41+1),0)+IF(AND(Projects!$G$42="Yes",Projects!$M$42="Yes",79&gt;=Projects!$C$42,79&lt;Projects!$C$42+Projects!$D$42),Projects!$B$42*INDEX(Curves!$B$4:$AR$4,1,79-Projects!$C$42+1),0)+IF(AND(Projects!$G$43="Yes",Projects!$M$43="Yes",79&gt;=Projects!$C$43,79&lt;Projects!$C$43+Projects!$D$43),Projects!$B$43*INDEX(Curves!$B$4:$AR$4,1,79-Projects!$C$43+1),0)+IF(AND(Projects!$G$44="Yes",Projects!$M$44="Yes",79&gt;=Projects!$C$44,79&lt;Projects!$C$44+Projects!$D$44),Projects!$B$44*INDEX(Curves!$B$4:$AR$4,1,79-Projects!$C$44+1),0)+IF(AND(Projects!$G$45="Yes",Projects!$M$45="Yes",79&gt;=Projects!$C$45,79&lt;Projects!$C$45+Projects!$D$45),Projects!$B$45*INDEX(Curves!$B$4:$AR$4,1,79-Projects!$C$45+1),0)+IF(AND(Projects!$G$46="Yes",Projects!$M$46="Yes",79&gt;=Projects!$C$46,79&lt;Projects!$C$46+Projects!$D$46),Projects!$B$46*INDEX(Curves!$B$4:$AR$4,1,79-Projects!$C$46+1),0)</f>
        <v>0</v>
      </c>
      <c r="CG101" s="63">
        <f>IF(AND(Projects!$G$17="Yes",Projects!$M$17="Yes",80&gt;=Projects!$C$17,80&lt;Projects!$C$17+Projects!$D$17),Projects!$B$17*INDEX(Curves!$B$4:$AR$4,1,80-Projects!$C$17+1),0)+IF(AND(Projects!$G$18="Yes",Projects!$M$18="Yes",80&gt;=Projects!$C$18,80&lt;Projects!$C$18+Projects!$D$18),Projects!$B$18*INDEX(Curves!$B$4:$AR$4,1,80-Projects!$C$18+1),0)+IF(AND(Projects!$G$19="Yes",Projects!$M$19="Yes",80&gt;=Projects!$C$19,80&lt;Projects!$C$19+Projects!$D$19),Projects!$B$19*INDEX(Curves!$B$4:$AR$4,1,80-Projects!$C$19+1),0)+IF(AND(Projects!$G$20="Yes",Projects!$M$20="Yes",80&gt;=Projects!$C$20,80&lt;Projects!$C$20+Projects!$D$20),Projects!$B$20*INDEX(Curves!$B$4:$AR$4,1,80-Projects!$C$20+1),0)+IF(AND(Projects!$G$21="Yes",Projects!$M$21="Yes",80&gt;=Projects!$C$21,80&lt;Projects!$C$21+Projects!$D$21),Projects!$B$21*INDEX(Curves!$B$4:$AR$4,1,80-Projects!$C$21+1),0)+IF(AND(Projects!$G$22="Yes",Projects!$M$22="Yes",80&gt;=Projects!$C$22,80&lt;Projects!$C$22+Projects!$D$22),Projects!$B$22*INDEX(Curves!$B$4:$AR$4,1,80-Projects!$C$22+1),0)+IF(AND(Projects!$G$23="Yes",Projects!$M$23="Yes",80&gt;=Projects!$C$23,80&lt;Projects!$C$23+Projects!$D$23),Projects!$B$23*INDEX(Curves!$B$4:$AR$4,1,80-Projects!$C$23+1),0)+IF(AND(Projects!$G$24="Yes",Projects!$M$24="Yes",80&gt;=Projects!$C$24,80&lt;Projects!$C$24+Projects!$D$24),Projects!$B$24*INDEX(Curves!$B$4:$AR$4,1,80-Projects!$C$24+1),0)+IF(AND(Projects!$G$25="Yes",Projects!$M$25="Yes",80&gt;=Projects!$C$25,80&lt;Projects!$C$25+Projects!$D$25),Projects!$B$25*INDEX(Curves!$B$4:$AR$4,1,80-Projects!$C$25+1),0)+IF(AND(Projects!$G$26="Yes",Projects!$M$26="Yes",80&gt;=Projects!$C$26,80&lt;Projects!$C$26+Projects!$D$26),Projects!$B$26*INDEX(Curves!$B$4:$AR$4,1,80-Projects!$C$26+1),0)+IF(AND(Projects!$G$27="Yes",Projects!$M$27="Yes",80&gt;=Projects!$C$27,80&lt;Projects!$C$27+Projects!$D$27),Projects!$B$27*INDEX(Curves!$B$4:$AR$4,1,80-Projects!$C$27+1),0)+IF(AND(Projects!$G$28="Yes",Projects!$M$28="Yes",80&gt;=Projects!$C$28,80&lt;Projects!$C$28+Projects!$D$28),Projects!$B$28*INDEX(Curves!$B$4:$AR$4,1,80-Projects!$C$28+1),0)+IF(AND(Projects!$G$29="Yes",Projects!$M$29="Yes",80&gt;=Projects!$C$29,80&lt;Projects!$C$29+Projects!$D$29),Projects!$B$29*INDEX(Curves!$B$4:$AR$4,1,80-Projects!$C$29+1),0)+IF(AND(Projects!$G$30="Yes",Projects!$M$30="Yes",80&gt;=Projects!$C$30,80&lt;Projects!$C$30+Projects!$D$30),Projects!$B$30*INDEX(Curves!$B$4:$AR$4,1,80-Projects!$C$30+1),0)+IF(AND(Projects!$G$31="Yes",Projects!$M$31="Yes",80&gt;=Projects!$C$31,80&lt;Projects!$C$31+Projects!$D$31),Projects!$B$31*INDEX(Curves!$B$4:$AR$4,1,80-Projects!$C$31+1),0)+IF(AND(Projects!$G$32="Yes",Projects!$M$32="Yes",80&gt;=Projects!$C$32,80&lt;Projects!$C$32+Projects!$D$32),Projects!$B$32*INDEX(Curves!$B$4:$AR$4,1,80-Projects!$C$32+1),0)+IF(AND(Projects!$G$33="Yes",Projects!$M$33="Yes",80&gt;=Projects!$C$33,80&lt;Projects!$C$33+Projects!$D$33),Projects!$B$33*INDEX(Curves!$B$4:$AR$4,1,80-Projects!$C$33+1),0)+IF(AND(Projects!$G$34="Yes",Projects!$M$34="Yes",80&gt;=Projects!$C$34,80&lt;Projects!$C$34+Projects!$D$34),Projects!$B$34*INDEX(Curves!$B$4:$AR$4,1,80-Projects!$C$34+1),0)+IF(AND(Projects!$G$35="Yes",Projects!$M$35="Yes",80&gt;=Projects!$C$35,80&lt;Projects!$C$35+Projects!$D$35),Projects!$B$35*INDEX(Curves!$B$4:$AR$4,1,80-Projects!$C$35+1),0)+IF(AND(Projects!$G$36="Yes",Projects!$M$36="Yes",80&gt;=Projects!$C$36,80&lt;Projects!$C$36+Projects!$D$36),Projects!$B$36*INDEX(Curves!$B$4:$AR$4,1,80-Projects!$C$36+1),0)+IF(AND(Projects!$G$37="Yes",Projects!$M$37="Yes",80&gt;=Projects!$C$37,80&lt;Projects!$C$37+Projects!$D$37),Projects!$B$37*INDEX(Curves!$B$4:$AR$4,1,80-Projects!$C$37+1),0)+IF(AND(Projects!$G$38="Yes",Projects!$M$38="Yes",80&gt;=Projects!$C$38,80&lt;Projects!$C$38+Projects!$D$38),Projects!$B$38*INDEX(Curves!$B$4:$AR$4,1,80-Projects!$C$38+1),0)+IF(AND(Projects!$G$39="Yes",Projects!$M$39="Yes",80&gt;=Projects!$C$39,80&lt;Projects!$C$39+Projects!$D$39),Projects!$B$39*INDEX(Curves!$B$4:$AR$4,1,80-Projects!$C$39+1),0)+IF(AND(Projects!$G$40="Yes",Projects!$M$40="Yes",80&gt;=Projects!$C$40,80&lt;Projects!$C$40+Projects!$D$40),Projects!$B$40*INDEX(Curves!$B$4:$AR$4,1,80-Projects!$C$40+1),0)+IF(AND(Projects!$G$41="Yes",Projects!$M$41="Yes",80&gt;=Projects!$C$41,80&lt;Projects!$C$41+Projects!$D$41),Projects!$B$41*INDEX(Curves!$B$4:$AR$4,1,80-Projects!$C$41+1),0)+IF(AND(Projects!$G$42="Yes",Projects!$M$42="Yes",80&gt;=Projects!$C$42,80&lt;Projects!$C$42+Projects!$D$42),Projects!$B$42*INDEX(Curves!$B$4:$AR$4,1,80-Projects!$C$42+1),0)+IF(AND(Projects!$G$43="Yes",Projects!$M$43="Yes",80&gt;=Projects!$C$43,80&lt;Projects!$C$43+Projects!$D$43),Projects!$B$43*INDEX(Curves!$B$4:$AR$4,1,80-Projects!$C$43+1),0)+IF(AND(Projects!$G$44="Yes",Projects!$M$44="Yes",80&gt;=Projects!$C$44,80&lt;Projects!$C$44+Projects!$D$44),Projects!$B$44*INDEX(Curves!$B$4:$AR$4,1,80-Projects!$C$44+1),0)+IF(AND(Projects!$G$45="Yes",Projects!$M$45="Yes",80&gt;=Projects!$C$45,80&lt;Projects!$C$45+Projects!$D$45),Projects!$B$45*INDEX(Curves!$B$4:$AR$4,1,80-Projects!$C$45+1),0)+IF(AND(Projects!$G$46="Yes",Projects!$M$46="Yes",80&gt;=Projects!$C$46,80&lt;Projects!$C$46+Projects!$D$46),Projects!$B$46*INDEX(Curves!$B$4:$AR$4,1,80-Projects!$C$46+1),0)</f>
        <v>0</v>
      </c>
      <c r="CH101" s="63">
        <f>IF(AND(Projects!$G$17="Yes",Projects!$M$17="Yes",81&gt;=Projects!$C$17,81&lt;Projects!$C$17+Projects!$D$17),Projects!$B$17*INDEX(Curves!$B$4:$AR$4,1,81-Projects!$C$17+1),0)+IF(AND(Projects!$G$18="Yes",Projects!$M$18="Yes",81&gt;=Projects!$C$18,81&lt;Projects!$C$18+Projects!$D$18),Projects!$B$18*INDEX(Curves!$B$4:$AR$4,1,81-Projects!$C$18+1),0)+IF(AND(Projects!$G$19="Yes",Projects!$M$19="Yes",81&gt;=Projects!$C$19,81&lt;Projects!$C$19+Projects!$D$19),Projects!$B$19*INDEX(Curves!$B$4:$AR$4,1,81-Projects!$C$19+1),0)+IF(AND(Projects!$G$20="Yes",Projects!$M$20="Yes",81&gt;=Projects!$C$20,81&lt;Projects!$C$20+Projects!$D$20),Projects!$B$20*INDEX(Curves!$B$4:$AR$4,1,81-Projects!$C$20+1),0)+IF(AND(Projects!$G$21="Yes",Projects!$M$21="Yes",81&gt;=Projects!$C$21,81&lt;Projects!$C$21+Projects!$D$21),Projects!$B$21*INDEX(Curves!$B$4:$AR$4,1,81-Projects!$C$21+1),0)+IF(AND(Projects!$G$22="Yes",Projects!$M$22="Yes",81&gt;=Projects!$C$22,81&lt;Projects!$C$22+Projects!$D$22),Projects!$B$22*INDEX(Curves!$B$4:$AR$4,1,81-Projects!$C$22+1),0)+IF(AND(Projects!$G$23="Yes",Projects!$M$23="Yes",81&gt;=Projects!$C$23,81&lt;Projects!$C$23+Projects!$D$23),Projects!$B$23*INDEX(Curves!$B$4:$AR$4,1,81-Projects!$C$23+1),0)+IF(AND(Projects!$G$24="Yes",Projects!$M$24="Yes",81&gt;=Projects!$C$24,81&lt;Projects!$C$24+Projects!$D$24),Projects!$B$24*INDEX(Curves!$B$4:$AR$4,1,81-Projects!$C$24+1),0)+IF(AND(Projects!$G$25="Yes",Projects!$M$25="Yes",81&gt;=Projects!$C$25,81&lt;Projects!$C$25+Projects!$D$25),Projects!$B$25*INDEX(Curves!$B$4:$AR$4,1,81-Projects!$C$25+1),0)+IF(AND(Projects!$G$26="Yes",Projects!$M$26="Yes",81&gt;=Projects!$C$26,81&lt;Projects!$C$26+Projects!$D$26),Projects!$B$26*INDEX(Curves!$B$4:$AR$4,1,81-Projects!$C$26+1),0)+IF(AND(Projects!$G$27="Yes",Projects!$M$27="Yes",81&gt;=Projects!$C$27,81&lt;Projects!$C$27+Projects!$D$27),Projects!$B$27*INDEX(Curves!$B$4:$AR$4,1,81-Projects!$C$27+1),0)+IF(AND(Projects!$G$28="Yes",Projects!$M$28="Yes",81&gt;=Projects!$C$28,81&lt;Projects!$C$28+Projects!$D$28),Projects!$B$28*INDEX(Curves!$B$4:$AR$4,1,81-Projects!$C$28+1),0)+IF(AND(Projects!$G$29="Yes",Projects!$M$29="Yes",81&gt;=Projects!$C$29,81&lt;Projects!$C$29+Projects!$D$29),Projects!$B$29*INDEX(Curves!$B$4:$AR$4,1,81-Projects!$C$29+1),0)+IF(AND(Projects!$G$30="Yes",Projects!$M$30="Yes",81&gt;=Projects!$C$30,81&lt;Projects!$C$30+Projects!$D$30),Projects!$B$30*INDEX(Curves!$B$4:$AR$4,1,81-Projects!$C$30+1),0)+IF(AND(Projects!$G$31="Yes",Projects!$M$31="Yes",81&gt;=Projects!$C$31,81&lt;Projects!$C$31+Projects!$D$31),Projects!$B$31*INDEX(Curves!$B$4:$AR$4,1,81-Projects!$C$31+1),0)+IF(AND(Projects!$G$32="Yes",Projects!$M$32="Yes",81&gt;=Projects!$C$32,81&lt;Projects!$C$32+Projects!$D$32),Projects!$B$32*INDEX(Curves!$B$4:$AR$4,1,81-Projects!$C$32+1),0)+IF(AND(Projects!$G$33="Yes",Projects!$M$33="Yes",81&gt;=Projects!$C$33,81&lt;Projects!$C$33+Projects!$D$33),Projects!$B$33*INDEX(Curves!$B$4:$AR$4,1,81-Projects!$C$33+1),0)+IF(AND(Projects!$G$34="Yes",Projects!$M$34="Yes",81&gt;=Projects!$C$34,81&lt;Projects!$C$34+Projects!$D$34),Projects!$B$34*INDEX(Curves!$B$4:$AR$4,1,81-Projects!$C$34+1),0)+IF(AND(Projects!$G$35="Yes",Projects!$M$35="Yes",81&gt;=Projects!$C$35,81&lt;Projects!$C$35+Projects!$D$35),Projects!$B$35*INDEX(Curves!$B$4:$AR$4,1,81-Projects!$C$35+1),0)+IF(AND(Projects!$G$36="Yes",Projects!$M$36="Yes",81&gt;=Projects!$C$36,81&lt;Projects!$C$36+Projects!$D$36),Projects!$B$36*INDEX(Curves!$B$4:$AR$4,1,81-Projects!$C$36+1),0)+IF(AND(Projects!$G$37="Yes",Projects!$M$37="Yes",81&gt;=Projects!$C$37,81&lt;Projects!$C$37+Projects!$D$37),Projects!$B$37*INDEX(Curves!$B$4:$AR$4,1,81-Projects!$C$37+1),0)+IF(AND(Projects!$G$38="Yes",Projects!$M$38="Yes",81&gt;=Projects!$C$38,81&lt;Projects!$C$38+Projects!$D$38),Projects!$B$38*INDEX(Curves!$B$4:$AR$4,1,81-Projects!$C$38+1),0)+IF(AND(Projects!$G$39="Yes",Projects!$M$39="Yes",81&gt;=Projects!$C$39,81&lt;Projects!$C$39+Projects!$D$39),Projects!$B$39*INDEX(Curves!$B$4:$AR$4,1,81-Projects!$C$39+1),0)+IF(AND(Projects!$G$40="Yes",Projects!$M$40="Yes",81&gt;=Projects!$C$40,81&lt;Projects!$C$40+Projects!$D$40),Projects!$B$40*INDEX(Curves!$B$4:$AR$4,1,81-Projects!$C$40+1),0)+IF(AND(Projects!$G$41="Yes",Projects!$M$41="Yes",81&gt;=Projects!$C$41,81&lt;Projects!$C$41+Projects!$D$41),Projects!$B$41*INDEX(Curves!$B$4:$AR$4,1,81-Projects!$C$41+1),0)+IF(AND(Projects!$G$42="Yes",Projects!$M$42="Yes",81&gt;=Projects!$C$42,81&lt;Projects!$C$42+Projects!$D$42),Projects!$B$42*INDEX(Curves!$B$4:$AR$4,1,81-Projects!$C$42+1),0)+IF(AND(Projects!$G$43="Yes",Projects!$M$43="Yes",81&gt;=Projects!$C$43,81&lt;Projects!$C$43+Projects!$D$43),Projects!$B$43*INDEX(Curves!$B$4:$AR$4,1,81-Projects!$C$43+1),0)+IF(AND(Projects!$G$44="Yes",Projects!$M$44="Yes",81&gt;=Projects!$C$44,81&lt;Projects!$C$44+Projects!$D$44),Projects!$B$44*INDEX(Curves!$B$4:$AR$4,1,81-Projects!$C$44+1),0)+IF(AND(Projects!$G$45="Yes",Projects!$M$45="Yes",81&gt;=Projects!$C$45,81&lt;Projects!$C$45+Projects!$D$45),Projects!$B$45*INDEX(Curves!$B$4:$AR$4,1,81-Projects!$C$45+1),0)+IF(AND(Projects!$G$46="Yes",Projects!$M$46="Yes",81&gt;=Projects!$C$46,81&lt;Projects!$C$46+Projects!$D$46),Projects!$B$46*INDEX(Curves!$B$4:$AR$4,1,81-Projects!$C$46+1),0)</f>
        <v>0</v>
      </c>
      <c r="CI101" s="63">
        <f>IF(AND(Projects!$G$17="Yes",Projects!$M$17="Yes",82&gt;=Projects!$C$17,82&lt;Projects!$C$17+Projects!$D$17),Projects!$B$17*INDEX(Curves!$B$4:$AR$4,1,82-Projects!$C$17+1),0)+IF(AND(Projects!$G$18="Yes",Projects!$M$18="Yes",82&gt;=Projects!$C$18,82&lt;Projects!$C$18+Projects!$D$18),Projects!$B$18*INDEX(Curves!$B$4:$AR$4,1,82-Projects!$C$18+1),0)+IF(AND(Projects!$G$19="Yes",Projects!$M$19="Yes",82&gt;=Projects!$C$19,82&lt;Projects!$C$19+Projects!$D$19),Projects!$B$19*INDEX(Curves!$B$4:$AR$4,1,82-Projects!$C$19+1),0)+IF(AND(Projects!$G$20="Yes",Projects!$M$20="Yes",82&gt;=Projects!$C$20,82&lt;Projects!$C$20+Projects!$D$20),Projects!$B$20*INDEX(Curves!$B$4:$AR$4,1,82-Projects!$C$20+1),0)+IF(AND(Projects!$G$21="Yes",Projects!$M$21="Yes",82&gt;=Projects!$C$21,82&lt;Projects!$C$21+Projects!$D$21),Projects!$B$21*INDEX(Curves!$B$4:$AR$4,1,82-Projects!$C$21+1),0)+IF(AND(Projects!$G$22="Yes",Projects!$M$22="Yes",82&gt;=Projects!$C$22,82&lt;Projects!$C$22+Projects!$D$22),Projects!$B$22*INDEX(Curves!$B$4:$AR$4,1,82-Projects!$C$22+1),0)+IF(AND(Projects!$G$23="Yes",Projects!$M$23="Yes",82&gt;=Projects!$C$23,82&lt;Projects!$C$23+Projects!$D$23),Projects!$B$23*INDEX(Curves!$B$4:$AR$4,1,82-Projects!$C$23+1),0)+IF(AND(Projects!$G$24="Yes",Projects!$M$24="Yes",82&gt;=Projects!$C$24,82&lt;Projects!$C$24+Projects!$D$24),Projects!$B$24*INDEX(Curves!$B$4:$AR$4,1,82-Projects!$C$24+1),0)+IF(AND(Projects!$G$25="Yes",Projects!$M$25="Yes",82&gt;=Projects!$C$25,82&lt;Projects!$C$25+Projects!$D$25),Projects!$B$25*INDEX(Curves!$B$4:$AR$4,1,82-Projects!$C$25+1),0)+IF(AND(Projects!$G$26="Yes",Projects!$M$26="Yes",82&gt;=Projects!$C$26,82&lt;Projects!$C$26+Projects!$D$26),Projects!$B$26*INDEX(Curves!$B$4:$AR$4,1,82-Projects!$C$26+1),0)+IF(AND(Projects!$G$27="Yes",Projects!$M$27="Yes",82&gt;=Projects!$C$27,82&lt;Projects!$C$27+Projects!$D$27),Projects!$B$27*INDEX(Curves!$B$4:$AR$4,1,82-Projects!$C$27+1),0)+IF(AND(Projects!$G$28="Yes",Projects!$M$28="Yes",82&gt;=Projects!$C$28,82&lt;Projects!$C$28+Projects!$D$28),Projects!$B$28*INDEX(Curves!$B$4:$AR$4,1,82-Projects!$C$28+1),0)+IF(AND(Projects!$G$29="Yes",Projects!$M$29="Yes",82&gt;=Projects!$C$29,82&lt;Projects!$C$29+Projects!$D$29),Projects!$B$29*INDEX(Curves!$B$4:$AR$4,1,82-Projects!$C$29+1),0)+IF(AND(Projects!$G$30="Yes",Projects!$M$30="Yes",82&gt;=Projects!$C$30,82&lt;Projects!$C$30+Projects!$D$30),Projects!$B$30*INDEX(Curves!$B$4:$AR$4,1,82-Projects!$C$30+1),0)+IF(AND(Projects!$G$31="Yes",Projects!$M$31="Yes",82&gt;=Projects!$C$31,82&lt;Projects!$C$31+Projects!$D$31),Projects!$B$31*INDEX(Curves!$B$4:$AR$4,1,82-Projects!$C$31+1),0)+IF(AND(Projects!$G$32="Yes",Projects!$M$32="Yes",82&gt;=Projects!$C$32,82&lt;Projects!$C$32+Projects!$D$32),Projects!$B$32*INDEX(Curves!$B$4:$AR$4,1,82-Projects!$C$32+1),0)+IF(AND(Projects!$G$33="Yes",Projects!$M$33="Yes",82&gt;=Projects!$C$33,82&lt;Projects!$C$33+Projects!$D$33),Projects!$B$33*INDEX(Curves!$B$4:$AR$4,1,82-Projects!$C$33+1),0)+IF(AND(Projects!$G$34="Yes",Projects!$M$34="Yes",82&gt;=Projects!$C$34,82&lt;Projects!$C$34+Projects!$D$34),Projects!$B$34*INDEX(Curves!$B$4:$AR$4,1,82-Projects!$C$34+1),0)+IF(AND(Projects!$G$35="Yes",Projects!$M$35="Yes",82&gt;=Projects!$C$35,82&lt;Projects!$C$35+Projects!$D$35),Projects!$B$35*INDEX(Curves!$B$4:$AR$4,1,82-Projects!$C$35+1),0)+IF(AND(Projects!$G$36="Yes",Projects!$M$36="Yes",82&gt;=Projects!$C$36,82&lt;Projects!$C$36+Projects!$D$36),Projects!$B$36*INDEX(Curves!$B$4:$AR$4,1,82-Projects!$C$36+1),0)+IF(AND(Projects!$G$37="Yes",Projects!$M$37="Yes",82&gt;=Projects!$C$37,82&lt;Projects!$C$37+Projects!$D$37),Projects!$B$37*INDEX(Curves!$B$4:$AR$4,1,82-Projects!$C$37+1),0)+IF(AND(Projects!$G$38="Yes",Projects!$M$38="Yes",82&gt;=Projects!$C$38,82&lt;Projects!$C$38+Projects!$D$38),Projects!$B$38*INDEX(Curves!$B$4:$AR$4,1,82-Projects!$C$38+1),0)+IF(AND(Projects!$G$39="Yes",Projects!$M$39="Yes",82&gt;=Projects!$C$39,82&lt;Projects!$C$39+Projects!$D$39),Projects!$B$39*INDEX(Curves!$B$4:$AR$4,1,82-Projects!$C$39+1),0)+IF(AND(Projects!$G$40="Yes",Projects!$M$40="Yes",82&gt;=Projects!$C$40,82&lt;Projects!$C$40+Projects!$D$40),Projects!$B$40*INDEX(Curves!$B$4:$AR$4,1,82-Projects!$C$40+1),0)+IF(AND(Projects!$G$41="Yes",Projects!$M$41="Yes",82&gt;=Projects!$C$41,82&lt;Projects!$C$41+Projects!$D$41),Projects!$B$41*INDEX(Curves!$B$4:$AR$4,1,82-Projects!$C$41+1),0)+IF(AND(Projects!$G$42="Yes",Projects!$M$42="Yes",82&gt;=Projects!$C$42,82&lt;Projects!$C$42+Projects!$D$42),Projects!$B$42*INDEX(Curves!$B$4:$AR$4,1,82-Projects!$C$42+1),0)+IF(AND(Projects!$G$43="Yes",Projects!$M$43="Yes",82&gt;=Projects!$C$43,82&lt;Projects!$C$43+Projects!$D$43),Projects!$B$43*INDEX(Curves!$B$4:$AR$4,1,82-Projects!$C$43+1),0)+IF(AND(Projects!$G$44="Yes",Projects!$M$44="Yes",82&gt;=Projects!$C$44,82&lt;Projects!$C$44+Projects!$D$44),Projects!$B$44*INDEX(Curves!$B$4:$AR$4,1,82-Projects!$C$44+1),0)+IF(AND(Projects!$G$45="Yes",Projects!$M$45="Yes",82&gt;=Projects!$C$45,82&lt;Projects!$C$45+Projects!$D$45),Projects!$B$45*INDEX(Curves!$B$4:$AR$4,1,82-Projects!$C$45+1),0)+IF(AND(Projects!$G$46="Yes",Projects!$M$46="Yes",82&gt;=Projects!$C$46,82&lt;Projects!$C$46+Projects!$D$46),Projects!$B$46*INDEX(Curves!$B$4:$AR$4,1,82-Projects!$C$46+1),0)</f>
        <v>397755</v>
      </c>
      <c r="CJ101" s="63">
        <f>IF(AND(Projects!$G$17="Yes",Projects!$M$17="Yes",83&gt;=Projects!$C$17,83&lt;Projects!$C$17+Projects!$D$17),Projects!$B$17*INDEX(Curves!$B$4:$AR$4,1,83-Projects!$C$17+1),0)+IF(AND(Projects!$G$18="Yes",Projects!$M$18="Yes",83&gt;=Projects!$C$18,83&lt;Projects!$C$18+Projects!$D$18),Projects!$B$18*INDEX(Curves!$B$4:$AR$4,1,83-Projects!$C$18+1),0)+IF(AND(Projects!$G$19="Yes",Projects!$M$19="Yes",83&gt;=Projects!$C$19,83&lt;Projects!$C$19+Projects!$D$19),Projects!$B$19*INDEX(Curves!$B$4:$AR$4,1,83-Projects!$C$19+1),0)+IF(AND(Projects!$G$20="Yes",Projects!$M$20="Yes",83&gt;=Projects!$C$20,83&lt;Projects!$C$20+Projects!$D$20),Projects!$B$20*INDEX(Curves!$B$4:$AR$4,1,83-Projects!$C$20+1),0)+IF(AND(Projects!$G$21="Yes",Projects!$M$21="Yes",83&gt;=Projects!$C$21,83&lt;Projects!$C$21+Projects!$D$21),Projects!$B$21*INDEX(Curves!$B$4:$AR$4,1,83-Projects!$C$21+1),0)+IF(AND(Projects!$G$22="Yes",Projects!$M$22="Yes",83&gt;=Projects!$C$22,83&lt;Projects!$C$22+Projects!$D$22),Projects!$B$22*INDEX(Curves!$B$4:$AR$4,1,83-Projects!$C$22+1),0)+IF(AND(Projects!$G$23="Yes",Projects!$M$23="Yes",83&gt;=Projects!$C$23,83&lt;Projects!$C$23+Projects!$D$23),Projects!$B$23*INDEX(Curves!$B$4:$AR$4,1,83-Projects!$C$23+1),0)+IF(AND(Projects!$G$24="Yes",Projects!$M$24="Yes",83&gt;=Projects!$C$24,83&lt;Projects!$C$24+Projects!$D$24),Projects!$B$24*INDEX(Curves!$B$4:$AR$4,1,83-Projects!$C$24+1),0)+IF(AND(Projects!$G$25="Yes",Projects!$M$25="Yes",83&gt;=Projects!$C$25,83&lt;Projects!$C$25+Projects!$D$25),Projects!$B$25*INDEX(Curves!$B$4:$AR$4,1,83-Projects!$C$25+1),0)+IF(AND(Projects!$G$26="Yes",Projects!$M$26="Yes",83&gt;=Projects!$C$26,83&lt;Projects!$C$26+Projects!$D$26),Projects!$B$26*INDEX(Curves!$B$4:$AR$4,1,83-Projects!$C$26+1),0)+IF(AND(Projects!$G$27="Yes",Projects!$M$27="Yes",83&gt;=Projects!$C$27,83&lt;Projects!$C$27+Projects!$D$27),Projects!$B$27*INDEX(Curves!$B$4:$AR$4,1,83-Projects!$C$27+1),0)+IF(AND(Projects!$G$28="Yes",Projects!$M$28="Yes",83&gt;=Projects!$C$28,83&lt;Projects!$C$28+Projects!$D$28),Projects!$B$28*INDEX(Curves!$B$4:$AR$4,1,83-Projects!$C$28+1),0)+IF(AND(Projects!$G$29="Yes",Projects!$M$29="Yes",83&gt;=Projects!$C$29,83&lt;Projects!$C$29+Projects!$D$29),Projects!$B$29*INDEX(Curves!$B$4:$AR$4,1,83-Projects!$C$29+1),0)+IF(AND(Projects!$G$30="Yes",Projects!$M$30="Yes",83&gt;=Projects!$C$30,83&lt;Projects!$C$30+Projects!$D$30),Projects!$B$30*INDEX(Curves!$B$4:$AR$4,1,83-Projects!$C$30+1),0)+IF(AND(Projects!$G$31="Yes",Projects!$M$31="Yes",83&gt;=Projects!$C$31,83&lt;Projects!$C$31+Projects!$D$31),Projects!$B$31*INDEX(Curves!$B$4:$AR$4,1,83-Projects!$C$31+1),0)+IF(AND(Projects!$G$32="Yes",Projects!$M$32="Yes",83&gt;=Projects!$C$32,83&lt;Projects!$C$32+Projects!$D$32),Projects!$B$32*INDEX(Curves!$B$4:$AR$4,1,83-Projects!$C$32+1),0)+IF(AND(Projects!$G$33="Yes",Projects!$M$33="Yes",83&gt;=Projects!$C$33,83&lt;Projects!$C$33+Projects!$D$33),Projects!$B$33*INDEX(Curves!$B$4:$AR$4,1,83-Projects!$C$33+1),0)+IF(AND(Projects!$G$34="Yes",Projects!$M$34="Yes",83&gt;=Projects!$C$34,83&lt;Projects!$C$34+Projects!$D$34),Projects!$B$34*INDEX(Curves!$B$4:$AR$4,1,83-Projects!$C$34+1),0)+IF(AND(Projects!$G$35="Yes",Projects!$M$35="Yes",83&gt;=Projects!$C$35,83&lt;Projects!$C$35+Projects!$D$35),Projects!$B$35*INDEX(Curves!$B$4:$AR$4,1,83-Projects!$C$35+1),0)+IF(AND(Projects!$G$36="Yes",Projects!$M$36="Yes",83&gt;=Projects!$C$36,83&lt;Projects!$C$36+Projects!$D$36),Projects!$B$36*INDEX(Curves!$B$4:$AR$4,1,83-Projects!$C$36+1),0)+IF(AND(Projects!$G$37="Yes",Projects!$M$37="Yes",83&gt;=Projects!$C$37,83&lt;Projects!$C$37+Projects!$D$37),Projects!$B$37*INDEX(Curves!$B$4:$AR$4,1,83-Projects!$C$37+1),0)+IF(AND(Projects!$G$38="Yes",Projects!$M$38="Yes",83&gt;=Projects!$C$38,83&lt;Projects!$C$38+Projects!$D$38),Projects!$B$38*INDEX(Curves!$B$4:$AR$4,1,83-Projects!$C$38+1),0)+IF(AND(Projects!$G$39="Yes",Projects!$M$39="Yes",83&gt;=Projects!$C$39,83&lt;Projects!$C$39+Projects!$D$39),Projects!$B$39*INDEX(Curves!$B$4:$AR$4,1,83-Projects!$C$39+1),0)+IF(AND(Projects!$G$40="Yes",Projects!$M$40="Yes",83&gt;=Projects!$C$40,83&lt;Projects!$C$40+Projects!$D$40),Projects!$B$40*INDEX(Curves!$B$4:$AR$4,1,83-Projects!$C$40+1),0)+IF(AND(Projects!$G$41="Yes",Projects!$M$41="Yes",83&gt;=Projects!$C$41,83&lt;Projects!$C$41+Projects!$D$41),Projects!$B$41*INDEX(Curves!$B$4:$AR$4,1,83-Projects!$C$41+1),0)+IF(AND(Projects!$G$42="Yes",Projects!$M$42="Yes",83&gt;=Projects!$C$42,83&lt;Projects!$C$42+Projects!$D$42),Projects!$B$42*INDEX(Curves!$B$4:$AR$4,1,83-Projects!$C$42+1),0)+IF(AND(Projects!$G$43="Yes",Projects!$M$43="Yes",83&gt;=Projects!$C$43,83&lt;Projects!$C$43+Projects!$D$43),Projects!$B$43*INDEX(Curves!$B$4:$AR$4,1,83-Projects!$C$43+1),0)+IF(AND(Projects!$G$44="Yes",Projects!$M$44="Yes",83&gt;=Projects!$C$44,83&lt;Projects!$C$44+Projects!$D$44),Projects!$B$44*INDEX(Curves!$B$4:$AR$4,1,83-Projects!$C$44+1),0)+IF(AND(Projects!$G$45="Yes",Projects!$M$45="Yes",83&gt;=Projects!$C$45,83&lt;Projects!$C$45+Projects!$D$45),Projects!$B$45*INDEX(Curves!$B$4:$AR$4,1,83-Projects!$C$45+1),0)+IF(AND(Projects!$G$46="Yes",Projects!$M$46="Yes",83&gt;=Projects!$C$46,83&lt;Projects!$C$46+Projects!$D$46),Projects!$B$46*INDEX(Curves!$B$4:$AR$4,1,83-Projects!$C$46+1),0)</f>
        <v>491415</v>
      </c>
      <c r="CK101" s="63">
        <f>IF(AND(Projects!$G$17="Yes",Projects!$M$17="Yes",84&gt;=Projects!$C$17,84&lt;Projects!$C$17+Projects!$D$17),Projects!$B$17*INDEX(Curves!$B$4:$AR$4,1,84-Projects!$C$17+1),0)+IF(AND(Projects!$G$18="Yes",Projects!$M$18="Yes",84&gt;=Projects!$C$18,84&lt;Projects!$C$18+Projects!$D$18),Projects!$B$18*INDEX(Curves!$B$4:$AR$4,1,84-Projects!$C$18+1),0)+IF(AND(Projects!$G$19="Yes",Projects!$M$19="Yes",84&gt;=Projects!$C$19,84&lt;Projects!$C$19+Projects!$D$19),Projects!$B$19*INDEX(Curves!$B$4:$AR$4,1,84-Projects!$C$19+1),0)+IF(AND(Projects!$G$20="Yes",Projects!$M$20="Yes",84&gt;=Projects!$C$20,84&lt;Projects!$C$20+Projects!$D$20),Projects!$B$20*INDEX(Curves!$B$4:$AR$4,1,84-Projects!$C$20+1),0)+IF(AND(Projects!$G$21="Yes",Projects!$M$21="Yes",84&gt;=Projects!$C$21,84&lt;Projects!$C$21+Projects!$D$21),Projects!$B$21*INDEX(Curves!$B$4:$AR$4,1,84-Projects!$C$21+1),0)+IF(AND(Projects!$G$22="Yes",Projects!$M$22="Yes",84&gt;=Projects!$C$22,84&lt;Projects!$C$22+Projects!$D$22),Projects!$B$22*INDEX(Curves!$B$4:$AR$4,1,84-Projects!$C$22+1),0)+IF(AND(Projects!$G$23="Yes",Projects!$M$23="Yes",84&gt;=Projects!$C$23,84&lt;Projects!$C$23+Projects!$D$23),Projects!$B$23*INDEX(Curves!$B$4:$AR$4,1,84-Projects!$C$23+1),0)+IF(AND(Projects!$G$24="Yes",Projects!$M$24="Yes",84&gt;=Projects!$C$24,84&lt;Projects!$C$24+Projects!$D$24),Projects!$B$24*INDEX(Curves!$B$4:$AR$4,1,84-Projects!$C$24+1),0)+IF(AND(Projects!$G$25="Yes",Projects!$M$25="Yes",84&gt;=Projects!$C$25,84&lt;Projects!$C$25+Projects!$D$25),Projects!$B$25*INDEX(Curves!$B$4:$AR$4,1,84-Projects!$C$25+1),0)+IF(AND(Projects!$G$26="Yes",Projects!$M$26="Yes",84&gt;=Projects!$C$26,84&lt;Projects!$C$26+Projects!$D$26),Projects!$B$26*INDEX(Curves!$B$4:$AR$4,1,84-Projects!$C$26+1),0)+IF(AND(Projects!$G$27="Yes",Projects!$M$27="Yes",84&gt;=Projects!$C$27,84&lt;Projects!$C$27+Projects!$D$27),Projects!$B$27*INDEX(Curves!$B$4:$AR$4,1,84-Projects!$C$27+1),0)+IF(AND(Projects!$G$28="Yes",Projects!$M$28="Yes",84&gt;=Projects!$C$28,84&lt;Projects!$C$28+Projects!$D$28),Projects!$B$28*INDEX(Curves!$B$4:$AR$4,1,84-Projects!$C$28+1),0)+IF(AND(Projects!$G$29="Yes",Projects!$M$29="Yes",84&gt;=Projects!$C$29,84&lt;Projects!$C$29+Projects!$D$29),Projects!$B$29*INDEX(Curves!$B$4:$AR$4,1,84-Projects!$C$29+1),0)+IF(AND(Projects!$G$30="Yes",Projects!$M$30="Yes",84&gt;=Projects!$C$30,84&lt;Projects!$C$30+Projects!$D$30),Projects!$B$30*INDEX(Curves!$B$4:$AR$4,1,84-Projects!$C$30+1),0)+IF(AND(Projects!$G$31="Yes",Projects!$M$31="Yes",84&gt;=Projects!$C$31,84&lt;Projects!$C$31+Projects!$D$31),Projects!$B$31*INDEX(Curves!$B$4:$AR$4,1,84-Projects!$C$31+1),0)+IF(AND(Projects!$G$32="Yes",Projects!$M$32="Yes",84&gt;=Projects!$C$32,84&lt;Projects!$C$32+Projects!$D$32),Projects!$B$32*INDEX(Curves!$B$4:$AR$4,1,84-Projects!$C$32+1),0)+IF(AND(Projects!$G$33="Yes",Projects!$M$33="Yes",84&gt;=Projects!$C$33,84&lt;Projects!$C$33+Projects!$D$33),Projects!$B$33*INDEX(Curves!$B$4:$AR$4,1,84-Projects!$C$33+1),0)+IF(AND(Projects!$G$34="Yes",Projects!$M$34="Yes",84&gt;=Projects!$C$34,84&lt;Projects!$C$34+Projects!$D$34),Projects!$B$34*INDEX(Curves!$B$4:$AR$4,1,84-Projects!$C$34+1),0)+IF(AND(Projects!$G$35="Yes",Projects!$M$35="Yes",84&gt;=Projects!$C$35,84&lt;Projects!$C$35+Projects!$D$35),Projects!$B$35*INDEX(Curves!$B$4:$AR$4,1,84-Projects!$C$35+1),0)+IF(AND(Projects!$G$36="Yes",Projects!$M$36="Yes",84&gt;=Projects!$C$36,84&lt;Projects!$C$36+Projects!$D$36),Projects!$B$36*INDEX(Curves!$B$4:$AR$4,1,84-Projects!$C$36+1),0)+IF(AND(Projects!$G$37="Yes",Projects!$M$37="Yes",84&gt;=Projects!$C$37,84&lt;Projects!$C$37+Projects!$D$37),Projects!$B$37*INDEX(Curves!$B$4:$AR$4,1,84-Projects!$C$37+1),0)+IF(AND(Projects!$G$38="Yes",Projects!$M$38="Yes",84&gt;=Projects!$C$38,84&lt;Projects!$C$38+Projects!$D$38),Projects!$B$38*INDEX(Curves!$B$4:$AR$4,1,84-Projects!$C$38+1),0)+IF(AND(Projects!$G$39="Yes",Projects!$M$39="Yes",84&gt;=Projects!$C$39,84&lt;Projects!$C$39+Projects!$D$39),Projects!$B$39*INDEX(Curves!$B$4:$AR$4,1,84-Projects!$C$39+1),0)+IF(AND(Projects!$G$40="Yes",Projects!$M$40="Yes",84&gt;=Projects!$C$40,84&lt;Projects!$C$40+Projects!$D$40),Projects!$B$40*INDEX(Curves!$B$4:$AR$4,1,84-Projects!$C$40+1),0)+IF(AND(Projects!$G$41="Yes",Projects!$M$41="Yes",84&gt;=Projects!$C$41,84&lt;Projects!$C$41+Projects!$D$41),Projects!$B$41*INDEX(Curves!$B$4:$AR$4,1,84-Projects!$C$41+1),0)+IF(AND(Projects!$G$42="Yes",Projects!$M$42="Yes",84&gt;=Projects!$C$42,84&lt;Projects!$C$42+Projects!$D$42),Projects!$B$42*INDEX(Curves!$B$4:$AR$4,1,84-Projects!$C$42+1),0)+IF(AND(Projects!$G$43="Yes",Projects!$M$43="Yes",84&gt;=Projects!$C$43,84&lt;Projects!$C$43+Projects!$D$43),Projects!$B$43*INDEX(Curves!$B$4:$AR$4,1,84-Projects!$C$43+1),0)+IF(AND(Projects!$G$44="Yes",Projects!$M$44="Yes",84&gt;=Projects!$C$44,84&lt;Projects!$C$44+Projects!$D$44),Projects!$B$44*INDEX(Curves!$B$4:$AR$4,1,84-Projects!$C$44+1),0)+IF(AND(Projects!$G$45="Yes",Projects!$M$45="Yes",84&gt;=Projects!$C$45,84&lt;Projects!$C$45+Projects!$D$45),Projects!$B$45*INDEX(Curves!$B$4:$AR$4,1,84-Projects!$C$45+1),0)+IF(AND(Projects!$G$46="Yes",Projects!$M$46="Yes",84&gt;=Projects!$C$46,84&lt;Projects!$C$46+Projects!$D$46),Projects!$B$46*INDEX(Curves!$B$4:$AR$4,1,84-Projects!$C$46+1),0)</f>
        <v>592230</v>
      </c>
      <c r="CL101" s="63">
        <f>IF(AND(Projects!$G$17="Yes",Projects!$M$17="Yes",85&gt;=Projects!$C$17,85&lt;Projects!$C$17+Projects!$D$17),Projects!$B$17*INDEX(Curves!$B$4:$AR$4,1,85-Projects!$C$17+1),0)+IF(AND(Projects!$G$18="Yes",Projects!$M$18="Yes",85&gt;=Projects!$C$18,85&lt;Projects!$C$18+Projects!$D$18),Projects!$B$18*INDEX(Curves!$B$4:$AR$4,1,85-Projects!$C$18+1),0)+IF(AND(Projects!$G$19="Yes",Projects!$M$19="Yes",85&gt;=Projects!$C$19,85&lt;Projects!$C$19+Projects!$D$19),Projects!$B$19*INDEX(Curves!$B$4:$AR$4,1,85-Projects!$C$19+1),0)+IF(AND(Projects!$G$20="Yes",Projects!$M$20="Yes",85&gt;=Projects!$C$20,85&lt;Projects!$C$20+Projects!$D$20),Projects!$B$20*INDEX(Curves!$B$4:$AR$4,1,85-Projects!$C$20+1),0)+IF(AND(Projects!$G$21="Yes",Projects!$M$21="Yes",85&gt;=Projects!$C$21,85&lt;Projects!$C$21+Projects!$D$21),Projects!$B$21*INDEX(Curves!$B$4:$AR$4,1,85-Projects!$C$21+1),0)+IF(AND(Projects!$G$22="Yes",Projects!$M$22="Yes",85&gt;=Projects!$C$22,85&lt;Projects!$C$22+Projects!$D$22),Projects!$B$22*INDEX(Curves!$B$4:$AR$4,1,85-Projects!$C$22+1),0)+IF(AND(Projects!$G$23="Yes",Projects!$M$23="Yes",85&gt;=Projects!$C$23,85&lt;Projects!$C$23+Projects!$D$23),Projects!$B$23*INDEX(Curves!$B$4:$AR$4,1,85-Projects!$C$23+1),0)+IF(AND(Projects!$G$24="Yes",Projects!$M$24="Yes",85&gt;=Projects!$C$24,85&lt;Projects!$C$24+Projects!$D$24),Projects!$B$24*INDEX(Curves!$B$4:$AR$4,1,85-Projects!$C$24+1),0)+IF(AND(Projects!$G$25="Yes",Projects!$M$25="Yes",85&gt;=Projects!$C$25,85&lt;Projects!$C$25+Projects!$D$25),Projects!$B$25*INDEX(Curves!$B$4:$AR$4,1,85-Projects!$C$25+1),0)+IF(AND(Projects!$G$26="Yes",Projects!$M$26="Yes",85&gt;=Projects!$C$26,85&lt;Projects!$C$26+Projects!$D$26),Projects!$B$26*INDEX(Curves!$B$4:$AR$4,1,85-Projects!$C$26+1),0)+IF(AND(Projects!$G$27="Yes",Projects!$M$27="Yes",85&gt;=Projects!$C$27,85&lt;Projects!$C$27+Projects!$D$27),Projects!$B$27*INDEX(Curves!$B$4:$AR$4,1,85-Projects!$C$27+1),0)+IF(AND(Projects!$G$28="Yes",Projects!$M$28="Yes",85&gt;=Projects!$C$28,85&lt;Projects!$C$28+Projects!$D$28),Projects!$B$28*INDEX(Curves!$B$4:$AR$4,1,85-Projects!$C$28+1),0)+IF(AND(Projects!$G$29="Yes",Projects!$M$29="Yes",85&gt;=Projects!$C$29,85&lt;Projects!$C$29+Projects!$D$29),Projects!$B$29*INDEX(Curves!$B$4:$AR$4,1,85-Projects!$C$29+1),0)+IF(AND(Projects!$G$30="Yes",Projects!$M$30="Yes",85&gt;=Projects!$C$30,85&lt;Projects!$C$30+Projects!$D$30),Projects!$B$30*INDEX(Curves!$B$4:$AR$4,1,85-Projects!$C$30+1),0)+IF(AND(Projects!$G$31="Yes",Projects!$M$31="Yes",85&gt;=Projects!$C$31,85&lt;Projects!$C$31+Projects!$D$31),Projects!$B$31*INDEX(Curves!$B$4:$AR$4,1,85-Projects!$C$31+1),0)+IF(AND(Projects!$G$32="Yes",Projects!$M$32="Yes",85&gt;=Projects!$C$32,85&lt;Projects!$C$32+Projects!$D$32),Projects!$B$32*INDEX(Curves!$B$4:$AR$4,1,85-Projects!$C$32+1),0)+IF(AND(Projects!$G$33="Yes",Projects!$M$33="Yes",85&gt;=Projects!$C$33,85&lt;Projects!$C$33+Projects!$D$33),Projects!$B$33*INDEX(Curves!$B$4:$AR$4,1,85-Projects!$C$33+1),0)+IF(AND(Projects!$G$34="Yes",Projects!$M$34="Yes",85&gt;=Projects!$C$34,85&lt;Projects!$C$34+Projects!$D$34),Projects!$B$34*INDEX(Curves!$B$4:$AR$4,1,85-Projects!$C$34+1),0)+IF(AND(Projects!$G$35="Yes",Projects!$M$35="Yes",85&gt;=Projects!$C$35,85&lt;Projects!$C$35+Projects!$D$35),Projects!$B$35*INDEX(Curves!$B$4:$AR$4,1,85-Projects!$C$35+1),0)+IF(AND(Projects!$G$36="Yes",Projects!$M$36="Yes",85&gt;=Projects!$C$36,85&lt;Projects!$C$36+Projects!$D$36),Projects!$B$36*INDEX(Curves!$B$4:$AR$4,1,85-Projects!$C$36+1),0)+IF(AND(Projects!$G$37="Yes",Projects!$M$37="Yes",85&gt;=Projects!$C$37,85&lt;Projects!$C$37+Projects!$D$37),Projects!$B$37*INDEX(Curves!$B$4:$AR$4,1,85-Projects!$C$37+1),0)+IF(AND(Projects!$G$38="Yes",Projects!$M$38="Yes",85&gt;=Projects!$C$38,85&lt;Projects!$C$38+Projects!$D$38),Projects!$B$38*INDEX(Curves!$B$4:$AR$4,1,85-Projects!$C$38+1),0)+IF(AND(Projects!$G$39="Yes",Projects!$M$39="Yes",85&gt;=Projects!$C$39,85&lt;Projects!$C$39+Projects!$D$39),Projects!$B$39*INDEX(Curves!$B$4:$AR$4,1,85-Projects!$C$39+1),0)+IF(AND(Projects!$G$40="Yes",Projects!$M$40="Yes",85&gt;=Projects!$C$40,85&lt;Projects!$C$40+Projects!$D$40),Projects!$B$40*INDEX(Curves!$B$4:$AR$4,1,85-Projects!$C$40+1),0)+IF(AND(Projects!$G$41="Yes",Projects!$M$41="Yes",85&gt;=Projects!$C$41,85&lt;Projects!$C$41+Projects!$D$41),Projects!$B$41*INDEX(Curves!$B$4:$AR$4,1,85-Projects!$C$41+1),0)+IF(AND(Projects!$G$42="Yes",Projects!$M$42="Yes",85&gt;=Projects!$C$42,85&lt;Projects!$C$42+Projects!$D$42),Projects!$B$42*INDEX(Curves!$B$4:$AR$4,1,85-Projects!$C$42+1),0)+IF(AND(Projects!$G$43="Yes",Projects!$M$43="Yes",85&gt;=Projects!$C$43,85&lt;Projects!$C$43+Projects!$D$43),Projects!$B$43*INDEX(Curves!$B$4:$AR$4,1,85-Projects!$C$43+1),0)+IF(AND(Projects!$G$44="Yes",Projects!$M$44="Yes",85&gt;=Projects!$C$44,85&lt;Projects!$C$44+Projects!$D$44),Projects!$B$44*INDEX(Curves!$B$4:$AR$4,1,85-Projects!$C$44+1),0)+IF(AND(Projects!$G$45="Yes",Projects!$M$45="Yes",85&gt;=Projects!$C$45,85&lt;Projects!$C$45+Projects!$D$45),Projects!$B$45*INDEX(Curves!$B$4:$AR$4,1,85-Projects!$C$45+1),0)+IF(AND(Projects!$G$46="Yes",Projects!$M$46="Yes",85&gt;=Projects!$C$46,85&lt;Projects!$C$46+Projects!$D$46),Projects!$B$46*INDEX(Curves!$B$4:$AR$4,1,85-Projects!$C$46+1),0)</f>
        <v>696180</v>
      </c>
      <c r="CM101" s="63">
        <f>IF(AND(Projects!$G$17="Yes",Projects!$M$17="Yes",86&gt;=Projects!$C$17,86&lt;Projects!$C$17+Projects!$D$17),Projects!$B$17*INDEX(Curves!$B$4:$AR$4,1,86-Projects!$C$17+1),0)+IF(AND(Projects!$G$18="Yes",Projects!$M$18="Yes",86&gt;=Projects!$C$18,86&lt;Projects!$C$18+Projects!$D$18),Projects!$B$18*INDEX(Curves!$B$4:$AR$4,1,86-Projects!$C$18+1),0)+IF(AND(Projects!$G$19="Yes",Projects!$M$19="Yes",86&gt;=Projects!$C$19,86&lt;Projects!$C$19+Projects!$D$19),Projects!$B$19*INDEX(Curves!$B$4:$AR$4,1,86-Projects!$C$19+1),0)+IF(AND(Projects!$G$20="Yes",Projects!$M$20="Yes",86&gt;=Projects!$C$20,86&lt;Projects!$C$20+Projects!$D$20),Projects!$B$20*INDEX(Curves!$B$4:$AR$4,1,86-Projects!$C$20+1),0)+IF(AND(Projects!$G$21="Yes",Projects!$M$21="Yes",86&gt;=Projects!$C$21,86&lt;Projects!$C$21+Projects!$D$21),Projects!$B$21*INDEX(Curves!$B$4:$AR$4,1,86-Projects!$C$21+1),0)+IF(AND(Projects!$G$22="Yes",Projects!$M$22="Yes",86&gt;=Projects!$C$22,86&lt;Projects!$C$22+Projects!$D$22),Projects!$B$22*INDEX(Curves!$B$4:$AR$4,1,86-Projects!$C$22+1),0)+IF(AND(Projects!$G$23="Yes",Projects!$M$23="Yes",86&gt;=Projects!$C$23,86&lt;Projects!$C$23+Projects!$D$23),Projects!$B$23*INDEX(Curves!$B$4:$AR$4,1,86-Projects!$C$23+1),0)+IF(AND(Projects!$G$24="Yes",Projects!$M$24="Yes",86&gt;=Projects!$C$24,86&lt;Projects!$C$24+Projects!$D$24),Projects!$B$24*INDEX(Curves!$B$4:$AR$4,1,86-Projects!$C$24+1),0)+IF(AND(Projects!$G$25="Yes",Projects!$M$25="Yes",86&gt;=Projects!$C$25,86&lt;Projects!$C$25+Projects!$D$25),Projects!$B$25*INDEX(Curves!$B$4:$AR$4,1,86-Projects!$C$25+1),0)+IF(AND(Projects!$G$26="Yes",Projects!$M$26="Yes",86&gt;=Projects!$C$26,86&lt;Projects!$C$26+Projects!$D$26),Projects!$B$26*INDEX(Curves!$B$4:$AR$4,1,86-Projects!$C$26+1),0)+IF(AND(Projects!$G$27="Yes",Projects!$M$27="Yes",86&gt;=Projects!$C$27,86&lt;Projects!$C$27+Projects!$D$27),Projects!$B$27*INDEX(Curves!$B$4:$AR$4,1,86-Projects!$C$27+1),0)+IF(AND(Projects!$G$28="Yes",Projects!$M$28="Yes",86&gt;=Projects!$C$28,86&lt;Projects!$C$28+Projects!$D$28),Projects!$B$28*INDEX(Curves!$B$4:$AR$4,1,86-Projects!$C$28+1),0)+IF(AND(Projects!$G$29="Yes",Projects!$M$29="Yes",86&gt;=Projects!$C$29,86&lt;Projects!$C$29+Projects!$D$29),Projects!$B$29*INDEX(Curves!$B$4:$AR$4,1,86-Projects!$C$29+1),0)+IF(AND(Projects!$G$30="Yes",Projects!$M$30="Yes",86&gt;=Projects!$C$30,86&lt;Projects!$C$30+Projects!$D$30),Projects!$B$30*INDEX(Curves!$B$4:$AR$4,1,86-Projects!$C$30+1),0)+IF(AND(Projects!$G$31="Yes",Projects!$M$31="Yes",86&gt;=Projects!$C$31,86&lt;Projects!$C$31+Projects!$D$31),Projects!$B$31*INDEX(Curves!$B$4:$AR$4,1,86-Projects!$C$31+1),0)+IF(AND(Projects!$G$32="Yes",Projects!$M$32="Yes",86&gt;=Projects!$C$32,86&lt;Projects!$C$32+Projects!$D$32),Projects!$B$32*INDEX(Curves!$B$4:$AR$4,1,86-Projects!$C$32+1),0)+IF(AND(Projects!$G$33="Yes",Projects!$M$33="Yes",86&gt;=Projects!$C$33,86&lt;Projects!$C$33+Projects!$D$33),Projects!$B$33*INDEX(Curves!$B$4:$AR$4,1,86-Projects!$C$33+1),0)+IF(AND(Projects!$G$34="Yes",Projects!$M$34="Yes",86&gt;=Projects!$C$34,86&lt;Projects!$C$34+Projects!$D$34),Projects!$B$34*INDEX(Curves!$B$4:$AR$4,1,86-Projects!$C$34+1),0)+IF(AND(Projects!$G$35="Yes",Projects!$M$35="Yes",86&gt;=Projects!$C$35,86&lt;Projects!$C$35+Projects!$D$35),Projects!$B$35*INDEX(Curves!$B$4:$AR$4,1,86-Projects!$C$35+1),0)+IF(AND(Projects!$G$36="Yes",Projects!$M$36="Yes",86&gt;=Projects!$C$36,86&lt;Projects!$C$36+Projects!$D$36),Projects!$B$36*INDEX(Curves!$B$4:$AR$4,1,86-Projects!$C$36+1),0)+IF(AND(Projects!$G$37="Yes",Projects!$M$37="Yes",86&gt;=Projects!$C$37,86&lt;Projects!$C$37+Projects!$D$37),Projects!$B$37*INDEX(Curves!$B$4:$AR$4,1,86-Projects!$C$37+1),0)+IF(AND(Projects!$G$38="Yes",Projects!$M$38="Yes",86&gt;=Projects!$C$38,86&lt;Projects!$C$38+Projects!$D$38),Projects!$B$38*INDEX(Curves!$B$4:$AR$4,1,86-Projects!$C$38+1),0)+IF(AND(Projects!$G$39="Yes",Projects!$M$39="Yes",86&gt;=Projects!$C$39,86&lt;Projects!$C$39+Projects!$D$39),Projects!$B$39*INDEX(Curves!$B$4:$AR$4,1,86-Projects!$C$39+1),0)+IF(AND(Projects!$G$40="Yes",Projects!$M$40="Yes",86&gt;=Projects!$C$40,86&lt;Projects!$C$40+Projects!$D$40),Projects!$B$40*INDEX(Curves!$B$4:$AR$4,1,86-Projects!$C$40+1),0)+IF(AND(Projects!$G$41="Yes",Projects!$M$41="Yes",86&gt;=Projects!$C$41,86&lt;Projects!$C$41+Projects!$D$41),Projects!$B$41*INDEX(Curves!$B$4:$AR$4,1,86-Projects!$C$41+1),0)+IF(AND(Projects!$G$42="Yes",Projects!$M$42="Yes",86&gt;=Projects!$C$42,86&lt;Projects!$C$42+Projects!$D$42),Projects!$B$42*INDEX(Curves!$B$4:$AR$4,1,86-Projects!$C$42+1),0)+IF(AND(Projects!$G$43="Yes",Projects!$M$43="Yes",86&gt;=Projects!$C$43,86&lt;Projects!$C$43+Projects!$D$43),Projects!$B$43*INDEX(Curves!$B$4:$AR$4,1,86-Projects!$C$43+1),0)+IF(AND(Projects!$G$44="Yes",Projects!$M$44="Yes",86&gt;=Projects!$C$44,86&lt;Projects!$C$44+Projects!$D$44),Projects!$B$44*INDEX(Curves!$B$4:$AR$4,1,86-Projects!$C$44+1),0)+IF(AND(Projects!$G$45="Yes",Projects!$M$45="Yes",86&gt;=Projects!$C$45,86&lt;Projects!$C$45+Projects!$D$45),Projects!$B$45*INDEX(Curves!$B$4:$AR$4,1,86-Projects!$C$45+1),0)+IF(AND(Projects!$G$46="Yes",Projects!$M$46="Yes",86&gt;=Projects!$C$46,86&lt;Projects!$C$46+Projects!$D$46),Projects!$B$46*INDEX(Curves!$B$4:$AR$4,1,86-Projects!$C$46+1),0)</f>
        <v>798270</v>
      </c>
      <c r="CN101" s="63">
        <f>IF(AND(Projects!$G$17="Yes",Projects!$M$17="Yes",87&gt;=Projects!$C$17,87&lt;Projects!$C$17+Projects!$D$17),Projects!$B$17*INDEX(Curves!$B$4:$AR$4,1,87-Projects!$C$17+1),0)+IF(AND(Projects!$G$18="Yes",Projects!$M$18="Yes",87&gt;=Projects!$C$18,87&lt;Projects!$C$18+Projects!$D$18),Projects!$B$18*INDEX(Curves!$B$4:$AR$4,1,87-Projects!$C$18+1),0)+IF(AND(Projects!$G$19="Yes",Projects!$M$19="Yes",87&gt;=Projects!$C$19,87&lt;Projects!$C$19+Projects!$D$19),Projects!$B$19*INDEX(Curves!$B$4:$AR$4,1,87-Projects!$C$19+1),0)+IF(AND(Projects!$G$20="Yes",Projects!$M$20="Yes",87&gt;=Projects!$C$20,87&lt;Projects!$C$20+Projects!$D$20),Projects!$B$20*INDEX(Curves!$B$4:$AR$4,1,87-Projects!$C$20+1),0)+IF(AND(Projects!$G$21="Yes",Projects!$M$21="Yes",87&gt;=Projects!$C$21,87&lt;Projects!$C$21+Projects!$D$21),Projects!$B$21*INDEX(Curves!$B$4:$AR$4,1,87-Projects!$C$21+1),0)+IF(AND(Projects!$G$22="Yes",Projects!$M$22="Yes",87&gt;=Projects!$C$22,87&lt;Projects!$C$22+Projects!$D$22),Projects!$B$22*INDEX(Curves!$B$4:$AR$4,1,87-Projects!$C$22+1),0)+IF(AND(Projects!$G$23="Yes",Projects!$M$23="Yes",87&gt;=Projects!$C$23,87&lt;Projects!$C$23+Projects!$D$23),Projects!$B$23*INDEX(Curves!$B$4:$AR$4,1,87-Projects!$C$23+1),0)+IF(AND(Projects!$G$24="Yes",Projects!$M$24="Yes",87&gt;=Projects!$C$24,87&lt;Projects!$C$24+Projects!$D$24),Projects!$B$24*INDEX(Curves!$B$4:$AR$4,1,87-Projects!$C$24+1),0)+IF(AND(Projects!$G$25="Yes",Projects!$M$25="Yes",87&gt;=Projects!$C$25,87&lt;Projects!$C$25+Projects!$D$25),Projects!$B$25*INDEX(Curves!$B$4:$AR$4,1,87-Projects!$C$25+1),0)+IF(AND(Projects!$G$26="Yes",Projects!$M$26="Yes",87&gt;=Projects!$C$26,87&lt;Projects!$C$26+Projects!$D$26),Projects!$B$26*INDEX(Curves!$B$4:$AR$4,1,87-Projects!$C$26+1),0)+IF(AND(Projects!$G$27="Yes",Projects!$M$27="Yes",87&gt;=Projects!$C$27,87&lt;Projects!$C$27+Projects!$D$27),Projects!$B$27*INDEX(Curves!$B$4:$AR$4,1,87-Projects!$C$27+1),0)+IF(AND(Projects!$G$28="Yes",Projects!$M$28="Yes",87&gt;=Projects!$C$28,87&lt;Projects!$C$28+Projects!$D$28),Projects!$B$28*INDEX(Curves!$B$4:$AR$4,1,87-Projects!$C$28+1),0)+IF(AND(Projects!$G$29="Yes",Projects!$M$29="Yes",87&gt;=Projects!$C$29,87&lt;Projects!$C$29+Projects!$D$29),Projects!$B$29*INDEX(Curves!$B$4:$AR$4,1,87-Projects!$C$29+1),0)+IF(AND(Projects!$G$30="Yes",Projects!$M$30="Yes",87&gt;=Projects!$C$30,87&lt;Projects!$C$30+Projects!$D$30),Projects!$B$30*INDEX(Curves!$B$4:$AR$4,1,87-Projects!$C$30+1),0)+IF(AND(Projects!$G$31="Yes",Projects!$M$31="Yes",87&gt;=Projects!$C$31,87&lt;Projects!$C$31+Projects!$D$31),Projects!$B$31*INDEX(Curves!$B$4:$AR$4,1,87-Projects!$C$31+1),0)+IF(AND(Projects!$G$32="Yes",Projects!$M$32="Yes",87&gt;=Projects!$C$32,87&lt;Projects!$C$32+Projects!$D$32),Projects!$B$32*INDEX(Curves!$B$4:$AR$4,1,87-Projects!$C$32+1),0)+IF(AND(Projects!$G$33="Yes",Projects!$M$33="Yes",87&gt;=Projects!$C$33,87&lt;Projects!$C$33+Projects!$D$33),Projects!$B$33*INDEX(Curves!$B$4:$AR$4,1,87-Projects!$C$33+1),0)+IF(AND(Projects!$G$34="Yes",Projects!$M$34="Yes",87&gt;=Projects!$C$34,87&lt;Projects!$C$34+Projects!$D$34),Projects!$B$34*INDEX(Curves!$B$4:$AR$4,1,87-Projects!$C$34+1),0)+IF(AND(Projects!$G$35="Yes",Projects!$M$35="Yes",87&gt;=Projects!$C$35,87&lt;Projects!$C$35+Projects!$D$35),Projects!$B$35*INDEX(Curves!$B$4:$AR$4,1,87-Projects!$C$35+1),0)+IF(AND(Projects!$G$36="Yes",Projects!$M$36="Yes",87&gt;=Projects!$C$36,87&lt;Projects!$C$36+Projects!$D$36),Projects!$B$36*INDEX(Curves!$B$4:$AR$4,1,87-Projects!$C$36+1),0)+IF(AND(Projects!$G$37="Yes",Projects!$M$37="Yes",87&gt;=Projects!$C$37,87&lt;Projects!$C$37+Projects!$D$37),Projects!$B$37*INDEX(Curves!$B$4:$AR$4,1,87-Projects!$C$37+1),0)+IF(AND(Projects!$G$38="Yes",Projects!$M$38="Yes",87&gt;=Projects!$C$38,87&lt;Projects!$C$38+Projects!$D$38),Projects!$B$38*INDEX(Curves!$B$4:$AR$4,1,87-Projects!$C$38+1),0)+IF(AND(Projects!$G$39="Yes",Projects!$M$39="Yes",87&gt;=Projects!$C$39,87&lt;Projects!$C$39+Projects!$D$39),Projects!$B$39*INDEX(Curves!$B$4:$AR$4,1,87-Projects!$C$39+1),0)+IF(AND(Projects!$G$40="Yes",Projects!$M$40="Yes",87&gt;=Projects!$C$40,87&lt;Projects!$C$40+Projects!$D$40),Projects!$B$40*INDEX(Curves!$B$4:$AR$4,1,87-Projects!$C$40+1),0)+IF(AND(Projects!$G$41="Yes",Projects!$M$41="Yes",87&gt;=Projects!$C$41,87&lt;Projects!$C$41+Projects!$D$41),Projects!$B$41*INDEX(Curves!$B$4:$AR$4,1,87-Projects!$C$41+1),0)+IF(AND(Projects!$G$42="Yes",Projects!$M$42="Yes",87&gt;=Projects!$C$42,87&lt;Projects!$C$42+Projects!$D$42),Projects!$B$42*INDEX(Curves!$B$4:$AR$4,1,87-Projects!$C$42+1),0)+IF(AND(Projects!$G$43="Yes",Projects!$M$43="Yes",87&gt;=Projects!$C$43,87&lt;Projects!$C$43+Projects!$D$43),Projects!$B$43*INDEX(Curves!$B$4:$AR$4,1,87-Projects!$C$43+1),0)+IF(AND(Projects!$G$44="Yes",Projects!$M$44="Yes",87&gt;=Projects!$C$44,87&lt;Projects!$C$44+Projects!$D$44),Projects!$B$44*INDEX(Curves!$B$4:$AR$4,1,87-Projects!$C$44+1),0)+IF(AND(Projects!$G$45="Yes",Projects!$M$45="Yes",87&gt;=Projects!$C$45,87&lt;Projects!$C$45+Projects!$D$45),Projects!$B$45*INDEX(Curves!$B$4:$AR$4,1,87-Projects!$C$45+1),0)+IF(AND(Projects!$G$46="Yes",Projects!$M$46="Yes",87&gt;=Projects!$C$46,87&lt;Projects!$C$46+Projects!$D$46),Projects!$B$46*INDEX(Curves!$B$4:$AR$4,1,87-Projects!$C$46+1),0)</f>
        <v>892830</v>
      </c>
      <c r="CO101" s="63">
        <f>IF(AND(Projects!$G$17="Yes",Projects!$M$17="Yes",88&gt;=Projects!$C$17,88&lt;Projects!$C$17+Projects!$D$17),Projects!$B$17*INDEX(Curves!$B$4:$AR$4,1,88-Projects!$C$17+1),0)+IF(AND(Projects!$G$18="Yes",Projects!$M$18="Yes",88&gt;=Projects!$C$18,88&lt;Projects!$C$18+Projects!$D$18),Projects!$B$18*INDEX(Curves!$B$4:$AR$4,1,88-Projects!$C$18+1),0)+IF(AND(Projects!$G$19="Yes",Projects!$M$19="Yes",88&gt;=Projects!$C$19,88&lt;Projects!$C$19+Projects!$D$19),Projects!$B$19*INDEX(Curves!$B$4:$AR$4,1,88-Projects!$C$19+1),0)+IF(AND(Projects!$G$20="Yes",Projects!$M$20="Yes",88&gt;=Projects!$C$20,88&lt;Projects!$C$20+Projects!$D$20),Projects!$B$20*INDEX(Curves!$B$4:$AR$4,1,88-Projects!$C$20+1),0)+IF(AND(Projects!$G$21="Yes",Projects!$M$21="Yes",88&gt;=Projects!$C$21,88&lt;Projects!$C$21+Projects!$D$21),Projects!$B$21*INDEX(Curves!$B$4:$AR$4,1,88-Projects!$C$21+1),0)+IF(AND(Projects!$G$22="Yes",Projects!$M$22="Yes",88&gt;=Projects!$C$22,88&lt;Projects!$C$22+Projects!$D$22),Projects!$B$22*INDEX(Curves!$B$4:$AR$4,1,88-Projects!$C$22+1),0)+IF(AND(Projects!$G$23="Yes",Projects!$M$23="Yes",88&gt;=Projects!$C$23,88&lt;Projects!$C$23+Projects!$D$23),Projects!$B$23*INDEX(Curves!$B$4:$AR$4,1,88-Projects!$C$23+1),0)+IF(AND(Projects!$G$24="Yes",Projects!$M$24="Yes",88&gt;=Projects!$C$24,88&lt;Projects!$C$24+Projects!$D$24),Projects!$B$24*INDEX(Curves!$B$4:$AR$4,1,88-Projects!$C$24+1),0)+IF(AND(Projects!$G$25="Yes",Projects!$M$25="Yes",88&gt;=Projects!$C$25,88&lt;Projects!$C$25+Projects!$D$25),Projects!$B$25*INDEX(Curves!$B$4:$AR$4,1,88-Projects!$C$25+1),0)+IF(AND(Projects!$G$26="Yes",Projects!$M$26="Yes",88&gt;=Projects!$C$26,88&lt;Projects!$C$26+Projects!$D$26),Projects!$B$26*INDEX(Curves!$B$4:$AR$4,1,88-Projects!$C$26+1),0)+IF(AND(Projects!$G$27="Yes",Projects!$M$27="Yes",88&gt;=Projects!$C$27,88&lt;Projects!$C$27+Projects!$D$27),Projects!$B$27*INDEX(Curves!$B$4:$AR$4,1,88-Projects!$C$27+1),0)+IF(AND(Projects!$G$28="Yes",Projects!$M$28="Yes",88&gt;=Projects!$C$28,88&lt;Projects!$C$28+Projects!$D$28),Projects!$B$28*INDEX(Curves!$B$4:$AR$4,1,88-Projects!$C$28+1),0)+IF(AND(Projects!$G$29="Yes",Projects!$M$29="Yes",88&gt;=Projects!$C$29,88&lt;Projects!$C$29+Projects!$D$29),Projects!$B$29*INDEX(Curves!$B$4:$AR$4,1,88-Projects!$C$29+1),0)+IF(AND(Projects!$G$30="Yes",Projects!$M$30="Yes",88&gt;=Projects!$C$30,88&lt;Projects!$C$30+Projects!$D$30),Projects!$B$30*INDEX(Curves!$B$4:$AR$4,1,88-Projects!$C$30+1),0)+IF(AND(Projects!$G$31="Yes",Projects!$M$31="Yes",88&gt;=Projects!$C$31,88&lt;Projects!$C$31+Projects!$D$31),Projects!$B$31*INDEX(Curves!$B$4:$AR$4,1,88-Projects!$C$31+1),0)+IF(AND(Projects!$G$32="Yes",Projects!$M$32="Yes",88&gt;=Projects!$C$32,88&lt;Projects!$C$32+Projects!$D$32),Projects!$B$32*INDEX(Curves!$B$4:$AR$4,1,88-Projects!$C$32+1),0)+IF(AND(Projects!$G$33="Yes",Projects!$M$33="Yes",88&gt;=Projects!$C$33,88&lt;Projects!$C$33+Projects!$D$33),Projects!$B$33*INDEX(Curves!$B$4:$AR$4,1,88-Projects!$C$33+1),0)+IF(AND(Projects!$G$34="Yes",Projects!$M$34="Yes",88&gt;=Projects!$C$34,88&lt;Projects!$C$34+Projects!$D$34),Projects!$B$34*INDEX(Curves!$B$4:$AR$4,1,88-Projects!$C$34+1),0)+IF(AND(Projects!$G$35="Yes",Projects!$M$35="Yes",88&gt;=Projects!$C$35,88&lt;Projects!$C$35+Projects!$D$35),Projects!$B$35*INDEX(Curves!$B$4:$AR$4,1,88-Projects!$C$35+1),0)+IF(AND(Projects!$G$36="Yes",Projects!$M$36="Yes",88&gt;=Projects!$C$36,88&lt;Projects!$C$36+Projects!$D$36),Projects!$B$36*INDEX(Curves!$B$4:$AR$4,1,88-Projects!$C$36+1),0)+IF(AND(Projects!$G$37="Yes",Projects!$M$37="Yes",88&gt;=Projects!$C$37,88&lt;Projects!$C$37+Projects!$D$37),Projects!$B$37*INDEX(Curves!$B$4:$AR$4,1,88-Projects!$C$37+1),0)+IF(AND(Projects!$G$38="Yes",Projects!$M$38="Yes",88&gt;=Projects!$C$38,88&lt;Projects!$C$38+Projects!$D$38),Projects!$B$38*INDEX(Curves!$B$4:$AR$4,1,88-Projects!$C$38+1),0)+IF(AND(Projects!$G$39="Yes",Projects!$M$39="Yes",88&gt;=Projects!$C$39,88&lt;Projects!$C$39+Projects!$D$39),Projects!$B$39*INDEX(Curves!$B$4:$AR$4,1,88-Projects!$C$39+1),0)+IF(AND(Projects!$G$40="Yes",Projects!$M$40="Yes",88&gt;=Projects!$C$40,88&lt;Projects!$C$40+Projects!$D$40),Projects!$B$40*INDEX(Curves!$B$4:$AR$4,1,88-Projects!$C$40+1),0)+IF(AND(Projects!$G$41="Yes",Projects!$M$41="Yes",88&gt;=Projects!$C$41,88&lt;Projects!$C$41+Projects!$D$41),Projects!$B$41*INDEX(Curves!$B$4:$AR$4,1,88-Projects!$C$41+1),0)+IF(AND(Projects!$G$42="Yes",Projects!$M$42="Yes",88&gt;=Projects!$C$42,88&lt;Projects!$C$42+Projects!$D$42),Projects!$B$42*INDEX(Curves!$B$4:$AR$4,1,88-Projects!$C$42+1),0)+IF(AND(Projects!$G$43="Yes",Projects!$M$43="Yes",88&gt;=Projects!$C$43,88&lt;Projects!$C$43+Projects!$D$43),Projects!$B$43*INDEX(Curves!$B$4:$AR$4,1,88-Projects!$C$43+1),0)+IF(AND(Projects!$G$44="Yes",Projects!$M$44="Yes",88&gt;=Projects!$C$44,88&lt;Projects!$C$44+Projects!$D$44),Projects!$B$44*INDEX(Curves!$B$4:$AR$4,1,88-Projects!$C$44+1),0)+IF(AND(Projects!$G$45="Yes",Projects!$M$45="Yes",88&gt;=Projects!$C$45,88&lt;Projects!$C$45+Projects!$D$45),Projects!$B$45*INDEX(Curves!$B$4:$AR$4,1,88-Projects!$C$45+1),0)+IF(AND(Projects!$G$46="Yes",Projects!$M$46="Yes",88&gt;=Projects!$C$46,88&lt;Projects!$C$46+Projects!$D$46),Projects!$B$46*INDEX(Curves!$B$4:$AR$4,1,88-Projects!$C$46+1),0)</f>
        <v>974054.99999999988</v>
      </c>
      <c r="CP101" s="63">
        <f>IF(AND(Projects!$G$17="Yes",Projects!$M$17="Yes",89&gt;=Projects!$C$17,89&lt;Projects!$C$17+Projects!$D$17),Projects!$B$17*INDEX(Curves!$B$4:$AR$4,1,89-Projects!$C$17+1),0)+IF(AND(Projects!$G$18="Yes",Projects!$M$18="Yes",89&gt;=Projects!$C$18,89&lt;Projects!$C$18+Projects!$D$18),Projects!$B$18*INDEX(Curves!$B$4:$AR$4,1,89-Projects!$C$18+1),0)+IF(AND(Projects!$G$19="Yes",Projects!$M$19="Yes",89&gt;=Projects!$C$19,89&lt;Projects!$C$19+Projects!$D$19),Projects!$B$19*INDEX(Curves!$B$4:$AR$4,1,89-Projects!$C$19+1),0)+IF(AND(Projects!$G$20="Yes",Projects!$M$20="Yes",89&gt;=Projects!$C$20,89&lt;Projects!$C$20+Projects!$D$20),Projects!$B$20*INDEX(Curves!$B$4:$AR$4,1,89-Projects!$C$20+1),0)+IF(AND(Projects!$G$21="Yes",Projects!$M$21="Yes",89&gt;=Projects!$C$21,89&lt;Projects!$C$21+Projects!$D$21),Projects!$B$21*INDEX(Curves!$B$4:$AR$4,1,89-Projects!$C$21+1),0)+IF(AND(Projects!$G$22="Yes",Projects!$M$22="Yes",89&gt;=Projects!$C$22,89&lt;Projects!$C$22+Projects!$D$22),Projects!$B$22*INDEX(Curves!$B$4:$AR$4,1,89-Projects!$C$22+1),0)+IF(AND(Projects!$G$23="Yes",Projects!$M$23="Yes",89&gt;=Projects!$C$23,89&lt;Projects!$C$23+Projects!$D$23),Projects!$B$23*INDEX(Curves!$B$4:$AR$4,1,89-Projects!$C$23+1),0)+IF(AND(Projects!$G$24="Yes",Projects!$M$24="Yes",89&gt;=Projects!$C$24,89&lt;Projects!$C$24+Projects!$D$24),Projects!$B$24*INDEX(Curves!$B$4:$AR$4,1,89-Projects!$C$24+1),0)+IF(AND(Projects!$G$25="Yes",Projects!$M$25="Yes",89&gt;=Projects!$C$25,89&lt;Projects!$C$25+Projects!$D$25),Projects!$B$25*INDEX(Curves!$B$4:$AR$4,1,89-Projects!$C$25+1),0)+IF(AND(Projects!$G$26="Yes",Projects!$M$26="Yes",89&gt;=Projects!$C$26,89&lt;Projects!$C$26+Projects!$D$26),Projects!$B$26*INDEX(Curves!$B$4:$AR$4,1,89-Projects!$C$26+1),0)+IF(AND(Projects!$G$27="Yes",Projects!$M$27="Yes",89&gt;=Projects!$C$27,89&lt;Projects!$C$27+Projects!$D$27),Projects!$B$27*INDEX(Curves!$B$4:$AR$4,1,89-Projects!$C$27+1),0)+IF(AND(Projects!$G$28="Yes",Projects!$M$28="Yes",89&gt;=Projects!$C$28,89&lt;Projects!$C$28+Projects!$D$28),Projects!$B$28*INDEX(Curves!$B$4:$AR$4,1,89-Projects!$C$28+1),0)+IF(AND(Projects!$G$29="Yes",Projects!$M$29="Yes",89&gt;=Projects!$C$29,89&lt;Projects!$C$29+Projects!$D$29),Projects!$B$29*INDEX(Curves!$B$4:$AR$4,1,89-Projects!$C$29+1),0)+IF(AND(Projects!$G$30="Yes",Projects!$M$30="Yes",89&gt;=Projects!$C$30,89&lt;Projects!$C$30+Projects!$D$30),Projects!$B$30*INDEX(Curves!$B$4:$AR$4,1,89-Projects!$C$30+1),0)+IF(AND(Projects!$G$31="Yes",Projects!$M$31="Yes",89&gt;=Projects!$C$31,89&lt;Projects!$C$31+Projects!$D$31),Projects!$B$31*INDEX(Curves!$B$4:$AR$4,1,89-Projects!$C$31+1),0)+IF(AND(Projects!$G$32="Yes",Projects!$M$32="Yes",89&gt;=Projects!$C$32,89&lt;Projects!$C$32+Projects!$D$32),Projects!$B$32*INDEX(Curves!$B$4:$AR$4,1,89-Projects!$C$32+1),0)+IF(AND(Projects!$G$33="Yes",Projects!$M$33="Yes",89&gt;=Projects!$C$33,89&lt;Projects!$C$33+Projects!$D$33),Projects!$B$33*INDEX(Curves!$B$4:$AR$4,1,89-Projects!$C$33+1),0)+IF(AND(Projects!$G$34="Yes",Projects!$M$34="Yes",89&gt;=Projects!$C$34,89&lt;Projects!$C$34+Projects!$D$34),Projects!$B$34*INDEX(Curves!$B$4:$AR$4,1,89-Projects!$C$34+1),0)+IF(AND(Projects!$G$35="Yes",Projects!$M$35="Yes",89&gt;=Projects!$C$35,89&lt;Projects!$C$35+Projects!$D$35),Projects!$B$35*INDEX(Curves!$B$4:$AR$4,1,89-Projects!$C$35+1),0)+IF(AND(Projects!$G$36="Yes",Projects!$M$36="Yes",89&gt;=Projects!$C$36,89&lt;Projects!$C$36+Projects!$D$36),Projects!$B$36*INDEX(Curves!$B$4:$AR$4,1,89-Projects!$C$36+1),0)+IF(AND(Projects!$G$37="Yes",Projects!$M$37="Yes",89&gt;=Projects!$C$37,89&lt;Projects!$C$37+Projects!$D$37),Projects!$B$37*INDEX(Curves!$B$4:$AR$4,1,89-Projects!$C$37+1),0)+IF(AND(Projects!$G$38="Yes",Projects!$M$38="Yes",89&gt;=Projects!$C$38,89&lt;Projects!$C$38+Projects!$D$38),Projects!$B$38*INDEX(Curves!$B$4:$AR$4,1,89-Projects!$C$38+1),0)+IF(AND(Projects!$G$39="Yes",Projects!$M$39="Yes",89&gt;=Projects!$C$39,89&lt;Projects!$C$39+Projects!$D$39),Projects!$B$39*INDEX(Curves!$B$4:$AR$4,1,89-Projects!$C$39+1),0)+IF(AND(Projects!$G$40="Yes",Projects!$M$40="Yes",89&gt;=Projects!$C$40,89&lt;Projects!$C$40+Projects!$D$40),Projects!$B$40*INDEX(Curves!$B$4:$AR$4,1,89-Projects!$C$40+1),0)+IF(AND(Projects!$G$41="Yes",Projects!$M$41="Yes",89&gt;=Projects!$C$41,89&lt;Projects!$C$41+Projects!$D$41),Projects!$B$41*INDEX(Curves!$B$4:$AR$4,1,89-Projects!$C$41+1),0)+IF(AND(Projects!$G$42="Yes",Projects!$M$42="Yes",89&gt;=Projects!$C$42,89&lt;Projects!$C$42+Projects!$D$42),Projects!$B$42*INDEX(Curves!$B$4:$AR$4,1,89-Projects!$C$42+1),0)+IF(AND(Projects!$G$43="Yes",Projects!$M$43="Yes",89&gt;=Projects!$C$43,89&lt;Projects!$C$43+Projects!$D$43),Projects!$B$43*INDEX(Curves!$B$4:$AR$4,1,89-Projects!$C$43+1),0)+IF(AND(Projects!$G$44="Yes",Projects!$M$44="Yes",89&gt;=Projects!$C$44,89&lt;Projects!$C$44+Projects!$D$44),Projects!$B$44*INDEX(Curves!$B$4:$AR$4,1,89-Projects!$C$44+1),0)+IF(AND(Projects!$G$45="Yes",Projects!$M$45="Yes",89&gt;=Projects!$C$45,89&lt;Projects!$C$45+Projects!$D$45),Projects!$B$45*INDEX(Curves!$B$4:$AR$4,1,89-Projects!$C$45+1),0)+IF(AND(Projects!$G$46="Yes",Projects!$M$46="Yes",89&gt;=Projects!$C$46,89&lt;Projects!$C$46+Projects!$D$46),Projects!$B$46*INDEX(Curves!$B$4:$AR$4,1,89-Projects!$C$46+1),0)</f>
        <v>1036560</v>
      </c>
      <c r="CQ101" s="63">
        <f>IF(AND(Projects!$G$17="Yes",Projects!$M$17="Yes",90&gt;=Projects!$C$17,90&lt;Projects!$C$17+Projects!$D$17),Projects!$B$17*INDEX(Curves!$B$4:$AR$4,1,90-Projects!$C$17+1),0)+IF(AND(Projects!$G$18="Yes",Projects!$M$18="Yes",90&gt;=Projects!$C$18,90&lt;Projects!$C$18+Projects!$D$18),Projects!$B$18*INDEX(Curves!$B$4:$AR$4,1,90-Projects!$C$18+1),0)+IF(AND(Projects!$G$19="Yes",Projects!$M$19="Yes",90&gt;=Projects!$C$19,90&lt;Projects!$C$19+Projects!$D$19),Projects!$B$19*INDEX(Curves!$B$4:$AR$4,1,90-Projects!$C$19+1),0)+IF(AND(Projects!$G$20="Yes",Projects!$M$20="Yes",90&gt;=Projects!$C$20,90&lt;Projects!$C$20+Projects!$D$20),Projects!$B$20*INDEX(Curves!$B$4:$AR$4,1,90-Projects!$C$20+1),0)+IF(AND(Projects!$G$21="Yes",Projects!$M$21="Yes",90&gt;=Projects!$C$21,90&lt;Projects!$C$21+Projects!$D$21),Projects!$B$21*INDEX(Curves!$B$4:$AR$4,1,90-Projects!$C$21+1),0)+IF(AND(Projects!$G$22="Yes",Projects!$M$22="Yes",90&gt;=Projects!$C$22,90&lt;Projects!$C$22+Projects!$D$22),Projects!$B$22*INDEX(Curves!$B$4:$AR$4,1,90-Projects!$C$22+1),0)+IF(AND(Projects!$G$23="Yes",Projects!$M$23="Yes",90&gt;=Projects!$C$23,90&lt;Projects!$C$23+Projects!$D$23),Projects!$B$23*INDEX(Curves!$B$4:$AR$4,1,90-Projects!$C$23+1),0)+IF(AND(Projects!$G$24="Yes",Projects!$M$24="Yes",90&gt;=Projects!$C$24,90&lt;Projects!$C$24+Projects!$D$24),Projects!$B$24*INDEX(Curves!$B$4:$AR$4,1,90-Projects!$C$24+1),0)+IF(AND(Projects!$G$25="Yes",Projects!$M$25="Yes",90&gt;=Projects!$C$25,90&lt;Projects!$C$25+Projects!$D$25),Projects!$B$25*INDEX(Curves!$B$4:$AR$4,1,90-Projects!$C$25+1),0)+IF(AND(Projects!$G$26="Yes",Projects!$M$26="Yes",90&gt;=Projects!$C$26,90&lt;Projects!$C$26+Projects!$D$26),Projects!$B$26*INDEX(Curves!$B$4:$AR$4,1,90-Projects!$C$26+1),0)+IF(AND(Projects!$G$27="Yes",Projects!$M$27="Yes",90&gt;=Projects!$C$27,90&lt;Projects!$C$27+Projects!$D$27),Projects!$B$27*INDEX(Curves!$B$4:$AR$4,1,90-Projects!$C$27+1),0)+IF(AND(Projects!$G$28="Yes",Projects!$M$28="Yes",90&gt;=Projects!$C$28,90&lt;Projects!$C$28+Projects!$D$28),Projects!$B$28*INDEX(Curves!$B$4:$AR$4,1,90-Projects!$C$28+1),0)+IF(AND(Projects!$G$29="Yes",Projects!$M$29="Yes",90&gt;=Projects!$C$29,90&lt;Projects!$C$29+Projects!$D$29),Projects!$B$29*INDEX(Curves!$B$4:$AR$4,1,90-Projects!$C$29+1),0)+IF(AND(Projects!$G$30="Yes",Projects!$M$30="Yes",90&gt;=Projects!$C$30,90&lt;Projects!$C$30+Projects!$D$30),Projects!$B$30*INDEX(Curves!$B$4:$AR$4,1,90-Projects!$C$30+1),0)+IF(AND(Projects!$G$31="Yes",Projects!$M$31="Yes",90&gt;=Projects!$C$31,90&lt;Projects!$C$31+Projects!$D$31),Projects!$B$31*INDEX(Curves!$B$4:$AR$4,1,90-Projects!$C$31+1),0)+IF(AND(Projects!$G$32="Yes",Projects!$M$32="Yes",90&gt;=Projects!$C$32,90&lt;Projects!$C$32+Projects!$D$32),Projects!$B$32*INDEX(Curves!$B$4:$AR$4,1,90-Projects!$C$32+1),0)+IF(AND(Projects!$G$33="Yes",Projects!$M$33="Yes",90&gt;=Projects!$C$33,90&lt;Projects!$C$33+Projects!$D$33),Projects!$B$33*INDEX(Curves!$B$4:$AR$4,1,90-Projects!$C$33+1),0)+IF(AND(Projects!$G$34="Yes",Projects!$M$34="Yes",90&gt;=Projects!$C$34,90&lt;Projects!$C$34+Projects!$D$34),Projects!$B$34*INDEX(Curves!$B$4:$AR$4,1,90-Projects!$C$34+1),0)+IF(AND(Projects!$G$35="Yes",Projects!$M$35="Yes",90&gt;=Projects!$C$35,90&lt;Projects!$C$35+Projects!$D$35),Projects!$B$35*INDEX(Curves!$B$4:$AR$4,1,90-Projects!$C$35+1),0)+IF(AND(Projects!$G$36="Yes",Projects!$M$36="Yes",90&gt;=Projects!$C$36,90&lt;Projects!$C$36+Projects!$D$36),Projects!$B$36*INDEX(Curves!$B$4:$AR$4,1,90-Projects!$C$36+1),0)+IF(AND(Projects!$G$37="Yes",Projects!$M$37="Yes",90&gt;=Projects!$C$37,90&lt;Projects!$C$37+Projects!$D$37),Projects!$B$37*INDEX(Curves!$B$4:$AR$4,1,90-Projects!$C$37+1),0)+IF(AND(Projects!$G$38="Yes",Projects!$M$38="Yes",90&gt;=Projects!$C$38,90&lt;Projects!$C$38+Projects!$D$38),Projects!$B$38*INDEX(Curves!$B$4:$AR$4,1,90-Projects!$C$38+1),0)+IF(AND(Projects!$G$39="Yes",Projects!$M$39="Yes",90&gt;=Projects!$C$39,90&lt;Projects!$C$39+Projects!$D$39),Projects!$B$39*INDEX(Curves!$B$4:$AR$4,1,90-Projects!$C$39+1),0)+IF(AND(Projects!$G$40="Yes",Projects!$M$40="Yes",90&gt;=Projects!$C$40,90&lt;Projects!$C$40+Projects!$D$40),Projects!$B$40*INDEX(Curves!$B$4:$AR$4,1,90-Projects!$C$40+1),0)+IF(AND(Projects!$G$41="Yes",Projects!$M$41="Yes",90&gt;=Projects!$C$41,90&lt;Projects!$C$41+Projects!$D$41),Projects!$B$41*INDEX(Curves!$B$4:$AR$4,1,90-Projects!$C$41+1),0)+IF(AND(Projects!$G$42="Yes",Projects!$M$42="Yes",90&gt;=Projects!$C$42,90&lt;Projects!$C$42+Projects!$D$42),Projects!$B$42*INDEX(Curves!$B$4:$AR$4,1,90-Projects!$C$42+1),0)+IF(AND(Projects!$G$43="Yes",Projects!$M$43="Yes",90&gt;=Projects!$C$43,90&lt;Projects!$C$43+Projects!$D$43),Projects!$B$43*INDEX(Curves!$B$4:$AR$4,1,90-Projects!$C$43+1),0)+IF(AND(Projects!$G$44="Yes",Projects!$M$44="Yes",90&gt;=Projects!$C$44,90&lt;Projects!$C$44+Projects!$D$44),Projects!$B$44*INDEX(Curves!$B$4:$AR$4,1,90-Projects!$C$44+1),0)+IF(AND(Projects!$G$45="Yes",Projects!$M$45="Yes",90&gt;=Projects!$C$45,90&lt;Projects!$C$45+Projects!$D$45),Projects!$B$45*INDEX(Curves!$B$4:$AR$4,1,90-Projects!$C$45+1),0)+IF(AND(Projects!$G$46="Yes",Projects!$M$46="Yes",90&gt;=Projects!$C$46,90&lt;Projects!$C$46+Projects!$D$46),Projects!$B$46*INDEX(Curves!$B$4:$AR$4,1,90-Projects!$C$46+1),0)</f>
        <v>1075980</v>
      </c>
      <c r="CR101" s="63">
        <f>IF(AND(Projects!$G$17="Yes",Projects!$M$17="Yes",91&gt;=Projects!$C$17,91&lt;Projects!$C$17+Projects!$D$17),Projects!$B$17*INDEX(Curves!$B$4:$AR$4,1,91-Projects!$C$17+1),0)+IF(AND(Projects!$G$18="Yes",Projects!$M$18="Yes",91&gt;=Projects!$C$18,91&lt;Projects!$C$18+Projects!$D$18),Projects!$B$18*INDEX(Curves!$B$4:$AR$4,1,91-Projects!$C$18+1),0)+IF(AND(Projects!$G$19="Yes",Projects!$M$19="Yes",91&gt;=Projects!$C$19,91&lt;Projects!$C$19+Projects!$D$19),Projects!$B$19*INDEX(Curves!$B$4:$AR$4,1,91-Projects!$C$19+1),0)+IF(AND(Projects!$G$20="Yes",Projects!$M$20="Yes",91&gt;=Projects!$C$20,91&lt;Projects!$C$20+Projects!$D$20),Projects!$B$20*INDEX(Curves!$B$4:$AR$4,1,91-Projects!$C$20+1),0)+IF(AND(Projects!$G$21="Yes",Projects!$M$21="Yes",91&gt;=Projects!$C$21,91&lt;Projects!$C$21+Projects!$D$21),Projects!$B$21*INDEX(Curves!$B$4:$AR$4,1,91-Projects!$C$21+1),0)+IF(AND(Projects!$G$22="Yes",Projects!$M$22="Yes",91&gt;=Projects!$C$22,91&lt;Projects!$C$22+Projects!$D$22),Projects!$B$22*INDEX(Curves!$B$4:$AR$4,1,91-Projects!$C$22+1),0)+IF(AND(Projects!$G$23="Yes",Projects!$M$23="Yes",91&gt;=Projects!$C$23,91&lt;Projects!$C$23+Projects!$D$23),Projects!$B$23*INDEX(Curves!$B$4:$AR$4,1,91-Projects!$C$23+1),0)+IF(AND(Projects!$G$24="Yes",Projects!$M$24="Yes",91&gt;=Projects!$C$24,91&lt;Projects!$C$24+Projects!$D$24),Projects!$B$24*INDEX(Curves!$B$4:$AR$4,1,91-Projects!$C$24+1),0)+IF(AND(Projects!$G$25="Yes",Projects!$M$25="Yes",91&gt;=Projects!$C$25,91&lt;Projects!$C$25+Projects!$D$25),Projects!$B$25*INDEX(Curves!$B$4:$AR$4,1,91-Projects!$C$25+1),0)+IF(AND(Projects!$G$26="Yes",Projects!$M$26="Yes",91&gt;=Projects!$C$26,91&lt;Projects!$C$26+Projects!$D$26),Projects!$B$26*INDEX(Curves!$B$4:$AR$4,1,91-Projects!$C$26+1),0)+IF(AND(Projects!$G$27="Yes",Projects!$M$27="Yes",91&gt;=Projects!$C$27,91&lt;Projects!$C$27+Projects!$D$27),Projects!$B$27*INDEX(Curves!$B$4:$AR$4,1,91-Projects!$C$27+1),0)+IF(AND(Projects!$G$28="Yes",Projects!$M$28="Yes",91&gt;=Projects!$C$28,91&lt;Projects!$C$28+Projects!$D$28),Projects!$B$28*INDEX(Curves!$B$4:$AR$4,1,91-Projects!$C$28+1),0)+IF(AND(Projects!$G$29="Yes",Projects!$M$29="Yes",91&gt;=Projects!$C$29,91&lt;Projects!$C$29+Projects!$D$29),Projects!$B$29*INDEX(Curves!$B$4:$AR$4,1,91-Projects!$C$29+1),0)+IF(AND(Projects!$G$30="Yes",Projects!$M$30="Yes",91&gt;=Projects!$C$30,91&lt;Projects!$C$30+Projects!$D$30),Projects!$B$30*INDEX(Curves!$B$4:$AR$4,1,91-Projects!$C$30+1),0)+IF(AND(Projects!$G$31="Yes",Projects!$M$31="Yes",91&gt;=Projects!$C$31,91&lt;Projects!$C$31+Projects!$D$31),Projects!$B$31*INDEX(Curves!$B$4:$AR$4,1,91-Projects!$C$31+1),0)+IF(AND(Projects!$G$32="Yes",Projects!$M$32="Yes",91&gt;=Projects!$C$32,91&lt;Projects!$C$32+Projects!$D$32),Projects!$B$32*INDEX(Curves!$B$4:$AR$4,1,91-Projects!$C$32+1),0)+IF(AND(Projects!$G$33="Yes",Projects!$M$33="Yes",91&gt;=Projects!$C$33,91&lt;Projects!$C$33+Projects!$D$33),Projects!$B$33*INDEX(Curves!$B$4:$AR$4,1,91-Projects!$C$33+1),0)+IF(AND(Projects!$G$34="Yes",Projects!$M$34="Yes",91&gt;=Projects!$C$34,91&lt;Projects!$C$34+Projects!$D$34),Projects!$B$34*INDEX(Curves!$B$4:$AR$4,1,91-Projects!$C$34+1),0)+IF(AND(Projects!$G$35="Yes",Projects!$M$35="Yes",91&gt;=Projects!$C$35,91&lt;Projects!$C$35+Projects!$D$35),Projects!$B$35*INDEX(Curves!$B$4:$AR$4,1,91-Projects!$C$35+1),0)+IF(AND(Projects!$G$36="Yes",Projects!$M$36="Yes",91&gt;=Projects!$C$36,91&lt;Projects!$C$36+Projects!$D$36),Projects!$B$36*INDEX(Curves!$B$4:$AR$4,1,91-Projects!$C$36+1),0)+IF(AND(Projects!$G$37="Yes",Projects!$M$37="Yes",91&gt;=Projects!$C$37,91&lt;Projects!$C$37+Projects!$D$37),Projects!$B$37*INDEX(Curves!$B$4:$AR$4,1,91-Projects!$C$37+1),0)+IF(AND(Projects!$G$38="Yes",Projects!$M$38="Yes",91&gt;=Projects!$C$38,91&lt;Projects!$C$38+Projects!$D$38),Projects!$B$38*INDEX(Curves!$B$4:$AR$4,1,91-Projects!$C$38+1),0)+IF(AND(Projects!$G$39="Yes",Projects!$M$39="Yes",91&gt;=Projects!$C$39,91&lt;Projects!$C$39+Projects!$D$39),Projects!$B$39*INDEX(Curves!$B$4:$AR$4,1,91-Projects!$C$39+1),0)+IF(AND(Projects!$G$40="Yes",Projects!$M$40="Yes",91&gt;=Projects!$C$40,91&lt;Projects!$C$40+Projects!$D$40),Projects!$B$40*INDEX(Curves!$B$4:$AR$4,1,91-Projects!$C$40+1),0)+IF(AND(Projects!$G$41="Yes",Projects!$M$41="Yes",91&gt;=Projects!$C$41,91&lt;Projects!$C$41+Projects!$D$41),Projects!$B$41*INDEX(Curves!$B$4:$AR$4,1,91-Projects!$C$41+1),0)+IF(AND(Projects!$G$42="Yes",Projects!$M$42="Yes",91&gt;=Projects!$C$42,91&lt;Projects!$C$42+Projects!$D$42),Projects!$B$42*INDEX(Curves!$B$4:$AR$4,1,91-Projects!$C$42+1),0)+IF(AND(Projects!$G$43="Yes",Projects!$M$43="Yes",91&gt;=Projects!$C$43,91&lt;Projects!$C$43+Projects!$D$43),Projects!$B$43*INDEX(Curves!$B$4:$AR$4,1,91-Projects!$C$43+1),0)+IF(AND(Projects!$G$44="Yes",Projects!$M$44="Yes",91&gt;=Projects!$C$44,91&lt;Projects!$C$44+Projects!$D$44),Projects!$B$44*INDEX(Curves!$B$4:$AR$4,1,91-Projects!$C$44+1),0)+IF(AND(Projects!$G$45="Yes",Projects!$M$45="Yes",91&gt;=Projects!$C$45,91&lt;Projects!$C$45+Projects!$D$45),Projects!$B$45*INDEX(Curves!$B$4:$AR$4,1,91-Projects!$C$45+1),0)+IF(AND(Projects!$G$46="Yes",Projects!$M$46="Yes",91&gt;=Projects!$C$46,91&lt;Projects!$C$46+Projects!$D$46),Projects!$B$46*INDEX(Curves!$B$4:$AR$4,1,91-Projects!$C$46+1),0)</f>
        <v>1089450</v>
      </c>
      <c r="CS101" s="63">
        <f>IF(AND(Projects!$G$17="Yes",Projects!$M$17="Yes",92&gt;=Projects!$C$17,92&lt;Projects!$C$17+Projects!$D$17),Projects!$B$17*INDEX(Curves!$B$4:$AR$4,1,92-Projects!$C$17+1),0)+IF(AND(Projects!$G$18="Yes",Projects!$M$18="Yes",92&gt;=Projects!$C$18,92&lt;Projects!$C$18+Projects!$D$18),Projects!$B$18*INDEX(Curves!$B$4:$AR$4,1,92-Projects!$C$18+1),0)+IF(AND(Projects!$G$19="Yes",Projects!$M$19="Yes",92&gt;=Projects!$C$19,92&lt;Projects!$C$19+Projects!$D$19),Projects!$B$19*INDEX(Curves!$B$4:$AR$4,1,92-Projects!$C$19+1),0)+IF(AND(Projects!$G$20="Yes",Projects!$M$20="Yes",92&gt;=Projects!$C$20,92&lt;Projects!$C$20+Projects!$D$20),Projects!$B$20*INDEX(Curves!$B$4:$AR$4,1,92-Projects!$C$20+1),0)+IF(AND(Projects!$G$21="Yes",Projects!$M$21="Yes",92&gt;=Projects!$C$21,92&lt;Projects!$C$21+Projects!$D$21),Projects!$B$21*INDEX(Curves!$B$4:$AR$4,1,92-Projects!$C$21+1),0)+IF(AND(Projects!$G$22="Yes",Projects!$M$22="Yes",92&gt;=Projects!$C$22,92&lt;Projects!$C$22+Projects!$D$22),Projects!$B$22*INDEX(Curves!$B$4:$AR$4,1,92-Projects!$C$22+1),0)+IF(AND(Projects!$G$23="Yes",Projects!$M$23="Yes",92&gt;=Projects!$C$23,92&lt;Projects!$C$23+Projects!$D$23),Projects!$B$23*INDEX(Curves!$B$4:$AR$4,1,92-Projects!$C$23+1),0)+IF(AND(Projects!$G$24="Yes",Projects!$M$24="Yes",92&gt;=Projects!$C$24,92&lt;Projects!$C$24+Projects!$D$24),Projects!$B$24*INDEX(Curves!$B$4:$AR$4,1,92-Projects!$C$24+1),0)+IF(AND(Projects!$G$25="Yes",Projects!$M$25="Yes",92&gt;=Projects!$C$25,92&lt;Projects!$C$25+Projects!$D$25),Projects!$B$25*INDEX(Curves!$B$4:$AR$4,1,92-Projects!$C$25+1),0)+IF(AND(Projects!$G$26="Yes",Projects!$M$26="Yes",92&gt;=Projects!$C$26,92&lt;Projects!$C$26+Projects!$D$26),Projects!$B$26*INDEX(Curves!$B$4:$AR$4,1,92-Projects!$C$26+1),0)+IF(AND(Projects!$G$27="Yes",Projects!$M$27="Yes",92&gt;=Projects!$C$27,92&lt;Projects!$C$27+Projects!$D$27),Projects!$B$27*INDEX(Curves!$B$4:$AR$4,1,92-Projects!$C$27+1),0)+IF(AND(Projects!$G$28="Yes",Projects!$M$28="Yes",92&gt;=Projects!$C$28,92&lt;Projects!$C$28+Projects!$D$28),Projects!$B$28*INDEX(Curves!$B$4:$AR$4,1,92-Projects!$C$28+1),0)+IF(AND(Projects!$G$29="Yes",Projects!$M$29="Yes",92&gt;=Projects!$C$29,92&lt;Projects!$C$29+Projects!$D$29),Projects!$B$29*INDEX(Curves!$B$4:$AR$4,1,92-Projects!$C$29+1),0)+IF(AND(Projects!$G$30="Yes",Projects!$M$30="Yes",92&gt;=Projects!$C$30,92&lt;Projects!$C$30+Projects!$D$30),Projects!$B$30*INDEX(Curves!$B$4:$AR$4,1,92-Projects!$C$30+1),0)+IF(AND(Projects!$G$31="Yes",Projects!$M$31="Yes",92&gt;=Projects!$C$31,92&lt;Projects!$C$31+Projects!$D$31),Projects!$B$31*INDEX(Curves!$B$4:$AR$4,1,92-Projects!$C$31+1),0)+IF(AND(Projects!$G$32="Yes",Projects!$M$32="Yes",92&gt;=Projects!$C$32,92&lt;Projects!$C$32+Projects!$D$32),Projects!$B$32*INDEX(Curves!$B$4:$AR$4,1,92-Projects!$C$32+1),0)+IF(AND(Projects!$G$33="Yes",Projects!$M$33="Yes",92&gt;=Projects!$C$33,92&lt;Projects!$C$33+Projects!$D$33),Projects!$B$33*INDEX(Curves!$B$4:$AR$4,1,92-Projects!$C$33+1),0)+IF(AND(Projects!$G$34="Yes",Projects!$M$34="Yes",92&gt;=Projects!$C$34,92&lt;Projects!$C$34+Projects!$D$34),Projects!$B$34*INDEX(Curves!$B$4:$AR$4,1,92-Projects!$C$34+1),0)+IF(AND(Projects!$G$35="Yes",Projects!$M$35="Yes",92&gt;=Projects!$C$35,92&lt;Projects!$C$35+Projects!$D$35),Projects!$B$35*INDEX(Curves!$B$4:$AR$4,1,92-Projects!$C$35+1),0)+IF(AND(Projects!$G$36="Yes",Projects!$M$36="Yes",92&gt;=Projects!$C$36,92&lt;Projects!$C$36+Projects!$D$36),Projects!$B$36*INDEX(Curves!$B$4:$AR$4,1,92-Projects!$C$36+1),0)+IF(AND(Projects!$G$37="Yes",Projects!$M$37="Yes",92&gt;=Projects!$C$37,92&lt;Projects!$C$37+Projects!$D$37),Projects!$B$37*INDEX(Curves!$B$4:$AR$4,1,92-Projects!$C$37+1),0)+IF(AND(Projects!$G$38="Yes",Projects!$M$38="Yes",92&gt;=Projects!$C$38,92&lt;Projects!$C$38+Projects!$D$38),Projects!$B$38*INDEX(Curves!$B$4:$AR$4,1,92-Projects!$C$38+1),0)+IF(AND(Projects!$G$39="Yes",Projects!$M$39="Yes",92&gt;=Projects!$C$39,92&lt;Projects!$C$39+Projects!$D$39),Projects!$B$39*INDEX(Curves!$B$4:$AR$4,1,92-Projects!$C$39+1),0)+IF(AND(Projects!$G$40="Yes",Projects!$M$40="Yes",92&gt;=Projects!$C$40,92&lt;Projects!$C$40+Projects!$D$40),Projects!$B$40*INDEX(Curves!$B$4:$AR$4,1,92-Projects!$C$40+1),0)+IF(AND(Projects!$G$41="Yes",Projects!$M$41="Yes",92&gt;=Projects!$C$41,92&lt;Projects!$C$41+Projects!$D$41),Projects!$B$41*INDEX(Curves!$B$4:$AR$4,1,92-Projects!$C$41+1),0)+IF(AND(Projects!$G$42="Yes",Projects!$M$42="Yes",92&gt;=Projects!$C$42,92&lt;Projects!$C$42+Projects!$D$42),Projects!$B$42*INDEX(Curves!$B$4:$AR$4,1,92-Projects!$C$42+1),0)+IF(AND(Projects!$G$43="Yes",Projects!$M$43="Yes",92&gt;=Projects!$C$43,92&lt;Projects!$C$43+Projects!$D$43),Projects!$B$43*INDEX(Curves!$B$4:$AR$4,1,92-Projects!$C$43+1),0)+IF(AND(Projects!$G$44="Yes",Projects!$M$44="Yes",92&gt;=Projects!$C$44,92&lt;Projects!$C$44+Projects!$D$44),Projects!$B$44*INDEX(Curves!$B$4:$AR$4,1,92-Projects!$C$44+1),0)+IF(AND(Projects!$G$45="Yes",Projects!$M$45="Yes",92&gt;=Projects!$C$45,92&lt;Projects!$C$45+Projects!$D$45),Projects!$B$45*INDEX(Curves!$B$4:$AR$4,1,92-Projects!$C$45+1),0)+IF(AND(Projects!$G$46="Yes",Projects!$M$46="Yes",92&gt;=Projects!$C$46,92&lt;Projects!$C$46+Projects!$D$46),Projects!$B$46*INDEX(Curves!$B$4:$AR$4,1,92-Projects!$C$46+1),0)</f>
        <v>1075980</v>
      </c>
      <c r="CT101" s="63">
        <f>IF(AND(Projects!$G$17="Yes",Projects!$M$17="Yes",93&gt;=Projects!$C$17,93&lt;Projects!$C$17+Projects!$D$17),Projects!$B$17*INDEX(Curves!$B$4:$AR$4,1,93-Projects!$C$17+1),0)+IF(AND(Projects!$G$18="Yes",Projects!$M$18="Yes",93&gt;=Projects!$C$18,93&lt;Projects!$C$18+Projects!$D$18),Projects!$B$18*INDEX(Curves!$B$4:$AR$4,1,93-Projects!$C$18+1),0)+IF(AND(Projects!$G$19="Yes",Projects!$M$19="Yes",93&gt;=Projects!$C$19,93&lt;Projects!$C$19+Projects!$D$19),Projects!$B$19*INDEX(Curves!$B$4:$AR$4,1,93-Projects!$C$19+1),0)+IF(AND(Projects!$G$20="Yes",Projects!$M$20="Yes",93&gt;=Projects!$C$20,93&lt;Projects!$C$20+Projects!$D$20),Projects!$B$20*INDEX(Curves!$B$4:$AR$4,1,93-Projects!$C$20+1),0)+IF(AND(Projects!$G$21="Yes",Projects!$M$21="Yes",93&gt;=Projects!$C$21,93&lt;Projects!$C$21+Projects!$D$21),Projects!$B$21*INDEX(Curves!$B$4:$AR$4,1,93-Projects!$C$21+1),0)+IF(AND(Projects!$G$22="Yes",Projects!$M$22="Yes",93&gt;=Projects!$C$22,93&lt;Projects!$C$22+Projects!$D$22),Projects!$B$22*INDEX(Curves!$B$4:$AR$4,1,93-Projects!$C$22+1),0)+IF(AND(Projects!$G$23="Yes",Projects!$M$23="Yes",93&gt;=Projects!$C$23,93&lt;Projects!$C$23+Projects!$D$23),Projects!$B$23*INDEX(Curves!$B$4:$AR$4,1,93-Projects!$C$23+1),0)+IF(AND(Projects!$G$24="Yes",Projects!$M$24="Yes",93&gt;=Projects!$C$24,93&lt;Projects!$C$24+Projects!$D$24),Projects!$B$24*INDEX(Curves!$B$4:$AR$4,1,93-Projects!$C$24+1),0)+IF(AND(Projects!$G$25="Yes",Projects!$M$25="Yes",93&gt;=Projects!$C$25,93&lt;Projects!$C$25+Projects!$D$25),Projects!$B$25*INDEX(Curves!$B$4:$AR$4,1,93-Projects!$C$25+1),0)+IF(AND(Projects!$G$26="Yes",Projects!$M$26="Yes",93&gt;=Projects!$C$26,93&lt;Projects!$C$26+Projects!$D$26),Projects!$B$26*INDEX(Curves!$B$4:$AR$4,1,93-Projects!$C$26+1),0)+IF(AND(Projects!$G$27="Yes",Projects!$M$27="Yes",93&gt;=Projects!$C$27,93&lt;Projects!$C$27+Projects!$D$27),Projects!$B$27*INDEX(Curves!$B$4:$AR$4,1,93-Projects!$C$27+1),0)+IF(AND(Projects!$G$28="Yes",Projects!$M$28="Yes",93&gt;=Projects!$C$28,93&lt;Projects!$C$28+Projects!$D$28),Projects!$B$28*INDEX(Curves!$B$4:$AR$4,1,93-Projects!$C$28+1),0)+IF(AND(Projects!$G$29="Yes",Projects!$M$29="Yes",93&gt;=Projects!$C$29,93&lt;Projects!$C$29+Projects!$D$29),Projects!$B$29*INDEX(Curves!$B$4:$AR$4,1,93-Projects!$C$29+1),0)+IF(AND(Projects!$G$30="Yes",Projects!$M$30="Yes",93&gt;=Projects!$C$30,93&lt;Projects!$C$30+Projects!$D$30),Projects!$B$30*INDEX(Curves!$B$4:$AR$4,1,93-Projects!$C$30+1),0)+IF(AND(Projects!$G$31="Yes",Projects!$M$31="Yes",93&gt;=Projects!$C$31,93&lt;Projects!$C$31+Projects!$D$31),Projects!$B$31*INDEX(Curves!$B$4:$AR$4,1,93-Projects!$C$31+1),0)+IF(AND(Projects!$G$32="Yes",Projects!$M$32="Yes",93&gt;=Projects!$C$32,93&lt;Projects!$C$32+Projects!$D$32),Projects!$B$32*INDEX(Curves!$B$4:$AR$4,1,93-Projects!$C$32+1),0)+IF(AND(Projects!$G$33="Yes",Projects!$M$33="Yes",93&gt;=Projects!$C$33,93&lt;Projects!$C$33+Projects!$D$33),Projects!$B$33*INDEX(Curves!$B$4:$AR$4,1,93-Projects!$C$33+1),0)+IF(AND(Projects!$G$34="Yes",Projects!$M$34="Yes",93&gt;=Projects!$C$34,93&lt;Projects!$C$34+Projects!$D$34),Projects!$B$34*INDEX(Curves!$B$4:$AR$4,1,93-Projects!$C$34+1),0)+IF(AND(Projects!$G$35="Yes",Projects!$M$35="Yes",93&gt;=Projects!$C$35,93&lt;Projects!$C$35+Projects!$D$35),Projects!$B$35*INDEX(Curves!$B$4:$AR$4,1,93-Projects!$C$35+1),0)+IF(AND(Projects!$G$36="Yes",Projects!$M$36="Yes",93&gt;=Projects!$C$36,93&lt;Projects!$C$36+Projects!$D$36),Projects!$B$36*INDEX(Curves!$B$4:$AR$4,1,93-Projects!$C$36+1),0)+IF(AND(Projects!$G$37="Yes",Projects!$M$37="Yes",93&gt;=Projects!$C$37,93&lt;Projects!$C$37+Projects!$D$37),Projects!$B$37*INDEX(Curves!$B$4:$AR$4,1,93-Projects!$C$37+1),0)+IF(AND(Projects!$G$38="Yes",Projects!$M$38="Yes",93&gt;=Projects!$C$38,93&lt;Projects!$C$38+Projects!$D$38),Projects!$B$38*INDEX(Curves!$B$4:$AR$4,1,93-Projects!$C$38+1),0)+IF(AND(Projects!$G$39="Yes",Projects!$M$39="Yes",93&gt;=Projects!$C$39,93&lt;Projects!$C$39+Projects!$D$39),Projects!$B$39*INDEX(Curves!$B$4:$AR$4,1,93-Projects!$C$39+1),0)+IF(AND(Projects!$G$40="Yes",Projects!$M$40="Yes",93&gt;=Projects!$C$40,93&lt;Projects!$C$40+Projects!$D$40),Projects!$B$40*INDEX(Curves!$B$4:$AR$4,1,93-Projects!$C$40+1),0)+IF(AND(Projects!$G$41="Yes",Projects!$M$41="Yes",93&gt;=Projects!$C$41,93&lt;Projects!$C$41+Projects!$D$41),Projects!$B$41*INDEX(Curves!$B$4:$AR$4,1,93-Projects!$C$41+1),0)+IF(AND(Projects!$G$42="Yes",Projects!$M$42="Yes",93&gt;=Projects!$C$42,93&lt;Projects!$C$42+Projects!$D$42),Projects!$B$42*INDEX(Curves!$B$4:$AR$4,1,93-Projects!$C$42+1),0)+IF(AND(Projects!$G$43="Yes",Projects!$M$43="Yes",93&gt;=Projects!$C$43,93&lt;Projects!$C$43+Projects!$D$43),Projects!$B$43*INDEX(Curves!$B$4:$AR$4,1,93-Projects!$C$43+1),0)+IF(AND(Projects!$G$44="Yes",Projects!$M$44="Yes",93&gt;=Projects!$C$44,93&lt;Projects!$C$44+Projects!$D$44),Projects!$B$44*INDEX(Curves!$B$4:$AR$4,1,93-Projects!$C$44+1),0)+IF(AND(Projects!$G$45="Yes",Projects!$M$45="Yes",93&gt;=Projects!$C$45,93&lt;Projects!$C$45+Projects!$D$45),Projects!$B$45*INDEX(Curves!$B$4:$AR$4,1,93-Projects!$C$45+1),0)+IF(AND(Projects!$G$46="Yes",Projects!$M$46="Yes",93&gt;=Projects!$C$46,93&lt;Projects!$C$46+Projects!$D$46),Projects!$B$46*INDEX(Curves!$B$4:$AR$4,1,93-Projects!$C$46+1),0)</f>
        <v>1036560</v>
      </c>
      <c r="CU101" s="63">
        <f>IF(AND(Projects!$G$17="Yes",Projects!$M$17="Yes",94&gt;=Projects!$C$17,94&lt;Projects!$C$17+Projects!$D$17),Projects!$B$17*INDEX(Curves!$B$4:$AR$4,1,94-Projects!$C$17+1),0)+IF(AND(Projects!$G$18="Yes",Projects!$M$18="Yes",94&gt;=Projects!$C$18,94&lt;Projects!$C$18+Projects!$D$18),Projects!$B$18*INDEX(Curves!$B$4:$AR$4,1,94-Projects!$C$18+1),0)+IF(AND(Projects!$G$19="Yes",Projects!$M$19="Yes",94&gt;=Projects!$C$19,94&lt;Projects!$C$19+Projects!$D$19),Projects!$B$19*INDEX(Curves!$B$4:$AR$4,1,94-Projects!$C$19+1),0)+IF(AND(Projects!$G$20="Yes",Projects!$M$20="Yes",94&gt;=Projects!$C$20,94&lt;Projects!$C$20+Projects!$D$20),Projects!$B$20*INDEX(Curves!$B$4:$AR$4,1,94-Projects!$C$20+1),0)+IF(AND(Projects!$G$21="Yes",Projects!$M$21="Yes",94&gt;=Projects!$C$21,94&lt;Projects!$C$21+Projects!$D$21),Projects!$B$21*INDEX(Curves!$B$4:$AR$4,1,94-Projects!$C$21+1),0)+IF(AND(Projects!$G$22="Yes",Projects!$M$22="Yes",94&gt;=Projects!$C$22,94&lt;Projects!$C$22+Projects!$D$22),Projects!$B$22*INDEX(Curves!$B$4:$AR$4,1,94-Projects!$C$22+1),0)+IF(AND(Projects!$G$23="Yes",Projects!$M$23="Yes",94&gt;=Projects!$C$23,94&lt;Projects!$C$23+Projects!$D$23),Projects!$B$23*INDEX(Curves!$B$4:$AR$4,1,94-Projects!$C$23+1),0)+IF(AND(Projects!$G$24="Yes",Projects!$M$24="Yes",94&gt;=Projects!$C$24,94&lt;Projects!$C$24+Projects!$D$24),Projects!$B$24*INDEX(Curves!$B$4:$AR$4,1,94-Projects!$C$24+1),0)+IF(AND(Projects!$G$25="Yes",Projects!$M$25="Yes",94&gt;=Projects!$C$25,94&lt;Projects!$C$25+Projects!$D$25),Projects!$B$25*INDEX(Curves!$B$4:$AR$4,1,94-Projects!$C$25+1),0)+IF(AND(Projects!$G$26="Yes",Projects!$M$26="Yes",94&gt;=Projects!$C$26,94&lt;Projects!$C$26+Projects!$D$26),Projects!$B$26*INDEX(Curves!$B$4:$AR$4,1,94-Projects!$C$26+1),0)+IF(AND(Projects!$G$27="Yes",Projects!$M$27="Yes",94&gt;=Projects!$C$27,94&lt;Projects!$C$27+Projects!$D$27),Projects!$B$27*INDEX(Curves!$B$4:$AR$4,1,94-Projects!$C$27+1),0)+IF(AND(Projects!$G$28="Yes",Projects!$M$28="Yes",94&gt;=Projects!$C$28,94&lt;Projects!$C$28+Projects!$D$28),Projects!$B$28*INDEX(Curves!$B$4:$AR$4,1,94-Projects!$C$28+1),0)+IF(AND(Projects!$G$29="Yes",Projects!$M$29="Yes",94&gt;=Projects!$C$29,94&lt;Projects!$C$29+Projects!$D$29),Projects!$B$29*INDEX(Curves!$B$4:$AR$4,1,94-Projects!$C$29+1),0)+IF(AND(Projects!$G$30="Yes",Projects!$M$30="Yes",94&gt;=Projects!$C$30,94&lt;Projects!$C$30+Projects!$D$30),Projects!$B$30*INDEX(Curves!$B$4:$AR$4,1,94-Projects!$C$30+1),0)+IF(AND(Projects!$G$31="Yes",Projects!$M$31="Yes",94&gt;=Projects!$C$31,94&lt;Projects!$C$31+Projects!$D$31),Projects!$B$31*INDEX(Curves!$B$4:$AR$4,1,94-Projects!$C$31+1),0)+IF(AND(Projects!$G$32="Yes",Projects!$M$32="Yes",94&gt;=Projects!$C$32,94&lt;Projects!$C$32+Projects!$D$32),Projects!$B$32*INDEX(Curves!$B$4:$AR$4,1,94-Projects!$C$32+1),0)+IF(AND(Projects!$G$33="Yes",Projects!$M$33="Yes",94&gt;=Projects!$C$33,94&lt;Projects!$C$33+Projects!$D$33),Projects!$B$33*INDEX(Curves!$B$4:$AR$4,1,94-Projects!$C$33+1),0)+IF(AND(Projects!$G$34="Yes",Projects!$M$34="Yes",94&gt;=Projects!$C$34,94&lt;Projects!$C$34+Projects!$D$34),Projects!$B$34*INDEX(Curves!$B$4:$AR$4,1,94-Projects!$C$34+1),0)+IF(AND(Projects!$G$35="Yes",Projects!$M$35="Yes",94&gt;=Projects!$C$35,94&lt;Projects!$C$35+Projects!$D$35),Projects!$B$35*INDEX(Curves!$B$4:$AR$4,1,94-Projects!$C$35+1),0)+IF(AND(Projects!$G$36="Yes",Projects!$M$36="Yes",94&gt;=Projects!$C$36,94&lt;Projects!$C$36+Projects!$D$36),Projects!$B$36*INDEX(Curves!$B$4:$AR$4,1,94-Projects!$C$36+1),0)+IF(AND(Projects!$G$37="Yes",Projects!$M$37="Yes",94&gt;=Projects!$C$37,94&lt;Projects!$C$37+Projects!$D$37),Projects!$B$37*INDEX(Curves!$B$4:$AR$4,1,94-Projects!$C$37+1),0)+IF(AND(Projects!$G$38="Yes",Projects!$M$38="Yes",94&gt;=Projects!$C$38,94&lt;Projects!$C$38+Projects!$D$38),Projects!$B$38*INDEX(Curves!$B$4:$AR$4,1,94-Projects!$C$38+1),0)+IF(AND(Projects!$G$39="Yes",Projects!$M$39="Yes",94&gt;=Projects!$C$39,94&lt;Projects!$C$39+Projects!$D$39),Projects!$B$39*INDEX(Curves!$B$4:$AR$4,1,94-Projects!$C$39+1),0)+IF(AND(Projects!$G$40="Yes",Projects!$M$40="Yes",94&gt;=Projects!$C$40,94&lt;Projects!$C$40+Projects!$D$40),Projects!$B$40*INDEX(Curves!$B$4:$AR$4,1,94-Projects!$C$40+1),0)+IF(AND(Projects!$G$41="Yes",Projects!$M$41="Yes",94&gt;=Projects!$C$41,94&lt;Projects!$C$41+Projects!$D$41),Projects!$B$41*INDEX(Curves!$B$4:$AR$4,1,94-Projects!$C$41+1),0)+IF(AND(Projects!$G$42="Yes",Projects!$M$42="Yes",94&gt;=Projects!$C$42,94&lt;Projects!$C$42+Projects!$D$42),Projects!$B$42*INDEX(Curves!$B$4:$AR$4,1,94-Projects!$C$42+1),0)+IF(AND(Projects!$G$43="Yes",Projects!$M$43="Yes",94&gt;=Projects!$C$43,94&lt;Projects!$C$43+Projects!$D$43),Projects!$B$43*INDEX(Curves!$B$4:$AR$4,1,94-Projects!$C$43+1),0)+IF(AND(Projects!$G$44="Yes",Projects!$M$44="Yes",94&gt;=Projects!$C$44,94&lt;Projects!$C$44+Projects!$D$44),Projects!$B$44*INDEX(Curves!$B$4:$AR$4,1,94-Projects!$C$44+1),0)+IF(AND(Projects!$G$45="Yes",Projects!$M$45="Yes",94&gt;=Projects!$C$45,94&lt;Projects!$C$45+Projects!$D$45),Projects!$B$45*INDEX(Curves!$B$4:$AR$4,1,94-Projects!$C$45+1),0)+IF(AND(Projects!$G$46="Yes",Projects!$M$46="Yes",94&gt;=Projects!$C$46,94&lt;Projects!$C$46+Projects!$D$46),Projects!$B$46*INDEX(Curves!$B$4:$AR$4,1,94-Projects!$C$46+1),0)</f>
        <v>974054.99999999988</v>
      </c>
      <c r="CV101" s="63">
        <f>IF(AND(Projects!$G$17="Yes",Projects!$M$17="Yes",95&gt;=Projects!$C$17,95&lt;Projects!$C$17+Projects!$D$17),Projects!$B$17*INDEX(Curves!$B$4:$AR$4,1,95-Projects!$C$17+1),0)+IF(AND(Projects!$G$18="Yes",Projects!$M$18="Yes",95&gt;=Projects!$C$18,95&lt;Projects!$C$18+Projects!$D$18),Projects!$B$18*INDEX(Curves!$B$4:$AR$4,1,95-Projects!$C$18+1),0)+IF(AND(Projects!$G$19="Yes",Projects!$M$19="Yes",95&gt;=Projects!$C$19,95&lt;Projects!$C$19+Projects!$D$19),Projects!$B$19*INDEX(Curves!$B$4:$AR$4,1,95-Projects!$C$19+1),0)+IF(AND(Projects!$G$20="Yes",Projects!$M$20="Yes",95&gt;=Projects!$C$20,95&lt;Projects!$C$20+Projects!$D$20),Projects!$B$20*INDEX(Curves!$B$4:$AR$4,1,95-Projects!$C$20+1),0)+IF(AND(Projects!$G$21="Yes",Projects!$M$21="Yes",95&gt;=Projects!$C$21,95&lt;Projects!$C$21+Projects!$D$21),Projects!$B$21*INDEX(Curves!$B$4:$AR$4,1,95-Projects!$C$21+1),0)+IF(AND(Projects!$G$22="Yes",Projects!$M$22="Yes",95&gt;=Projects!$C$22,95&lt;Projects!$C$22+Projects!$D$22),Projects!$B$22*INDEX(Curves!$B$4:$AR$4,1,95-Projects!$C$22+1),0)+IF(AND(Projects!$G$23="Yes",Projects!$M$23="Yes",95&gt;=Projects!$C$23,95&lt;Projects!$C$23+Projects!$D$23),Projects!$B$23*INDEX(Curves!$B$4:$AR$4,1,95-Projects!$C$23+1),0)+IF(AND(Projects!$G$24="Yes",Projects!$M$24="Yes",95&gt;=Projects!$C$24,95&lt;Projects!$C$24+Projects!$D$24),Projects!$B$24*INDEX(Curves!$B$4:$AR$4,1,95-Projects!$C$24+1),0)+IF(AND(Projects!$G$25="Yes",Projects!$M$25="Yes",95&gt;=Projects!$C$25,95&lt;Projects!$C$25+Projects!$D$25),Projects!$B$25*INDEX(Curves!$B$4:$AR$4,1,95-Projects!$C$25+1),0)+IF(AND(Projects!$G$26="Yes",Projects!$M$26="Yes",95&gt;=Projects!$C$26,95&lt;Projects!$C$26+Projects!$D$26),Projects!$B$26*INDEX(Curves!$B$4:$AR$4,1,95-Projects!$C$26+1),0)+IF(AND(Projects!$G$27="Yes",Projects!$M$27="Yes",95&gt;=Projects!$C$27,95&lt;Projects!$C$27+Projects!$D$27),Projects!$B$27*INDEX(Curves!$B$4:$AR$4,1,95-Projects!$C$27+1),0)+IF(AND(Projects!$G$28="Yes",Projects!$M$28="Yes",95&gt;=Projects!$C$28,95&lt;Projects!$C$28+Projects!$D$28),Projects!$B$28*INDEX(Curves!$B$4:$AR$4,1,95-Projects!$C$28+1),0)+IF(AND(Projects!$G$29="Yes",Projects!$M$29="Yes",95&gt;=Projects!$C$29,95&lt;Projects!$C$29+Projects!$D$29),Projects!$B$29*INDEX(Curves!$B$4:$AR$4,1,95-Projects!$C$29+1),0)+IF(AND(Projects!$G$30="Yes",Projects!$M$30="Yes",95&gt;=Projects!$C$30,95&lt;Projects!$C$30+Projects!$D$30),Projects!$B$30*INDEX(Curves!$B$4:$AR$4,1,95-Projects!$C$30+1),0)+IF(AND(Projects!$G$31="Yes",Projects!$M$31="Yes",95&gt;=Projects!$C$31,95&lt;Projects!$C$31+Projects!$D$31),Projects!$B$31*INDEX(Curves!$B$4:$AR$4,1,95-Projects!$C$31+1),0)+IF(AND(Projects!$G$32="Yes",Projects!$M$32="Yes",95&gt;=Projects!$C$32,95&lt;Projects!$C$32+Projects!$D$32),Projects!$B$32*INDEX(Curves!$B$4:$AR$4,1,95-Projects!$C$32+1),0)+IF(AND(Projects!$G$33="Yes",Projects!$M$33="Yes",95&gt;=Projects!$C$33,95&lt;Projects!$C$33+Projects!$D$33),Projects!$B$33*INDEX(Curves!$B$4:$AR$4,1,95-Projects!$C$33+1),0)+IF(AND(Projects!$G$34="Yes",Projects!$M$34="Yes",95&gt;=Projects!$C$34,95&lt;Projects!$C$34+Projects!$D$34),Projects!$B$34*INDEX(Curves!$B$4:$AR$4,1,95-Projects!$C$34+1),0)+IF(AND(Projects!$G$35="Yes",Projects!$M$35="Yes",95&gt;=Projects!$C$35,95&lt;Projects!$C$35+Projects!$D$35),Projects!$B$35*INDEX(Curves!$B$4:$AR$4,1,95-Projects!$C$35+1),0)+IF(AND(Projects!$G$36="Yes",Projects!$M$36="Yes",95&gt;=Projects!$C$36,95&lt;Projects!$C$36+Projects!$D$36),Projects!$B$36*INDEX(Curves!$B$4:$AR$4,1,95-Projects!$C$36+1),0)+IF(AND(Projects!$G$37="Yes",Projects!$M$37="Yes",95&gt;=Projects!$C$37,95&lt;Projects!$C$37+Projects!$D$37),Projects!$B$37*INDEX(Curves!$B$4:$AR$4,1,95-Projects!$C$37+1),0)+IF(AND(Projects!$G$38="Yes",Projects!$M$38="Yes",95&gt;=Projects!$C$38,95&lt;Projects!$C$38+Projects!$D$38),Projects!$B$38*INDEX(Curves!$B$4:$AR$4,1,95-Projects!$C$38+1),0)+IF(AND(Projects!$G$39="Yes",Projects!$M$39="Yes",95&gt;=Projects!$C$39,95&lt;Projects!$C$39+Projects!$D$39),Projects!$B$39*INDEX(Curves!$B$4:$AR$4,1,95-Projects!$C$39+1),0)+IF(AND(Projects!$G$40="Yes",Projects!$M$40="Yes",95&gt;=Projects!$C$40,95&lt;Projects!$C$40+Projects!$D$40),Projects!$B$40*INDEX(Curves!$B$4:$AR$4,1,95-Projects!$C$40+1),0)+IF(AND(Projects!$G$41="Yes",Projects!$M$41="Yes",95&gt;=Projects!$C$41,95&lt;Projects!$C$41+Projects!$D$41),Projects!$B$41*INDEX(Curves!$B$4:$AR$4,1,95-Projects!$C$41+1),0)+IF(AND(Projects!$G$42="Yes",Projects!$M$42="Yes",95&gt;=Projects!$C$42,95&lt;Projects!$C$42+Projects!$D$42),Projects!$B$42*INDEX(Curves!$B$4:$AR$4,1,95-Projects!$C$42+1),0)+IF(AND(Projects!$G$43="Yes",Projects!$M$43="Yes",95&gt;=Projects!$C$43,95&lt;Projects!$C$43+Projects!$D$43),Projects!$B$43*INDEX(Curves!$B$4:$AR$4,1,95-Projects!$C$43+1),0)+IF(AND(Projects!$G$44="Yes",Projects!$M$44="Yes",95&gt;=Projects!$C$44,95&lt;Projects!$C$44+Projects!$D$44),Projects!$B$44*INDEX(Curves!$B$4:$AR$4,1,95-Projects!$C$44+1),0)+IF(AND(Projects!$G$45="Yes",Projects!$M$45="Yes",95&gt;=Projects!$C$45,95&lt;Projects!$C$45+Projects!$D$45),Projects!$B$45*INDEX(Curves!$B$4:$AR$4,1,95-Projects!$C$45+1),0)+IF(AND(Projects!$G$46="Yes",Projects!$M$46="Yes",95&gt;=Projects!$C$46,95&lt;Projects!$C$46+Projects!$D$46),Projects!$B$46*INDEX(Curves!$B$4:$AR$4,1,95-Projects!$C$46+1),0)</f>
        <v>892830</v>
      </c>
      <c r="CW101" s="63">
        <f>IF(AND(Projects!$G$17="Yes",Projects!$M$17="Yes",96&gt;=Projects!$C$17,96&lt;Projects!$C$17+Projects!$D$17),Projects!$B$17*INDEX(Curves!$B$4:$AR$4,1,96-Projects!$C$17+1),0)+IF(AND(Projects!$G$18="Yes",Projects!$M$18="Yes",96&gt;=Projects!$C$18,96&lt;Projects!$C$18+Projects!$D$18),Projects!$B$18*INDEX(Curves!$B$4:$AR$4,1,96-Projects!$C$18+1),0)+IF(AND(Projects!$G$19="Yes",Projects!$M$19="Yes",96&gt;=Projects!$C$19,96&lt;Projects!$C$19+Projects!$D$19),Projects!$B$19*INDEX(Curves!$B$4:$AR$4,1,96-Projects!$C$19+1),0)+IF(AND(Projects!$G$20="Yes",Projects!$M$20="Yes",96&gt;=Projects!$C$20,96&lt;Projects!$C$20+Projects!$D$20),Projects!$B$20*INDEX(Curves!$B$4:$AR$4,1,96-Projects!$C$20+1),0)+IF(AND(Projects!$G$21="Yes",Projects!$M$21="Yes",96&gt;=Projects!$C$21,96&lt;Projects!$C$21+Projects!$D$21),Projects!$B$21*INDEX(Curves!$B$4:$AR$4,1,96-Projects!$C$21+1),0)+IF(AND(Projects!$G$22="Yes",Projects!$M$22="Yes",96&gt;=Projects!$C$22,96&lt;Projects!$C$22+Projects!$D$22),Projects!$B$22*INDEX(Curves!$B$4:$AR$4,1,96-Projects!$C$22+1),0)+IF(AND(Projects!$G$23="Yes",Projects!$M$23="Yes",96&gt;=Projects!$C$23,96&lt;Projects!$C$23+Projects!$D$23),Projects!$B$23*INDEX(Curves!$B$4:$AR$4,1,96-Projects!$C$23+1),0)+IF(AND(Projects!$G$24="Yes",Projects!$M$24="Yes",96&gt;=Projects!$C$24,96&lt;Projects!$C$24+Projects!$D$24),Projects!$B$24*INDEX(Curves!$B$4:$AR$4,1,96-Projects!$C$24+1),0)+IF(AND(Projects!$G$25="Yes",Projects!$M$25="Yes",96&gt;=Projects!$C$25,96&lt;Projects!$C$25+Projects!$D$25),Projects!$B$25*INDEX(Curves!$B$4:$AR$4,1,96-Projects!$C$25+1),0)+IF(AND(Projects!$G$26="Yes",Projects!$M$26="Yes",96&gt;=Projects!$C$26,96&lt;Projects!$C$26+Projects!$D$26),Projects!$B$26*INDEX(Curves!$B$4:$AR$4,1,96-Projects!$C$26+1),0)+IF(AND(Projects!$G$27="Yes",Projects!$M$27="Yes",96&gt;=Projects!$C$27,96&lt;Projects!$C$27+Projects!$D$27),Projects!$B$27*INDEX(Curves!$B$4:$AR$4,1,96-Projects!$C$27+1),0)+IF(AND(Projects!$G$28="Yes",Projects!$M$28="Yes",96&gt;=Projects!$C$28,96&lt;Projects!$C$28+Projects!$D$28),Projects!$B$28*INDEX(Curves!$B$4:$AR$4,1,96-Projects!$C$28+1),0)+IF(AND(Projects!$G$29="Yes",Projects!$M$29="Yes",96&gt;=Projects!$C$29,96&lt;Projects!$C$29+Projects!$D$29),Projects!$B$29*INDEX(Curves!$B$4:$AR$4,1,96-Projects!$C$29+1),0)+IF(AND(Projects!$G$30="Yes",Projects!$M$30="Yes",96&gt;=Projects!$C$30,96&lt;Projects!$C$30+Projects!$D$30),Projects!$B$30*INDEX(Curves!$B$4:$AR$4,1,96-Projects!$C$30+1),0)+IF(AND(Projects!$G$31="Yes",Projects!$M$31="Yes",96&gt;=Projects!$C$31,96&lt;Projects!$C$31+Projects!$D$31),Projects!$B$31*INDEX(Curves!$B$4:$AR$4,1,96-Projects!$C$31+1),0)+IF(AND(Projects!$G$32="Yes",Projects!$M$32="Yes",96&gt;=Projects!$C$32,96&lt;Projects!$C$32+Projects!$D$32),Projects!$B$32*INDEX(Curves!$B$4:$AR$4,1,96-Projects!$C$32+1),0)+IF(AND(Projects!$G$33="Yes",Projects!$M$33="Yes",96&gt;=Projects!$C$33,96&lt;Projects!$C$33+Projects!$D$33),Projects!$B$33*INDEX(Curves!$B$4:$AR$4,1,96-Projects!$C$33+1),0)+IF(AND(Projects!$G$34="Yes",Projects!$M$34="Yes",96&gt;=Projects!$C$34,96&lt;Projects!$C$34+Projects!$D$34),Projects!$B$34*INDEX(Curves!$B$4:$AR$4,1,96-Projects!$C$34+1),0)+IF(AND(Projects!$G$35="Yes",Projects!$M$35="Yes",96&gt;=Projects!$C$35,96&lt;Projects!$C$35+Projects!$D$35),Projects!$B$35*INDEX(Curves!$B$4:$AR$4,1,96-Projects!$C$35+1),0)+IF(AND(Projects!$G$36="Yes",Projects!$M$36="Yes",96&gt;=Projects!$C$36,96&lt;Projects!$C$36+Projects!$D$36),Projects!$B$36*INDEX(Curves!$B$4:$AR$4,1,96-Projects!$C$36+1),0)+IF(AND(Projects!$G$37="Yes",Projects!$M$37="Yes",96&gt;=Projects!$C$37,96&lt;Projects!$C$37+Projects!$D$37),Projects!$B$37*INDEX(Curves!$B$4:$AR$4,1,96-Projects!$C$37+1),0)+IF(AND(Projects!$G$38="Yes",Projects!$M$38="Yes",96&gt;=Projects!$C$38,96&lt;Projects!$C$38+Projects!$D$38),Projects!$B$38*INDEX(Curves!$B$4:$AR$4,1,96-Projects!$C$38+1),0)+IF(AND(Projects!$G$39="Yes",Projects!$M$39="Yes",96&gt;=Projects!$C$39,96&lt;Projects!$C$39+Projects!$D$39),Projects!$B$39*INDEX(Curves!$B$4:$AR$4,1,96-Projects!$C$39+1),0)+IF(AND(Projects!$G$40="Yes",Projects!$M$40="Yes",96&gt;=Projects!$C$40,96&lt;Projects!$C$40+Projects!$D$40),Projects!$B$40*INDEX(Curves!$B$4:$AR$4,1,96-Projects!$C$40+1),0)+IF(AND(Projects!$G$41="Yes",Projects!$M$41="Yes",96&gt;=Projects!$C$41,96&lt;Projects!$C$41+Projects!$D$41),Projects!$B$41*INDEX(Curves!$B$4:$AR$4,1,96-Projects!$C$41+1),0)+IF(AND(Projects!$G$42="Yes",Projects!$M$42="Yes",96&gt;=Projects!$C$42,96&lt;Projects!$C$42+Projects!$D$42),Projects!$B$42*INDEX(Curves!$B$4:$AR$4,1,96-Projects!$C$42+1),0)+IF(AND(Projects!$G$43="Yes",Projects!$M$43="Yes",96&gt;=Projects!$C$43,96&lt;Projects!$C$43+Projects!$D$43),Projects!$B$43*INDEX(Curves!$B$4:$AR$4,1,96-Projects!$C$43+1),0)+IF(AND(Projects!$G$44="Yes",Projects!$M$44="Yes",96&gt;=Projects!$C$44,96&lt;Projects!$C$44+Projects!$D$44),Projects!$B$44*INDEX(Curves!$B$4:$AR$4,1,96-Projects!$C$44+1),0)+IF(AND(Projects!$G$45="Yes",Projects!$M$45="Yes",96&gt;=Projects!$C$45,96&lt;Projects!$C$45+Projects!$D$45),Projects!$B$45*INDEX(Curves!$B$4:$AR$4,1,96-Projects!$C$45+1),0)+IF(AND(Projects!$G$46="Yes",Projects!$M$46="Yes",96&gt;=Projects!$C$46,96&lt;Projects!$C$46+Projects!$D$46),Projects!$B$46*INDEX(Curves!$B$4:$AR$4,1,96-Projects!$C$46+1),0)</f>
        <v>798270</v>
      </c>
      <c r="CX101" s="63">
        <f>IF(AND(Projects!$G$17="Yes",Projects!$M$17="Yes",97&gt;=Projects!$C$17,97&lt;Projects!$C$17+Projects!$D$17),Projects!$B$17*INDEX(Curves!$B$4:$AR$4,1,97-Projects!$C$17+1),0)+IF(AND(Projects!$G$18="Yes",Projects!$M$18="Yes",97&gt;=Projects!$C$18,97&lt;Projects!$C$18+Projects!$D$18),Projects!$B$18*INDEX(Curves!$B$4:$AR$4,1,97-Projects!$C$18+1),0)+IF(AND(Projects!$G$19="Yes",Projects!$M$19="Yes",97&gt;=Projects!$C$19,97&lt;Projects!$C$19+Projects!$D$19),Projects!$B$19*INDEX(Curves!$B$4:$AR$4,1,97-Projects!$C$19+1),0)+IF(AND(Projects!$G$20="Yes",Projects!$M$20="Yes",97&gt;=Projects!$C$20,97&lt;Projects!$C$20+Projects!$D$20),Projects!$B$20*INDEX(Curves!$B$4:$AR$4,1,97-Projects!$C$20+1),0)+IF(AND(Projects!$G$21="Yes",Projects!$M$21="Yes",97&gt;=Projects!$C$21,97&lt;Projects!$C$21+Projects!$D$21),Projects!$B$21*INDEX(Curves!$B$4:$AR$4,1,97-Projects!$C$21+1),0)+IF(AND(Projects!$G$22="Yes",Projects!$M$22="Yes",97&gt;=Projects!$C$22,97&lt;Projects!$C$22+Projects!$D$22),Projects!$B$22*INDEX(Curves!$B$4:$AR$4,1,97-Projects!$C$22+1),0)+IF(AND(Projects!$G$23="Yes",Projects!$M$23="Yes",97&gt;=Projects!$C$23,97&lt;Projects!$C$23+Projects!$D$23),Projects!$B$23*INDEX(Curves!$B$4:$AR$4,1,97-Projects!$C$23+1),0)+IF(AND(Projects!$G$24="Yes",Projects!$M$24="Yes",97&gt;=Projects!$C$24,97&lt;Projects!$C$24+Projects!$D$24),Projects!$B$24*INDEX(Curves!$B$4:$AR$4,1,97-Projects!$C$24+1),0)+IF(AND(Projects!$G$25="Yes",Projects!$M$25="Yes",97&gt;=Projects!$C$25,97&lt;Projects!$C$25+Projects!$D$25),Projects!$B$25*INDEX(Curves!$B$4:$AR$4,1,97-Projects!$C$25+1),0)+IF(AND(Projects!$G$26="Yes",Projects!$M$26="Yes",97&gt;=Projects!$C$26,97&lt;Projects!$C$26+Projects!$D$26),Projects!$B$26*INDEX(Curves!$B$4:$AR$4,1,97-Projects!$C$26+1),0)+IF(AND(Projects!$G$27="Yes",Projects!$M$27="Yes",97&gt;=Projects!$C$27,97&lt;Projects!$C$27+Projects!$D$27),Projects!$B$27*INDEX(Curves!$B$4:$AR$4,1,97-Projects!$C$27+1),0)+IF(AND(Projects!$G$28="Yes",Projects!$M$28="Yes",97&gt;=Projects!$C$28,97&lt;Projects!$C$28+Projects!$D$28),Projects!$B$28*INDEX(Curves!$B$4:$AR$4,1,97-Projects!$C$28+1),0)+IF(AND(Projects!$G$29="Yes",Projects!$M$29="Yes",97&gt;=Projects!$C$29,97&lt;Projects!$C$29+Projects!$D$29),Projects!$B$29*INDEX(Curves!$B$4:$AR$4,1,97-Projects!$C$29+1),0)+IF(AND(Projects!$G$30="Yes",Projects!$M$30="Yes",97&gt;=Projects!$C$30,97&lt;Projects!$C$30+Projects!$D$30),Projects!$B$30*INDEX(Curves!$B$4:$AR$4,1,97-Projects!$C$30+1),0)+IF(AND(Projects!$G$31="Yes",Projects!$M$31="Yes",97&gt;=Projects!$C$31,97&lt;Projects!$C$31+Projects!$D$31),Projects!$B$31*INDEX(Curves!$B$4:$AR$4,1,97-Projects!$C$31+1),0)+IF(AND(Projects!$G$32="Yes",Projects!$M$32="Yes",97&gt;=Projects!$C$32,97&lt;Projects!$C$32+Projects!$D$32),Projects!$B$32*INDEX(Curves!$B$4:$AR$4,1,97-Projects!$C$32+1),0)+IF(AND(Projects!$G$33="Yes",Projects!$M$33="Yes",97&gt;=Projects!$C$33,97&lt;Projects!$C$33+Projects!$D$33),Projects!$B$33*INDEX(Curves!$B$4:$AR$4,1,97-Projects!$C$33+1),0)+IF(AND(Projects!$G$34="Yes",Projects!$M$34="Yes",97&gt;=Projects!$C$34,97&lt;Projects!$C$34+Projects!$D$34),Projects!$B$34*INDEX(Curves!$B$4:$AR$4,1,97-Projects!$C$34+1),0)+IF(AND(Projects!$G$35="Yes",Projects!$M$35="Yes",97&gt;=Projects!$C$35,97&lt;Projects!$C$35+Projects!$D$35),Projects!$B$35*INDEX(Curves!$B$4:$AR$4,1,97-Projects!$C$35+1),0)+IF(AND(Projects!$G$36="Yes",Projects!$M$36="Yes",97&gt;=Projects!$C$36,97&lt;Projects!$C$36+Projects!$D$36),Projects!$B$36*INDEX(Curves!$B$4:$AR$4,1,97-Projects!$C$36+1),0)+IF(AND(Projects!$G$37="Yes",Projects!$M$37="Yes",97&gt;=Projects!$C$37,97&lt;Projects!$C$37+Projects!$D$37),Projects!$B$37*INDEX(Curves!$B$4:$AR$4,1,97-Projects!$C$37+1),0)+IF(AND(Projects!$G$38="Yes",Projects!$M$38="Yes",97&gt;=Projects!$C$38,97&lt;Projects!$C$38+Projects!$D$38),Projects!$B$38*INDEX(Curves!$B$4:$AR$4,1,97-Projects!$C$38+1),0)+IF(AND(Projects!$G$39="Yes",Projects!$M$39="Yes",97&gt;=Projects!$C$39,97&lt;Projects!$C$39+Projects!$D$39),Projects!$B$39*INDEX(Curves!$B$4:$AR$4,1,97-Projects!$C$39+1),0)+IF(AND(Projects!$G$40="Yes",Projects!$M$40="Yes",97&gt;=Projects!$C$40,97&lt;Projects!$C$40+Projects!$D$40),Projects!$B$40*INDEX(Curves!$B$4:$AR$4,1,97-Projects!$C$40+1),0)+IF(AND(Projects!$G$41="Yes",Projects!$M$41="Yes",97&gt;=Projects!$C$41,97&lt;Projects!$C$41+Projects!$D$41),Projects!$B$41*INDEX(Curves!$B$4:$AR$4,1,97-Projects!$C$41+1),0)+IF(AND(Projects!$G$42="Yes",Projects!$M$42="Yes",97&gt;=Projects!$C$42,97&lt;Projects!$C$42+Projects!$D$42),Projects!$B$42*INDEX(Curves!$B$4:$AR$4,1,97-Projects!$C$42+1),0)+IF(AND(Projects!$G$43="Yes",Projects!$M$43="Yes",97&gt;=Projects!$C$43,97&lt;Projects!$C$43+Projects!$D$43),Projects!$B$43*INDEX(Curves!$B$4:$AR$4,1,97-Projects!$C$43+1),0)+IF(AND(Projects!$G$44="Yes",Projects!$M$44="Yes",97&gt;=Projects!$C$44,97&lt;Projects!$C$44+Projects!$D$44),Projects!$B$44*INDEX(Curves!$B$4:$AR$4,1,97-Projects!$C$44+1),0)+IF(AND(Projects!$G$45="Yes",Projects!$M$45="Yes",97&gt;=Projects!$C$45,97&lt;Projects!$C$45+Projects!$D$45),Projects!$B$45*INDEX(Curves!$B$4:$AR$4,1,97-Projects!$C$45+1),0)+IF(AND(Projects!$G$46="Yes",Projects!$M$46="Yes",97&gt;=Projects!$C$46,97&lt;Projects!$C$46+Projects!$D$46),Projects!$B$46*INDEX(Curves!$B$4:$AR$4,1,97-Projects!$C$46+1),0)</f>
        <v>696180</v>
      </c>
      <c r="CY101" s="63">
        <f>IF(AND(Projects!$G$17="Yes",Projects!$M$17="Yes",98&gt;=Projects!$C$17,98&lt;Projects!$C$17+Projects!$D$17),Projects!$B$17*INDEX(Curves!$B$4:$AR$4,1,98-Projects!$C$17+1),0)+IF(AND(Projects!$G$18="Yes",Projects!$M$18="Yes",98&gt;=Projects!$C$18,98&lt;Projects!$C$18+Projects!$D$18),Projects!$B$18*INDEX(Curves!$B$4:$AR$4,1,98-Projects!$C$18+1),0)+IF(AND(Projects!$G$19="Yes",Projects!$M$19="Yes",98&gt;=Projects!$C$19,98&lt;Projects!$C$19+Projects!$D$19),Projects!$B$19*INDEX(Curves!$B$4:$AR$4,1,98-Projects!$C$19+1),0)+IF(AND(Projects!$G$20="Yes",Projects!$M$20="Yes",98&gt;=Projects!$C$20,98&lt;Projects!$C$20+Projects!$D$20),Projects!$B$20*INDEX(Curves!$B$4:$AR$4,1,98-Projects!$C$20+1),0)+IF(AND(Projects!$G$21="Yes",Projects!$M$21="Yes",98&gt;=Projects!$C$21,98&lt;Projects!$C$21+Projects!$D$21),Projects!$B$21*INDEX(Curves!$B$4:$AR$4,1,98-Projects!$C$21+1),0)+IF(AND(Projects!$G$22="Yes",Projects!$M$22="Yes",98&gt;=Projects!$C$22,98&lt;Projects!$C$22+Projects!$D$22),Projects!$B$22*INDEX(Curves!$B$4:$AR$4,1,98-Projects!$C$22+1),0)+IF(AND(Projects!$G$23="Yes",Projects!$M$23="Yes",98&gt;=Projects!$C$23,98&lt;Projects!$C$23+Projects!$D$23),Projects!$B$23*INDEX(Curves!$B$4:$AR$4,1,98-Projects!$C$23+1),0)+IF(AND(Projects!$G$24="Yes",Projects!$M$24="Yes",98&gt;=Projects!$C$24,98&lt;Projects!$C$24+Projects!$D$24),Projects!$B$24*INDEX(Curves!$B$4:$AR$4,1,98-Projects!$C$24+1),0)+IF(AND(Projects!$G$25="Yes",Projects!$M$25="Yes",98&gt;=Projects!$C$25,98&lt;Projects!$C$25+Projects!$D$25),Projects!$B$25*INDEX(Curves!$B$4:$AR$4,1,98-Projects!$C$25+1),0)+IF(AND(Projects!$G$26="Yes",Projects!$M$26="Yes",98&gt;=Projects!$C$26,98&lt;Projects!$C$26+Projects!$D$26),Projects!$B$26*INDEX(Curves!$B$4:$AR$4,1,98-Projects!$C$26+1),0)+IF(AND(Projects!$G$27="Yes",Projects!$M$27="Yes",98&gt;=Projects!$C$27,98&lt;Projects!$C$27+Projects!$D$27),Projects!$B$27*INDEX(Curves!$B$4:$AR$4,1,98-Projects!$C$27+1),0)+IF(AND(Projects!$G$28="Yes",Projects!$M$28="Yes",98&gt;=Projects!$C$28,98&lt;Projects!$C$28+Projects!$D$28),Projects!$B$28*INDEX(Curves!$B$4:$AR$4,1,98-Projects!$C$28+1),0)+IF(AND(Projects!$G$29="Yes",Projects!$M$29="Yes",98&gt;=Projects!$C$29,98&lt;Projects!$C$29+Projects!$D$29),Projects!$B$29*INDEX(Curves!$B$4:$AR$4,1,98-Projects!$C$29+1),0)+IF(AND(Projects!$G$30="Yes",Projects!$M$30="Yes",98&gt;=Projects!$C$30,98&lt;Projects!$C$30+Projects!$D$30),Projects!$B$30*INDEX(Curves!$B$4:$AR$4,1,98-Projects!$C$30+1),0)+IF(AND(Projects!$G$31="Yes",Projects!$M$31="Yes",98&gt;=Projects!$C$31,98&lt;Projects!$C$31+Projects!$D$31),Projects!$B$31*INDEX(Curves!$B$4:$AR$4,1,98-Projects!$C$31+1),0)+IF(AND(Projects!$G$32="Yes",Projects!$M$32="Yes",98&gt;=Projects!$C$32,98&lt;Projects!$C$32+Projects!$D$32),Projects!$B$32*INDEX(Curves!$B$4:$AR$4,1,98-Projects!$C$32+1),0)+IF(AND(Projects!$G$33="Yes",Projects!$M$33="Yes",98&gt;=Projects!$C$33,98&lt;Projects!$C$33+Projects!$D$33),Projects!$B$33*INDEX(Curves!$B$4:$AR$4,1,98-Projects!$C$33+1),0)+IF(AND(Projects!$G$34="Yes",Projects!$M$34="Yes",98&gt;=Projects!$C$34,98&lt;Projects!$C$34+Projects!$D$34),Projects!$B$34*INDEX(Curves!$B$4:$AR$4,1,98-Projects!$C$34+1),0)+IF(AND(Projects!$G$35="Yes",Projects!$M$35="Yes",98&gt;=Projects!$C$35,98&lt;Projects!$C$35+Projects!$D$35),Projects!$B$35*INDEX(Curves!$B$4:$AR$4,1,98-Projects!$C$35+1),0)+IF(AND(Projects!$G$36="Yes",Projects!$M$36="Yes",98&gt;=Projects!$C$36,98&lt;Projects!$C$36+Projects!$D$36),Projects!$B$36*INDEX(Curves!$B$4:$AR$4,1,98-Projects!$C$36+1),0)+IF(AND(Projects!$G$37="Yes",Projects!$M$37="Yes",98&gt;=Projects!$C$37,98&lt;Projects!$C$37+Projects!$D$37),Projects!$B$37*INDEX(Curves!$B$4:$AR$4,1,98-Projects!$C$37+1),0)+IF(AND(Projects!$G$38="Yes",Projects!$M$38="Yes",98&gt;=Projects!$C$38,98&lt;Projects!$C$38+Projects!$D$38),Projects!$B$38*INDEX(Curves!$B$4:$AR$4,1,98-Projects!$C$38+1),0)+IF(AND(Projects!$G$39="Yes",Projects!$M$39="Yes",98&gt;=Projects!$C$39,98&lt;Projects!$C$39+Projects!$D$39),Projects!$B$39*INDEX(Curves!$B$4:$AR$4,1,98-Projects!$C$39+1),0)+IF(AND(Projects!$G$40="Yes",Projects!$M$40="Yes",98&gt;=Projects!$C$40,98&lt;Projects!$C$40+Projects!$D$40),Projects!$B$40*INDEX(Curves!$B$4:$AR$4,1,98-Projects!$C$40+1),0)+IF(AND(Projects!$G$41="Yes",Projects!$M$41="Yes",98&gt;=Projects!$C$41,98&lt;Projects!$C$41+Projects!$D$41),Projects!$B$41*INDEX(Curves!$B$4:$AR$4,1,98-Projects!$C$41+1),0)+IF(AND(Projects!$G$42="Yes",Projects!$M$42="Yes",98&gt;=Projects!$C$42,98&lt;Projects!$C$42+Projects!$D$42),Projects!$B$42*INDEX(Curves!$B$4:$AR$4,1,98-Projects!$C$42+1),0)+IF(AND(Projects!$G$43="Yes",Projects!$M$43="Yes",98&gt;=Projects!$C$43,98&lt;Projects!$C$43+Projects!$D$43),Projects!$B$43*INDEX(Curves!$B$4:$AR$4,1,98-Projects!$C$43+1),0)+IF(AND(Projects!$G$44="Yes",Projects!$M$44="Yes",98&gt;=Projects!$C$44,98&lt;Projects!$C$44+Projects!$D$44),Projects!$B$44*INDEX(Curves!$B$4:$AR$4,1,98-Projects!$C$44+1),0)+IF(AND(Projects!$G$45="Yes",Projects!$M$45="Yes",98&gt;=Projects!$C$45,98&lt;Projects!$C$45+Projects!$D$45),Projects!$B$45*INDEX(Curves!$B$4:$AR$4,1,98-Projects!$C$45+1),0)+IF(AND(Projects!$G$46="Yes",Projects!$M$46="Yes",98&gt;=Projects!$C$46,98&lt;Projects!$C$46+Projects!$D$46),Projects!$B$46*INDEX(Curves!$B$4:$AR$4,1,98-Projects!$C$46+1),0)</f>
        <v>592230</v>
      </c>
      <c r="CZ101" s="63">
        <f>IF(AND(Projects!$G$17="Yes",Projects!$M$17="Yes",99&gt;=Projects!$C$17,99&lt;Projects!$C$17+Projects!$D$17),Projects!$B$17*INDEX(Curves!$B$4:$AR$4,1,99-Projects!$C$17+1),0)+IF(AND(Projects!$G$18="Yes",Projects!$M$18="Yes",99&gt;=Projects!$C$18,99&lt;Projects!$C$18+Projects!$D$18),Projects!$B$18*INDEX(Curves!$B$4:$AR$4,1,99-Projects!$C$18+1),0)+IF(AND(Projects!$G$19="Yes",Projects!$M$19="Yes",99&gt;=Projects!$C$19,99&lt;Projects!$C$19+Projects!$D$19),Projects!$B$19*INDEX(Curves!$B$4:$AR$4,1,99-Projects!$C$19+1),0)+IF(AND(Projects!$G$20="Yes",Projects!$M$20="Yes",99&gt;=Projects!$C$20,99&lt;Projects!$C$20+Projects!$D$20),Projects!$B$20*INDEX(Curves!$B$4:$AR$4,1,99-Projects!$C$20+1),0)+IF(AND(Projects!$G$21="Yes",Projects!$M$21="Yes",99&gt;=Projects!$C$21,99&lt;Projects!$C$21+Projects!$D$21),Projects!$B$21*INDEX(Curves!$B$4:$AR$4,1,99-Projects!$C$21+1),0)+IF(AND(Projects!$G$22="Yes",Projects!$M$22="Yes",99&gt;=Projects!$C$22,99&lt;Projects!$C$22+Projects!$D$22),Projects!$B$22*INDEX(Curves!$B$4:$AR$4,1,99-Projects!$C$22+1),0)+IF(AND(Projects!$G$23="Yes",Projects!$M$23="Yes",99&gt;=Projects!$C$23,99&lt;Projects!$C$23+Projects!$D$23),Projects!$B$23*INDEX(Curves!$B$4:$AR$4,1,99-Projects!$C$23+1),0)+IF(AND(Projects!$G$24="Yes",Projects!$M$24="Yes",99&gt;=Projects!$C$24,99&lt;Projects!$C$24+Projects!$D$24),Projects!$B$24*INDEX(Curves!$B$4:$AR$4,1,99-Projects!$C$24+1),0)+IF(AND(Projects!$G$25="Yes",Projects!$M$25="Yes",99&gt;=Projects!$C$25,99&lt;Projects!$C$25+Projects!$D$25),Projects!$B$25*INDEX(Curves!$B$4:$AR$4,1,99-Projects!$C$25+1),0)+IF(AND(Projects!$G$26="Yes",Projects!$M$26="Yes",99&gt;=Projects!$C$26,99&lt;Projects!$C$26+Projects!$D$26),Projects!$B$26*INDEX(Curves!$B$4:$AR$4,1,99-Projects!$C$26+1),0)+IF(AND(Projects!$G$27="Yes",Projects!$M$27="Yes",99&gt;=Projects!$C$27,99&lt;Projects!$C$27+Projects!$D$27),Projects!$B$27*INDEX(Curves!$B$4:$AR$4,1,99-Projects!$C$27+1),0)+IF(AND(Projects!$G$28="Yes",Projects!$M$28="Yes",99&gt;=Projects!$C$28,99&lt;Projects!$C$28+Projects!$D$28),Projects!$B$28*INDEX(Curves!$B$4:$AR$4,1,99-Projects!$C$28+1),0)+IF(AND(Projects!$G$29="Yes",Projects!$M$29="Yes",99&gt;=Projects!$C$29,99&lt;Projects!$C$29+Projects!$D$29),Projects!$B$29*INDEX(Curves!$B$4:$AR$4,1,99-Projects!$C$29+1),0)+IF(AND(Projects!$G$30="Yes",Projects!$M$30="Yes",99&gt;=Projects!$C$30,99&lt;Projects!$C$30+Projects!$D$30),Projects!$B$30*INDEX(Curves!$B$4:$AR$4,1,99-Projects!$C$30+1),0)+IF(AND(Projects!$G$31="Yes",Projects!$M$31="Yes",99&gt;=Projects!$C$31,99&lt;Projects!$C$31+Projects!$D$31),Projects!$B$31*INDEX(Curves!$B$4:$AR$4,1,99-Projects!$C$31+1),0)+IF(AND(Projects!$G$32="Yes",Projects!$M$32="Yes",99&gt;=Projects!$C$32,99&lt;Projects!$C$32+Projects!$D$32),Projects!$B$32*INDEX(Curves!$B$4:$AR$4,1,99-Projects!$C$32+1),0)+IF(AND(Projects!$G$33="Yes",Projects!$M$33="Yes",99&gt;=Projects!$C$33,99&lt;Projects!$C$33+Projects!$D$33),Projects!$B$33*INDEX(Curves!$B$4:$AR$4,1,99-Projects!$C$33+1),0)+IF(AND(Projects!$G$34="Yes",Projects!$M$34="Yes",99&gt;=Projects!$C$34,99&lt;Projects!$C$34+Projects!$D$34),Projects!$B$34*INDEX(Curves!$B$4:$AR$4,1,99-Projects!$C$34+1),0)+IF(AND(Projects!$G$35="Yes",Projects!$M$35="Yes",99&gt;=Projects!$C$35,99&lt;Projects!$C$35+Projects!$D$35),Projects!$B$35*INDEX(Curves!$B$4:$AR$4,1,99-Projects!$C$35+1),0)+IF(AND(Projects!$G$36="Yes",Projects!$M$36="Yes",99&gt;=Projects!$C$36,99&lt;Projects!$C$36+Projects!$D$36),Projects!$B$36*INDEX(Curves!$B$4:$AR$4,1,99-Projects!$C$36+1),0)+IF(AND(Projects!$G$37="Yes",Projects!$M$37="Yes",99&gt;=Projects!$C$37,99&lt;Projects!$C$37+Projects!$D$37),Projects!$B$37*INDEX(Curves!$B$4:$AR$4,1,99-Projects!$C$37+1),0)+IF(AND(Projects!$G$38="Yes",Projects!$M$38="Yes",99&gt;=Projects!$C$38,99&lt;Projects!$C$38+Projects!$D$38),Projects!$B$38*INDEX(Curves!$B$4:$AR$4,1,99-Projects!$C$38+1),0)+IF(AND(Projects!$G$39="Yes",Projects!$M$39="Yes",99&gt;=Projects!$C$39,99&lt;Projects!$C$39+Projects!$D$39),Projects!$B$39*INDEX(Curves!$B$4:$AR$4,1,99-Projects!$C$39+1),0)+IF(AND(Projects!$G$40="Yes",Projects!$M$40="Yes",99&gt;=Projects!$C$40,99&lt;Projects!$C$40+Projects!$D$40),Projects!$B$40*INDEX(Curves!$B$4:$AR$4,1,99-Projects!$C$40+1),0)+IF(AND(Projects!$G$41="Yes",Projects!$M$41="Yes",99&gt;=Projects!$C$41,99&lt;Projects!$C$41+Projects!$D$41),Projects!$B$41*INDEX(Curves!$B$4:$AR$4,1,99-Projects!$C$41+1),0)+IF(AND(Projects!$G$42="Yes",Projects!$M$42="Yes",99&gt;=Projects!$C$42,99&lt;Projects!$C$42+Projects!$D$42),Projects!$B$42*INDEX(Curves!$B$4:$AR$4,1,99-Projects!$C$42+1),0)+IF(AND(Projects!$G$43="Yes",Projects!$M$43="Yes",99&gt;=Projects!$C$43,99&lt;Projects!$C$43+Projects!$D$43),Projects!$B$43*INDEX(Curves!$B$4:$AR$4,1,99-Projects!$C$43+1),0)+IF(AND(Projects!$G$44="Yes",Projects!$M$44="Yes",99&gt;=Projects!$C$44,99&lt;Projects!$C$44+Projects!$D$44),Projects!$B$44*INDEX(Curves!$B$4:$AR$4,1,99-Projects!$C$44+1),0)+IF(AND(Projects!$G$45="Yes",Projects!$M$45="Yes",99&gt;=Projects!$C$45,99&lt;Projects!$C$45+Projects!$D$45),Projects!$B$45*INDEX(Curves!$B$4:$AR$4,1,99-Projects!$C$45+1),0)+IF(AND(Projects!$G$46="Yes",Projects!$M$46="Yes",99&gt;=Projects!$C$46,99&lt;Projects!$C$46+Projects!$D$46),Projects!$B$46*INDEX(Curves!$B$4:$AR$4,1,99-Projects!$C$46+1),0)</f>
        <v>491415</v>
      </c>
      <c r="DA101" s="63">
        <f>IF(AND(Projects!$G$17="Yes",Projects!$M$17="Yes",100&gt;=Projects!$C$17,100&lt;Projects!$C$17+Projects!$D$17),Projects!$B$17*INDEX(Curves!$B$4:$AR$4,1,100-Projects!$C$17+1),0)+IF(AND(Projects!$G$18="Yes",Projects!$M$18="Yes",100&gt;=Projects!$C$18,100&lt;Projects!$C$18+Projects!$D$18),Projects!$B$18*INDEX(Curves!$B$4:$AR$4,1,100-Projects!$C$18+1),0)+IF(AND(Projects!$G$19="Yes",Projects!$M$19="Yes",100&gt;=Projects!$C$19,100&lt;Projects!$C$19+Projects!$D$19),Projects!$B$19*INDEX(Curves!$B$4:$AR$4,1,100-Projects!$C$19+1),0)+IF(AND(Projects!$G$20="Yes",Projects!$M$20="Yes",100&gt;=Projects!$C$20,100&lt;Projects!$C$20+Projects!$D$20),Projects!$B$20*INDEX(Curves!$B$4:$AR$4,1,100-Projects!$C$20+1),0)+IF(AND(Projects!$G$21="Yes",Projects!$M$21="Yes",100&gt;=Projects!$C$21,100&lt;Projects!$C$21+Projects!$D$21),Projects!$B$21*INDEX(Curves!$B$4:$AR$4,1,100-Projects!$C$21+1),0)+IF(AND(Projects!$G$22="Yes",Projects!$M$22="Yes",100&gt;=Projects!$C$22,100&lt;Projects!$C$22+Projects!$D$22),Projects!$B$22*INDEX(Curves!$B$4:$AR$4,1,100-Projects!$C$22+1),0)+IF(AND(Projects!$G$23="Yes",Projects!$M$23="Yes",100&gt;=Projects!$C$23,100&lt;Projects!$C$23+Projects!$D$23),Projects!$B$23*INDEX(Curves!$B$4:$AR$4,1,100-Projects!$C$23+1),0)+IF(AND(Projects!$G$24="Yes",Projects!$M$24="Yes",100&gt;=Projects!$C$24,100&lt;Projects!$C$24+Projects!$D$24),Projects!$B$24*INDEX(Curves!$B$4:$AR$4,1,100-Projects!$C$24+1),0)+IF(AND(Projects!$G$25="Yes",Projects!$M$25="Yes",100&gt;=Projects!$C$25,100&lt;Projects!$C$25+Projects!$D$25),Projects!$B$25*INDEX(Curves!$B$4:$AR$4,1,100-Projects!$C$25+1),0)+IF(AND(Projects!$G$26="Yes",Projects!$M$26="Yes",100&gt;=Projects!$C$26,100&lt;Projects!$C$26+Projects!$D$26),Projects!$B$26*INDEX(Curves!$B$4:$AR$4,1,100-Projects!$C$26+1),0)+IF(AND(Projects!$G$27="Yes",Projects!$M$27="Yes",100&gt;=Projects!$C$27,100&lt;Projects!$C$27+Projects!$D$27),Projects!$B$27*INDEX(Curves!$B$4:$AR$4,1,100-Projects!$C$27+1),0)+IF(AND(Projects!$G$28="Yes",Projects!$M$28="Yes",100&gt;=Projects!$C$28,100&lt;Projects!$C$28+Projects!$D$28),Projects!$B$28*INDEX(Curves!$B$4:$AR$4,1,100-Projects!$C$28+1),0)+IF(AND(Projects!$G$29="Yes",Projects!$M$29="Yes",100&gt;=Projects!$C$29,100&lt;Projects!$C$29+Projects!$D$29),Projects!$B$29*INDEX(Curves!$B$4:$AR$4,1,100-Projects!$C$29+1),0)+IF(AND(Projects!$G$30="Yes",Projects!$M$30="Yes",100&gt;=Projects!$C$30,100&lt;Projects!$C$30+Projects!$D$30),Projects!$B$30*INDEX(Curves!$B$4:$AR$4,1,100-Projects!$C$30+1),0)+IF(AND(Projects!$G$31="Yes",Projects!$M$31="Yes",100&gt;=Projects!$C$31,100&lt;Projects!$C$31+Projects!$D$31),Projects!$B$31*INDEX(Curves!$B$4:$AR$4,1,100-Projects!$C$31+1),0)+IF(AND(Projects!$G$32="Yes",Projects!$M$32="Yes",100&gt;=Projects!$C$32,100&lt;Projects!$C$32+Projects!$D$32),Projects!$B$32*INDEX(Curves!$B$4:$AR$4,1,100-Projects!$C$32+1),0)+IF(AND(Projects!$G$33="Yes",Projects!$M$33="Yes",100&gt;=Projects!$C$33,100&lt;Projects!$C$33+Projects!$D$33),Projects!$B$33*INDEX(Curves!$B$4:$AR$4,1,100-Projects!$C$33+1),0)+IF(AND(Projects!$G$34="Yes",Projects!$M$34="Yes",100&gt;=Projects!$C$34,100&lt;Projects!$C$34+Projects!$D$34),Projects!$B$34*INDEX(Curves!$B$4:$AR$4,1,100-Projects!$C$34+1),0)+IF(AND(Projects!$G$35="Yes",Projects!$M$35="Yes",100&gt;=Projects!$C$35,100&lt;Projects!$C$35+Projects!$D$35),Projects!$B$35*INDEX(Curves!$B$4:$AR$4,1,100-Projects!$C$35+1),0)+IF(AND(Projects!$G$36="Yes",Projects!$M$36="Yes",100&gt;=Projects!$C$36,100&lt;Projects!$C$36+Projects!$D$36),Projects!$B$36*INDEX(Curves!$B$4:$AR$4,1,100-Projects!$C$36+1),0)+IF(AND(Projects!$G$37="Yes",Projects!$M$37="Yes",100&gt;=Projects!$C$37,100&lt;Projects!$C$37+Projects!$D$37),Projects!$B$37*INDEX(Curves!$B$4:$AR$4,1,100-Projects!$C$37+1),0)+IF(AND(Projects!$G$38="Yes",Projects!$M$38="Yes",100&gt;=Projects!$C$38,100&lt;Projects!$C$38+Projects!$D$38),Projects!$B$38*INDEX(Curves!$B$4:$AR$4,1,100-Projects!$C$38+1),0)+IF(AND(Projects!$G$39="Yes",Projects!$M$39="Yes",100&gt;=Projects!$C$39,100&lt;Projects!$C$39+Projects!$D$39),Projects!$B$39*INDEX(Curves!$B$4:$AR$4,1,100-Projects!$C$39+1),0)+IF(AND(Projects!$G$40="Yes",Projects!$M$40="Yes",100&gt;=Projects!$C$40,100&lt;Projects!$C$40+Projects!$D$40),Projects!$B$40*INDEX(Curves!$B$4:$AR$4,1,100-Projects!$C$40+1),0)+IF(AND(Projects!$G$41="Yes",Projects!$M$41="Yes",100&gt;=Projects!$C$41,100&lt;Projects!$C$41+Projects!$D$41),Projects!$B$41*INDEX(Curves!$B$4:$AR$4,1,100-Projects!$C$41+1),0)+IF(AND(Projects!$G$42="Yes",Projects!$M$42="Yes",100&gt;=Projects!$C$42,100&lt;Projects!$C$42+Projects!$D$42),Projects!$B$42*INDEX(Curves!$B$4:$AR$4,1,100-Projects!$C$42+1),0)+IF(AND(Projects!$G$43="Yes",Projects!$M$43="Yes",100&gt;=Projects!$C$43,100&lt;Projects!$C$43+Projects!$D$43),Projects!$B$43*INDEX(Curves!$B$4:$AR$4,1,100-Projects!$C$43+1),0)+IF(AND(Projects!$G$44="Yes",Projects!$M$44="Yes",100&gt;=Projects!$C$44,100&lt;Projects!$C$44+Projects!$D$44),Projects!$B$44*INDEX(Curves!$B$4:$AR$4,1,100-Projects!$C$44+1),0)+IF(AND(Projects!$G$45="Yes",Projects!$M$45="Yes",100&gt;=Projects!$C$45,100&lt;Projects!$C$45+Projects!$D$45),Projects!$B$45*INDEX(Curves!$B$4:$AR$4,1,100-Projects!$C$45+1),0)+IF(AND(Projects!$G$46="Yes",Projects!$M$46="Yes",100&gt;=Projects!$C$46,100&lt;Projects!$C$46+Projects!$D$46),Projects!$B$46*INDEX(Curves!$B$4:$AR$4,1,100-Projects!$C$46+1),0)</f>
        <v>397755</v>
      </c>
      <c r="DB101" s="63">
        <f>IF(AND(Projects!$G$17="Yes",Projects!$M$17="Yes",101&gt;=Projects!$C$17,101&lt;Projects!$C$17+Projects!$D$17),Projects!$B$17*INDEX(Curves!$B$4:$AR$4,1,101-Projects!$C$17+1),0)+IF(AND(Projects!$G$18="Yes",Projects!$M$18="Yes",101&gt;=Projects!$C$18,101&lt;Projects!$C$18+Projects!$D$18),Projects!$B$18*INDEX(Curves!$B$4:$AR$4,1,101-Projects!$C$18+1),0)+IF(AND(Projects!$G$19="Yes",Projects!$M$19="Yes",101&gt;=Projects!$C$19,101&lt;Projects!$C$19+Projects!$D$19),Projects!$B$19*INDEX(Curves!$B$4:$AR$4,1,101-Projects!$C$19+1),0)+IF(AND(Projects!$G$20="Yes",Projects!$M$20="Yes",101&gt;=Projects!$C$20,101&lt;Projects!$C$20+Projects!$D$20),Projects!$B$20*INDEX(Curves!$B$4:$AR$4,1,101-Projects!$C$20+1),0)+IF(AND(Projects!$G$21="Yes",Projects!$M$21="Yes",101&gt;=Projects!$C$21,101&lt;Projects!$C$21+Projects!$D$21),Projects!$B$21*INDEX(Curves!$B$4:$AR$4,1,101-Projects!$C$21+1),0)+IF(AND(Projects!$G$22="Yes",Projects!$M$22="Yes",101&gt;=Projects!$C$22,101&lt;Projects!$C$22+Projects!$D$22),Projects!$B$22*INDEX(Curves!$B$4:$AR$4,1,101-Projects!$C$22+1),0)+IF(AND(Projects!$G$23="Yes",Projects!$M$23="Yes",101&gt;=Projects!$C$23,101&lt;Projects!$C$23+Projects!$D$23),Projects!$B$23*INDEX(Curves!$B$4:$AR$4,1,101-Projects!$C$23+1),0)+IF(AND(Projects!$G$24="Yes",Projects!$M$24="Yes",101&gt;=Projects!$C$24,101&lt;Projects!$C$24+Projects!$D$24),Projects!$B$24*INDEX(Curves!$B$4:$AR$4,1,101-Projects!$C$24+1),0)+IF(AND(Projects!$G$25="Yes",Projects!$M$25="Yes",101&gt;=Projects!$C$25,101&lt;Projects!$C$25+Projects!$D$25),Projects!$B$25*INDEX(Curves!$B$4:$AR$4,1,101-Projects!$C$25+1),0)+IF(AND(Projects!$G$26="Yes",Projects!$M$26="Yes",101&gt;=Projects!$C$26,101&lt;Projects!$C$26+Projects!$D$26),Projects!$B$26*INDEX(Curves!$B$4:$AR$4,1,101-Projects!$C$26+1),0)+IF(AND(Projects!$G$27="Yes",Projects!$M$27="Yes",101&gt;=Projects!$C$27,101&lt;Projects!$C$27+Projects!$D$27),Projects!$B$27*INDEX(Curves!$B$4:$AR$4,1,101-Projects!$C$27+1),0)+IF(AND(Projects!$G$28="Yes",Projects!$M$28="Yes",101&gt;=Projects!$C$28,101&lt;Projects!$C$28+Projects!$D$28),Projects!$B$28*INDEX(Curves!$B$4:$AR$4,1,101-Projects!$C$28+1),0)+IF(AND(Projects!$G$29="Yes",Projects!$M$29="Yes",101&gt;=Projects!$C$29,101&lt;Projects!$C$29+Projects!$D$29),Projects!$B$29*INDEX(Curves!$B$4:$AR$4,1,101-Projects!$C$29+1),0)+IF(AND(Projects!$G$30="Yes",Projects!$M$30="Yes",101&gt;=Projects!$C$30,101&lt;Projects!$C$30+Projects!$D$30),Projects!$B$30*INDEX(Curves!$B$4:$AR$4,1,101-Projects!$C$30+1),0)+IF(AND(Projects!$G$31="Yes",Projects!$M$31="Yes",101&gt;=Projects!$C$31,101&lt;Projects!$C$31+Projects!$D$31),Projects!$B$31*INDEX(Curves!$B$4:$AR$4,1,101-Projects!$C$31+1),0)+IF(AND(Projects!$G$32="Yes",Projects!$M$32="Yes",101&gt;=Projects!$C$32,101&lt;Projects!$C$32+Projects!$D$32),Projects!$B$32*INDEX(Curves!$B$4:$AR$4,1,101-Projects!$C$32+1),0)+IF(AND(Projects!$G$33="Yes",Projects!$M$33="Yes",101&gt;=Projects!$C$33,101&lt;Projects!$C$33+Projects!$D$33),Projects!$B$33*INDEX(Curves!$B$4:$AR$4,1,101-Projects!$C$33+1),0)+IF(AND(Projects!$G$34="Yes",Projects!$M$34="Yes",101&gt;=Projects!$C$34,101&lt;Projects!$C$34+Projects!$D$34),Projects!$B$34*INDEX(Curves!$B$4:$AR$4,1,101-Projects!$C$34+1),0)+IF(AND(Projects!$G$35="Yes",Projects!$M$35="Yes",101&gt;=Projects!$C$35,101&lt;Projects!$C$35+Projects!$D$35),Projects!$B$35*INDEX(Curves!$B$4:$AR$4,1,101-Projects!$C$35+1),0)+IF(AND(Projects!$G$36="Yes",Projects!$M$36="Yes",101&gt;=Projects!$C$36,101&lt;Projects!$C$36+Projects!$D$36),Projects!$B$36*INDEX(Curves!$B$4:$AR$4,1,101-Projects!$C$36+1),0)+IF(AND(Projects!$G$37="Yes",Projects!$M$37="Yes",101&gt;=Projects!$C$37,101&lt;Projects!$C$37+Projects!$D$37),Projects!$B$37*INDEX(Curves!$B$4:$AR$4,1,101-Projects!$C$37+1),0)+IF(AND(Projects!$G$38="Yes",Projects!$M$38="Yes",101&gt;=Projects!$C$38,101&lt;Projects!$C$38+Projects!$D$38),Projects!$B$38*INDEX(Curves!$B$4:$AR$4,1,101-Projects!$C$38+1),0)+IF(AND(Projects!$G$39="Yes",Projects!$M$39="Yes",101&gt;=Projects!$C$39,101&lt;Projects!$C$39+Projects!$D$39),Projects!$B$39*INDEX(Curves!$B$4:$AR$4,1,101-Projects!$C$39+1),0)+IF(AND(Projects!$G$40="Yes",Projects!$M$40="Yes",101&gt;=Projects!$C$40,101&lt;Projects!$C$40+Projects!$D$40),Projects!$B$40*INDEX(Curves!$B$4:$AR$4,1,101-Projects!$C$40+1),0)+IF(AND(Projects!$G$41="Yes",Projects!$M$41="Yes",101&gt;=Projects!$C$41,101&lt;Projects!$C$41+Projects!$D$41),Projects!$B$41*INDEX(Curves!$B$4:$AR$4,1,101-Projects!$C$41+1),0)+IF(AND(Projects!$G$42="Yes",Projects!$M$42="Yes",101&gt;=Projects!$C$42,101&lt;Projects!$C$42+Projects!$D$42),Projects!$B$42*INDEX(Curves!$B$4:$AR$4,1,101-Projects!$C$42+1),0)+IF(AND(Projects!$G$43="Yes",Projects!$M$43="Yes",101&gt;=Projects!$C$43,101&lt;Projects!$C$43+Projects!$D$43),Projects!$B$43*INDEX(Curves!$B$4:$AR$4,1,101-Projects!$C$43+1),0)+IF(AND(Projects!$G$44="Yes",Projects!$M$44="Yes",101&gt;=Projects!$C$44,101&lt;Projects!$C$44+Projects!$D$44),Projects!$B$44*INDEX(Curves!$B$4:$AR$4,1,101-Projects!$C$44+1),0)+IF(AND(Projects!$G$45="Yes",Projects!$M$45="Yes",101&gt;=Projects!$C$45,101&lt;Projects!$C$45+Projects!$D$45),Projects!$B$45*INDEX(Curves!$B$4:$AR$4,1,101-Projects!$C$45+1),0)+IF(AND(Projects!$G$46="Yes",Projects!$M$46="Yes",101&gt;=Projects!$C$46,101&lt;Projects!$C$46+Projects!$D$46),Projects!$B$46*INDEX(Curves!$B$4:$AR$4,1,101-Projects!$C$46+1),0)</f>
        <v>0</v>
      </c>
      <c r="DC101" s="63">
        <f>IF(AND(Projects!$G$17="Yes",Projects!$M$17="Yes",102&gt;=Projects!$C$17,102&lt;Projects!$C$17+Projects!$D$17),Projects!$B$17*INDEX(Curves!$B$4:$AR$4,1,102-Projects!$C$17+1),0)+IF(AND(Projects!$G$18="Yes",Projects!$M$18="Yes",102&gt;=Projects!$C$18,102&lt;Projects!$C$18+Projects!$D$18),Projects!$B$18*INDEX(Curves!$B$4:$AR$4,1,102-Projects!$C$18+1),0)+IF(AND(Projects!$G$19="Yes",Projects!$M$19="Yes",102&gt;=Projects!$C$19,102&lt;Projects!$C$19+Projects!$D$19),Projects!$B$19*INDEX(Curves!$B$4:$AR$4,1,102-Projects!$C$19+1),0)+IF(AND(Projects!$G$20="Yes",Projects!$M$20="Yes",102&gt;=Projects!$C$20,102&lt;Projects!$C$20+Projects!$D$20),Projects!$B$20*INDEX(Curves!$B$4:$AR$4,1,102-Projects!$C$20+1),0)+IF(AND(Projects!$G$21="Yes",Projects!$M$21="Yes",102&gt;=Projects!$C$21,102&lt;Projects!$C$21+Projects!$D$21),Projects!$B$21*INDEX(Curves!$B$4:$AR$4,1,102-Projects!$C$21+1),0)+IF(AND(Projects!$G$22="Yes",Projects!$M$22="Yes",102&gt;=Projects!$C$22,102&lt;Projects!$C$22+Projects!$D$22),Projects!$B$22*INDEX(Curves!$B$4:$AR$4,1,102-Projects!$C$22+1),0)+IF(AND(Projects!$G$23="Yes",Projects!$M$23="Yes",102&gt;=Projects!$C$23,102&lt;Projects!$C$23+Projects!$D$23),Projects!$B$23*INDEX(Curves!$B$4:$AR$4,1,102-Projects!$C$23+1),0)+IF(AND(Projects!$G$24="Yes",Projects!$M$24="Yes",102&gt;=Projects!$C$24,102&lt;Projects!$C$24+Projects!$D$24),Projects!$B$24*INDEX(Curves!$B$4:$AR$4,1,102-Projects!$C$24+1),0)+IF(AND(Projects!$G$25="Yes",Projects!$M$25="Yes",102&gt;=Projects!$C$25,102&lt;Projects!$C$25+Projects!$D$25),Projects!$B$25*INDEX(Curves!$B$4:$AR$4,1,102-Projects!$C$25+1),0)+IF(AND(Projects!$G$26="Yes",Projects!$M$26="Yes",102&gt;=Projects!$C$26,102&lt;Projects!$C$26+Projects!$D$26),Projects!$B$26*INDEX(Curves!$B$4:$AR$4,1,102-Projects!$C$26+1),0)+IF(AND(Projects!$G$27="Yes",Projects!$M$27="Yes",102&gt;=Projects!$C$27,102&lt;Projects!$C$27+Projects!$D$27),Projects!$B$27*INDEX(Curves!$B$4:$AR$4,1,102-Projects!$C$27+1),0)+IF(AND(Projects!$G$28="Yes",Projects!$M$28="Yes",102&gt;=Projects!$C$28,102&lt;Projects!$C$28+Projects!$D$28),Projects!$B$28*INDEX(Curves!$B$4:$AR$4,1,102-Projects!$C$28+1),0)+IF(AND(Projects!$G$29="Yes",Projects!$M$29="Yes",102&gt;=Projects!$C$29,102&lt;Projects!$C$29+Projects!$D$29),Projects!$B$29*INDEX(Curves!$B$4:$AR$4,1,102-Projects!$C$29+1),0)+IF(AND(Projects!$G$30="Yes",Projects!$M$30="Yes",102&gt;=Projects!$C$30,102&lt;Projects!$C$30+Projects!$D$30),Projects!$B$30*INDEX(Curves!$B$4:$AR$4,1,102-Projects!$C$30+1),0)+IF(AND(Projects!$G$31="Yes",Projects!$M$31="Yes",102&gt;=Projects!$C$31,102&lt;Projects!$C$31+Projects!$D$31),Projects!$B$31*INDEX(Curves!$B$4:$AR$4,1,102-Projects!$C$31+1),0)+IF(AND(Projects!$G$32="Yes",Projects!$M$32="Yes",102&gt;=Projects!$C$32,102&lt;Projects!$C$32+Projects!$D$32),Projects!$B$32*INDEX(Curves!$B$4:$AR$4,1,102-Projects!$C$32+1),0)+IF(AND(Projects!$G$33="Yes",Projects!$M$33="Yes",102&gt;=Projects!$C$33,102&lt;Projects!$C$33+Projects!$D$33),Projects!$B$33*INDEX(Curves!$B$4:$AR$4,1,102-Projects!$C$33+1),0)+IF(AND(Projects!$G$34="Yes",Projects!$M$34="Yes",102&gt;=Projects!$C$34,102&lt;Projects!$C$34+Projects!$D$34),Projects!$B$34*INDEX(Curves!$B$4:$AR$4,1,102-Projects!$C$34+1),0)+IF(AND(Projects!$G$35="Yes",Projects!$M$35="Yes",102&gt;=Projects!$C$35,102&lt;Projects!$C$35+Projects!$D$35),Projects!$B$35*INDEX(Curves!$B$4:$AR$4,1,102-Projects!$C$35+1),0)+IF(AND(Projects!$G$36="Yes",Projects!$M$36="Yes",102&gt;=Projects!$C$36,102&lt;Projects!$C$36+Projects!$D$36),Projects!$B$36*INDEX(Curves!$B$4:$AR$4,1,102-Projects!$C$36+1),0)+IF(AND(Projects!$G$37="Yes",Projects!$M$37="Yes",102&gt;=Projects!$C$37,102&lt;Projects!$C$37+Projects!$D$37),Projects!$B$37*INDEX(Curves!$B$4:$AR$4,1,102-Projects!$C$37+1),0)+IF(AND(Projects!$G$38="Yes",Projects!$M$38="Yes",102&gt;=Projects!$C$38,102&lt;Projects!$C$38+Projects!$D$38),Projects!$B$38*INDEX(Curves!$B$4:$AR$4,1,102-Projects!$C$38+1),0)+IF(AND(Projects!$G$39="Yes",Projects!$M$39="Yes",102&gt;=Projects!$C$39,102&lt;Projects!$C$39+Projects!$D$39),Projects!$B$39*INDEX(Curves!$B$4:$AR$4,1,102-Projects!$C$39+1),0)+IF(AND(Projects!$G$40="Yes",Projects!$M$40="Yes",102&gt;=Projects!$C$40,102&lt;Projects!$C$40+Projects!$D$40),Projects!$B$40*INDEX(Curves!$B$4:$AR$4,1,102-Projects!$C$40+1),0)+IF(AND(Projects!$G$41="Yes",Projects!$M$41="Yes",102&gt;=Projects!$C$41,102&lt;Projects!$C$41+Projects!$D$41),Projects!$B$41*INDEX(Curves!$B$4:$AR$4,1,102-Projects!$C$41+1),0)+IF(AND(Projects!$G$42="Yes",Projects!$M$42="Yes",102&gt;=Projects!$C$42,102&lt;Projects!$C$42+Projects!$D$42),Projects!$B$42*INDEX(Curves!$B$4:$AR$4,1,102-Projects!$C$42+1),0)+IF(AND(Projects!$G$43="Yes",Projects!$M$43="Yes",102&gt;=Projects!$C$43,102&lt;Projects!$C$43+Projects!$D$43),Projects!$B$43*INDEX(Curves!$B$4:$AR$4,1,102-Projects!$C$43+1),0)+IF(AND(Projects!$G$44="Yes",Projects!$M$44="Yes",102&gt;=Projects!$C$44,102&lt;Projects!$C$44+Projects!$D$44),Projects!$B$44*INDEX(Curves!$B$4:$AR$4,1,102-Projects!$C$44+1),0)+IF(AND(Projects!$G$45="Yes",Projects!$M$45="Yes",102&gt;=Projects!$C$45,102&lt;Projects!$C$45+Projects!$D$45),Projects!$B$45*INDEX(Curves!$B$4:$AR$4,1,102-Projects!$C$45+1),0)+IF(AND(Projects!$G$46="Yes",Projects!$M$46="Yes",102&gt;=Projects!$C$46,102&lt;Projects!$C$46+Projects!$D$46),Projects!$B$46*INDEX(Curves!$B$4:$AR$4,1,102-Projects!$C$46+1),0)</f>
        <v>0</v>
      </c>
      <c r="DD101" s="63">
        <f>IF(AND(Projects!$G$17="Yes",Projects!$M$17="Yes",103&gt;=Projects!$C$17,103&lt;Projects!$C$17+Projects!$D$17),Projects!$B$17*INDEX(Curves!$B$4:$AR$4,1,103-Projects!$C$17+1),0)+IF(AND(Projects!$G$18="Yes",Projects!$M$18="Yes",103&gt;=Projects!$C$18,103&lt;Projects!$C$18+Projects!$D$18),Projects!$B$18*INDEX(Curves!$B$4:$AR$4,1,103-Projects!$C$18+1),0)+IF(AND(Projects!$G$19="Yes",Projects!$M$19="Yes",103&gt;=Projects!$C$19,103&lt;Projects!$C$19+Projects!$D$19),Projects!$B$19*INDEX(Curves!$B$4:$AR$4,1,103-Projects!$C$19+1),0)+IF(AND(Projects!$G$20="Yes",Projects!$M$20="Yes",103&gt;=Projects!$C$20,103&lt;Projects!$C$20+Projects!$D$20),Projects!$B$20*INDEX(Curves!$B$4:$AR$4,1,103-Projects!$C$20+1),0)+IF(AND(Projects!$G$21="Yes",Projects!$M$21="Yes",103&gt;=Projects!$C$21,103&lt;Projects!$C$21+Projects!$D$21),Projects!$B$21*INDEX(Curves!$B$4:$AR$4,1,103-Projects!$C$21+1),0)+IF(AND(Projects!$G$22="Yes",Projects!$M$22="Yes",103&gt;=Projects!$C$22,103&lt;Projects!$C$22+Projects!$D$22),Projects!$B$22*INDEX(Curves!$B$4:$AR$4,1,103-Projects!$C$22+1),0)+IF(AND(Projects!$G$23="Yes",Projects!$M$23="Yes",103&gt;=Projects!$C$23,103&lt;Projects!$C$23+Projects!$D$23),Projects!$B$23*INDEX(Curves!$B$4:$AR$4,1,103-Projects!$C$23+1),0)+IF(AND(Projects!$G$24="Yes",Projects!$M$24="Yes",103&gt;=Projects!$C$24,103&lt;Projects!$C$24+Projects!$D$24),Projects!$B$24*INDEX(Curves!$B$4:$AR$4,1,103-Projects!$C$24+1),0)+IF(AND(Projects!$G$25="Yes",Projects!$M$25="Yes",103&gt;=Projects!$C$25,103&lt;Projects!$C$25+Projects!$D$25),Projects!$B$25*INDEX(Curves!$B$4:$AR$4,1,103-Projects!$C$25+1),0)+IF(AND(Projects!$G$26="Yes",Projects!$M$26="Yes",103&gt;=Projects!$C$26,103&lt;Projects!$C$26+Projects!$D$26),Projects!$B$26*INDEX(Curves!$B$4:$AR$4,1,103-Projects!$C$26+1),0)+IF(AND(Projects!$G$27="Yes",Projects!$M$27="Yes",103&gt;=Projects!$C$27,103&lt;Projects!$C$27+Projects!$D$27),Projects!$B$27*INDEX(Curves!$B$4:$AR$4,1,103-Projects!$C$27+1),0)+IF(AND(Projects!$G$28="Yes",Projects!$M$28="Yes",103&gt;=Projects!$C$28,103&lt;Projects!$C$28+Projects!$D$28),Projects!$B$28*INDEX(Curves!$B$4:$AR$4,1,103-Projects!$C$28+1),0)+IF(AND(Projects!$G$29="Yes",Projects!$M$29="Yes",103&gt;=Projects!$C$29,103&lt;Projects!$C$29+Projects!$D$29),Projects!$B$29*INDEX(Curves!$B$4:$AR$4,1,103-Projects!$C$29+1),0)+IF(AND(Projects!$G$30="Yes",Projects!$M$30="Yes",103&gt;=Projects!$C$30,103&lt;Projects!$C$30+Projects!$D$30),Projects!$B$30*INDEX(Curves!$B$4:$AR$4,1,103-Projects!$C$30+1),0)+IF(AND(Projects!$G$31="Yes",Projects!$M$31="Yes",103&gt;=Projects!$C$31,103&lt;Projects!$C$31+Projects!$D$31),Projects!$B$31*INDEX(Curves!$B$4:$AR$4,1,103-Projects!$C$31+1),0)+IF(AND(Projects!$G$32="Yes",Projects!$M$32="Yes",103&gt;=Projects!$C$32,103&lt;Projects!$C$32+Projects!$D$32),Projects!$B$32*INDEX(Curves!$B$4:$AR$4,1,103-Projects!$C$32+1),0)+IF(AND(Projects!$G$33="Yes",Projects!$M$33="Yes",103&gt;=Projects!$C$33,103&lt;Projects!$C$33+Projects!$D$33),Projects!$B$33*INDEX(Curves!$B$4:$AR$4,1,103-Projects!$C$33+1),0)+IF(AND(Projects!$G$34="Yes",Projects!$M$34="Yes",103&gt;=Projects!$C$34,103&lt;Projects!$C$34+Projects!$D$34),Projects!$B$34*INDEX(Curves!$B$4:$AR$4,1,103-Projects!$C$34+1),0)+IF(AND(Projects!$G$35="Yes",Projects!$M$35="Yes",103&gt;=Projects!$C$35,103&lt;Projects!$C$35+Projects!$D$35),Projects!$B$35*INDEX(Curves!$B$4:$AR$4,1,103-Projects!$C$35+1),0)+IF(AND(Projects!$G$36="Yes",Projects!$M$36="Yes",103&gt;=Projects!$C$36,103&lt;Projects!$C$36+Projects!$D$36),Projects!$B$36*INDEX(Curves!$B$4:$AR$4,1,103-Projects!$C$36+1),0)+IF(AND(Projects!$G$37="Yes",Projects!$M$37="Yes",103&gt;=Projects!$C$37,103&lt;Projects!$C$37+Projects!$D$37),Projects!$B$37*INDEX(Curves!$B$4:$AR$4,1,103-Projects!$C$37+1),0)+IF(AND(Projects!$G$38="Yes",Projects!$M$38="Yes",103&gt;=Projects!$C$38,103&lt;Projects!$C$38+Projects!$D$38),Projects!$B$38*INDEX(Curves!$B$4:$AR$4,1,103-Projects!$C$38+1),0)+IF(AND(Projects!$G$39="Yes",Projects!$M$39="Yes",103&gt;=Projects!$C$39,103&lt;Projects!$C$39+Projects!$D$39),Projects!$B$39*INDEX(Curves!$B$4:$AR$4,1,103-Projects!$C$39+1),0)+IF(AND(Projects!$G$40="Yes",Projects!$M$40="Yes",103&gt;=Projects!$C$40,103&lt;Projects!$C$40+Projects!$D$40),Projects!$B$40*INDEX(Curves!$B$4:$AR$4,1,103-Projects!$C$40+1),0)+IF(AND(Projects!$G$41="Yes",Projects!$M$41="Yes",103&gt;=Projects!$C$41,103&lt;Projects!$C$41+Projects!$D$41),Projects!$B$41*INDEX(Curves!$B$4:$AR$4,1,103-Projects!$C$41+1),0)+IF(AND(Projects!$G$42="Yes",Projects!$M$42="Yes",103&gt;=Projects!$C$42,103&lt;Projects!$C$42+Projects!$D$42),Projects!$B$42*INDEX(Curves!$B$4:$AR$4,1,103-Projects!$C$42+1),0)+IF(AND(Projects!$G$43="Yes",Projects!$M$43="Yes",103&gt;=Projects!$C$43,103&lt;Projects!$C$43+Projects!$D$43),Projects!$B$43*INDEX(Curves!$B$4:$AR$4,1,103-Projects!$C$43+1),0)+IF(AND(Projects!$G$44="Yes",Projects!$M$44="Yes",103&gt;=Projects!$C$44,103&lt;Projects!$C$44+Projects!$D$44),Projects!$B$44*INDEX(Curves!$B$4:$AR$4,1,103-Projects!$C$44+1),0)+IF(AND(Projects!$G$45="Yes",Projects!$M$45="Yes",103&gt;=Projects!$C$45,103&lt;Projects!$C$45+Projects!$D$45),Projects!$B$45*INDEX(Curves!$B$4:$AR$4,1,103-Projects!$C$45+1),0)+IF(AND(Projects!$G$46="Yes",Projects!$M$46="Yes",103&gt;=Projects!$C$46,103&lt;Projects!$C$46+Projects!$D$46),Projects!$B$46*INDEX(Curves!$B$4:$AR$4,1,103-Projects!$C$46+1),0)</f>
        <v>0</v>
      </c>
      <c r="DE101" s="63">
        <f>IF(AND(Projects!$G$17="Yes",Projects!$M$17="Yes",104&gt;=Projects!$C$17,104&lt;Projects!$C$17+Projects!$D$17),Projects!$B$17*INDEX(Curves!$B$4:$AR$4,1,104-Projects!$C$17+1),0)+IF(AND(Projects!$G$18="Yes",Projects!$M$18="Yes",104&gt;=Projects!$C$18,104&lt;Projects!$C$18+Projects!$D$18),Projects!$B$18*INDEX(Curves!$B$4:$AR$4,1,104-Projects!$C$18+1),0)+IF(AND(Projects!$G$19="Yes",Projects!$M$19="Yes",104&gt;=Projects!$C$19,104&lt;Projects!$C$19+Projects!$D$19),Projects!$B$19*INDEX(Curves!$B$4:$AR$4,1,104-Projects!$C$19+1),0)+IF(AND(Projects!$G$20="Yes",Projects!$M$20="Yes",104&gt;=Projects!$C$20,104&lt;Projects!$C$20+Projects!$D$20),Projects!$B$20*INDEX(Curves!$B$4:$AR$4,1,104-Projects!$C$20+1),0)+IF(AND(Projects!$G$21="Yes",Projects!$M$21="Yes",104&gt;=Projects!$C$21,104&lt;Projects!$C$21+Projects!$D$21),Projects!$B$21*INDEX(Curves!$B$4:$AR$4,1,104-Projects!$C$21+1),0)+IF(AND(Projects!$G$22="Yes",Projects!$M$22="Yes",104&gt;=Projects!$C$22,104&lt;Projects!$C$22+Projects!$D$22),Projects!$B$22*INDEX(Curves!$B$4:$AR$4,1,104-Projects!$C$22+1),0)+IF(AND(Projects!$G$23="Yes",Projects!$M$23="Yes",104&gt;=Projects!$C$23,104&lt;Projects!$C$23+Projects!$D$23),Projects!$B$23*INDEX(Curves!$B$4:$AR$4,1,104-Projects!$C$23+1),0)+IF(AND(Projects!$G$24="Yes",Projects!$M$24="Yes",104&gt;=Projects!$C$24,104&lt;Projects!$C$24+Projects!$D$24),Projects!$B$24*INDEX(Curves!$B$4:$AR$4,1,104-Projects!$C$24+1),0)+IF(AND(Projects!$G$25="Yes",Projects!$M$25="Yes",104&gt;=Projects!$C$25,104&lt;Projects!$C$25+Projects!$D$25),Projects!$B$25*INDEX(Curves!$B$4:$AR$4,1,104-Projects!$C$25+1),0)+IF(AND(Projects!$G$26="Yes",Projects!$M$26="Yes",104&gt;=Projects!$C$26,104&lt;Projects!$C$26+Projects!$D$26),Projects!$B$26*INDEX(Curves!$B$4:$AR$4,1,104-Projects!$C$26+1),0)+IF(AND(Projects!$G$27="Yes",Projects!$M$27="Yes",104&gt;=Projects!$C$27,104&lt;Projects!$C$27+Projects!$D$27),Projects!$B$27*INDEX(Curves!$B$4:$AR$4,1,104-Projects!$C$27+1),0)+IF(AND(Projects!$G$28="Yes",Projects!$M$28="Yes",104&gt;=Projects!$C$28,104&lt;Projects!$C$28+Projects!$D$28),Projects!$B$28*INDEX(Curves!$B$4:$AR$4,1,104-Projects!$C$28+1),0)+IF(AND(Projects!$G$29="Yes",Projects!$M$29="Yes",104&gt;=Projects!$C$29,104&lt;Projects!$C$29+Projects!$D$29),Projects!$B$29*INDEX(Curves!$B$4:$AR$4,1,104-Projects!$C$29+1),0)+IF(AND(Projects!$G$30="Yes",Projects!$M$30="Yes",104&gt;=Projects!$C$30,104&lt;Projects!$C$30+Projects!$D$30),Projects!$B$30*INDEX(Curves!$B$4:$AR$4,1,104-Projects!$C$30+1),0)+IF(AND(Projects!$G$31="Yes",Projects!$M$31="Yes",104&gt;=Projects!$C$31,104&lt;Projects!$C$31+Projects!$D$31),Projects!$B$31*INDEX(Curves!$B$4:$AR$4,1,104-Projects!$C$31+1),0)+IF(AND(Projects!$G$32="Yes",Projects!$M$32="Yes",104&gt;=Projects!$C$32,104&lt;Projects!$C$32+Projects!$D$32),Projects!$B$32*INDEX(Curves!$B$4:$AR$4,1,104-Projects!$C$32+1),0)+IF(AND(Projects!$G$33="Yes",Projects!$M$33="Yes",104&gt;=Projects!$C$33,104&lt;Projects!$C$33+Projects!$D$33),Projects!$B$33*INDEX(Curves!$B$4:$AR$4,1,104-Projects!$C$33+1),0)+IF(AND(Projects!$G$34="Yes",Projects!$M$34="Yes",104&gt;=Projects!$C$34,104&lt;Projects!$C$34+Projects!$D$34),Projects!$B$34*INDEX(Curves!$B$4:$AR$4,1,104-Projects!$C$34+1),0)+IF(AND(Projects!$G$35="Yes",Projects!$M$35="Yes",104&gt;=Projects!$C$35,104&lt;Projects!$C$35+Projects!$D$35),Projects!$B$35*INDEX(Curves!$B$4:$AR$4,1,104-Projects!$C$35+1),0)+IF(AND(Projects!$G$36="Yes",Projects!$M$36="Yes",104&gt;=Projects!$C$36,104&lt;Projects!$C$36+Projects!$D$36),Projects!$B$36*INDEX(Curves!$B$4:$AR$4,1,104-Projects!$C$36+1),0)+IF(AND(Projects!$G$37="Yes",Projects!$M$37="Yes",104&gt;=Projects!$C$37,104&lt;Projects!$C$37+Projects!$D$37),Projects!$B$37*INDEX(Curves!$B$4:$AR$4,1,104-Projects!$C$37+1),0)+IF(AND(Projects!$G$38="Yes",Projects!$M$38="Yes",104&gt;=Projects!$C$38,104&lt;Projects!$C$38+Projects!$D$38),Projects!$B$38*INDEX(Curves!$B$4:$AR$4,1,104-Projects!$C$38+1),0)+IF(AND(Projects!$G$39="Yes",Projects!$M$39="Yes",104&gt;=Projects!$C$39,104&lt;Projects!$C$39+Projects!$D$39),Projects!$B$39*INDEX(Curves!$B$4:$AR$4,1,104-Projects!$C$39+1),0)+IF(AND(Projects!$G$40="Yes",Projects!$M$40="Yes",104&gt;=Projects!$C$40,104&lt;Projects!$C$40+Projects!$D$40),Projects!$B$40*INDEX(Curves!$B$4:$AR$4,1,104-Projects!$C$40+1),0)+IF(AND(Projects!$G$41="Yes",Projects!$M$41="Yes",104&gt;=Projects!$C$41,104&lt;Projects!$C$41+Projects!$D$41),Projects!$B$41*INDEX(Curves!$B$4:$AR$4,1,104-Projects!$C$41+1),0)+IF(AND(Projects!$G$42="Yes",Projects!$M$42="Yes",104&gt;=Projects!$C$42,104&lt;Projects!$C$42+Projects!$D$42),Projects!$B$42*INDEX(Curves!$B$4:$AR$4,1,104-Projects!$C$42+1),0)+IF(AND(Projects!$G$43="Yes",Projects!$M$43="Yes",104&gt;=Projects!$C$43,104&lt;Projects!$C$43+Projects!$D$43),Projects!$B$43*INDEX(Curves!$B$4:$AR$4,1,104-Projects!$C$43+1),0)+IF(AND(Projects!$G$44="Yes",Projects!$M$44="Yes",104&gt;=Projects!$C$44,104&lt;Projects!$C$44+Projects!$D$44),Projects!$B$44*INDEX(Curves!$B$4:$AR$4,1,104-Projects!$C$44+1),0)+IF(AND(Projects!$G$45="Yes",Projects!$M$45="Yes",104&gt;=Projects!$C$45,104&lt;Projects!$C$45+Projects!$D$45),Projects!$B$45*INDEX(Curves!$B$4:$AR$4,1,104-Projects!$C$45+1),0)+IF(AND(Projects!$G$46="Yes",Projects!$M$46="Yes",104&gt;=Projects!$C$46,104&lt;Projects!$C$46+Projects!$D$46),Projects!$B$46*INDEX(Curves!$B$4:$AR$4,1,104-Projects!$C$46+1),0)</f>
        <v>0</v>
      </c>
      <c r="DF101" s="63">
        <f>IF(AND(Projects!$G$17="Yes",Projects!$M$17="Yes",105&gt;=Projects!$C$17,105&lt;Projects!$C$17+Projects!$D$17),Projects!$B$17*INDEX(Curves!$B$4:$AR$4,1,105-Projects!$C$17+1),0)+IF(AND(Projects!$G$18="Yes",Projects!$M$18="Yes",105&gt;=Projects!$C$18,105&lt;Projects!$C$18+Projects!$D$18),Projects!$B$18*INDEX(Curves!$B$4:$AR$4,1,105-Projects!$C$18+1),0)+IF(AND(Projects!$G$19="Yes",Projects!$M$19="Yes",105&gt;=Projects!$C$19,105&lt;Projects!$C$19+Projects!$D$19),Projects!$B$19*INDEX(Curves!$B$4:$AR$4,1,105-Projects!$C$19+1),0)+IF(AND(Projects!$G$20="Yes",Projects!$M$20="Yes",105&gt;=Projects!$C$20,105&lt;Projects!$C$20+Projects!$D$20),Projects!$B$20*INDEX(Curves!$B$4:$AR$4,1,105-Projects!$C$20+1),0)+IF(AND(Projects!$G$21="Yes",Projects!$M$21="Yes",105&gt;=Projects!$C$21,105&lt;Projects!$C$21+Projects!$D$21),Projects!$B$21*INDEX(Curves!$B$4:$AR$4,1,105-Projects!$C$21+1),0)+IF(AND(Projects!$G$22="Yes",Projects!$M$22="Yes",105&gt;=Projects!$C$22,105&lt;Projects!$C$22+Projects!$D$22),Projects!$B$22*INDEX(Curves!$B$4:$AR$4,1,105-Projects!$C$22+1),0)+IF(AND(Projects!$G$23="Yes",Projects!$M$23="Yes",105&gt;=Projects!$C$23,105&lt;Projects!$C$23+Projects!$D$23),Projects!$B$23*INDEX(Curves!$B$4:$AR$4,1,105-Projects!$C$23+1),0)+IF(AND(Projects!$G$24="Yes",Projects!$M$24="Yes",105&gt;=Projects!$C$24,105&lt;Projects!$C$24+Projects!$D$24),Projects!$B$24*INDEX(Curves!$B$4:$AR$4,1,105-Projects!$C$24+1),0)+IF(AND(Projects!$G$25="Yes",Projects!$M$25="Yes",105&gt;=Projects!$C$25,105&lt;Projects!$C$25+Projects!$D$25),Projects!$B$25*INDEX(Curves!$B$4:$AR$4,1,105-Projects!$C$25+1),0)+IF(AND(Projects!$G$26="Yes",Projects!$M$26="Yes",105&gt;=Projects!$C$26,105&lt;Projects!$C$26+Projects!$D$26),Projects!$B$26*INDEX(Curves!$B$4:$AR$4,1,105-Projects!$C$26+1),0)+IF(AND(Projects!$G$27="Yes",Projects!$M$27="Yes",105&gt;=Projects!$C$27,105&lt;Projects!$C$27+Projects!$D$27),Projects!$B$27*INDEX(Curves!$B$4:$AR$4,1,105-Projects!$C$27+1),0)+IF(AND(Projects!$G$28="Yes",Projects!$M$28="Yes",105&gt;=Projects!$C$28,105&lt;Projects!$C$28+Projects!$D$28),Projects!$B$28*INDEX(Curves!$B$4:$AR$4,1,105-Projects!$C$28+1),0)+IF(AND(Projects!$G$29="Yes",Projects!$M$29="Yes",105&gt;=Projects!$C$29,105&lt;Projects!$C$29+Projects!$D$29),Projects!$B$29*INDEX(Curves!$B$4:$AR$4,1,105-Projects!$C$29+1),0)+IF(AND(Projects!$G$30="Yes",Projects!$M$30="Yes",105&gt;=Projects!$C$30,105&lt;Projects!$C$30+Projects!$D$30),Projects!$B$30*INDEX(Curves!$B$4:$AR$4,1,105-Projects!$C$30+1),0)+IF(AND(Projects!$G$31="Yes",Projects!$M$31="Yes",105&gt;=Projects!$C$31,105&lt;Projects!$C$31+Projects!$D$31),Projects!$B$31*INDEX(Curves!$B$4:$AR$4,1,105-Projects!$C$31+1),0)+IF(AND(Projects!$G$32="Yes",Projects!$M$32="Yes",105&gt;=Projects!$C$32,105&lt;Projects!$C$32+Projects!$D$32),Projects!$B$32*INDEX(Curves!$B$4:$AR$4,1,105-Projects!$C$32+1),0)+IF(AND(Projects!$G$33="Yes",Projects!$M$33="Yes",105&gt;=Projects!$C$33,105&lt;Projects!$C$33+Projects!$D$33),Projects!$B$33*INDEX(Curves!$B$4:$AR$4,1,105-Projects!$C$33+1),0)+IF(AND(Projects!$G$34="Yes",Projects!$M$34="Yes",105&gt;=Projects!$C$34,105&lt;Projects!$C$34+Projects!$D$34),Projects!$B$34*INDEX(Curves!$B$4:$AR$4,1,105-Projects!$C$34+1),0)+IF(AND(Projects!$G$35="Yes",Projects!$M$35="Yes",105&gt;=Projects!$C$35,105&lt;Projects!$C$35+Projects!$D$35),Projects!$B$35*INDEX(Curves!$B$4:$AR$4,1,105-Projects!$C$35+1),0)+IF(AND(Projects!$G$36="Yes",Projects!$M$36="Yes",105&gt;=Projects!$C$36,105&lt;Projects!$C$36+Projects!$D$36),Projects!$B$36*INDEX(Curves!$B$4:$AR$4,1,105-Projects!$C$36+1),0)+IF(AND(Projects!$G$37="Yes",Projects!$M$37="Yes",105&gt;=Projects!$C$37,105&lt;Projects!$C$37+Projects!$D$37),Projects!$B$37*INDEX(Curves!$B$4:$AR$4,1,105-Projects!$C$37+1),0)+IF(AND(Projects!$G$38="Yes",Projects!$M$38="Yes",105&gt;=Projects!$C$38,105&lt;Projects!$C$38+Projects!$D$38),Projects!$B$38*INDEX(Curves!$B$4:$AR$4,1,105-Projects!$C$38+1),0)+IF(AND(Projects!$G$39="Yes",Projects!$M$39="Yes",105&gt;=Projects!$C$39,105&lt;Projects!$C$39+Projects!$D$39),Projects!$B$39*INDEX(Curves!$B$4:$AR$4,1,105-Projects!$C$39+1),0)+IF(AND(Projects!$G$40="Yes",Projects!$M$40="Yes",105&gt;=Projects!$C$40,105&lt;Projects!$C$40+Projects!$D$40),Projects!$B$40*INDEX(Curves!$B$4:$AR$4,1,105-Projects!$C$40+1),0)+IF(AND(Projects!$G$41="Yes",Projects!$M$41="Yes",105&gt;=Projects!$C$41,105&lt;Projects!$C$41+Projects!$D$41),Projects!$B$41*INDEX(Curves!$B$4:$AR$4,1,105-Projects!$C$41+1),0)+IF(AND(Projects!$G$42="Yes",Projects!$M$42="Yes",105&gt;=Projects!$C$42,105&lt;Projects!$C$42+Projects!$D$42),Projects!$B$42*INDEX(Curves!$B$4:$AR$4,1,105-Projects!$C$42+1),0)+IF(AND(Projects!$G$43="Yes",Projects!$M$43="Yes",105&gt;=Projects!$C$43,105&lt;Projects!$C$43+Projects!$D$43),Projects!$B$43*INDEX(Curves!$B$4:$AR$4,1,105-Projects!$C$43+1),0)+IF(AND(Projects!$G$44="Yes",Projects!$M$44="Yes",105&gt;=Projects!$C$44,105&lt;Projects!$C$44+Projects!$D$44),Projects!$B$44*INDEX(Curves!$B$4:$AR$4,1,105-Projects!$C$44+1),0)+IF(AND(Projects!$G$45="Yes",Projects!$M$45="Yes",105&gt;=Projects!$C$45,105&lt;Projects!$C$45+Projects!$D$45),Projects!$B$45*INDEX(Curves!$B$4:$AR$4,1,105-Projects!$C$45+1),0)+IF(AND(Projects!$G$46="Yes",Projects!$M$46="Yes",105&gt;=Projects!$C$46,105&lt;Projects!$C$46+Projects!$D$46),Projects!$B$46*INDEX(Curves!$B$4:$AR$4,1,105-Projects!$C$46+1),0)</f>
        <v>0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5E7B9B"/>
  </sheetPr>
  <dimension ref="A1:CH44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8.7109375" defaultRowHeight="15" customHeight="1" x14ac:dyDescent="0.25"/>
  <cols>
    <col min="1" max="1" width="30" customWidth="1"/>
    <col min="2" max="4" width="16" customWidth="1"/>
    <col min="5" max="86" width="12" customWidth="1"/>
  </cols>
  <sheetData>
    <row r="1" spans="1:86" ht="15.75" customHeight="1" x14ac:dyDescent="0.3">
      <c r="A1" s="252" t="s">
        <v>835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</row>
    <row r="2" spans="1:86" ht="15" customHeight="1" x14ac:dyDescent="0.25">
      <c r="A2" s="136"/>
      <c r="B2" s="136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</row>
    <row r="3" spans="1:86" ht="15" customHeight="1" x14ac:dyDescent="0.25">
      <c r="A3" s="254"/>
      <c r="B3" s="255" t="s">
        <v>836</v>
      </c>
      <c r="C3" s="255" t="s">
        <v>837</v>
      </c>
      <c r="D3" s="255" t="s">
        <v>838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</row>
    <row r="4" spans="1:86" ht="15" customHeight="1" x14ac:dyDescent="0.25">
      <c r="A4" s="136"/>
      <c r="B4" s="174"/>
      <c r="C4" s="174"/>
      <c r="D4" s="17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</row>
    <row r="5" spans="1:86" ht="15" customHeight="1" x14ac:dyDescent="0.25">
      <c r="A5" s="256" t="s">
        <v>168</v>
      </c>
      <c r="B5" s="257"/>
      <c r="C5" s="257"/>
      <c r="D5" s="257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</row>
    <row r="6" spans="1:86" ht="15" customHeight="1" x14ac:dyDescent="0.25">
      <c r="A6" s="258" t="s">
        <v>839</v>
      </c>
      <c r="B6" s="259">
        <f>SUM(Model!F76:CH76)</f>
        <v>987482</v>
      </c>
      <c r="C6" s="259">
        <f>Helpers!B47</f>
        <v>1988974</v>
      </c>
      <c r="D6" s="259">
        <f>B6+C6</f>
        <v>2976456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</row>
    <row r="7" spans="1:86" ht="15" customHeight="1" x14ac:dyDescent="0.25">
      <c r="A7" s="136" t="s">
        <v>840</v>
      </c>
      <c r="B7" s="174">
        <f>-Projects!$B$7*Assumptions!$B$47</f>
        <v>-429684.47999999998</v>
      </c>
      <c r="C7" s="174">
        <v>0</v>
      </c>
      <c r="D7" s="174">
        <f>B7+C7</f>
        <v>-429684.47999999998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</row>
    <row r="8" spans="1:86" ht="15" customHeight="1" x14ac:dyDescent="0.25">
      <c r="A8" s="258" t="s">
        <v>841</v>
      </c>
      <c r="B8" s="259">
        <f>-Assumptions!$B$53*Assumptions!$B$48</f>
        <v>-150000</v>
      </c>
      <c r="C8" s="259">
        <v>0</v>
      </c>
      <c r="D8" s="259">
        <f>B8+C8</f>
        <v>-150000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</row>
    <row r="9" spans="1:86" ht="15" customHeight="1" x14ac:dyDescent="0.25">
      <c r="A9" s="136" t="s">
        <v>825</v>
      </c>
      <c r="B9" s="174">
        <v>0</v>
      </c>
      <c r="C9" s="174">
        <v>0</v>
      </c>
      <c r="D9" s="174">
        <f>B9+C9</f>
        <v>0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</row>
    <row r="10" spans="1:86" ht="15" customHeight="1" x14ac:dyDescent="0.25">
      <c r="A10" s="181" t="s">
        <v>842</v>
      </c>
      <c r="B10" s="184">
        <f>SUM(B6:B9)</f>
        <v>407797.52</v>
      </c>
      <c r="C10" s="184">
        <f>SUM(C6:C9)</f>
        <v>1988974</v>
      </c>
      <c r="D10" s="184">
        <f>SUM(D6:D9)</f>
        <v>2396771.52</v>
      </c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</row>
    <row r="11" spans="1:86" ht="15" customHeight="1" x14ac:dyDescent="0.25">
      <c r="A11" s="260"/>
      <c r="B11" s="261"/>
      <c r="C11" s="261"/>
      <c r="D11" s="261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</row>
    <row r="12" spans="1:86" ht="15" customHeight="1" x14ac:dyDescent="0.25">
      <c r="A12" s="234" t="s">
        <v>843</v>
      </c>
      <c r="B12" s="234"/>
      <c r="C12" s="262"/>
      <c r="D12" s="26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</row>
    <row r="13" spans="1:86" ht="15" customHeight="1" x14ac:dyDescent="0.25">
      <c r="A13" s="258" t="s">
        <v>839</v>
      </c>
      <c r="B13" s="259">
        <f>SUM(Model!F78:CH78)</f>
        <v>219466</v>
      </c>
      <c r="C13" s="259">
        <f>Helpers!B48</f>
        <v>2706735</v>
      </c>
      <c r="D13" s="259">
        <f>B13+C13</f>
        <v>2926201</v>
      </c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</row>
    <row r="14" spans="1:86" ht="15" customHeight="1" x14ac:dyDescent="0.25">
      <c r="A14" s="263" t="s">
        <v>840</v>
      </c>
      <c r="B14" s="264">
        <f>-Projects!$B$14*Assumptions!$B$47</f>
        <v>-413546.32</v>
      </c>
      <c r="C14" s="264">
        <v>0</v>
      </c>
      <c r="D14" s="264">
        <f>B14+C14</f>
        <v>-413546.32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</row>
    <row r="15" spans="1:86" ht="15" customHeight="1" x14ac:dyDescent="0.25">
      <c r="A15" s="258" t="s">
        <v>841</v>
      </c>
      <c r="B15" s="259">
        <f>-Assumptions!$B$55*Assumptions!$B$48</f>
        <v>-150000</v>
      </c>
      <c r="C15" s="259">
        <v>0</v>
      </c>
      <c r="D15" s="259">
        <f>B15+C15</f>
        <v>-150000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</row>
    <row r="16" spans="1:86" ht="15" customHeight="1" x14ac:dyDescent="0.25">
      <c r="A16" s="263" t="s">
        <v>825</v>
      </c>
      <c r="B16" s="264">
        <f>-SUM(Model!F151:CH151)</f>
        <v>-583237.35855920159</v>
      </c>
      <c r="C16" s="264">
        <f>-Helpers!F93</f>
        <v>-240125.88120644525</v>
      </c>
      <c r="D16" s="264">
        <f>B16+C16</f>
        <v>-823363.23976564687</v>
      </c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</row>
    <row r="17" spans="1:86" ht="15" customHeight="1" x14ac:dyDescent="0.25">
      <c r="A17" s="94" t="s">
        <v>842</v>
      </c>
      <c r="B17" s="175">
        <f>SUM(B13:B16)</f>
        <v>-927317.67855920154</v>
      </c>
      <c r="C17" s="175">
        <f>SUM(C13:C16)</f>
        <v>2466609.1187935546</v>
      </c>
      <c r="D17" s="175">
        <f>SUM(D13:D16)</f>
        <v>1539291.4402343533</v>
      </c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  <c r="CH17" s="174"/>
    </row>
    <row r="18" spans="1:86" ht="15" customHeight="1" x14ac:dyDescent="0.25">
      <c r="A18" s="265"/>
      <c r="B18" s="266"/>
      <c r="C18" s="266"/>
      <c r="D18" s="266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  <c r="CH18" s="174"/>
    </row>
    <row r="19" spans="1:86" ht="15" customHeight="1" x14ac:dyDescent="0.25">
      <c r="A19" s="267" t="s">
        <v>172</v>
      </c>
      <c r="B19" s="268"/>
      <c r="C19" s="268"/>
      <c r="D19" s="268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</row>
    <row r="20" spans="1:86" ht="15" customHeight="1" x14ac:dyDescent="0.25">
      <c r="A20" s="269" t="s">
        <v>839</v>
      </c>
      <c r="B20" s="270">
        <f>SUM(Model!F77:CH77)</f>
        <v>1599927</v>
      </c>
      <c r="C20" s="270">
        <f>Helpers!B49</f>
        <v>2359498</v>
      </c>
      <c r="D20" s="270">
        <f>B20+C20</f>
        <v>3959425</v>
      </c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</row>
    <row r="21" spans="1:86" ht="15" customHeight="1" x14ac:dyDescent="0.25">
      <c r="A21" s="271" t="s">
        <v>840</v>
      </c>
      <c r="B21" s="272">
        <f>-Projects!$B$13*Assumptions!$B$47</f>
        <v>-452667.7</v>
      </c>
      <c r="C21" s="272">
        <v>0</v>
      </c>
      <c r="D21" s="272">
        <f>B21+C21</f>
        <v>-452667.7</v>
      </c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</row>
    <row r="22" spans="1:86" ht="15" customHeight="1" x14ac:dyDescent="0.25">
      <c r="A22" s="269" t="s">
        <v>841</v>
      </c>
      <c r="B22" s="270">
        <f>-Assumptions!$B$54*Assumptions!$B$48</f>
        <v>-150000</v>
      </c>
      <c r="C22" s="270">
        <v>0</v>
      </c>
      <c r="D22" s="270">
        <f>B22+C22</f>
        <v>-150000</v>
      </c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</row>
    <row r="23" spans="1:86" ht="15" customHeight="1" x14ac:dyDescent="0.25">
      <c r="A23" s="136" t="s">
        <v>825</v>
      </c>
      <c r="B23" s="174">
        <f>-SUM(Model!F156:CH156)</f>
        <v>-735311.32254797197</v>
      </c>
      <c r="C23" s="174">
        <v>0</v>
      </c>
      <c r="D23" s="174">
        <f>B23+C23</f>
        <v>-735311.32254797197</v>
      </c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O23" s="174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</row>
    <row r="24" spans="1:86" ht="15" customHeight="1" x14ac:dyDescent="0.25">
      <c r="A24" s="185" t="s">
        <v>842</v>
      </c>
      <c r="B24" s="187">
        <f>SUM(B20:B23)</f>
        <v>261947.97745202808</v>
      </c>
      <c r="C24" s="187">
        <f>SUM(C20:C23)</f>
        <v>2359498</v>
      </c>
      <c r="D24" s="187">
        <f>SUM(D20:D23)</f>
        <v>2621445.9774520276</v>
      </c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</row>
    <row r="25" spans="1:86" ht="15" customHeight="1" x14ac:dyDescent="0.25">
      <c r="A25" s="250"/>
      <c r="B25" s="273"/>
      <c r="C25" s="273"/>
      <c r="D25" s="273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</row>
    <row r="26" spans="1:86" ht="15" customHeight="1" x14ac:dyDescent="0.25">
      <c r="A26" s="274" t="s">
        <v>844</v>
      </c>
      <c r="B26" s="275"/>
      <c r="C26" s="275"/>
      <c r="D26" s="275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</row>
    <row r="27" spans="1:86" ht="15" customHeight="1" x14ac:dyDescent="0.25">
      <c r="A27" s="276" t="s">
        <v>845</v>
      </c>
      <c r="B27" s="277">
        <f t="shared" ref="B27:D31" si="0">B6+B13+B20</f>
        <v>2806875</v>
      </c>
      <c r="C27" s="277">
        <f t="shared" si="0"/>
        <v>7055207</v>
      </c>
      <c r="D27" s="277">
        <f t="shared" si="0"/>
        <v>9862082</v>
      </c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</row>
    <row r="28" spans="1:86" ht="15" customHeight="1" x14ac:dyDescent="0.25">
      <c r="A28" s="136" t="s">
        <v>846</v>
      </c>
      <c r="B28" s="174">
        <f t="shared" si="0"/>
        <v>-1295898.5</v>
      </c>
      <c r="C28" s="174">
        <f t="shared" si="0"/>
        <v>0</v>
      </c>
      <c r="D28" s="174">
        <f t="shared" si="0"/>
        <v>-1295898.5</v>
      </c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</row>
    <row r="29" spans="1:86" ht="15" customHeight="1" x14ac:dyDescent="0.25">
      <c r="A29" s="278" t="s">
        <v>847</v>
      </c>
      <c r="B29" s="279">
        <f t="shared" si="0"/>
        <v>-450000</v>
      </c>
      <c r="C29" s="279">
        <f t="shared" si="0"/>
        <v>0</v>
      </c>
      <c r="D29" s="279">
        <f t="shared" si="0"/>
        <v>-450000</v>
      </c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</row>
    <row r="30" spans="1:86" ht="15" customHeight="1" x14ac:dyDescent="0.25">
      <c r="A30" s="280" t="s">
        <v>848</v>
      </c>
      <c r="B30" s="281">
        <f t="shared" si="0"/>
        <v>-1318548.6811071737</v>
      </c>
      <c r="C30" s="281">
        <f t="shared" si="0"/>
        <v>-240125.88120644525</v>
      </c>
      <c r="D30" s="281">
        <f t="shared" si="0"/>
        <v>-1558674.5623136188</v>
      </c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4"/>
    </row>
    <row r="31" spans="1:86" ht="15" customHeight="1" x14ac:dyDescent="0.25">
      <c r="A31" s="94" t="s">
        <v>849</v>
      </c>
      <c r="B31" s="175">
        <f t="shared" si="0"/>
        <v>-257572.18110717344</v>
      </c>
      <c r="C31" s="175">
        <f t="shared" si="0"/>
        <v>6815081.1187935546</v>
      </c>
      <c r="D31" s="175">
        <f t="shared" si="0"/>
        <v>6557508.9376863809</v>
      </c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4"/>
    </row>
    <row r="32" spans="1:86" ht="15" customHeight="1" x14ac:dyDescent="0.25">
      <c r="A32" s="282"/>
      <c r="B32" s="283"/>
      <c r="C32" s="283"/>
      <c r="D32" s="283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</row>
    <row r="33" spans="1:86" ht="15" customHeight="1" x14ac:dyDescent="0.25">
      <c r="A33" s="250"/>
      <c r="B33" s="273"/>
      <c r="C33" s="273"/>
      <c r="D33" s="273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</row>
    <row r="34" spans="1:86" ht="15" customHeight="1" x14ac:dyDescent="0.25">
      <c r="A34" s="282"/>
      <c r="B34" s="283"/>
      <c r="C34" s="283"/>
      <c r="D34" s="283"/>
    </row>
    <row r="35" spans="1:86" ht="15" customHeight="1" x14ac:dyDescent="0.25">
      <c r="A35" s="260"/>
      <c r="B35" s="261"/>
      <c r="C35" s="261"/>
      <c r="D35" s="261"/>
    </row>
    <row r="37" spans="1:86" ht="15" customHeight="1" x14ac:dyDescent="0.25">
      <c r="A37" s="284"/>
    </row>
    <row r="38" spans="1:86" ht="15" customHeight="1" x14ac:dyDescent="0.25">
      <c r="A38" s="285"/>
    </row>
    <row r="39" spans="1:86" ht="15" customHeight="1" x14ac:dyDescent="0.25">
      <c r="A39" s="285"/>
    </row>
    <row r="40" spans="1:86" ht="15" customHeight="1" x14ac:dyDescent="0.25">
      <c r="A40" s="285" t="s">
        <v>850</v>
      </c>
    </row>
    <row r="41" spans="1:86" ht="15" customHeight="1" x14ac:dyDescent="0.25">
      <c r="A41" s="285" t="s">
        <v>851</v>
      </c>
    </row>
    <row r="42" spans="1:86" ht="15" customHeight="1" x14ac:dyDescent="0.25">
      <c r="A42" s="285" t="s">
        <v>852</v>
      </c>
    </row>
    <row r="43" spans="1:86" ht="15" customHeight="1" x14ac:dyDescent="0.25">
      <c r="A43" s="285" t="s">
        <v>853</v>
      </c>
    </row>
    <row r="44" spans="1:86" ht="15" customHeight="1" x14ac:dyDescent="0.25">
      <c r="A44" s="285" t="s">
        <v>854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B1833"/>
  </sheetPr>
  <dimension ref="A1:DF53"/>
  <sheetViews>
    <sheetView zoomScale="85" zoomScaleNormal="85" workbookViewId="0"/>
  </sheetViews>
  <sheetFormatPr defaultColWidth="8.7109375" defaultRowHeight="15" x14ac:dyDescent="0.25"/>
  <cols>
    <col min="1" max="1" width="32" customWidth="1"/>
    <col min="2" max="2" width="15" customWidth="1"/>
    <col min="3" max="3" width="12" customWidth="1"/>
    <col min="4" max="6" width="14" customWidth="1"/>
    <col min="7" max="7" width="12" customWidth="1"/>
    <col min="8" max="10" width="11" customWidth="1"/>
    <col min="11" max="97" width="14" customWidth="1"/>
    <col min="98" max="110" width="12" customWidth="1"/>
  </cols>
  <sheetData>
    <row r="1" spans="1:110" ht="17.25" customHeight="1" x14ac:dyDescent="0.25">
      <c r="A1" s="286" t="s">
        <v>855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</row>
    <row r="2" spans="1:110" ht="15" customHeight="1" x14ac:dyDescent="0.25">
      <c r="A2" s="288" t="s">
        <v>856</v>
      </c>
      <c r="B2" s="289">
        <v>2.5000000000000001E-3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</row>
    <row r="3" spans="1:110" ht="15" customHeight="1" x14ac:dyDescent="0.25">
      <c r="A3" s="288" t="s">
        <v>857</v>
      </c>
      <c r="B3" s="290">
        <v>0.1</v>
      </c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</row>
    <row r="4" spans="1:110" x14ac:dyDescent="0.25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</row>
    <row r="5" spans="1:110" ht="30" customHeight="1" x14ac:dyDescent="0.25">
      <c r="A5" s="291" t="s">
        <v>858</v>
      </c>
      <c r="B5" s="291" t="s">
        <v>859</v>
      </c>
      <c r="C5" s="291" t="s">
        <v>860</v>
      </c>
      <c r="D5" s="292" t="s">
        <v>861</v>
      </c>
      <c r="E5" s="292" t="s">
        <v>862</v>
      </c>
      <c r="F5" s="292" t="s">
        <v>863</v>
      </c>
      <c r="G5" s="293" t="s">
        <v>279</v>
      </c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</row>
    <row r="6" spans="1:110" ht="15" customHeight="1" x14ac:dyDescent="0.25">
      <c r="A6" s="294">
        <v>2026</v>
      </c>
      <c r="B6" s="294">
        <v>-2</v>
      </c>
      <c r="C6" s="294">
        <v>9</v>
      </c>
      <c r="D6" s="295">
        <f>SUM(Helpers!C96:N96)</f>
        <v>0</v>
      </c>
      <c r="E6" s="295">
        <f>SUM(Helpers!C101:N101)</f>
        <v>0</v>
      </c>
      <c r="F6" s="295">
        <f t="shared" ref="F6:F14" si="0">D6-E6</f>
        <v>0</v>
      </c>
      <c r="G6" s="296">
        <f>IF(F6&gt;=Assumptions!$B$86,Assumptions!$C$86,IF(F6&gt;=Assumptions!$B$85,Assumptions!$C$85,IF(F6&gt;=Assumptions!$B$84,Assumptions!$C$84,Assumptions!$C$83)))</f>
        <v>0.25</v>
      </c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</row>
    <row r="7" spans="1:110" ht="15" customHeight="1" x14ac:dyDescent="0.25">
      <c r="A7" s="294">
        <v>2027</v>
      </c>
      <c r="B7" s="294">
        <v>10</v>
      </c>
      <c r="C7" s="294">
        <v>21</v>
      </c>
      <c r="D7" s="295">
        <f>SUM(Helpers!O96:Z96)</f>
        <v>0</v>
      </c>
      <c r="E7" s="295">
        <f>SUM(Helpers!O101:Z101)</f>
        <v>0</v>
      </c>
      <c r="F7" s="295">
        <f t="shared" si="0"/>
        <v>0</v>
      </c>
      <c r="G7" s="296">
        <f>IF(F7&gt;=Assumptions!$B$86,Assumptions!$C$86,IF(F7&gt;=Assumptions!$B$85,Assumptions!$C$85,IF(F7&gt;=Assumptions!$B$84,Assumptions!$C$84,Assumptions!$C$83)))</f>
        <v>0.25</v>
      </c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</row>
    <row r="8" spans="1:110" ht="15" customHeight="1" x14ac:dyDescent="0.25">
      <c r="A8" s="294">
        <v>2028</v>
      </c>
      <c r="B8" s="294">
        <v>22</v>
      </c>
      <c r="C8" s="294">
        <v>33</v>
      </c>
      <c r="D8" s="295">
        <f>SUM(Helpers!AA96:AL96)</f>
        <v>1481400</v>
      </c>
      <c r="E8" s="295">
        <f>SUM(Helpers!AA101:AL101)</f>
        <v>0</v>
      </c>
      <c r="F8" s="295">
        <f t="shared" si="0"/>
        <v>1481400</v>
      </c>
      <c r="G8" s="296">
        <f>IF(F8&gt;=Assumptions!$B$86,Assumptions!$C$86,IF(F8&gt;=Assumptions!$B$85,Assumptions!$C$85,IF(F8&gt;=Assumptions!$B$84,Assumptions!$C$84,Assumptions!$C$83)))</f>
        <v>0.25</v>
      </c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</row>
    <row r="9" spans="1:110" ht="15" customHeight="1" x14ac:dyDescent="0.25">
      <c r="A9" s="294">
        <v>2029</v>
      </c>
      <c r="B9" s="294">
        <v>34</v>
      </c>
      <c r="C9" s="294">
        <v>45</v>
      </c>
      <c r="D9" s="295">
        <f>SUM(Helpers!AM96:AX96)</f>
        <v>34487031</v>
      </c>
      <c r="E9" s="295">
        <f>SUM(Helpers!AM101:AX101)</f>
        <v>10157265</v>
      </c>
      <c r="F9" s="295">
        <f t="shared" si="0"/>
        <v>24329766</v>
      </c>
      <c r="G9" s="296">
        <f>IF(F9&gt;=Assumptions!$B$86,Assumptions!$C$86,IF(F9&gt;=Assumptions!$B$85,Assumptions!$C$85,IF(F9&gt;=Assumptions!$B$84,Assumptions!$C$84,Assumptions!$C$83)))</f>
        <v>0.5</v>
      </c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</row>
    <row r="10" spans="1:110" ht="15" customHeight="1" x14ac:dyDescent="0.25">
      <c r="A10" s="294">
        <v>2030</v>
      </c>
      <c r="B10" s="294">
        <v>46</v>
      </c>
      <c r="C10" s="294">
        <v>57</v>
      </c>
      <c r="D10" s="295">
        <f>SUM(Helpers!AY96:BJ96)</f>
        <v>45308154</v>
      </c>
      <c r="E10" s="295">
        <f>SUM(Helpers!AY101:BJ101)</f>
        <v>4842735</v>
      </c>
      <c r="F10" s="295">
        <f t="shared" si="0"/>
        <v>40465419</v>
      </c>
      <c r="G10" s="296">
        <f>IF(F10&gt;=Assumptions!$B$86,Assumptions!$C$86,IF(F10&gt;=Assumptions!$B$85,Assumptions!$C$85,IF(F10&gt;=Assumptions!$B$84,Assumptions!$C$84,Assumptions!$C$83)))</f>
        <v>0.75</v>
      </c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</row>
    <row r="11" spans="1:110" ht="15" customHeight="1" x14ac:dyDescent="0.25">
      <c r="A11" s="294">
        <v>2031</v>
      </c>
      <c r="B11" s="294">
        <v>58</v>
      </c>
      <c r="C11" s="294">
        <v>69</v>
      </c>
      <c r="D11" s="295">
        <f>SUM(Helpers!BK96:BV96)</f>
        <v>71144460</v>
      </c>
      <c r="E11" s="295">
        <f>SUM(Helpers!BK101:BV101)</f>
        <v>12188718</v>
      </c>
      <c r="F11" s="295">
        <f t="shared" si="0"/>
        <v>58955742</v>
      </c>
      <c r="G11" s="296">
        <f>IF(F11&gt;=Assumptions!$B$86,Assumptions!$C$86,IF(F11&gt;=Assumptions!$B$85,Assumptions!$C$85,IF(F11&gt;=Assumptions!$B$84,Assumptions!$C$84,Assumptions!$C$83)))</f>
        <v>0.75</v>
      </c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</row>
    <row r="12" spans="1:110" ht="15" customHeight="1" x14ac:dyDescent="0.25">
      <c r="A12" s="294">
        <v>2032</v>
      </c>
      <c r="B12" s="294">
        <v>70</v>
      </c>
      <c r="C12" s="294">
        <v>81</v>
      </c>
      <c r="D12" s="295">
        <f>SUM(Helpers!BW96:CH96)</f>
        <v>56176353</v>
      </c>
      <c r="E12" s="295">
        <f>SUM(Helpers!BW101:CH101)</f>
        <v>5811282</v>
      </c>
      <c r="F12" s="295">
        <f t="shared" si="0"/>
        <v>50365071</v>
      </c>
      <c r="G12" s="296">
        <f>IF(F12&gt;=Assumptions!$B$86,Assumptions!$C$86,IF(F12&gt;=Assumptions!$B$85,Assumptions!$C$85,IF(F12&gt;=Assumptions!$B$84,Assumptions!$C$84,Assumptions!$C$83)))</f>
        <v>0.75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</row>
    <row r="13" spans="1:110" ht="15" customHeight="1" x14ac:dyDescent="0.25">
      <c r="A13" s="294">
        <v>2033</v>
      </c>
      <c r="B13" s="294">
        <v>82</v>
      </c>
      <c r="C13" s="294">
        <v>93</v>
      </c>
      <c r="D13" s="295">
        <f>SUM(Helpers!CI96:CT96)</f>
        <v>60109692</v>
      </c>
      <c r="E13" s="295">
        <f>SUM(Helpers!CI101:CT101)</f>
        <v>10157265</v>
      </c>
      <c r="F13" s="295">
        <f t="shared" si="0"/>
        <v>49952427</v>
      </c>
      <c r="G13" s="296">
        <f>IF(F13&gt;=Assumptions!$B$86,Assumptions!$C$86,IF(F13&gt;=Assumptions!$B$85,Assumptions!$C$85,IF(F13&gt;=Assumptions!$B$84,Assumptions!$C$84,Assumptions!$C$83)))</f>
        <v>0.75</v>
      </c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</row>
    <row r="14" spans="1:110" ht="15" customHeight="1" x14ac:dyDescent="0.25">
      <c r="A14" s="294">
        <v>2034</v>
      </c>
      <c r="B14" s="294">
        <v>94</v>
      </c>
      <c r="C14" s="294">
        <v>105</v>
      </c>
      <c r="D14" s="295">
        <f>SUM(Helpers!CU96:DF96)</f>
        <v>10292910</v>
      </c>
      <c r="E14" s="295">
        <f>SUM(Helpers!CU101:DF101)</f>
        <v>4842735</v>
      </c>
      <c r="F14" s="295">
        <f t="shared" si="0"/>
        <v>5450175</v>
      </c>
      <c r="G14" s="296">
        <f>IF(F14&gt;=Assumptions!$B$86,Assumptions!$C$86,IF(F14&gt;=Assumptions!$B$85,Assumptions!$C$85,IF(F14&gt;=Assumptions!$B$84,Assumptions!$C$84,Assumptions!$C$83)))</f>
        <v>0.25</v>
      </c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</row>
    <row r="15" spans="1:110" ht="15" customHeight="1" x14ac:dyDescent="0.25">
      <c r="A15" s="297" t="s">
        <v>53</v>
      </c>
      <c r="B15" s="287"/>
      <c r="C15" s="294">
        <f>Model!C3</f>
        <v>-2</v>
      </c>
      <c r="D15" s="294">
        <f>Model!D3</f>
        <v>-1</v>
      </c>
      <c r="E15" s="294">
        <f>Model!E3</f>
        <v>0</v>
      </c>
      <c r="F15" s="294">
        <f>Model!F3</f>
        <v>1</v>
      </c>
      <c r="G15" s="294">
        <f>Model!G3</f>
        <v>2</v>
      </c>
      <c r="H15" s="294">
        <f>Model!H3</f>
        <v>3</v>
      </c>
      <c r="I15" s="294">
        <f>Model!I3</f>
        <v>4</v>
      </c>
      <c r="J15" s="294">
        <f>Model!J3</f>
        <v>5</v>
      </c>
      <c r="K15" s="294">
        <f>Model!K3</f>
        <v>6</v>
      </c>
      <c r="L15" s="294">
        <f>Model!L3</f>
        <v>7</v>
      </c>
      <c r="M15" s="294">
        <f>Model!M3</f>
        <v>8</v>
      </c>
      <c r="N15" s="294">
        <f>Model!N3</f>
        <v>9</v>
      </c>
      <c r="O15" s="294">
        <f>Model!O3</f>
        <v>10</v>
      </c>
      <c r="P15" s="294">
        <f>Model!P3</f>
        <v>11</v>
      </c>
      <c r="Q15" s="294">
        <f>Model!Q3</f>
        <v>12</v>
      </c>
      <c r="R15" s="294">
        <f>Model!R3</f>
        <v>13</v>
      </c>
      <c r="S15" s="294">
        <f>Model!S3</f>
        <v>14</v>
      </c>
      <c r="T15" s="294">
        <f>Model!T3</f>
        <v>15</v>
      </c>
      <c r="U15" s="294">
        <f>Model!U3</f>
        <v>16</v>
      </c>
      <c r="V15" s="294">
        <f>Model!V3</f>
        <v>17</v>
      </c>
      <c r="W15" s="294">
        <f>Model!W3</f>
        <v>18</v>
      </c>
      <c r="X15" s="294">
        <f>Model!X3</f>
        <v>19</v>
      </c>
      <c r="Y15" s="294">
        <f>Model!Y3</f>
        <v>20</v>
      </c>
      <c r="Z15" s="294">
        <f>Model!Z3</f>
        <v>21</v>
      </c>
      <c r="AA15" s="294">
        <f>Model!AA3</f>
        <v>22</v>
      </c>
      <c r="AB15" s="294">
        <f>Model!AB3</f>
        <v>23</v>
      </c>
      <c r="AC15" s="294">
        <f>Model!AC3</f>
        <v>24</v>
      </c>
      <c r="AD15" s="294">
        <f>Model!AD3</f>
        <v>25</v>
      </c>
      <c r="AE15" s="294">
        <f>Model!AE3</f>
        <v>26</v>
      </c>
      <c r="AF15" s="294">
        <f>Model!AF3</f>
        <v>27</v>
      </c>
      <c r="AG15" s="294">
        <f>Model!AG3</f>
        <v>28</v>
      </c>
      <c r="AH15" s="294">
        <f>Model!AH3</f>
        <v>29</v>
      </c>
      <c r="AI15" s="294">
        <f>Model!AI3</f>
        <v>30</v>
      </c>
      <c r="AJ15" s="294">
        <f>Model!AJ3</f>
        <v>31</v>
      </c>
      <c r="AK15" s="294">
        <f>Model!AK3</f>
        <v>32</v>
      </c>
      <c r="AL15" s="294">
        <f>Model!AL3</f>
        <v>33</v>
      </c>
      <c r="AM15" s="294">
        <f>Model!AM3</f>
        <v>34</v>
      </c>
      <c r="AN15" s="294">
        <f>Model!AN3</f>
        <v>35</v>
      </c>
      <c r="AO15" s="294">
        <f>Model!AO3</f>
        <v>36</v>
      </c>
      <c r="AP15" s="294">
        <f>Model!AP3</f>
        <v>37</v>
      </c>
      <c r="AQ15" s="294">
        <f>Model!AQ3</f>
        <v>38</v>
      </c>
      <c r="AR15" s="294">
        <f>Model!AR3</f>
        <v>39</v>
      </c>
      <c r="AS15" s="294">
        <f>Model!AS3</f>
        <v>40</v>
      </c>
      <c r="AT15" s="294">
        <f>Model!AT3</f>
        <v>41</v>
      </c>
      <c r="AU15" s="294">
        <f>Model!AU3</f>
        <v>42</v>
      </c>
      <c r="AV15" s="294">
        <f>Model!AV3</f>
        <v>43</v>
      </c>
      <c r="AW15" s="294">
        <f>Model!AW3</f>
        <v>44</v>
      </c>
      <c r="AX15" s="294">
        <f>Model!AX3</f>
        <v>45</v>
      </c>
      <c r="AY15" s="294">
        <f>Model!AY3</f>
        <v>46</v>
      </c>
      <c r="AZ15" s="294">
        <f>Model!AZ3</f>
        <v>47</v>
      </c>
      <c r="BA15" s="294">
        <f>Model!BA3</f>
        <v>48</v>
      </c>
      <c r="BB15" s="294">
        <f>Model!BB3</f>
        <v>49</v>
      </c>
      <c r="BC15" s="294">
        <f>Model!BC3</f>
        <v>50</v>
      </c>
      <c r="BD15" s="294">
        <f>Model!BD3</f>
        <v>51</v>
      </c>
      <c r="BE15" s="294">
        <f>Model!BE3</f>
        <v>52</v>
      </c>
      <c r="BF15" s="294">
        <f>Model!BF3</f>
        <v>53</v>
      </c>
      <c r="BG15" s="294">
        <f>Model!BG3</f>
        <v>54</v>
      </c>
      <c r="BH15" s="294">
        <f>Model!BH3</f>
        <v>55</v>
      </c>
      <c r="BI15" s="294">
        <f>Model!BI3</f>
        <v>56</v>
      </c>
      <c r="BJ15" s="294">
        <f>Model!BJ3</f>
        <v>57</v>
      </c>
      <c r="BK15" s="294">
        <f>Model!BK3</f>
        <v>58</v>
      </c>
      <c r="BL15" s="294">
        <f>Model!BL3</f>
        <v>59</v>
      </c>
      <c r="BM15" s="294">
        <f>Model!BM3</f>
        <v>60</v>
      </c>
      <c r="BN15" s="294">
        <f>Model!BN3</f>
        <v>61</v>
      </c>
      <c r="BO15" s="294">
        <f>Model!BO3</f>
        <v>62</v>
      </c>
      <c r="BP15" s="294">
        <f>Model!BP3</f>
        <v>63</v>
      </c>
      <c r="BQ15" s="294">
        <f>Model!BQ3</f>
        <v>64</v>
      </c>
      <c r="BR15" s="294">
        <f>Model!BR3</f>
        <v>65</v>
      </c>
      <c r="BS15" s="294">
        <f>Model!BS3</f>
        <v>66</v>
      </c>
      <c r="BT15" s="294">
        <f>Model!BT3</f>
        <v>67</v>
      </c>
      <c r="BU15" s="294">
        <f>Model!BU3</f>
        <v>68</v>
      </c>
      <c r="BV15" s="294">
        <f>Model!BV3</f>
        <v>69</v>
      </c>
      <c r="BW15" s="294">
        <f>Model!BW3</f>
        <v>70</v>
      </c>
      <c r="BX15" s="294">
        <f>Model!BX3</f>
        <v>71</v>
      </c>
      <c r="BY15" s="294">
        <f>Model!BY3</f>
        <v>72</v>
      </c>
      <c r="BZ15" s="294">
        <f>Model!BZ3</f>
        <v>73</v>
      </c>
      <c r="CA15" s="294">
        <f>Model!CA3</f>
        <v>74</v>
      </c>
      <c r="CB15" s="294">
        <f>Model!CB3</f>
        <v>75</v>
      </c>
      <c r="CC15" s="294">
        <f>Model!CC3</f>
        <v>76</v>
      </c>
      <c r="CD15" s="294">
        <f>Model!CD3</f>
        <v>77</v>
      </c>
      <c r="CE15" s="294">
        <f>Model!CE3</f>
        <v>78</v>
      </c>
      <c r="CF15" s="294">
        <f>Model!CF3</f>
        <v>79</v>
      </c>
      <c r="CG15" s="294">
        <f>Model!CG3</f>
        <v>80</v>
      </c>
      <c r="CH15" s="294">
        <f>Model!CH3</f>
        <v>81</v>
      </c>
      <c r="CI15" s="294">
        <f>Model!CI3</f>
        <v>82</v>
      </c>
      <c r="CJ15" s="294">
        <f>Model!CJ3</f>
        <v>83</v>
      </c>
      <c r="CK15" s="294">
        <f>Model!CK3</f>
        <v>84</v>
      </c>
      <c r="CL15" s="294">
        <f>Model!CL3</f>
        <v>85</v>
      </c>
      <c r="CM15" s="294">
        <f>Model!CM3</f>
        <v>86</v>
      </c>
      <c r="CN15" s="294">
        <f>Model!CN3</f>
        <v>87</v>
      </c>
      <c r="CO15" s="294">
        <f>Model!CO3</f>
        <v>88</v>
      </c>
      <c r="CP15" s="294">
        <f>Model!CP3</f>
        <v>89</v>
      </c>
      <c r="CQ15" s="294">
        <f>Model!CQ3</f>
        <v>90</v>
      </c>
      <c r="CR15" s="294">
        <f>Model!CR3</f>
        <v>91</v>
      </c>
      <c r="CS15" s="294">
        <f>Model!CS3</f>
        <v>92</v>
      </c>
      <c r="CT15" s="294">
        <f>Model!CT3</f>
        <v>93</v>
      </c>
      <c r="CU15" s="294">
        <f>Model!CU3</f>
        <v>94</v>
      </c>
      <c r="CV15" s="294">
        <f>Model!CV3</f>
        <v>95</v>
      </c>
      <c r="CW15" s="294">
        <f>Model!CW3</f>
        <v>96</v>
      </c>
      <c r="CX15" s="294">
        <f>Model!CX3</f>
        <v>97</v>
      </c>
      <c r="CY15" s="294">
        <f>Model!CY3</f>
        <v>98</v>
      </c>
      <c r="CZ15" s="294">
        <f>Model!CZ3</f>
        <v>99</v>
      </c>
      <c r="DA15" s="294">
        <f>Model!DA3</f>
        <v>100</v>
      </c>
      <c r="DB15" s="294">
        <f>Model!DB3</f>
        <v>101</v>
      </c>
      <c r="DC15" s="294">
        <f>Model!DC3</f>
        <v>102</v>
      </c>
      <c r="DD15" s="294">
        <f>Model!DD3</f>
        <v>103</v>
      </c>
      <c r="DE15" s="294">
        <f>Model!DE3</f>
        <v>104</v>
      </c>
      <c r="DF15" s="294">
        <f>Model!DF3</f>
        <v>105</v>
      </c>
    </row>
    <row r="16" spans="1:110" ht="15" customHeight="1" x14ac:dyDescent="0.25">
      <c r="A16" s="297" t="s">
        <v>864</v>
      </c>
      <c r="B16" s="287"/>
      <c r="C16" s="295">
        <f ca="1">-SUM(Model!C23:C55)</f>
        <v>258991.59</v>
      </c>
      <c r="D16" s="295">
        <f ca="1">-SUM(Model!D23:D55)</f>
        <v>258698.63000000003</v>
      </c>
      <c r="E16" s="295">
        <f ca="1">-SUM(Model!E23:E55)</f>
        <v>350327.83</v>
      </c>
      <c r="F16" s="295">
        <f ca="1">-SUM(Model!F23:F55)</f>
        <v>71821.649999999994</v>
      </c>
      <c r="G16" s="295">
        <f ca="1">-SUM(Model!G23:G55)</f>
        <v>464089.47499999998</v>
      </c>
      <c r="H16" s="295">
        <f ca="1">-SUM(Model!H23:H55)</f>
        <v>493464.47499999998</v>
      </c>
      <c r="I16" s="295">
        <f ca="1">-SUM(Model!I23:I55)</f>
        <v>480368.64166666666</v>
      </c>
      <c r="J16" s="295">
        <f ca="1">-SUM(Model!J23:J55)</f>
        <v>460868.64166666666</v>
      </c>
      <c r="K16" s="295">
        <f ca="1">-SUM(Model!K23:K55)</f>
        <v>460868.64166666666</v>
      </c>
      <c r="L16" s="295">
        <f ca="1">-SUM(Model!L23:L55)</f>
        <v>522222.80833333335</v>
      </c>
      <c r="M16" s="295">
        <f ca="1">-SUM(Model!M23:M55)</f>
        <v>573072.80833333335</v>
      </c>
      <c r="N16" s="295">
        <f ca="1">-SUM(Model!N23:N55)</f>
        <v>519072.80833333335</v>
      </c>
      <c r="O16" s="295">
        <f ca="1">-SUM(Model!O23:O55)</f>
        <v>519072.80833333335</v>
      </c>
      <c r="P16" s="295">
        <f ca="1">-SUM(Model!P23:P55)</f>
        <v>519072.80833333335</v>
      </c>
      <c r="Q16" s="295">
        <f ca="1">-SUM(Model!Q23:Q55)</f>
        <v>519072.80833333335</v>
      </c>
      <c r="R16" s="295">
        <f ca="1">-SUM(Model!R23:R55)</f>
        <v>566949.59783333342</v>
      </c>
      <c r="S16" s="295">
        <f ca="1">-SUM(Model!S23:S55)</f>
        <v>542949.5978333333</v>
      </c>
      <c r="T16" s="295">
        <f ca="1">-SUM(Model!T23:T55)</f>
        <v>542949.5978333333</v>
      </c>
      <c r="U16" s="295">
        <f ca="1">-SUM(Model!U23:U55)</f>
        <v>542949.5978333333</v>
      </c>
      <c r="V16" s="295">
        <f ca="1">-SUM(Model!V23:V55)</f>
        <v>542949.5978333333</v>
      </c>
      <c r="W16" s="295">
        <f ca="1">-SUM(Model!W23:W55)</f>
        <v>542949.5978333333</v>
      </c>
      <c r="X16" s="295">
        <f ca="1">-SUM(Model!X23:X55)</f>
        <v>542949.5978333333</v>
      </c>
      <c r="Y16" s="295">
        <f ca="1">-SUM(Model!Y23:Y55)</f>
        <v>542949.5978333333</v>
      </c>
      <c r="Z16" s="295">
        <f ca="1">-SUM(Model!Z23:Z55)</f>
        <v>542949.5978333333</v>
      </c>
      <c r="AA16" s="295">
        <f ca="1">-SUM(Model!AA23:AA55)</f>
        <v>542949.5978333333</v>
      </c>
      <c r="AB16" s="295">
        <f ca="1">-SUM(Model!AB23:AB55)</f>
        <v>542949.5978333333</v>
      </c>
      <c r="AC16" s="295">
        <f ca="1">-SUM(Model!AC23:AC55)</f>
        <v>542949.5978333333</v>
      </c>
      <c r="AD16" s="295">
        <f ca="1">-SUM(Model!AD23:AD55)</f>
        <v>551731.92312333314</v>
      </c>
      <c r="AE16" s="295">
        <f ca="1">-SUM(Model!AE23:AE55)</f>
        <v>551731.92312333314</v>
      </c>
      <c r="AF16" s="295">
        <f ca="1">-SUM(Model!AF23:AF55)</f>
        <v>551731.92312333314</v>
      </c>
      <c r="AG16" s="295">
        <f ca="1">-SUM(Model!AG23:AG55)</f>
        <v>551731.92312333314</v>
      </c>
      <c r="AH16" s="295">
        <f ca="1">-SUM(Model!AH23:AH55)</f>
        <v>551731.92312333314</v>
      </c>
      <c r="AI16" s="295">
        <f ca="1">-SUM(Model!AI23:AI55)</f>
        <v>551731.92312333314</v>
      </c>
      <c r="AJ16" s="295">
        <f ca="1">-SUM(Model!AJ23:AJ55)</f>
        <v>551731.92312333314</v>
      </c>
      <c r="AK16" s="295">
        <f ca="1">-SUM(Model!AK23:AK55)</f>
        <v>589231.92312333314</v>
      </c>
      <c r="AL16" s="295">
        <f ca="1">-SUM(Model!AL23:AL55)</f>
        <v>551731.92312333314</v>
      </c>
      <c r="AM16" s="295">
        <f ca="1">-SUM(Model!AM23:AM55)</f>
        <v>551731.92312333314</v>
      </c>
      <c r="AN16" s="295">
        <f ca="1">-SUM(Model!AN23:AN55)</f>
        <v>589231.92312333314</v>
      </c>
      <c r="AO16" s="295">
        <f ca="1">-SUM(Model!AO23:AO55)</f>
        <v>551731.92312333314</v>
      </c>
      <c r="AP16" s="295">
        <f ca="1">-SUM(Model!AP23:AP55)</f>
        <v>560689.8949191334</v>
      </c>
      <c r="AQ16" s="295">
        <f ca="1">-SUM(Model!AQ23:AQ55)</f>
        <v>605689.8949191334</v>
      </c>
      <c r="AR16" s="295">
        <f ca="1">-SUM(Model!AR23:AR55)</f>
        <v>560689.8949191334</v>
      </c>
      <c r="AS16" s="295">
        <f ca="1">-SUM(Model!AS23:AS55)</f>
        <v>560689.8949191334</v>
      </c>
      <c r="AT16" s="295">
        <f ca="1">-SUM(Model!AT23:AT55)</f>
        <v>605689.8949191334</v>
      </c>
      <c r="AU16" s="295">
        <f ca="1">-SUM(Model!AU23:AU55)</f>
        <v>560689.8949191334</v>
      </c>
      <c r="AV16" s="295">
        <f ca="1">-SUM(Model!AV23:AV55)</f>
        <v>560689.8949191334</v>
      </c>
      <c r="AW16" s="295">
        <f ca="1">-SUM(Model!AW23:AW55)</f>
        <v>560689.8949191334</v>
      </c>
      <c r="AX16" s="295">
        <f ca="1">-SUM(Model!AX23:AX55)</f>
        <v>560689.8949191334</v>
      </c>
      <c r="AY16" s="295">
        <f ca="1">-SUM(Model!AY23:AY55)</f>
        <v>560689.8949191334</v>
      </c>
      <c r="AZ16" s="295">
        <f ca="1">-SUM(Model!AZ23:AZ55)</f>
        <v>560689.8949191334</v>
      </c>
      <c r="BA16" s="295">
        <f ca="1">-SUM(Model!BA23:BA55)</f>
        <v>560689.8949191334</v>
      </c>
      <c r="BB16" s="295">
        <f ca="1">-SUM(Model!BB23:BB55)</f>
        <v>607327.02615084907</v>
      </c>
      <c r="BC16" s="295">
        <f ca="1">-SUM(Model!BC23:BC55)</f>
        <v>569827.02615084907</v>
      </c>
      <c r="BD16" s="295">
        <f ca="1">-SUM(Model!BD23:BD55)</f>
        <v>569827.02615084907</v>
      </c>
      <c r="BE16" s="295">
        <f ca="1">-SUM(Model!BE23:BE55)</f>
        <v>532327.02615084907</v>
      </c>
      <c r="BF16" s="295">
        <f ca="1">-SUM(Model!BF23:BF55)</f>
        <v>614827.02615084907</v>
      </c>
      <c r="BG16" s="295">
        <f ca="1">-SUM(Model!BG23:BG55)</f>
        <v>569827.02615084907</v>
      </c>
      <c r="BH16" s="295">
        <f ca="1">-SUM(Model!BH23:BH55)</f>
        <v>607327.02615084907</v>
      </c>
      <c r="BI16" s="295">
        <f ca="1">-SUM(Model!BI23:BI55)</f>
        <v>569827.02615084907</v>
      </c>
      <c r="BJ16" s="295">
        <f ca="1">-SUM(Model!BJ23:BJ55)</f>
        <v>607327.02615084907</v>
      </c>
      <c r="BK16" s="295">
        <f ca="1">-SUM(Model!BK23:BK55)</f>
        <v>569827.02615084907</v>
      </c>
      <c r="BL16" s="295">
        <f ca="1">-SUM(Model!BL23:BL55)</f>
        <v>614827.02615084907</v>
      </c>
      <c r="BM16" s="295">
        <f ca="1">-SUM(Model!BM23:BM55)</f>
        <v>569827.02615084907</v>
      </c>
      <c r="BN16" s="295">
        <f ca="1">-SUM(Model!BN23:BN55)</f>
        <v>616646.90000719961</v>
      </c>
      <c r="BO16" s="295">
        <f ca="1">-SUM(Model!BO23:BO55)</f>
        <v>579146.90000719961</v>
      </c>
      <c r="BP16" s="295">
        <f ca="1">-SUM(Model!BP23:BP55)</f>
        <v>624146.90000719961</v>
      </c>
      <c r="BQ16" s="295">
        <f ca="1">-SUM(Model!BQ23:BQ55)</f>
        <v>579146.90000719961</v>
      </c>
      <c r="BR16" s="295">
        <f ca="1">-SUM(Model!BR23:BR55)</f>
        <v>579146.90000719961</v>
      </c>
      <c r="BS16" s="295">
        <f ca="1">-SUM(Model!BS23:BS55)</f>
        <v>579146.90000719961</v>
      </c>
      <c r="BT16" s="295">
        <f ca="1">-SUM(Model!BT23:BT55)</f>
        <v>579146.90000719961</v>
      </c>
      <c r="BU16" s="295">
        <f ca="1">-SUM(Model!BU23:BU55)</f>
        <v>579146.90000719961</v>
      </c>
      <c r="BV16" s="295">
        <f ca="1">-SUM(Model!BV23:BV55)</f>
        <v>624146.90000719961</v>
      </c>
      <c r="BW16" s="295">
        <f ca="1">-SUM(Model!BW23:BW55)</f>
        <v>579146.90000719961</v>
      </c>
      <c r="BX16" s="295">
        <f ca="1">-SUM(Model!BX23:BX55)</f>
        <v>579146.90000719961</v>
      </c>
      <c r="BY16" s="295">
        <f ca="1">-SUM(Model!BY23:BY55)</f>
        <v>579146.90000719961</v>
      </c>
      <c r="BZ16" s="295">
        <f ca="1">-SUM(Model!BZ23:BZ55)</f>
        <v>588653.17134067661</v>
      </c>
      <c r="CA16" s="295">
        <f ca="1">-SUM(Model!CA23:CA55)</f>
        <v>588653.17134067661</v>
      </c>
      <c r="CB16" s="295">
        <f ca="1">-SUM(Model!CB23:CB55)</f>
        <v>633653.17134067661</v>
      </c>
      <c r="CC16" s="295">
        <f ca="1">-SUM(Model!CC23:CC55)</f>
        <v>569865.32043482293</v>
      </c>
      <c r="CD16" s="295">
        <f ca="1">-SUM(Model!CD23:CD55)</f>
        <v>626153.17134067661</v>
      </c>
      <c r="CE16" s="295">
        <f ca="1">-SUM(Model!CE23:CE55)</f>
        <v>588653.17134067661</v>
      </c>
      <c r="CF16" s="295">
        <f ca="1">-SUM(Model!CF23:CF55)</f>
        <v>626153.17134067661</v>
      </c>
      <c r="CG16" s="295">
        <f ca="1">-SUM(Model!CG23:CG55)</f>
        <v>588653.17134067661</v>
      </c>
      <c r="CH16" s="295">
        <f ca="1">-SUM(Model!CH23:CH55)</f>
        <v>633653.17134067661</v>
      </c>
      <c r="CI16" s="295">
        <f ca="1">-SUM(Model!CI23:CI55)</f>
        <v>588653.17134067661</v>
      </c>
      <c r="CJ16" s="295">
        <f ca="1">-SUM(Model!CJ23:CJ55)</f>
        <v>626153.17134067661</v>
      </c>
      <c r="CK16" s="295">
        <f ca="1">-SUM(Model!CK23:CK55)</f>
        <v>588653.17134067661</v>
      </c>
      <c r="CL16" s="295">
        <f ca="1">-SUM(Model!CL23:CL55)</f>
        <v>598349.56810082402</v>
      </c>
      <c r="CM16" s="295">
        <f ca="1">-SUM(Model!CM23:CM55)</f>
        <v>598349.56810082402</v>
      </c>
      <c r="CN16" s="295">
        <f ca="1">-SUM(Model!CN23:CN55)</f>
        <v>598349.56810082402</v>
      </c>
      <c r="CO16" s="295">
        <f ca="1">-SUM(Model!CO23:CO55)</f>
        <v>598349.56810082402</v>
      </c>
      <c r="CP16" s="295">
        <f ca="1">-SUM(Model!CP23:CP55)</f>
        <v>598349.56810082402</v>
      </c>
      <c r="CQ16" s="295">
        <f ca="1">-SUM(Model!CQ23:CQ55)</f>
        <v>598349.56810082402</v>
      </c>
      <c r="CR16" s="295">
        <f ca="1">-SUM(Model!CR23:CR55)</f>
        <v>598349.56810082402</v>
      </c>
      <c r="CS16" s="295">
        <f ca="1">-SUM(Model!CS23:CS55)</f>
        <v>598349.56810082402</v>
      </c>
      <c r="CT16" s="295">
        <f ca="1">-SUM(Model!CT23:CT55)</f>
        <v>598349.56810082402</v>
      </c>
      <c r="CU16" s="295">
        <f ca="1">-SUM(Model!CU23:CU55)</f>
        <v>541129.46673347347</v>
      </c>
      <c r="CV16" s="295">
        <f ca="1">-SUM(Model!CV23:CV55)</f>
        <v>541129.46673347347</v>
      </c>
      <c r="CW16" s="295">
        <f ca="1">-SUM(Model!CW23:CW55)</f>
        <v>541129.46673347347</v>
      </c>
      <c r="CX16" s="295">
        <f ca="1">-SUM(Model!CX23:CX55)</f>
        <v>549875.38940147625</v>
      </c>
      <c r="CY16" s="295">
        <f ca="1">-SUM(Model!CY23:CY55)</f>
        <v>549875.38940147625</v>
      </c>
      <c r="CZ16" s="295">
        <f ca="1">-SUM(Model!CZ23:CZ55)</f>
        <v>549875.38940147625</v>
      </c>
      <c r="DA16" s="295">
        <f ca="1">-SUM(Model!DA23:DA55)</f>
        <v>512375.38940147631</v>
      </c>
      <c r="DB16" s="295">
        <f ca="1">-SUM(Model!DB23:DB55)</f>
        <v>549875.38940147625</v>
      </c>
      <c r="DC16" s="295">
        <f ca="1">-SUM(Model!DC23:DC55)</f>
        <v>549875.38940147625</v>
      </c>
      <c r="DD16" s="295">
        <f ca="1">-SUM(Model!DD23:DD55)</f>
        <v>549875.38940147625</v>
      </c>
      <c r="DE16" s="295">
        <f ca="1">-SUM(Model!DE23:DE55)</f>
        <v>549875.38940147625</v>
      </c>
      <c r="DF16" s="295">
        <f ca="1">-SUM(Model!DF23:DF55)</f>
        <v>549875.38940147625</v>
      </c>
    </row>
    <row r="17" spans="1:110" ht="15" customHeight="1" x14ac:dyDescent="0.25">
      <c r="A17" s="297" t="s">
        <v>865</v>
      </c>
      <c r="B17" s="287"/>
      <c r="C17" s="294">
        <f>SUMPRODUCT((Projects!$G$2:$G$14="Yes")*(C$15&gt;=Projects!$C$2:$C$14)*(C$15&lt;Projects!$C$2:$C$14+Projects!$D$2:$D$14))+SUMPRODUCT((Projects!$G$17:$G$46="Yes")*(C$15&gt;=Projects!$C$17:$C$46)*(C$15&lt;Projects!$C$17:$C$46+Projects!$D$17:$D$46))</f>
        <v>0</v>
      </c>
      <c r="D17" s="294">
        <f>SUMPRODUCT((Projects!$G$2:$G$14="Yes")*(D$15&gt;=Projects!$C$2:$C$14)*(D$15&lt;Projects!$C$2:$C$14+Projects!$D$2:$D$14))+SUMPRODUCT((Projects!$G$17:$G$46="Yes")*(D$15&gt;=Projects!$C$17:$C$46)*(D$15&lt;Projects!$C$17:$C$46+Projects!$D$17:$D$46))</f>
        <v>0</v>
      </c>
      <c r="E17" s="294">
        <f>SUMPRODUCT((Projects!$G$2:$G$14="Yes")*(E$15&gt;=Projects!$C$2:$C$14)*(E$15&lt;Projects!$C$2:$C$14+Projects!$D$2:$D$14))+SUMPRODUCT((Projects!$G$17:$G$46="Yes")*(E$15&gt;=Projects!$C$17:$C$46)*(E$15&lt;Projects!$C$17:$C$46+Projects!$D$17:$D$46))</f>
        <v>0</v>
      </c>
      <c r="F17" s="294">
        <f>SUMPRODUCT((Projects!$G$2:$G$14="Yes")*(F$15&gt;=Projects!$C$2:$C$14)*(F$15&lt;Projects!$C$2:$C$14+Projects!$D$2:$D$14))+SUMPRODUCT((Projects!$G$17:$G$46="Yes")*(F$15&gt;=Projects!$C$17:$C$46)*(F$15&lt;Projects!$C$17:$C$46+Projects!$D$17:$D$46))</f>
        <v>5</v>
      </c>
      <c r="G17" s="294">
        <f>SUMPRODUCT((Projects!$G$2:$G$14="Yes")*(G$15&gt;=Projects!$C$2:$C$14)*(G$15&lt;Projects!$C$2:$C$14+Projects!$D$2:$D$14))+SUMPRODUCT((Projects!$G$17:$G$46="Yes")*(G$15&gt;=Projects!$C$17:$C$46)*(G$15&lt;Projects!$C$17:$C$46+Projects!$D$17:$D$46))</f>
        <v>5</v>
      </c>
      <c r="H17" s="294">
        <f>SUMPRODUCT((Projects!$G$2:$G$14="Yes")*(H$15&gt;=Projects!$C$2:$C$14)*(H$15&lt;Projects!$C$2:$C$14+Projects!$D$2:$D$14))+SUMPRODUCT((Projects!$G$17:$G$46="Yes")*(H$15&gt;=Projects!$C$17:$C$46)*(H$15&lt;Projects!$C$17:$C$46+Projects!$D$17:$D$46))</f>
        <v>5</v>
      </c>
      <c r="I17" s="294">
        <f>SUMPRODUCT((Projects!$G$2:$G$14="Yes")*(I$15&gt;=Projects!$C$2:$C$14)*(I$15&lt;Projects!$C$2:$C$14+Projects!$D$2:$D$14))+SUMPRODUCT((Projects!$G$17:$G$46="Yes")*(I$15&gt;=Projects!$C$17:$C$46)*(I$15&lt;Projects!$C$17:$C$46+Projects!$D$17:$D$46))</f>
        <v>6</v>
      </c>
      <c r="J17" s="294">
        <f>SUMPRODUCT((Projects!$G$2:$G$14="Yes")*(J$15&gt;=Projects!$C$2:$C$14)*(J$15&lt;Projects!$C$2:$C$14+Projects!$D$2:$D$14))+SUMPRODUCT((Projects!$G$17:$G$46="Yes")*(J$15&gt;=Projects!$C$17:$C$46)*(J$15&lt;Projects!$C$17:$C$46+Projects!$D$17:$D$46))</f>
        <v>6</v>
      </c>
      <c r="K17" s="294">
        <f>SUMPRODUCT((Projects!$G$2:$G$14="Yes")*(K$15&gt;=Projects!$C$2:$C$14)*(K$15&lt;Projects!$C$2:$C$14+Projects!$D$2:$D$14))+SUMPRODUCT((Projects!$G$17:$G$46="Yes")*(K$15&gt;=Projects!$C$17:$C$46)*(K$15&lt;Projects!$C$17:$C$46+Projects!$D$17:$D$46))</f>
        <v>6</v>
      </c>
      <c r="L17" s="294">
        <f>SUMPRODUCT((Projects!$G$2:$G$14="Yes")*(L$15&gt;=Projects!$C$2:$C$14)*(L$15&lt;Projects!$C$2:$C$14+Projects!$D$2:$D$14))+SUMPRODUCT((Projects!$G$17:$G$46="Yes")*(L$15&gt;=Projects!$C$17:$C$46)*(L$15&lt;Projects!$C$17:$C$46+Projects!$D$17:$D$46))</f>
        <v>8</v>
      </c>
      <c r="M17" s="294">
        <f>SUMPRODUCT((Projects!$G$2:$G$14="Yes")*(M$15&gt;=Projects!$C$2:$C$14)*(M$15&lt;Projects!$C$2:$C$14+Projects!$D$2:$D$14))+SUMPRODUCT((Projects!$G$17:$G$46="Yes")*(M$15&gt;=Projects!$C$17:$C$46)*(M$15&lt;Projects!$C$17:$C$46+Projects!$D$17:$D$46))</f>
        <v>9</v>
      </c>
      <c r="N17" s="294">
        <f>SUMPRODUCT((Projects!$G$2:$G$14="Yes")*(N$15&gt;=Projects!$C$2:$C$14)*(N$15&lt;Projects!$C$2:$C$14+Projects!$D$2:$D$14))+SUMPRODUCT((Projects!$G$17:$G$46="Yes")*(N$15&gt;=Projects!$C$17:$C$46)*(N$15&lt;Projects!$C$17:$C$46+Projects!$D$17:$D$46))</f>
        <v>8</v>
      </c>
      <c r="O17" s="294">
        <f>SUMPRODUCT((Projects!$G$2:$G$14="Yes")*(O$15&gt;=Projects!$C$2:$C$14)*(O$15&lt;Projects!$C$2:$C$14+Projects!$D$2:$D$14))+SUMPRODUCT((Projects!$G$17:$G$46="Yes")*(O$15&gt;=Projects!$C$17:$C$46)*(O$15&lt;Projects!$C$17:$C$46+Projects!$D$17:$D$46))</f>
        <v>8</v>
      </c>
      <c r="P17" s="294">
        <f>SUMPRODUCT((Projects!$G$2:$G$14="Yes")*(P$15&gt;=Projects!$C$2:$C$14)*(P$15&lt;Projects!$C$2:$C$14+Projects!$D$2:$D$14))+SUMPRODUCT((Projects!$G$17:$G$46="Yes")*(P$15&gt;=Projects!$C$17:$C$46)*(P$15&lt;Projects!$C$17:$C$46+Projects!$D$17:$D$46))</f>
        <v>8</v>
      </c>
      <c r="Q17" s="294">
        <f>SUMPRODUCT((Projects!$G$2:$G$14="Yes")*(Q$15&gt;=Projects!$C$2:$C$14)*(Q$15&lt;Projects!$C$2:$C$14+Projects!$D$2:$D$14))+SUMPRODUCT((Projects!$G$17:$G$46="Yes")*(Q$15&gt;=Projects!$C$17:$C$46)*(Q$15&lt;Projects!$C$17:$C$46+Projects!$D$17:$D$46))</f>
        <v>8</v>
      </c>
      <c r="R17" s="294">
        <f>SUMPRODUCT((Projects!$G$2:$G$14="Yes")*(R$15&gt;=Projects!$C$2:$C$14)*(R$15&lt;Projects!$C$2:$C$14+Projects!$D$2:$D$14))+SUMPRODUCT((Projects!$G$17:$G$46="Yes")*(R$15&gt;=Projects!$C$17:$C$46)*(R$15&lt;Projects!$C$17:$C$46+Projects!$D$17:$D$46))</f>
        <v>9</v>
      </c>
      <c r="S17" s="294">
        <f>SUMPRODUCT((Projects!$G$2:$G$14="Yes")*(S$15&gt;=Projects!$C$2:$C$14)*(S$15&lt;Projects!$C$2:$C$14+Projects!$D$2:$D$14))+SUMPRODUCT((Projects!$G$17:$G$46="Yes")*(S$15&gt;=Projects!$C$17:$C$46)*(S$15&lt;Projects!$C$17:$C$46+Projects!$D$17:$D$46))</f>
        <v>9</v>
      </c>
      <c r="T17" s="294">
        <f>SUMPRODUCT((Projects!$G$2:$G$14="Yes")*(T$15&gt;=Projects!$C$2:$C$14)*(T$15&lt;Projects!$C$2:$C$14+Projects!$D$2:$D$14))+SUMPRODUCT((Projects!$G$17:$G$46="Yes")*(T$15&gt;=Projects!$C$17:$C$46)*(T$15&lt;Projects!$C$17:$C$46+Projects!$D$17:$D$46))</f>
        <v>9</v>
      </c>
      <c r="U17" s="294">
        <f>SUMPRODUCT((Projects!$G$2:$G$14="Yes")*(U$15&gt;=Projects!$C$2:$C$14)*(U$15&lt;Projects!$C$2:$C$14+Projects!$D$2:$D$14))+SUMPRODUCT((Projects!$G$17:$G$46="Yes")*(U$15&gt;=Projects!$C$17:$C$46)*(U$15&lt;Projects!$C$17:$C$46+Projects!$D$17:$D$46))</f>
        <v>7</v>
      </c>
      <c r="V17" s="294">
        <f>SUMPRODUCT((Projects!$G$2:$G$14="Yes")*(V$15&gt;=Projects!$C$2:$C$14)*(V$15&lt;Projects!$C$2:$C$14+Projects!$D$2:$D$14))+SUMPRODUCT((Projects!$G$17:$G$46="Yes")*(V$15&gt;=Projects!$C$17:$C$46)*(V$15&lt;Projects!$C$17:$C$46+Projects!$D$17:$D$46))</f>
        <v>6</v>
      </c>
      <c r="W17" s="294">
        <f>SUMPRODUCT((Projects!$G$2:$G$14="Yes")*(W$15&gt;=Projects!$C$2:$C$14)*(W$15&lt;Projects!$C$2:$C$14+Projects!$D$2:$D$14))+SUMPRODUCT((Projects!$G$17:$G$46="Yes")*(W$15&gt;=Projects!$C$17:$C$46)*(W$15&lt;Projects!$C$17:$C$46+Projects!$D$17:$D$46))</f>
        <v>6</v>
      </c>
      <c r="X17" s="294">
        <f>SUMPRODUCT((Projects!$G$2:$G$14="Yes")*(X$15&gt;=Projects!$C$2:$C$14)*(X$15&lt;Projects!$C$2:$C$14+Projects!$D$2:$D$14))+SUMPRODUCT((Projects!$G$17:$G$46="Yes")*(X$15&gt;=Projects!$C$17:$C$46)*(X$15&lt;Projects!$C$17:$C$46+Projects!$D$17:$D$46))</f>
        <v>6</v>
      </c>
      <c r="Y17" s="294">
        <f>SUMPRODUCT((Projects!$G$2:$G$14="Yes")*(Y$15&gt;=Projects!$C$2:$C$14)*(Y$15&lt;Projects!$C$2:$C$14+Projects!$D$2:$D$14))+SUMPRODUCT((Projects!$G$17:$G$46="Yes")*(Y$15&gt;=Projects!$C$17:$C$46)*(Y$15&lt;Projects!$C$17:$C$46+Projects!$D$17:$D$46))</f>
        <v>5</v>
      </c>
      <c r="Z17" s="294">
        <f>SUMPRODUCT((Projects!$G$2:$G$14="Yes")*(Z$15&gt;=Projects!$C$2:$C$14)*(Z$15&lt;Projects!$C$2:$C$14+Projects!$D$2:$D$14))+SUMPRODUCT((Projects!$G$17:$G$46="Yes")*(Z$15&gt;=Projects!$C$17:$C$46)*(Z$15&lt;Projects!$C$17:$C$46+Projects!$D$17:$D$46))</f>
        <v>5</v>
      </c>
      <c r="AA17" s="294">
        <f>SUMPRODUCT((Projects!$G$2:$G$14="Yes")*(AA$15&gt;=Projects!$C$2:$C$14)*(AA$15&lt;Projects!$C$2:$C$14+Projects!$D$2:$D$14))+SUMPRODUCT((Projects!$G$17:$G$46="Yes")*(AA$15&gt;=Projects!$C$17:$C$46)*(AA$15&lt;Projects!$C$17:$C$46+Projects!$D$17:$D$46))</f>
        <v>5</v>
      </c>
      <c r="AB17" s="294">
        <f>SUMPRODUCT((Projects!$G$2:$G$14="Yes")*(AB$15&gt;=Projects!$C$2:$C$14)*(AB$15&lt;Projects!$C$2:$C$14+Projects!$D$2:$D$14))+SUMPRODUCT((Projects!$G$17:$G$46="Yes")*(AB$15&gt;=Projects!$C$17:$C$46)*(AB$15&lt;Projects!$C$17:$C$46+Projects!$D$17:$D$46))</f>
        <v>5</v>
      </c>
      <c r="AC17" s="294">
        <f>SUMPRODUCT((Projects!$G$2:$G$14="Yes")*(AC$15&gt;=Projects!$C$2:$C$14)*(AC$15&lt;Projects!$C$2:$C$14+Projects!$D$2:$D$14))+SUMPRODUCT((Projects!$G$17:$G$46="Yes")*(AC$15&gt;=Projects!$C$17:$C$46)*(AC$15&lt;Projects!$C$17:$C$46+Projects!$D$17:$D$46))</f>
        <v>5</v>
      </c>
      <c r="AD17" s="294">
        <f>SUMPRODUCT((Projects!$G$2:$G$14="Yes")*(AD$15&gt;=Projects!$C$2:$C$14)*(AD$15&lt;Projects!$C$2:$C$14+Projects!$D$2:$D$14))+SUMPRODUCT((Projects!$G$17:$G$46="Yes")*(AD$15&gt;=Projects!$C$17:$C$46)*(AD$15&lt;Projects!$C$17:$C$46+Projects!$D$17:$D$46))</f>
        <v>5</v>
      </c>
      <c r="AE17" s="294">
        <f>SUMPRODUCT((Projects!$G$2:$G$14="Yes")*(AE$15&gt;=Projects!$C$2:$C$14)*(AE$15&lt;Projects!$C$2:$C$14+Projects!$D$2:$D$14))+SUMPRODUCT((Projects!$G$17:$G$46="Yes")*(AE$15&gt;=Projects!$C$17:$C$46)*(AE$15&lt;Projects!$C$17:$C$46+Projects!$D$17:$D$46))</f>
        <v>4</v>
      </c>
      <c r="AF17" s="294">
        <f>SUMPRODUCT((Projects!$G$2:$G$14="Yes")*(AF$15&gt;=Projects!$C$2:$C$14)*(AF$15&lt;Projects!$C$2:$C$14+Projects!$D$2:$D$14))+SUMPRODUCT((Projects!$G$17:$G$46="Yes")*(AF$15&gt;=Projects!$C$17:$C$46)*(AF$15&lt;Projects!$C$17:$C$46+Projects!$D$17:$D$46))</f>
        <v>5</v>
      </c>
      <c r="AG17" s="294">
        <f>SUMPRODUCT((Projects!$G$2:$G$14="Yes")*(AG$15&gt;=Projects!$C$2:$C$14)*(AG$15&lt;Projects!$C$2:$C$14+Projects!$D$2:$D$14))+SUMPRODUCT((Projects!$G$17:$G$46="Yes")*(AG$15&gt;=Projects!$C$17:$C$46)*(AG$15&lt;Projects!$C$17:$C$46+Projects!$D$17:$D$46))</f>
        <v>5</v>
      </c>
      <c r="AH17" s="294">
        <f>SUMPRODUCT((Projects!$G$2:$G$14="Yes")*(AH$15&gt;=Projects!$C$2:$C$14)*(AH$15&lt;Projects!$C$2:$C$14+Projects!$D$2:$D$14))+SUMPRODUCT((Projects!$G$17:$G$46="Yes")*(AH$15&gt;=Projects!$C$17:$C$46)*(AH$15&lt;Projects!$C$17:$C$46+Projects!$D$17:$D$46))</f>
        <v>5</v>
      </c>
      <c r="AI17" s="294">
        <f>SUMPRODUCT((Projects!$G$2:$G$14="Yes")*(AI$15&gt;=Projects!$C$2:$C$14)*(AI$15&lt;Projects!$C$2:$C$14+Projects!$D$2:$D$14))+SUMPRODUCT((Projects!$G$17:$G$46="Yes")*(AI$15&gt;=Projects!$C$17:$C$46)*(AI$15&lt;Projects!$C$17:$C$46+Projects!$D$17:$D$46))</f>
        <v>5</v>
      </c>
      <c r="AJ17" s="294">
        <f>SUMPRODUCT((Projects!$G$2:$G$14="Yes")*(AJ$15&gt;=Projects!$C$2:$C$14)*(AJ$15&lt;Projects!$C$2:$C$14+Projects!$D$2:$D$14))+SUMPRODUCT((Projects!$G$17:$G$46="Yes")*(AJ$15&gt;=Projects!$C$17:$C$46)*(AJ$15&lt;Projects!$C$17:$C$46+Projects!$D$17:$D$46))</f>
        <v>6</v>
      </c>
      <c r="AK17" s="294">
        <f>SUMPRODUCT((Projects!$G$2:$G$14="Yes")*(AK$15&gt;=Projects!$C$2:$C$14)*(AK$15&lt;Projects!$C$2:$C$14+Projects!$D$2:$D$14))+SUMPRODUCT((Projects!$G$17:$G$46="Yes")*(AK$15&gt;=Projects!$C$17:$C$46)*(AK$15&lt;Projects!$C$17:$C$46+Projects!$D$17:$D$46))</f>
        <v>5</v>
      </c>
      <c r="AL17" s="294">
        <f>SUMPRODUCT((Projects!$G$2:$G$14="Yes")*(AL$15&gt;=Projects!$C$2:$C$14)*(AL$15&lt;Projects!$C$2:$C$14+Projects!$D$2:$D$14))+SUMPRODUCT((Projects!$G$17:$G$46="Yes")*(AL$15&gt;=Projects!$C$17:$C$46)*(AL$15&lt;Projects!$C$17:$C$46+Projects!$D$17:$D$46))</f>
        <v>5</v>
      </c>
      <c r="AM17" s="294">
        <f>SUMPRODUCT((Projects!$G$2:$G$14="Yes")*(AM$15&gt;=Projects!$C$2:$C$14)*(AM$15&lt;Projects!$C$2:$C$14+Projects!$D$2:$D$14))+SUMPRODUCT((Projects!$G$17:$G$46="Yes")*(AM$15&gt;=Projects!$C$17:$C$46)*(AM$15&lt;Projects!$C$17:$C$46+Projects!$D$17:$D$46))</f>
        <v>5</v>
      </c>
      <c r="AN17" s="294">
        <f>SUMPRODUCT((Projects!$G$2:$G$14="Yes")*(AN$15&gt;=Projects!$C$2:$C$14)*(AN$15&lt;Projects!$C$2:$C$14+Projects!$D$2:$D$14))+SUMPRODUCT((Projects!$G$17:$G$46="Yes")*(AN$15&gt;=Projects!$C$17:$C$46)*(AN$15&lt;Projects!$C$17:$C$46+Projects!$D$17:$D$46))</f>
        <v>5</v>
      </c>
      <c r="AO17" s="294">
        <f>SUMPRODUCT((Projects!$G$2:$G$14="Yes")*(AO$15&gt;=Projects!$C$2:$C$14)*(AO$15&lt;Projects!$C$2:$C$14+Projects!$D$2:$D$14))+SUMPRODUCT((Projects!$G$17:$G$46="Yes")*(AO$15&gt;=Projects!$C$17:$C$46)*(AO$15&lt;Projects!$C$17:$C$46+Projects!$D$17:$D$46))</f>
        <v>5</v>
      </c>
      <c r="AP17" s="294">
        <f>SUMPRODUCT((Projects!$G$2:$G$14="Yes")*(AP$15&gt;=Projects!$C$2:$C$14)*(AP$15&lt;Projects!$C$2:$C$14+Projects!$D$2:$D$14))+SUMPRODUCT((Projects!$G$17:$G$46="Yes")*(AP$15&gt;=Projects!$C$17:$C$46)*(AP$15&lt;Projects!$C$17:$C$46+Projects!$D$17:$D$46))</f>
        <v>5</v>
      </c>
      <c r="AQ17" s="294">
        <f>SUMPRODUCT((Projects!$G$2:$G$14="Yes")*(AQ$15&gt;=Projects!$C$2:$C$14)*(AQ$15&lt;Projects!$C$2:$C$14+Projects!$D$2:$D$14))+SUMPRODUCT((Projects!$G$17:$G$46="Yes")*(AQ$15&gt;=Projects!$C$17:$C$46)*(AQ$15&lt;Projects!$C$17:$C$46+Projects!$D$17:$D$46))</f>
        <v>5</v>
      </c>
      <c r="AR17" s="294">
        <f>SUMPRODUCT((Projects!$G$2:$G$14="Yes")*(AR$15&gt;=Projects!$C$2:$C$14)*(AR$15&lt;Projects!$C$2:$C$14+Projects!$D$2:$D$14))+SUMPRODUCT((Projects!$G$17:$G$46="Yes")*(AR$15&gt;=Projects!$C$17:$C$46)*(AR$15&lt;Projects!$C$17:$C$46+Projects!$D$17:$D$46))</f>
        <v>5</v>
      </c>
      <c r="AS17" s="294">
        <f>SUMPRODUCT((Projects!$G$2:$G$14="Yes")*(AS$15&gt;=Projects!$C$2:$C$14)*(AS$15&lt;Projects!$C$2:$C$14+Projects!$D$2:$D$14))+SUMPRODUCT((Projects!$G$17:$G$46="Yes")*(AS$15&gt;=Projects!$C$17:$C$46)*(AS$15&lt;Projects!$C$17:$C$46+Projects!$D$17:$D$46))</f>
        <v>6</v>
      </c>
      <c r="AT17" s="294">
        <f>SUMPRODUCT((Projects!$G$2:$G$14="Yes")*(AT$15&gt;=Projects!$C$2:$C$14)*(AT$15&lt;Projects!$C$2:$C$14+Projects!$D$2:$D$14))+SUMPRODUCT((Projects!$G$17:$G$46="Yes")*(AT$15&gt;=Projects!$C$17:$C$46)*(AT$15&lt;Projects!$C$17:$C$46+Projects!$D$17:$D$46))</f>
        <v>6</v>
      </c>
      <c r="AU17" s="294">
        <f>SUMPRODUCT((Projects!$G$2:$G$14="Yes")*(AU$15&gt;=Projects!$C$2:$C$14)*(AU$15&lt;Projects!$C$2:$C$14+Projects!$D$2:$D$14))+SUMPRODUCT((Projects!$G$17:$G$46="Yes")*(AU$15&gt;=Projects!$C$17:$C$46)*(AU$15&lt;Projects!$C$17:$C$46+Projects!$D$17:$D$46))</f>
        <v>6</v>
      </c>
      <c r="AV17" s="294">
        <f>SUMPRODUCT((Projects!$G$2:$G$14="Yes")*(AV$15&gt;=Projects!$C$2:$C$14)*(AV$15&lt;Projects!$C$2:$C$14+Projects!$D$2:$D$14))+SUMPRODUCT((Projects!$G$17:$G$46="Yes")*(AV$15&gt;=Projects!$C$17:$C$46)*(AV$15&lt;Projects!$C$17:$C$46+Projects!$D$17:$D$46))</f>
        <v>5</v>
      </c>
      <c r="AW17" s="294">
        <f>SUMPRODUCT((Projects!$G$2:$G$14="Yes")*(AW$15&gt;=Projects!$C$2:$C$14)*(AW$15&lt;Projects!$C$2:$C$14+Projects!$D$2:$D$14))+SUMPRODUCT((Projects!$G$17:$G$46="Yes")*(AW$15&gt;=Projects!$C$17:$C$46)*(AW$15&lt;Projects!$C$17:$C$46+Projects!$D$17:$D$46))</f>
        <v>5</v>
      </c>
      <c r="AX17" s="294">
        <f>SUMPRODUCT((Projects!$G$2:$G$14="Yes")*(AX$15&gt;=Projects!$C$2:$C$14)*(AX$15&lt;Projects!$C$2:$C$14+Projects!$D$2:$D$14))+SUMPRODUCT((Projects!$G$17:$G$46="Yes")*(AX$15&gt;=Projects!$C$17:$C$46)*(AX$15&lt;Projects!$C$17:$C$46+Projects!$D$17:$D$46))</f>
        <v>5</v>
      </c>
      <c r="AY17" s="294">
        <f>SUMPRODUCT((Projects!$G$2:$G$14="Yes")*(AY$15&gt;=Projects!$C$2:$C$14)*(AY$15&lt;Projects!$C$2:$C$14+Projects!$D$2:$D$14))+SUMPRODUCT((Projects!$G$17:$G$46="Yes")*(AY$15&gt;=Projects!$C$17:$C$46)*(AY$15&lt;Projects!$C$17:$C$46+Projects!$D$17:$D$46))</f>
        <v>5</v>
      </c>
      <c r="AZ17" s="294">
        <f>SUMPRODUCT((Projects!$G$2:$G$14="Yes")*(AZ$15&gt;=Projects!$C$2:$C$14)*(AZ$15&lt;Projects!$C$2:$C$14+Projects!$D$2:$D$14))+SUMPRODUCT((Projects!$G$17:$G$46="Yes")*(AZ$15&gt;=Projects!$C$17:$C$46)*(AZ$15&lt;Projects!$C$17:$C$46+Projects!$D$17:$D$46))</f>
        <v>5</v>
      </c>
      <c r="BA17" s="294">
        <f>SUMPRODUCT((Projects!$G$2:$G$14="Yes")*(BA$15&gt;=Projects!$C$2:$C$14)*(BA$15&lt;Projects!$C$2:$C$14+Projects!$D$2:$D$14))+SUMPRODUCT((Projects!$G$17:$G$46="Yes")*(BA$15&gt;=Projects!$C$17:$C$46)*(BA$15&lt;Projects!$C$17:$C$46+Projects!$D$17:$D$46))</f>
        <v>6</v>
      </c>
      <c r="BB17" s="294">
        <f>SUMPRODUCT((Projects!$G$2:$G$14="Yes")*(BB$15&gt;=Projects!$C$2:$C$14)*(BB$15&lt;Projects!$C$2:$C$14+Projects!$D$2:$D$14))+SUMPRODUCT((Projects!$G$17:$G$46="Yes")*(BB$15&gt;=Projects!$C$17:$C$46)*(BB$15&lt;Projects!$C$17:$C$46+Projects!$D$17:$D$46))</f>
        <v>6</v>
      </c>
      <c r="BC17" s="294">
        <f>SUMPRODUCT((Projects!$G$2:$G$14="Yes")*(BC$15&gt;=Projects!$C$2:$C$14)*(BC$15&lt;Projects!$C$2:$C$14+Projects!$D$2:$D$14))+SUMPRODUCT((Projects!$G$17:$G$46="Yes")*(BC$15&gt;=Projects!$C$17:$C$46)*(BC$15&lt;Projects!$C$17:$C$46+Projects!$D$17:$D$46))</f>
        <v>5</v>
      </c>
      <c r="BD17" s="294">
        <f>SUMPRODUCT((Projects!$G$2:$G$14="Yes")*(BD$15&gt;=Projects!$C$2:$C$14)*(BD$15&lt;Projects!$C$2:$C$14+Projects!$D$2:$D$14))+SUMPRODUCT((Projects!$G$17:$G$46="Yes")*(BD$15&gt;=Projects!$C$17:$C$46)*(BD$15&lt;Projects!$C$17:$C$46+Projects!$D$17:$D$46))</f>
        <v>5</v>
      </c>
      <c r="BE17" s="294">
        <f>SUMPRODUCT((Projects!$G$2:$G$14="Yes")*(BE$15&gt;=Projects!$C$2:$C$14)*(BE$15&lt;Projects!$C$2:$C$14+Projects!$D$2:$D$14))+SUMPRODUCT((Projects!$G$17:$G$46="Yes")*(BE$15&gt;=Projects!$C$17:$C$46)*(BE$15&lt;Projects!$C$17:$C$46+Projects!$D$17:$D$46))</f>
        <v>6</v>
      </c>
      <c r="BF17" s="294">
        <f>SUMPRODUCT((Projects!$G$2:$G$14="Yes")*(BF$15&gt;=Projects!$C$2:$C$14)*(BF$15&lt;Projects!$C$2:$C$14+Projects!$D$2:$D$14))+SUMPRODUCT((Projects!$G$17:$G$46="Yes")*(BF$15&gt;=Projects!$C$17:$C$46)*(BF$15&lt;Projects!$C$17:$C$46+Projects!$D$17:$D$46))</f>
        <v>5</v>
      </c>
      <c r="BG17" s="294">
        <f>SUMPRODUCT((Projects!$G$2:$G$14="Yes")*(BG$15&gt;=Projects!$C$2:$C$14)*(BG$15&lt;Projects!$C$2:$C$14+Projects!$D$2:$D$14))+SUMPRODUCT((Projects!$G$17:$G$46="Yes")*(BG$15&gt;=Projects!$C$17:$C$46)*(BG$15&lt;Projects!$C$17:$C$46+Projects!$D$17:$D$46))</f>
        <v>6</v>
      </c>
      <c r="BH17" s="294">
        <f>SUMPRODUCT((Projects!$G$2:$G$14="Yes")*(BH$15&gt;=Projects!$C$2:$C$14)*(BH$15&lt;Projects!$C$2:$C$14+Projects!$D$2:$D$14))+SUMPRODUCT((Projects!$G$17:$G$46="Yes")*(BH$15&gt;=Projects!$C$17:$C$46)*(BH$15&lt;Projects!$C$17:$C$46+Projects!$D$17:$D$46))</f>
        <v>6</v>
      </c>
      <c r="BI17" s="294">
        <f>SUMPRODUCT((Projects!$G$2:$G$14="Yes")*(BI$15&gt;=Projects!$C$2:$C$14)*(BI$15&lt;Projects!$C$2:$C$14+Projects!$D$2:$D$14))+SUMPRODUCT((Projects!$G$17:$G$46="Yes")*(BI$15&gt;=Projects!$C$17:$C$46)*(BI$15&lt;Projects!$C$17:$C$46+Projects!$D$17:$D$46))</f>
        <v>6</v>
      </c>
      <c r="BJ17" s="294">
        <f>SUMPRODUCT((Projects!$G$2:$G$14="Yes")*(BJ$15&gt;=Projects!$C$2:$C$14)*(BJ$15&lt;Projects!$C$2:$C$14+Projects!$D$2:$D$14))+SUMPRODUCT((Projects!$G$17:$G$46="Yes")*(BJ$15&gt;=Projects!$C$17:$C$46)*(BJ$15&lt;Projects!$C$17:$C$46+Projects!$D$17:$D$46))</f>
        <v>5</v>
      </c>
      <c r="BK17" s="294">
        <f>SUMPRODUCT((Projects!$G$2:$G$14="Yes")*(BK$15&gt;=Projects!$C$2:$C$14)*(BK$15&lt;Projects!$C$2:$C$14+Projects!$D$2:$D$14))+SUMPRODUCT((Projects!$G$17:$G$46="Yes")*(BK$15&gt;=Projects!$C$17:$C$46)*(BK$15&lt;Projects!$C$17:$C$46+Projects!$D$17:$D$46))</f>
        <v>6</v>
      </c>
      <c r="BL17" s="294">
        <f>SUMPRODUCT((Projects!$G$2:$G$14="Yes")*(BL$15&gt;=Projects!$C$2:$C$14)*(BL$15&lt;Projects!$C$2:$C$14+Projects!$D$2:$D$14))+SUMPRODUCT((Projects!$G$17:$G$46="Yes")*(BL$15&gt;=Projects!$C$17:$C$46)*(BL$15&lt;Projects!$C$17:$C$46+Projects!$D$17:$D$46))</f>
        <v>5</v>
      </c>
      <c r="BM17" s="294">
        <f>SUMPRODUCT((Projects!$G$2:$G$14="Yes")*(BM$15&gt;=Projects!$C$2:$C$14)*(BM$15&lt;Projects!$C$2:$C$14+Projects!$D$2:$D$14))+SUMPRODUCT((Projects!$G$17:$G$46="Yes")*(BM$15&gt;=Projects!$C$17:$C$46)*(BM$15&lt;Projects!$C$17:$C$46+Projects!$D$17:$D$46))</f>
        <v>6</v>
      </c>
      <c r="BN17" s="294">
        <f>SUMPRODUCT((Projects!$G$2:$G$14="Yes")*(BN$15&gt;=Projects!$C$2:$C$14)*(BN$15&lt;Projects!$C$2:$C$14+Projects!$D$2:$D$14))+SUMPRODUCT((Projects!$G$17:$G$46="Yes")*(BN$15&gt;=Projects!$C$17:$C$46)*(BN$15&lt;Projects!$C$17:$C$46+Projects!$D$17:$D$46))</f>
        <v>6</v>
      </c>
      <c r="BO17" s="294">
        <f>SUMPRODUCT((Projects!$G$2:$G$14="Yes")*(BO$15&gt;=Projects!$C$2:$C$14)*(BO$15&lt;Projects!$C$2:$C$14+Projects!$D$2:$D$14))+SUMPRODUCT((Projects!$G$17:$G$46="Yes")*(BO$15&gt;=Projects!$C$17:$C$46)*(BO$15&lt;Projects!$C$17:$C$46+Projects!$D$17:$D$46))</f>
        <v>7</v>
      </c>
      <c r="BP17" s="294">
        <f>SUMPRODUCT((Projects!$G$2:$G$14="Yes")*(BP$15&gt;=Projects!$C$2:$C$14)*(BP$15&lt;Projects!$C$2:$C$14+Projects!$D$2:$D$14))+SUMPRODUCT((Projects!$G$17:$G$46="Yes")*(BP$15&gt;=Projects!$C$17:$C$46)*(BP$15&lt;Projects!$C$17:$C$46+Projects!$D$17:$D$46))</f>
        <v>7</v>
      </c>
      <c r="BQ17" s="294">
        <f>SUMPRODUCT((Projects!$G$2:$G$14="Yes")*(BQ$15&gt;=Projects!$C$2:$C$14)*(BQ$15&lt;Projects!$C$2:$C$14+Projects!$D$2:$D$14))+SUMPRODUCT((Projects!$G$17:$G$46="Yes")*(BQ$15&gt;=Projects!$C$17:$C$46)*(BQ$15&lt;Projects!$C$17:$C$46+Projects!$D$17:$D$46))</f>
        <v>7</v>
      </c>
      <c r="BR17" s="294">
        <f>SUMPRODUCT((Projects!$G$2:$G$14="Yes")*(BR$15&gt;=Projects!$C$2:$C$14)*(BR$15&lt;Projects!$C$2:$C$14+Projects!$D$2:$D$14))+SUMPRODUCT((Projects!$G$17:$G$46="Yes")*(BR$15&gt;=Projects!$C$17:$C$46)*(BR$15&lt;Projects!$C$17:$C$46+Projects!$D$17:$D$46))</f>
        <v>7</v>
      </c>
      <c r="BS17" s="294">
        <f>SUMPRODUCT((Projects!$G$2:$G$14="Yes")*(BS$15&gt;=Projects!$C$2:$C$14)*(BS$15&lt;Projects!$C$2:$C$14+Projects!$D$2:$D$14))+SUMPRODUCT((Projects!$G$17:$G$46="Yes")*(BS$15&gt;=Projects!$C$17:$C$46)*(BS$15&lt;Projects!$C$17:$C$46+Projects!$D$17:$D$46))</f>
        <v>7</v>
      </c>
      <c r="BT17" s="294">
        <f>SUMPRODUCT((Projects!$G$2:$G$14="Yes")*(BT$15&gt;=Projects!$C$2:$C$14)*(BT$15&lt;Projects!$C$2:$C$14+Projects!$D$2:$D$14))+SUMPRODUCT((Projects!$G$17:$G$46="Yes")*(BT$15&gt;=Projects!$C$17:$C$46)*(BT$15&lt;Projects!$C$17:$C$46+Projects!$D$17:$D$46))</f>
        <v>6</v>
      </c>
      <c r="BU17" s="294">
        <f>SUMPRODUCT((Projects!$G$2:$G$14="Yes")*(BU$15&gt;=Projects!$C$2:$C$14)*(BU$15&lt;Projects!$C$2:$C$14+Projects!$D$2:$D$14))+SUMPRODUCT((Projects!$G$17:$G$46="Yes")*(BU$15&gt;=Projects!$C$17:$C$46)*(BU$15&lt;Projects!$C$17:$C$46+Projects!$D$17:$D$46))</f>
        <v>7</v>
      </c>
      <c r="BV17" s="294">
        <f>SUMPRODUCT((Projects!$G$2:$G$14="Yes")*(BV$15&gt;=Projects!$C$2:$C$14)*(BV$15&lt;Projects!$C$2:$C$14+Projects!$D$2:$D$14))+SUMPRODUCT((Projects!$G$17:$G$46="Yes")*(BV$15&gt;=Projects!$C$17:$C$46)*(BV$15&lt;Projects!$C$17:$C$46+Projects!$D$17:$D$46))</f>
        <v>7</v>
      </c>
      <c r="BW17" s="294">
        <f>SUMPRODUCT((Projects!$G$2:$G$14="Yes")*(BW$15&gt;=Projects!$C$2:$C$14)*(BW$15&lt;Projects!$C$2:$C$14+Projects!$D$2:$D$14))+SUMPRODUCT((Projects!$G$17:$G$46="Yes")*(BW$15&gt;=Projects!$C$17:$C$46)*(BW$15&lt;Projects!$C$17:$C$46+Projects!$D$17:$D$46))</f>
        <v>7</v>
      </c>
      <c r="BX17" s="294">
        <f>SUMPRODUCT((Projects!$G$2:$G$14="Yes")*(BX$15&gt;=Projects!$C$2:$C$14)*(BX$15&lt;Projects!$C$2:$C$14+Projects!$D$2:$D$14))+SUMPRODUCT((Projects!$G$17:$G$46="Yes")*(BX$15&gt;=Projects!$C$17:$C$46)*(BX$15&lt;Projects!$C$17:$C$46+Projects!$D$17:$D$46))</f>
        <v>6</v>
      </c>
      <c r="BY17" s="294">
        <f>SUMPRODUCT((Projects!$G$2:$G$14="Yes")*(BY$15&gt;=Projects!$C$2:$C$14)*(BY$15&lt;Projects!$C$2:$C$14+Projects!$D$2:$D$14))+SUMPRODUCT((Projects!$G$17:$G$46="Yes")*(BY$15&gt;=Projects!$C$17:$C$46)*(BY$15&lt;Projects!$C$17:$C$46+Projects!$D$17:$D$46))</f>
        <v>6</v>
      </c>
      <c r="BZ17" s="294">
        <f>SUMPRODUCT((Projects!$G$2:$G$14="Yes")*(BZ$15&gt;=Projects!$C$2:$C$14)*(BZ$15&lt;Projects!$C$2:$C$14+Projects!$D$2:$D$14))+SUMPRODUCT((Projects!$G$17:$G$46="Yes")*(BZ$15&gt;=Projects!$C$17:$C$46)*(BZ$15&lt;Projects!$C$17:$C$46+Projects!$D$17:$D$46))</f>
        <v>5</v>
      </c>
      <c r="CA17" s="294">
        <f>SUMPRODUCT((Projects!$G$2:$G$14="Yes")*(CA$15&gt;=Projects!$C$2:$C$14)*(CA$15&lt;Projects!$C$2:$C$14+Projects!$D$2:$D$14))+SUMPRODUCT((Projects!$G$17:$G$46="Yes")*(CA$15&gt;=Projects!$C$17:$C$46)*(CA$15&lt;Projects!$C$17:$C$46+Projects!$D$17:$D$46))</f>
        <v>6</v>
      </c>
      <c r="CB17" s="294">
        <f>SUMPRODUCT((Projects!$G$2:$G$14="Yes")*(CB$15&gt;=Projects!$C$2:$C$14)*(CB$15&lt;Projects!$C$2:$C$14+Projects!$D$2:$D$14))+SUMPRODUCT((Projects!$G$17:$G$46="Yes")*(CB$15&gt;=Projects!$C$17:$C$46)*(CB$15&lt;Projects!$C$17:$C$46+Projects!$D$17:$D$46))</f>
        <v>5</v>
      </c>
      <c r="CC17" s="294">
        <f>SUMPRODUCT((Projects!$G$2:$G$14="Yes")*(CC$15&gt;=Projects!$C$2:$C$14)*(CC$15&lt;Projects!$C$2:$C$14+Projects!$D$2:$D$14))+SUMPRODUCT((Projects!$G$17:$G$46="Yes")*(CC$15&gt;=Projects!$C$17:$C$46)*(CC$15&lt;Projects!$C$17:$C$46+Projects!$D$17:$D$46))</f>
        <v>6</v>
      </c>
      <c r="CD17" s="294">
        <f>SUMPRODUCT((Projects!$G$2:$G$14="Yes")*(CD$15&gt;=Projects!$C$2:$C$14)*(CD$15&lt;Projects!$C$2:$C$14+Projects!$D$2:$D$14))+SUMPRODUCT((Projects!$G$17:$G$46="Yes")*(CD$15&gt;=Projects!$C$17:$C$46)*(CD$15&lt;Projects!$C$17:$C$46+Projects!$D$17:$D$46))</f>
        <v>5</v>
      </c>
      <c r="CE17" s="294">
        <f>SUMPRODUCT((Projects!$G$2:$G$14="Yes")*(CE$15&gt;=Projects!$C$2:$C$14)*(CE$15&lt;Projects!$C$2:$C$14+Projects!$D$2:$D$14))+SUMPRODUCT((Projects!$G$17:$G$46="Yes")*(CE$15&gt;=Projects!$C$17:$C$46)*(CE$15&lt;Projects!$C$17:$C$46+Projects!$D$17:$D$46))</f>
        <v>6</v>
      </c>
      <c r="CF17" s="294">
        <f>SUMPRODUCT((Projects!$G$2:$G$14="Yes")*(CF$15&gt;=Projects!$C$2:$C$14)*(CF$15&lt;Projects!$C$2:$C$14+Projects!$D$2:$D$14))+SUMPRODUCT((Projects!$G$17:$G$46="Yes")*(CF$15&gt;=Projects!$C$17:$C$46)*(CF$15&lt;Projects!$C$17:$C$46+Projects!$D$17:$D$46))</f>
        <v>5</v>
      </c>
      <c r="CG17" s="294">
        <f>SUMPRODUCT((Projects!$G$2:$G$14="Yes")*(CG$15&gt;=Projects!$C$2:$C$14)*(CG$15&lt;Projects!$C$2:$C$14+Projects!$D$2:$D$14))+SUMPRODUCT((Projects!$G$17:$G$46="Yes")*(CG$15&gt;=Projects!$C$17:$C$46)*(CG$15&lt;Projects!$C$17:$C$46+Projects!$D$17:$D$46))</f>
        <v>6</v>
      </c>
      <c r="CH17" s="294">
        <f>SUMPRODUCT((Projects!$G$2:$G$14="Yes")*(CH$15&gt;=Projects!$C$2:$C$14)*(CH$15&lt;Projects!$C$2:$C$14+Projects!$D$2:$D$14))+SUMPRODUCT((Projects!$G$17:$G$46="Yes")*(CH$15&gt;=Projects!$C$17:$C$46)*(CH$15&lt;Projects!$C$17:$C$46+Projects!$D$17:$D$46))</f>
        <v>5</v>
      </c>
      <c r="CI17" s="294">
        <f>SUMPRODUCT((Projects!$G$2:$G$14="Yes")*(CI$15&gt;=Projects!$C$2:$C$14)*(CI$15&lt;Projects!$C$2:$C$14+Projects!$D$2:$D$14))+SUMPRODUCT((Projects!$G$17:$G$46="Yes")*(CI$15&gt;=Projects!$C$17:$C$46)*(CI$15&lt;Projects!$C$17:$C$46+Projects!$D$17:$D$46))</f>
        <v>6</v>
      </c>
      <c r="CJ17" s="294">
        <f>SUMPRODUCT((Projects!$G$2:$G$14="Yes")*(CJ$15&gt;=Projects!$C$2:$C$14)*(CJ$15&lt;Projects!$C$2:$C$14+Projects!$D$2:$D$14))+SUMPRODUCT((Projects!$G$17:$G$46="Yes")*(CJ$15&gt;=Projects!$C$17:$C$46)*(CJ$15&lt;Projects!$C$17:$C$46+Projects!$D$17:$D$46))</f>
        <v>6</v>
      </c>
      <c r="CK17" s="294">
        <f>SUMPRODUCT((Projects!$G$2:$G$14="Yes")*(CK$15&gt;=Projects!$C$2:$C$14)*(CK$15&lt;Projects!$C$2:$C$14+Projects!$D$2:$D$14))+SUMPRODUCT((Projects!$G$17:$G$46="Yes")*(CK$15&gt;=Projects!$C$17:$C$46)*(CK$15&lt;Projects!$C$17:$C$46+Projects!$D$17:$D$46))</f>
        <v>6</v>
      </c>
      <c r="CL17" s="294">
        <f>SUMPRODUCT((Projects!$G$2:$G$14="Yes")*(CL$15&gt;=Projects!$C$2:$C$14)*(CL$15&lt;Projects!$C$2:$C$14+Projects!$D$2:$D$14))+SUMPRODUCT((Projects!$G$17:$G$46="Yes")*(CL$15&gt;=Projects!$C$17:$C$46)*(CL$15&lt;Projects!$C$17:$C$46+Projects!$D$17:$D$46))</f>
        <v>6</v>
      </c>
      <c r="CM17" s="294">
        <f>SUMPRODUCT((Projects!$G$2:$G$14="Yes")*(CM$15&gt;=Projects!$C$2:$C$14)*(CM$15&lt;Projects!$C$2:$C$14+Projects!$D$2:$D$14))+SUMPRODUCT((Projects!$G$17:$G$46="Yes")*(CM$15&gt;=Projects!$C$17:$C$46)*(CM$15&lt;Projects!$C$17:$C$46+Projects!$D$17:$D$46))</f>
        <v>6</v>
      </c>
      <c r="CN17" s="294">
        <f>SUMPRODUCT((Projects!$G$2:$G$14="Yes")*(CN$15&gt;=Projects!$C$2:$C$14)*(CN$15&lt;Projects!$C$2:$C$14+Projects!$D$2:$D$14))+SUMPRODUCT((Projects!$G$17:$G$46="Yes")*(CN$15&gt;=Projects!$C$17:$C$46)*(CN$15&lt;Projects!$C$17:$C$46+Projects!$D$17:$D$46))</f>
        <v>5</v>
      </c>
      <c r="CO17" s="294">
        <f>SUMPRODUCT((Projects!$G$2:$G$14="Yes")*(CO$15&gt;=Projects!$C$2:$C$14)*(CO$15&lt;Projects!$C$2:$C$14+Projects!$D$2:$D$14))+SUMPRODUCT((Projects!$G$17:$G$46="Yes")*(CO$15&gt;=Projects!$C$17:$C$46)*(CO$15&lt;Projects!$C$17:$C$46+Projects!$D$17:$D$46))</f>
        <v>5</v>
      </c>
      <c r="CP17" s="294">
        <f>SUMPRODUCT((Projects!$G$2:$G$14="Yes")*(CP$15&gt;=Projects!$C$2:$C$14)*(CP$15&lt;Projects!$C$2:$C$14+Projects!$D$2:$D$14))+SUMPRODUCT((Projects!$G$17:$G$46="Yes")*(CP$15&gt;=Projects!$C$17:$C$46)*(CP$15&lt;Projects!$C$17:$C$46+Projects!$D$17:$D$46))</f>
        <v>5</v>
      </c>
      <c r="CQ17" s="294">
        <f>SUMPRODUCT((Projects!$G$2:$G$14="Yes")*(CQ$15&gt;=Projects!$C$2:$C$14)*(CQ$15&lt;Projects!$C$2:$C$14+Projects!$D$2:$D$14))+SUMPRODUCT((Projects!$G$17:$G$46="Yes")*(CQ$15&gt;=Projects!$C$17:$C$46)*(CQ$15&lt;Projects!$C$17:$C$46+Projects!$D$17:$D$46))</f>
        <v>5</v>
      </c>
      <c r="CR17" s="294">
        <f>SUMPRODUCT((Projects!$G$2:$G$14="Yes")*(CR$15&gt;=Projects!$C$2:$C$14)*(CR$15&lt;Projects!$C$2:$C$14+Projects!$D$2:$D$14))+SUMPRODUCT((Projects!$G$17:$G$46="Yes")*(CR$15&gt;=Projects!$C$17:$C$46)*(CR$15&lt;Projects!$C$17:$C$46+Projects!$D$17:$D$46))</f>
        <v>5</v>
      </c>
      <c r="CS17" s="294">
        <f>SUMPRODUCT((Projects!$G$2:$G$14="Yes")*(CS$15&gt;=Projects!$C$2:$C$14)*(CS$15&lt;Projects!$C$2:$C$14+Projects!$D$2:$D$14))+SUMPRODUCT((Projects!$G$17:$G$46="Yes")*(CS$15&gt;=Projects!$C$17:$C$46)*(CS$15&lt;Projects!$C$17:$C$46+Projects!$D$17:$D$46))</f>
        <v>5</v>
      </c>
      <c r="CT17" s="294">
        <f>SUMPRODUCT((Projects!$G$2:$G$14="Yes")*(CT$15&gt;=Projects!$C$2:$C$14)*(CT$15&lt;Projects!$C$2:$C$14+Projects!$D$2:$D$14))+SUMPRODUCT((Projects!$G$17:$G$46="Yes")*(CT$15&gt;=Projects!$C$17:$C$46)*(CT$15&lt;Projects!$C$17:$C$46+Projects!$D$17:$D$46))</f>
        <v>4</v>
      </c>
      <c r="CU17" s="294">
        <f>SUMPRODUCT((Projects!$G$2:$G$14="Yes")*(CU$15&gt;=Projects!$C$2:$C$14)*(CU$15&lt;Projects!$C$2:$C$14+Projects!$D$2:$D$14))+SUMPRODUCT((Projects!$G$17:$G$46="Yes")*(CU$15&gt;=Projects!$C$17:$C$46)*(CU$15&lt;Projects!$C$17:$C$46+Projects!$D$17:$D$46))</f>
        <v>4</v>
      </c>
      <c r="CV17" s="294">
        <f>SUMPRODUCT((Projects!$G$2:$G$14="Yes")*(CV$15&gt;=Projects!$C$2:$C$14)*(CV$15&lt;Projects!$C$2:$C$14+Projects!$D$2:$D$14))+SUMPRODUCT((Projects!$G$17:$G$46="Yes")*(CV$15&gt;=Projects!$C$17:$C$46)*(CV$15&lt;Projects!$C$17:$C$46+Projects!$D$17:$D$46))</f>
        <v>3</v>
      </c>
      <c r="CW17" s="294">
        <f>SUMPRODUCT((Projects!$G$2:$G$14="Yes")*(CW$15&gt;=Projects!$C$2:$C$14)*(CW$15&lt;Projects!$C$2:$C$14+Projects!$D$2:$D$14))+SUMPRODUCT((Projects!$G$17:$G$46="Yes")*(CW$15&gt;=Projects!$C$17:$C$46)*(CW$15&lt;Projects!$C$17:$C$46+Projects!$D$17:$D$46))</f>
        <v>3</v>
      </c>
      <c r="CX17" s="294">
        <f>SUMPRODUCT((Projects!$G$2:$G$14="Yes")*(CX$15&gt;=Projects!$C$2:$C$14)*(CX$15&lt;Projects!$C$2:$C$14+Projects!$D$2:$D$14))+SUMPRODUCT((Projects!$G$17:$G$46="Yes")*(CX$15&gt;=Projects!$C$17:$C$46)*(CX$15&lt;Projects!$C$17:$C$46+Projects!$D$17:$D$46))</f>
        <v>2</v>
      </c>
      <c r="CY17" s="294">
        <f>SUMPRODUCT((Projects!$G$2:$G$14="Yes")*(CY$15&gt;=Projects!$C$2:$C$14)*(CY$15&lt;Projects!$C$2:$C$14+Projects!$D$2:$D$14))+SUMPRODUCT((Projects!$G$17:$G$46="Yes")*(CY$15&gt;=Projects!$C$17:$C$46)*(CY$15&lt;Projects!$C$17:$C$46+Projects!$D$17:$D$46))</f>
        <v>2</v>
      </c>
      <c r="CZ17" s="294">
        <f>SUMPRODUCT((Projects!$G$2:$G$14="Yes")*(CZ$15&gt;=Projects!$C$2:$C$14)*(CZ$15&lt;Projects!$C$2:$C$14+Projects!$D$2:$D$14))+SUMPRODUCT((Projects!$G$17:$G$46="Yes")*(CZ$15&gt;=Projects!$C$17:$C$46)*(CZ$15&lt;Projects!$C$17:$C$46+Projects!$D$17:$D$46))</f>
        <v>1</v>
      </c>
      <c r="DA17" s="294">
        <f>SUMPRODUCT((Projects!$G$2:$G$14="Yes")*(DA$15&gt;=Projects!$C$2:$C$14)*(DA$15&lt;Projects!$C$2:$C$14+Projects!$D$2:$D$14))+SUMPRODUCT((Projects!$G$17:$G$46="Yes")*(DA$15&gt;=Projects!$C$17:$C$46)*(DA$15&lt;Projects!$C$17:$C$46+Projects!$D$17:$D$46))</f>
        <v>1</v>
      </c>
      <c r="DB17" s="294">
        <f>SUMPRODUCT((Projects!$G$2:$G$14="Yes")*(DB$15&gt;=Projects!$C$2:$C$14)*(DB$15&lt;Projects!$C$2:$C$14+Projects!$D$2:$D$14))+SUMPRODUCT((Projects!$G$17:$G$46="Yes")*(DB$15&gt;=Projects!$C$17:$C$46)*(DB$15&lt;Projects!$C$17:$C$46+Projects!$D$17:$D$46))</f>
        <v>0</v>
      </c>
      <c r="DC17" s="294">
        <f>SUMPRODUCT((Projects!$G$2:$G$14="Yes")*(DC$15&gt;=Projects!$C$2:$C$14)*(DC$15&lt;Projects!$C$2:$C$14+Projects!$D$2:$D$14))+SUMPRODUCT((Projects!$G$17:$G$46="Yes")*(DC$15&gt;=Projects!$C$17:$C$46)*(DC$15&lt;Projects!$C$17:$C$46+Projects!$D$17:$D$46))</f>
        <v>0</v>
      </c>
      <c r="DD17" s="294">
        <f>SUMPRODUCT((Projects!$G$2:$G$14="Yes")*(DD$15&gt;=Projects!$C$2:$C$14)*(DD$15&lt;Projects!$C$2:$C$14+Projects!$D$2:$D$14))+SUMPRODUCT((Projects!$G$17:$G$46="Yes")*(DD$15&gt;=Projects!$C$17:$C$46)*(DD$15&lt;Projects!$C$17:$C$46+Projects!$D$17:$D$46))</f>
        <v>0</v>
      </c>
      <c r="DE17" s="294">
        <f>SUMPRODUCT((Projects!$G$2:$G$14="Yes")*(DE$15&gt;=Projects!$C$2:$C$14)*(DE$15&lt;Projects!$C$2:$C$14+Projects!$D$2:$D$14))+SUMPRODUCT((Projects!$G$17:$G$46="Yes")*(DE$15&gt;=Projects!$C$17:$C$46)*(DE$15&lt;Projects!$C$17:$C$46+Projects!$D$17:$D$46))</f>
        <v>0</v>
      </c>
      <c r="DF17" s="294">
        <f>SUMPRODUCT((Projects!$G$2:$G$14="Yes")*(DF$15&gt;=Projects!$C$2:$C$14)*(DF$15&lt;Projects!$C$2:$C$14+Projects!$D$2:$D$14))+SUMPRODUCT((Projects!$G$17:$G$46="Yes")*(DF$15&gt;=Projects!$C$17:$C$46)*(DF$15&lt;Projects!$C$17:$C$46+Projects!$D$17:$D$46))</f>
        <v>0</v>
      </c>
    </row>
    <row r="18" spans="1:110" ht="15" customHeight="1" x14ac:dyDescent="0.25">
      <c r="A18" s="297" t="s">
        <v>866</v>
      </c>
      <c r="B18" s="287"/>
      <c r="C18" s="295">
        <f t="shared" ref="C18:AH18" ca="1" si="1">IFERROR(C16/C17,0)</f>
        <v>0</v>
      </c>
      <c r="D18" s="295">
        <f t="shared" ca="1" si="1"/>
        <v>0</v>
      </c>
      <c r="E18" s="295">
        <f t="shared" ca="1" si="1"/>
        <v>0</v>
      </c>
      <c r="F18" s="295">
        <f t="shared" ca="1" si="1"/>
        <v>14364.329999999998</v>
      </c>
      <c r="G18" s="295">
        <f t="shared" ca="1" si="1"/>
        <v>92817.89499999999</v>
      </c>
      <c r="H18" s="295">
        <f t="shared" ca="1" si="1"/>
        <v>98692.89499999999</v>
      </c>
      <c r="I18" s="295">
        <f t="shared" ca="1" si="1"/>
        <v>80061.440277777772</v>
      </c>
      <c r="J18" s="295">
        <f t="shared" ca="1" si="1"/>
        <v>76811.440277777772</v>
      </c>
      <c r="K18" s="295">
        <f t="shared" ca="1" si="1"/>
        <v>76811.440277777772</v>
      </c>
      <c r="L18" s="295">
        <f t="shared" ca="1" si="1"/>
        <v>65277.851041666669</v>
      </c>
      <c r="M18" s="295">
        <f t="shared" ca="1" si="1"/>
        <v>63674.756481481483</v>
      </c>
      <c r="N18" s="295">
        <f t="shared" ca="1" si="1"/>
        <v>64884.101041666669</v>
      </c>
      <c r="O18" s="295">
        <f t="shared" ca="1" si="1"/>
        <v>64884.101041666669</v>
      </c>
      <c r="P18" s="295">
        <f t="shared" ca="1" si="1"/>
        <v>64884.101041666669</v>
      </c>
      <c r="Q18" s="295">
        <f t="shared" ca="1" si="1"/>
        <v>64884.101041666669</v>
      </c>
      <c r="R18" s="295">
        <f t="shared" ca="1" si="1"/>
        <v>62994.399759259271</v>
      </c>
      <c r="S18" s="295">
        <f t="shared" ca="1" si="1"/>
        <v>60327.733092592593</v>
      </c>
      <c r="T18" s="295">
        <f t="shared" ca="1" si="1"/>
        <v>60327.733092592593</v>
      </c>
      <c r="U18" s="295">
        <f t="shared" ca="1" si="1"/>
        <v>77564.228261904762</v>
      </c>
      <c r="V18" s="295">
        <f t="shared" ca="1" si="1"/>
        <v>90491.599638888889</v>
      </c>
      <c r="W18" s="295">
        <f t="shared" ca="1" si="1"/>
        <v>90491.599638888889</v>
      </c>
      <c r="X18" s="295">
        <f t="shared" ca="1" si="1"/>
        <v>90491.599638888889</v>
      </c>
      <c r="Y18" s="295">
        <f t="shared" ca="1" si="1"/>
        <v>108589.91956666666</v>
      </c>
      <c r="Z18" s="295">
        <f t="shared" ca="1" si="1"/>
        <v>108589.91956666666</v>
      </c>
      <c r="AA18" s="295">
        <f t="shared" ca="1" si="1"/>
        <v>108589.91956666666</v>
      </c>
      <c r="AB18" s="295">
        <f t="shared" ca="1" si="1"/>
        <v>108589.91956666666</v>
      </c>
      <c r="AC18" s="295">
        <f t="shared" ca="1" si="1"/>
        <v>108589.91956666666</v>
      </c>
      <c r="AD18" s="295">
        <f t="shared" ca="1" si="1"/>
        <v>110346.38462466662</v>
      </c>
      <c r="AE18" s="295">
        <f t="shared" ca="1" si="1"/>
        <v>137932.98078083328</v>
      </c>
      <c r="AF18" s="295">
        <f t="shared" ca="1" si="1"/>
        <v>110346.38462466662</v>
      </c>
      <c r="AG18" s="295">
        <f t="shared" ca="1" si="1"/>
        <v>110346.38462466662</v>
      </c>
      <c r="AH18" s="295">
        <f t="shared" ca="1" si="1"/>
        <v>110346.38462466662</v>
      </c>
      <c r="AI18" s="295">
        <f t="shared" ref="AI18:BN18" ca="1" si="2">IFERROR(AI16/AI17,0)</f>
        <v>110346.38462466662</v>
      </c>
      <c r="AJ18" s="295">
        <f t="shared" ca="1" si="2"/>
        <v>91955.320520555528</v>
      </c>
      <c r="AK18" s="295">
        <f t="shared" ca="1" si="2"/>
        <v>117846.38462466662</v>
      </c>
      <c r="AL18" s="295">
        <f t="shared" ca="1" si="2"/>
        <v>110346.38462466662</v>
      </c>
      <c r="AM18" s="295">
        <f t="shared" ca="1" si="2"/>
        <v>110346.38462466662</v>
      </c>
      <c r="AN18" s="295">
        <f t="shared" ca="1" si="2"/>
        <v>117846.38462466662</v>
      </c>
      <c r="AO18" s="295">
        <f t="shared" ca="1" si="2"/>
        <v>110346.38462466662</v>
      </c>
      <c r="AP18" s="295">
        <f t="shared" ca="1" si="2"/>
        <v>112137.97898382667</v>
      </c>
      <c r="AQ18" s="295">
        <f t="shared" ca="1" si="2"/>
        <v>121137.97898382667</v>
      </c>
      <c r="AR18" s="295">
        <f t="shared" ca="1" si="2"/>
        <v>112137.97898382667</v>
      </c>
      <c r="AS18" s="295">
        <f t="shared" ca="1" si="2"/>
        <v>93448.315819855561</v>
      </c>
      <c r="AT18" s="295">
        <f t="shared" ca="1" si="2"/>
        <v>100948.31581985556</v>
      </c>
      <c r="AU18" s="295">
        <f t="shared" ca="1" si="2"/>
        <v>93448.315819855561</v>
      </c>
      <c r="AV18" s="295">
        <f t="shared" ca="1" si="2"/>
        <v>112137.97898382667</v>
      </c>
      <c r="AW18" s="295">
        <f t="shared" ca="1" si="2"/>
        <v>112137.97898382667</v>
      </c>
      <c r="AX18" s="295">
        <f t="shared" ca="1" si="2"/>
        <v>112137.97898382667</v>
      </c>
      <c r="AY18" s="295">
        <f t="shared" ca="1" si="2"/>
        <v>112137.97898382667</v>
      </c>
      <c r="AZ18" s="295">
        <f t="shared" ca="1" si="2"/>
        <v>112137.97898382667</v>
      </c>
      <c r="BA18" s="295">
        <f t="shared" ca="1" si="2"/>
        <v>93448.315819855561</v>
      </c>
      <c r="BB18" s="295">
        <f t="shared" ca="1" si="2"/>
        <v>101221.17102514151</v>
      </c>
      <c r="BC18" s="295">
        <f t="shared" ca="1" si="2"/>
        <v>113965.40523016981</v>
      </c>
      <c r="BD18" s="295">
        <f t="shared" ca="1" si="2"/>
        <v>113965.40523016981</v>
      </c>
      <c r="BE18" s="295">
        <f t="shared" ca="1" si="2"/>
        <v>88721.171025141506</v>
      </c>
      <c r="BF18" s="295">
        <f t="shared" ca="1" si="2"/>
        <v>122965.40523016981</v>
      </c>
      <c r="BG18" s="295">
        <f t="shared" ca="1" si="2"/>
        <v>94971.171025141506</v>
      </c>
      <c r="BH18" s="295">
        <f t="shared" ca="1" si="2"/>
        <v>101221.17102514151</v>
      </c>
      <c r="BI18" s="295">
        <f t="shared" ca="1" si="2"/>
        <v>94971.171025141506</v>
      </c>
      <c r="BJ18" s="295">
        <f t="shared" ca="1" si="2"/>
        <v>121465.40523016981</v>
      </c>
      <c r="BK18" s="295">
        <f t="shared" ca="1" si="2"/>
        <v>94971.171025141506</v>
      </c>
      <c r="BL18" s="295">
        <f t="shared" ca="1" si="2"/>
        <v>122965.40523016981</v>
      </c>
      <c r="BM18" s="295">
        <f t="shared" ca="1" si="2"/>
        <v>94971.171025141506</v>
      </c>
      <c r="BN18" s="295">
        <f t="shared" ca="1" si="2"/>
        <v>102774.48333453327</v>
      </c>
      <c r="BO18" s="295">
        <f t="shared" ref="BO18:CT18" ca="1" si="3">IFERROR(BO16/BO17,0)</f>
        <v>82735.271429599947</v>
      </c>
      <c r="BP18" s="295">
        <f t="shared" ca="1" si="3"/>
        <v>89163.842858171367</v>
      </c>
      <c r="BQ18" s="295">
        <f t="shared" ca="1" si="3"/>
        <v>82735.271429599947</v>
      </c>
      <c r="BR18" s="295">
        <f t="shared" ca="1" si="3"/>
        <v>82735.271429599947</v>
      </c>
      <c r="BS18" s="295">
        <f t="shared" ca="1" si="3"/>
        <v>82735.271429599947</v>
      </c>
      <c r="BT18" s="295">
        <f t="shared" ca="1" si="3"/>
        <v>96524.483334533274</v>
      </c>
      <c r="BU18" s="295">
        <f t="shared" ca="1" si="3"/>
        <v>82735.271429599947</v>
      </c>
      <c r="BV18" s="295">
        <f t="shared" ca="1" si="3"/>
        <v>89163.842858171367</v>
      </c>
      <c r="BW18" s="295">
        <f t="shared" ca="1" si="3"/>
        <v>82735.271429599947</v>
      </c>
      <c r="BX18" s="295">
        <f t="shared" ca="1" si="3"/>
        <v>96524.483334533274</v>
      </c>
      <c r="BY18" s="295">
        <f t="shared" ca="1" si="3"/>
        <v>96524.483334533274</v>
      </c>
      <c r="BZ18" s="295">
        <f t="shared" ca="1" si="3"/>
        <v>117730.63426813533</v>
      </c>
      <c r="CA18" s="295">
        <f t="shared" ca="1" si="3"/>
        <v>98108.861890112763</v>
      </c>
      <c r="CB18" s="295">
        <f t="shared" ca="1" si="3"/>
        <v>126730.63426813533</v>
      </c>
      <c r="CC18" s="295">
        <f t="shared" ca="1" si="3"/>
        <v>94977.553405803817</v>
      </c>
      <c r="CD18" s="295">
        <f t="shared" ca="1" si="3"/>
        <v>125230.63426813533</v>
      </c>
      <c r="CE18" s="295">
        <f t="shared" ca="1" si="3"/>
        <v>98108.861890112763</v>
      </c>
      <c r="CF18" s="295">
        <f t="shared" ca="1" si="3"/>
        <v>125230.63426813533</v>
      </c>
      <c r="CG18" s="295">
        <f t="shared" ca="1" si="3"/>
        <v>98108.861890112763</v>
      </c>
      <c r="CH18" s="295">
        <f t="shared" ca="1" si="3"/>
        <v>126730.63426813533</v>
      </c>
      <c r="CI18" s="295">
        <f t="shared" ca="1" si="3"/>
        <v>98108.861890112763</v>
      </c>
      <c r="CJ18" s="295">
        <f t="shared" ca="1" si="3"/>
        <v>104358.86189011276</v>
      </c>
      <c r="CK18" s="295">
        <f t="shared" ca="1" si="3"/>
        <v>98108.861890112763</v>
      </c>
      <c r="CL18" s="295">
        <f t="shared" ca="1" si="3"/>
        <v>99724.928016803999</v>
      </c>
      <c r="CM18" s="295">
        <f t="shared" ca="1" si="3"/>
        <v>99724.928016803999</v>
      </c>
      <c r="CN18" s="295">
        <f t="shared" ca="1" si="3"/>
        <v>119669.91362016481</v>
      </c>
      <c r="CO18" s="295">
        <f t="shared" ca="1" si="3"/>
        <v>119669.91362016481</v>
      </c>
      <c r="CP18" s="295">
        <f t="shared" ca="1" si="3"/>
        <v>119669.91362016481</v>
      </c>
      <c r="CQ18" s="295">
        <f t="shared" ca="1" si="3"/>
        <v>119669.91362016481</v>
      </c>
      <c r="CR18" s="295">
        <f t="shared" ca="1" si="3"/>
        <v>119669.91362016481</v>
      </c>
      <c r="CS18" s="295">
        <f t="shared" ca="1" si="3"/>
        <v>119669.91362016481</v>
      </c>
      <c r="CT18" s="295">
        <f t="shared" ca="1" si="3"/>
        <v>149587.39202520601</v>
      </c>
      <c r="CU18" s="295">
        <f t="shared" ref="CU18:DZ18" ca="1" si="4">IFERROR(CU16/CU17,0)</f>
        <v>135282.36668336837</v>
      </c>
      <c r="CV18" s="295">
        <f t="shared" ca="1" si="4"/>
        <v>180376.48891115782</v>
      </c>
      <c r="CW18" s="295">
        <f t="shared" ca="1" si="4"/>
        <v>180376.48891115782</v>
      </c>
      <c r="CX18" s="295">
        <f t="shared" ca="1" si="4"/>
        <v>274937.69470073812</v>
      </c>
      <c r="CY18" s="295">
        <f t="shared" ca="1" si="4"/>
        <v>274937.69470073812</v>
      </c>
      <c r="CZ18" s="295">
        <f t="shared" ca="1" si="4"/>
        <v>549875.38940147625</v>
      </c>
      <c r="DA18" s="295">
        <f t="shared" ca="1" si="4"/>
        <v>512375.38940147631</v>
      </c>
      <c r="DB18" s="295">
        <f t="shared" ca="1" si="4"/>
        <v>0</v>
      </c>
      <c r="DC18" s="295">
        <f t="shared" ca="1" si="4"/>
        <v>0</v>
      </c>
      <c r="DD18" s="295">
        <f t="shared" ca="1" si="4"/>
        <v>0</v>
      </c>
      <c r="DE18" s="295">
        <f t="shared" ca="1" si="4"/>
        <v>0</v>
      </c>
      <c r="DF18" s="295">
        <f t="shared" ca="1" si="4"/>
        <v>0</v>
      </c>
    </row>
    <row r="19" spans="1:110" x14ac:dyDescent="0.25">
      <c r="A19" s="287"/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</row>
    <row r="20" spans="1:110" ht="30" customHeight="1" x14ac:dyDescent="0.25">
      <c r="A20" s="298" t="s">
        <v>867</v>
      </c>
      <c r="B20" s="298" t="s">
        <v>611</v>
      </c>
      <c r="C20" s="298" t="s">
        <v>485</v>
      </c>
      <c r="D20" s="298" t="s">
        <v>868</v>
      </c>
      <c r="E20" s="298" t="s">
        <v>301</v>
      </c>
      <c r="F20" s="298" t="s">
        <v>869</v>
      </c>
      <c r="G20" s="298" t="s">
        <v>870</v>
      </c>
      <c r="H20" s="298" t="s">
        <v>871</v>
      </c>
      <c r="I20" s="298" t="s">
        <v>872</v>
      </c>
      <c r="J20" s="298" t="s">
        <v>873</v>
      </c>
      <c r="K20" s="298" t="s">
        <v>874</v>
      </c>
      <c r="L20" s="298" t="s">
        <v>875</v>
      </c>
      <c r="M20" s="298" t="s">
        <v>876</v>
      </c>
      <c r="N20" s="298" t="s">
        <v>877</v>
      </c>
      <c r="O20" s="298" t="s">
        <v>878</v>
      </c>
      <c r="P20" s="298" t="s">
        <v>433</v>
      </c>
      <c r="Q20" s="298" t="s">
        <v>879</v>
      </c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</row>
    <row r="21" spans="1:110" ht="15" customHeight="1" x14ac:dyDescent="0.25">
      <c r="A21" s="287" t="str">
        <f>Projects!A17</f>
        <v>BD-01</v>
      </c>
      <c r="B21" s="295">
        <f>Projects!B17</f>
        <v>18000000</v>
      </c>
      <c r="C21" s="294">
        <f>Projects!C17</f>
        <v>16</v>
      </c>
      <c r="D21" s="294">
        <f>Projects!D17</f>
        <v>19</v>
      </c>
      <c r="E21" s="287" t="str">
        <f>Projects!G17</f>
        <v>No</v>
      </c>
      <c r="F21" s="287" t="str">
        <f>Projects!M17</f>
        <v>Yes</v>
      </c>
      <c r="G21" s="294">
        <f t="shared" ref="G21:G50" si="5">C21+D21-1</f>
        <v>34</v>
      </c>
      <c r="H21" s="294">
        <f t="shared" ref="H21:H50" si="6">C21+1</f>
        <v>17</v>
      </c>
      <c r="I21" s="290">
        <f t="shared" ref="I21:I50" si="7">IF($F21="Yes",INDEX($G$6:$G$14,MATCH(MIN($G21,105),$B$6:$B$14,1)),1)</f>
        <v>0.5</v>
      </c>
      <c r="J21" s="295">
        <f>IF($E21="Yes",$B21*Assumptions!$B$9*0.95/$D21*SUMPRODUCT(($C$15:$DF$15&gt;=$C21)*($C$15:$DF$15&lt;$C21+$D21))+$B21*Assumptions!$B$9*0.05*SUMPRODUCT(--($C$15:$DF$15=$G21)),0)</f>
        <v>0</v>
      </c>
      <c r="K21" s="295">
        <f t="shared" ref="K21:K50" si="8">IF($E21="Yes",SUMPRODUCT(($C$15:$DF$15&gt;=$C21)*($C$15:$DF$15&lt;$C21+$D21)*$C$18:$DF$18),0)</f>
        <v>0</v>
      </c>
      <c r="L21" s="295">
        <f t="shared" ref="L21:L50" si="9">J21-K21</f>
        <v>0</v>
      </c>
      <c r="M21" s="290">
        <f t="shared" ref="M21:M50" si="10">$B$3*I21</f>
        <v>0.05</v>
      </c>
      <c r="N21" s="295">
        <f t="shared" ref="N21:N50" si="11">IF($E21="Yes",$B$2*$B21,0)</f>
        <v>0</v>
      </c>
      <c r="O21" s="295">
        <f t="shared" ref="O21:O50" si="12">M21*MAX(0,L21)</f>
        <v>0</v>
      </c>
      <c r="P21" s="295">
        <f t="shared" ref="P21:P50" si="13">N21+Q21</f>
        <v>0</v>
      </c>
      <c r="Q21" s="295">
        <f t="shared" ref="Q21:Q50" si="14">IF(AND($F21="Yes",$I21&lt;1),O21-N21,MAX(0,O21-N21))</f>
        <v>0</v>
      </c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7"/>
      <c r="AF21" s="287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7"/>
      <c r="BC21" s="287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7"/>
      <c r="BZ21" s="287"/>
      <c r="CA21" s="287"/>
      <c r="CB21" s="287"/>
      <c r="CC21" s="287"/>
      <c r="CD21" s="287"/>
      <c r="CE21" s="287"/>
      <c r="CF21" s="287"/>
      <c r="CG21" s="287"/>
      <c r="CH21" s="287"/>
      <c r="CI21" s="287"/>
      <c r="CJ21" s="287"/>
      <c r="CK21" s="287"/>
      <c r="CL21" s="287"/>
      <c r="CM21" s="287"/>
      <c r="CN21" s="287"/>
      <c r="CO21" s="287"/>
      <c r="CP21" s="287"/>
      <c r="CQ21" s="287"/>
      <c r="CR21" s="287"/>
      <c r="CS21" s="287"/>
      <c r="CT21" s="287"/>
      <c r="CU21" s="287"/>
      <c r="CV21" s="287"/>
      <c r="CW21" s="287"/>
      <c r="CX21" s="287"/>
      <c r="CY21" s="287"/>
      <c r="CZ21" s="287"/>
      <c r="DA21" s="287"/>
      <c r="DB21" s="287"/>
      <c r="DC21" s="287"/>
      <c r="DD21" s="287"/>
      <c r="DE21" s="287"/>
      <c r="DF21" s="287"/>
    </row>
    <row r="22" spans="1:110" ht="15" customHeight="1" x14ac:dyDescent="0.25">
      <c r="A22" s="287" t="str">
        <f>Projects!A18</f>
        <v>BD-02</v>
      </c>
      <c r="B22" s="295">
        <f>Projects!B18</f>
        <v>15000000</v>
      </c>
      <c r="C22" s="294">
        <f>Projects!C18</f>
        <v>18</v>
      </c>
      <c r="D22" s="294">
        <f>Projects!D18</f>
        <v>19</v>
      </c>
      <c r="E22" s="287" t="str">
        <f>Projects!G18</f>
        <v>No</v>
      </c>
      <c r="F22" s="287" t="str">
        <f>Projects!M18</f>
        <v>No</v>
      </c>
      <c r="G22" s="294">
        <f t="shared" si="5"/>
        <v>36</v>
      </c>
      <c r="H22" s="294">
        <f t="shared" si="6"/>
        <v>19</v>
      </c>
      <c r="I22" s="290">
        <f t="shared" si="7"/>
        <v>1</v>
      </c>
      <c r="J22" s="295">
        <f>IF($E22="Yes",$B22*Assumptions!$B$9*0.95/$D22*SUMPRODUCT(($C$15:$DF$15&gt;=$C22)*($C$15:$DF$15&lt;$C22+$D22))+$B22*Assumptions!$B$9*0.05*SUMPRODUCT(--($C$15:$DF$15=$G22)),0)</f>
        <v>0</v>
      </c>
      <c r="K22" s="295">
        <f t="shared" si="8"/>
        <v>0</v>
      </c>
      <c r="L22" s="295">
        <f t="shared" si="9"/>
        <v>0</v>
      </c>
      <c r="M22" s="290">
        <f t="shared" si="10"/>
        <v>0.1</v>
      </c>
      <c r="N22" s="295">
        <f t="shared" si="11"/>
        <v>0</v>
      </c>
      <c r="O22" s="295">
        <f t="shared" si="12"/>
        <v>0</v>
      </c>
      <c r="P22" s="295">
        <f t="shared" si="13"/>
        <v>0</v>
      </c>
      <c r="Q22" s="295">
        <f t="shared" si="14"/>
        <v>0</v>
      </c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7"/>
      <c r="AF22" s="287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7"/>
      <c r="BC22" s="287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7"/>
      <c r="BZ22" s="287"/>
      <c r="CA22" s="287"/>
      <c r="CB22" s="287"/>
      <c r="CC22" s="287"/>
      <c r="CD22" s="287"/>
      <c r="CE22" s="287"/>
      <c r="CF22" s="287"/>
      <c r="CG22" s="287"/>
      <c r="CH22" s="287"/>
      <c r="CI22" s="287"/>
      <c r="CJ22" s="287"/>
      <c r="CK22" s="287"/>
      <c r="CL22" s="287"/>
      <c r="CM22" s="287"/>
      <c r="CN22" s="287"/>
      <c r="CO22" s="287"/>
      <c r="CP22" s="287"/>
      <c r="CQ22" s="287"/>
      <c r="CR22" s="287"/>
      <c r="CS22" s="287"/>
      <c r="CT22" s="287"/>
      <c r="CU22" s="287"/>
      <c r="CV22" s="287"/>
      <c r="CW22" s="287"/>
      <c r="CX22" s="287"/>
      <c r="CY22" s="287"/>
      <c r="CZ22" s="287"/>
      <c r="DA22" s="287"/>
      <c r="DB22" s="287"/>
      <c r="DC22" s="287"/>
      <c r="DD22" s="287"/>
      <c r="DE22" s="287"/>
      <c r="DF22" s="287"/>
    </row>
    <row r="23" spans="1:110" ht="15" customHeight="1" x14ac:dyDescent="0.25">
      <c r="A23" s="287" t="str">
        <f>Projects!A19</f>
        <v>BD-03</v>
      </c>
      <c r="B23" s="295">
        <f>Projects!B19</f>
        <v>15000000</v>
      </c>
      <c r="C23" s="294">
        <f>Projects!C19</f>
        <v>21</v>
      </c>
      <c r="D23" s="294">
        <f>Projects!D19</f>
        <v>19</v>
      </c>
      <c r="E23" s="287" t="str">
        <f>Projects!G19</f>
        <v>No</v>
      </c>
      <c r="F23" s="287" t="str">
        <f>Projects!M19</f>
        <v>No</v>
      </c>
      <c r="G23" s="294">
        <f t="shared" si="5"/>
        <v>39</v>
      </c>
      <c r="H23" s="294">
        <f t="shared" si="6"/>
        <v>22</v>
      </c>
      <c r="I23" s="290">
        <f t="shared" si="7"/>
        <v>1</v>
      </c>
      <c r="J23" s="295">
        <f>IF($E23="Yes",$B23*Assumptions!$B$9*0.95/$D23*SUMPRODUCT(($C$15:$DF$15&gt;=$C23)*($C$15:$DF$15&lt;$C23+$D23))+$B23*Assumptions!$B$9*0.05*SUMPRODUCT(--($C$15:$DF$15=$G23)),0)</f>
        <v>0</v>
      </c>
      <c r="K23" s="295">
        <f t="shared" si="8"/>
        <v>0</v>
      </c>
      <c r="L23" s="295">
        <f t="shared" si="9"/>
        <v>0</v>
      </c>
      <c r="M23" s="290">
        <f t="shared" si="10"/>
        <v>0.1</v>
      </c>
      <c r="N23" s="295">
        <f t="shared" si="11"/>
        <v>0</v>
      </c>
      <c r="O23" s="295">
        <f t="shared" si="12"/>
        <v>0</v>
      </c>
      <c r="P23" s="295">
        <f t="shared" si="13"/>
        <v>0</v>
      </c>
      <c r="Q23" s="295">
        <f t="shared" si="14"/>
        <v>0</v>
      </c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  <c r="BC23" s="287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7"/>
      <c r="CI23" s="287"/>
      <c r="CJ23" s="287"/>
      <c r="CK23" s="287"/>
      <c r="CL23" s="287"/>
      <c r="CM23" s="287"/>
      <c r="CN23" s="287"/>
      <c r="CO23" s="287"/>
      <c r="CP23" s="287"/>
      <c r="CQ23" s="287"/>
      <c r="CR23" s="287"/>
      <c r="CS23" s="287"/>
      <c r="CT23" s="287"/>
      <c r="CU23" s="287"/>
      <c r="CV23" s="287"/>
      <c r="CW23" s="287"/>
      <c r="CX23" s="287"/>
      <c r="CY23" s="287"/>
      <c r="CZ23" s="287"/>
      <c r="DA23" s="287"/>
      <c r="DB23" s="287"/>
      <c r="DC23" s="287"/>
      <c r="DD23" s="287"/>
      <c r="DE23" s="287"/>
      <c r="DF23" s="287"/>
    </row>
    <row r="24" spans="1:110" ht="15" customHeight="1" x14ac:dyDescent="0.25">
      <c r="A24" s="287" t="str">
        <f>Projects!A20</f>
        <v>BD-04</v>
      </c>
      <c r="B24" s="295">
        <f>Projects!B20</f>
        <v>15000000</v>
      </c>
      <c r="C24" s="294">
        <f>Projects!C20</f>
        <v>24</v>
      </c>
      <c r="D24" s="294">
        <f>Projects!D20</f>
        <v>19</v>
      </c>
      <c r="E24" s="287" t="str">
        <f>Projects!G20</f>
        <v>No</v>
      </c>
      <c r="F24" s="287" t="str">
        <f>Projects!M20</f>
        <v>Yes</v>
      </c>
      <c r="G24" s="294">
        <f t="shared" si="5"/>
        <v>42</v>
      </c>
      <c r="H24" s="294">
        <f t="shared" si="6"/>
        <v>25</v>
      </c>
      <c r="I24" s="290">
        <f t="shared" si="7"/>
        <v>0.5</v>
      </c>
      <c r="J24" s="295">
        <f>IF($E24="Yes",$B24*Assumptions!$B$9*0.95/$D24*SUMPRODUCT(($C$15:$DF$15&gt;=$C24)*($C$15:$DF$15&lt;$C24+$D24))+$B24*Assumptions!$B$9*0.05*SUMPRODUCT(--($C$15:$DF$15=$G24)),0)</f>
        <v>0</v>
      </c>
      <c r="K24" s="295">
        <f t="shared" si="8"/>
        <v>0</v>
      </c>
      <c r="L24" s="295">
        <f t="shared" si="9"/>
        <v>0</v>
      </c>
      <c r="M24" s="290">
        <f t="shared" si="10"/>
        <v>0.05</v>
      </c>
      <c r="N24" s="295">
        <f t="shared" si="11"/>
        <v>0</v>
      </c>
      <c r="O24" s="295">
        <f t="shared" si="12"/>
        <v>0</v>
      </c>
      <c r="P24" s="295">
        <f t="shared" si="13"/>
        <v>0</v>
      </c>
      <c r="Q24" s="295">
        <f t="shared" si="14"/>
        <v>0</v>
      </c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87"/>
      <c r="CM24" s="287"/>
      <c r="CN24" s="287"/>
      <c r="CO24" s="287"/>
      <c r="CP24" s="287"/>
      <c r="CQ24" s="287"/>
      <c r="CR24" s="287"/>
      <c r="CS24" s="287"/>
      <c r="CT24" s="287"/>
      <c r="CU24" s="287"/>
      <c r="CV24" s="287"/>
      <c r="CW24" s="287"/>
      <c r="CX24" s="287"/>
      <c r="CY24" s="287"/>
      <c r="CZ24" s="287"/>
      <c r="DA24" s="287"/>
      <c r="DB24" s="287"/>
      <c r="DC24" s="287"/>
      <c r="DD24" s="287"/>
      <c r="DE24" s="287"/>
      <c r="DF24" s="287"/>
    </row>
    <row r="25" spans="1:110" ht="15" customHeight="1" x14ac:dyDescent="0.25">
      <c r="A25" s="287" t="str">
        <f>Projects!A21</f>
        <v>BD-05</v>
      </c>
      <c r="B25" s="295">
        <f>Projects!B21</f>
        <v>15000000</v>
      </c>
      <c r="C25" s="294">
        <f>Projects!C21</f>
        <v>27</v>
      </c>
      <c r="D25" s="294">
        <f>Projects!D21</f>
        <v>19</v>
      </c>
      <c r="E25" s="287" t="str">
        <f>Projects!G21</f>
        <v>No</v>
      </c>
      <c r="F25" s="287" t="str">
        <f>Projects!M21</f>
        <v>No</v>
      </c>
      <c r="G25" s="294">
        <f t="shared" si="5"/>
        <v>45</v>
      </c>
      <c r="H25" s="294">
        <f t="shared" si="6"/>
        <v>28</v>
      </c>
      <c r="I25" s="290">
        <f t="shared" si="7"/>
        <v>1</v>
      </c>
      <c r="J25" s="295">
        <f>IF($E25="Yes",$B25*Assumptions!$B$9*0.95/$D25*SUMPRODUCT(($C$15:$DF$15&gt;=$C25)*($C$15:$DF$15&lt;$C25+$D25))+$B25*Assumptions!$B$9*0.05*SUMPRODUCT(--($C$15:$DF$15=$G25)),0)</f>
        <v>0</v>
      </c>
      <c r="K25" s="295">
        <f t="shared" si="8"/>
        <v>0</v>
      </c>
      <c r="L25" s="295">
        <f t="shared" si="9"/>
        <v>0</v>
      </c>
      <c r="M25" s="290">
        <f t="shared" si="10"/>
        <v>0.1</v>
      </c>
      <c r="N25" s="295">
        <f t="shared" si="11"/>
        <v>0</v>
      </c>
      <c r="O25" s="295">
        <f t="shared" si="12"/>
        <v>0</v>
      </c>
      <c r="P25" s="295">
        <f t="shared" si="13"/>
        <v>0</v>
      </c>
      <c r="Q25" s="295">
        <f t="shared" si="14"/>
        <v>0</v>
      </c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7"/>
      <c r="BC25" s="287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7"/>
      <c r="BZ25" s="287"/>
      <c r="CA25" s="287"/>
      <c r="CB25" s="287"/>
      <c r="CC25" s="287"/>
      <c r="CD25" s="287"/>
      <c r="CE25" s="287"/>
      <c r="CF25" s="287"/>
      <c r="CG25" s="287"/>
      <c r="CH25" s="287"/>
      <c r="CI25" s="287"/>
      <c r="CJ25" s="287"/>
      <c r="CK25" s="287"/>
      <c r="CL25" s="287"/>
      <c r="CM25" s="287"/>
      <c r="CN25" s="287"/>
      <c r="CO25" s="287"/>
      <c r="CP25" s="287"/>
      <c r="CQ25" s="287"/>
      <c r="CR25" s="287"/>
      <c r="CS25" s="287"/>
      <c r="CT25" s="287"/>
      <c r="CU25" s="287"/>
      <c r="CV25" s="287"/>
      <c r="CW25" s="287"/>
      <c r="CX25" s="287"/>
      <c r="CY25" s="287"/>
      <c r="CZ25" s="287"/>
      <c r="DA25" s="287"/>
      <c r="DB25" s="287"/>
      <c r="DC25" s="287"/>
      <c r="DD25" s="287"/>
      <c r="DE25" s="287"/>
      <c r="DF25" s="287"/>
    </row>
    <row r="26" spans="1:110" ht="15" customHeight="1" x14ac:dyDescent="0.25">
      <c r="A26" s="287" t="str">
        <f>Projects!A22</f>
        <v>BD-06</v>
      </c>
      <c r="B26" s="295">
        <f>Projects!B22</f>
        <v>15000000</v>
      </c>
      <c r="C26" s="294">
        <f>Projects!C22</f>
        <v>31</v>
      </c>
      <c r="D26" s="294">
        <f>Projects!D22</f>
        <v>19</v>
      </c>
      <c r="E26" s="287" t="str">
        <f>Projects!G22</f>
        <v>Yes</v>
      </c>
      <c r="F26" s="287" t="str">
        <f>Projects!M22</f>
        <v>No</v>
      </c>
      <c r="G26" s="294">
        <f t="shared" si="5"/>
        <v>49</v>
      </c>
      <c r="H26" s="294">
        <f t="shared" si="6"/>
        <v>32</v>
      </c>
      <c r="I26" s="290">
        <f t="shared" si="7"/>
        <v>1</v>
      </c>
      <c r="J26" s="295">
        <f>IF($E26="Yes",$B26*Assumptions!$B$9*0.95/$D26*SUMPRODUCT(($C$15:$DF$15&gt;=$C26)*($C$15:$DF$15&lt;$C26+$D26))+$B26*Assumptions!$B$9*0.05*SUMPRODUCT(--($C$15:$DF$15=$G26)),0)</f>
        <v>1805865</v>
      </c>
      <c r="K26" s="295">
        <f t="shared" ca="1" si="8"/>
        <v>2047305.5098190662</v>
      </c>
      <c r="L26" s="295">
        <f t="shared" ca="1" si="9"/>
        <v>-241440.50981906615</v>
      </c>
      <c r="M26" s="290">
        <f t="shared" si="10"/>
        <v>0.1</v>
      </c>
      <c r="N26" s="295">
        <f t="shared" si="11"/>
        <v>37500</v>
      </c>
      <c r="O26" s="295">
        <f t="shared" ca="1" si="12"/>
        <v>0</v>
      </c>
      <c r="P26" s="295">
        <f t="shared" ca="1" si="13"/>
        <v>37500</v>
      </c>
      <c r="Q26" s="295">
        <f t="shared" ca="1" si="14"/>
        <v>0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7"/>
      <c r="BC26" s="287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7"/>
      <c r="BZ26" s="287"/>
      <c r="CA26" s="287"/>
      <c r="CB26" s="287"/>
      <c r="CC26" s="287"/>
      <c r="CD26" s="287"/>
      <c r="CE26" s="287"/>
      <c r="CF26" s="287"/>
      <c r="CG26" s="287"/>
      <c r="CH26" s="287"/>
      <c r="CI26" s="287"/>
      <c r="CJ26" s="287"/>
      <c r="CK26" s="287"/>
      <c r="CL26" s="287"/>
      <c r="CM26" s="287"/>
      <c r="CN26" s="287"/>
      <c r="CO26" s="287"/>
      <c r="CP26" s="287"/>
      <c r="CQ26" s="287"/>
      <c r="CR26" s="287"/>
      <c r="CS26" s="287"/>
      <c r="CT26" s="287"/>
      <c r="CU26" s="287"/>
      <c r="CV26" s="287"/>
      <c r="CW26" s="287"/>
      <c r="CX26" s="287"/>
      <c r="CY26" s="287"/>
      <c r="CZ26" s="287"/>
      <c r="DA26" s="287"/>
      <c r="DB26" s="287"/>
      <c r="DC26" s="287"/>
      <c r="DD26" s="287"/>
      <c r="DE26" s="287"/>
      <c r="DF26" s="287"/>
    </row>
    <row r="27" spans="1:110" ht="15" customHeight="1" x14ac:dyDescent="0.25">
      <c r="A27" s="287" t="str">
        <f>Projects!A23</f>
        <v>BD-07</v>
      </c>
      <c r="B27" s="295">
        <f>Projects!B23</f>
        <v>15000000</v>
      </c>
      <c r="C27" s="294">
        <f>Projects!C23</f>
        <v>34</v>
      </c>
      <c r="D27" s="294">
        <f>Projects!D23</f>
        <v>19</v>
      </c>
      <c r="E27" s="287" t="str">
        <f>Projects!G23</f>
        <v>Yes</v>
      </c>
      <c r="F27" s="287" t="str">
        <f>Projects!M23</f>
        <v>Yes</v>
      </c>
      <c r="G27" s="294">
        <f t="shared" si="5"/>
        <v>52</v>
      </c>
      <c r="H27" s="294">
        <f t="shared" si="6"/>
        <v>35</v>
      </c>
      <c r="I27" s="290">
        <f t="shared" si="7"/>
        <v>0.75</v>
      </c>
      <c r="J27" s="295">
        <f>IF($E27="Yes",$B27*Assumptions!$B$9*0.95/$D27*SUMPRODUCT(($C$15:$DF$15&gt;=$C27)*($C$15:$DF$15&lt;$C27+$D27))+$B27*Assumptions!$B$9*0.05*SUMPRODUCT(--($C$15:$DF$15=$G27)),0)</f>
        <v>1805865</v>
      </c>
      <c r="K27" s="295">
        <f t="shared" ca="1" si="8"/>
        <v>2043809.4015346586</v>
      </c>
      <c r="L27" s="295">
        <f t="shared" ca="1" si="9"/>
        <v>-237944.40153465862</v>
      </c>
      <c r="M27" s="290">
        <f t="shared" si="10"/>
        <v>7.5000000000000011E-2</v>
      </c>
      <c r="N27" s="295">
        <f t="shared" si="11"/>
        <v>37500</v>
      </c>
      <c r="O27" s="295">
        <f t="shared" ca="1" si="12"/>
        <v>0</v>
      </c>
      <c r="P27" s="295">
        <f t="shared" ca="1" si="13"/>
        <v>0</v>
      </c>
      <c r="Q27" s="295">
        <f t="shared" ca="1" si="14"/>
        <v>-37500</v>
      </c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  <c r="AY27" s="287"/>
      <c r="AZ27" s="287"/>
      <c r="BA27" s="287"/>
      <c r="BB27" s="287"/>
      <c r="BC27" s="287"/>
      <c r="BD27" s="287"/>
      <c r="BE27" s="287"/>
      <c r="BF27" s="287"/>
      <c r="BG27" s="287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7"/>
      <c r="CI27" s="287"/>
      <c r="CJ27" s="287"/>
      <c r="CK27" s="287"/>
      <c r="CL27" s="287"/>
      <c r="CM27" s="287"/>
      <c r="CN27" s="287"/>
      <c r="CO27" s="287"/>
      <c r="CP27" s="287"/>
      <c r="CQ27" s="287"/>
      <c r="CR27" s="287"/>
      <c r="CS27" s="287"/>
      <c r="CT27" s="287"/>
      <c r="CU27" s="287"/>
      <c r="CV27" s="287"/>
      <c r="CW27" s="287"/>
      <c r="CX27" s="287"/>
      <c r="CY27" s="287"/>
      <c r="CZ27" s="287"/>
      <c r="DA27" s="287"/>
      <c r="DB27" s="287"/>
      <c r="DC27" s="287"/>
      <c r="DD27" s="287"/>
      <c r="DE27" s="287"/>
      <c r="DF27" s="287"/>
    </row>
    <row r="28" spans="1:110" ht="15" customHeight="1" x14ac:dyDescent="0.25">
      <c r="A28" s="287" t="str">
        <f>Projects!A24</f>
        <v>BD-08</v>
      </c>
      <c r="B28" s="295">
        <f>Projects!B24</f>
        <v>18000000</v>
      </c>
      <c r="C28" s="294">
        <f>Projects!C24</f>
        <v>37</v>
      </c>
      <c r="D28" s="294">
        <f>Projects!D24</f>
        <v>19</v>
      </c>
      <c r="E28" s="287" t="str">
        <f>Projects!G24</f>
        <v>Yes</v>
      </c>
      <c r="F28" s="287" t="str">
        <f>Projects!M24</f>
        <v>No</v>
      </c>
      <c r="G28" s="294">
        <f t="shared" si="5"/>
        <v>55</v>
      </c>
      <c r="H28" s="294">
        <f t="shared" si="6"/>
        <v>38</v>
      </c>
      <c r="I28" s="290">
        <f t="shared" si="7"/>
        <v>1</v>
      </c>
      <c r="J28" s="295">
        <f>IF($E28="Yes",$B28*Assumptions!$B$9*0.95/$D28*SUMPRODUCT(($C$15:$DF$15&gt;=$C28)*($C$15:$DF$15&lt;$C28+$D28))+$B28*Assumptions!$B$9*0.05*SUMPRODUCT(--($C$15:$DF$15=$G28)),0)</f>
        <v>2167038</v>
      </c>
      <c r="K28" s="295">
        <f t="shared" ca="1" si="8"/>
        <v>2024427.9949411117</v>
      </c>
      <c r="L28" s="295">
        <f t="shared" ca="1" si="9"/>
        <v>142610.00505888835</v>
      </c>
      <c r="M28" s="290">
        <f t="shared" si="10"/>
        <v>0.1</v>
      </c>
      <c r="N28" s="295">
        <f t="shared" si="11"/>
        <v>45000</v>
      </c>
      <c r="O28" s="295">
        <f t="shared" ca="1" si="12"/>
        <v>14261.000505888835</v>
      </c>
      <c r="P28" s="295">
        <f t="shared" ca="1" si="13"/>
        <v>45000</v>
      </c>
      <c r="Q28" s="295">
        <f t="shared" ca="1" si="14"/>
        <v>0</v>
      </c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7"/>
      <c r="BD28" s="287"/>
      <c r="BE28" s="287"/>
      <c r="BF28" s="287"/>
      <c r="BG28" s="287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7"/>
      <c r="CI28" s="287"/>
      <c r="CJ28" s="287"/>
      <c r="CK28" s="287"/>
      <c r="CL28" s="287"/>
      <c r="CM28" s="287"/>
      <c r="CN28" s="287"/>
      <c r="CO28" s="287"/>
      <c r="CP28" s="287"/>
      <c r="CQ28" s="287"/>
      <c r="CR28" s="287"/>
      <c r="CS28" s="287"/>
      <c r="CT28" s="287"/>
      <c r="CU28" s="287"/>
      <c r="CV28" s="287"/>
      <c r="CW28" s="287"/>
      <c r="CX28" s="287"/>
      <c r="CY28" s="287"/>
      <c r="CZ28" s="287"/>
      <c r="DA28" s="287"/>
      <c r="DB28" s="287"/>
      <c r="DC28" s="287"/>
      <c r="DD28" s="287"/>
      <c r="DE28" s="287"/>
      <c r="DF28" s="287"/>
    </row>
    <row r="29" spans="1:110" ht="15" customHeight="1" x14ac:dyDescent="0.25">
      <c r="A29" s="287" t="str">
        <f>Projects!A25</f>
        <v>BD-09</v>
      </c>
      <c r="B29" s="295">
        <f>Projects!B25</f>
        <v>18000000</v>
      </c>
      <c r="C29" s="294">
        <f>Projects!C25</f>
        <v>40</v>
      </c>
      <c r="D29" s="294">
        <f>Projects!D25</f>
        <v>19</v>
      </c>
      <c r="E29" s="287" t="str">
        <f>Projects!G25</f>
        <v>Yes</v>
      </c>
      <c r="F29" s="287" t="str">
        <f>Projects!M25</f>
        <v>No</v>
      </c>
      <c r="G29" s="294">
        <f t="shared" si="5"/>
        <v>58</v>
      </c>
      <c r="H29" s="294">
        <f t="shared" si="6"/>
        <v>41</v>
      </c>
      <c r="I29" s="290">
        <f t="shared" si="7"/>
        <v>1</v>
      </c>
      <c r="J29" s="295">
        <f>IF($E29="Yes",$B29*Assumptions!$B$9*0.95/$D29*SUMPRODUCT(($C$15:$DF$15&gt;=$C29)*($C$15:$DF$15&lt;$C29+$D29))+$B29*Assumptions!$B$9*0.05*SUMPRODUCT(--($C$15:$DF$15=$G29)),0)</f>
        <v>2167038</v>
      </c>
      <c r="K29" s="295">
        <f t="shared" ca="1" si="8"/>
        <v>1990421.8052700846</v>
      </c>
      <c r="L29" s="295">
        <f t="shared" ca="1" si="9"/>
        <v>176616.19472991535</v>
      </c>
      <c r="M29" s="290">
        <f t="shared" si="10"/>
        <v>0.1</v>
      </c>
      <c r="N29" s="295">
        <f t="shared" si="11"/>
        <v>45000</v>
      </c>
      <c r="O29" s="295">
        <f t="shared" ca="1" si="12"/>
        <v>17661.619472991537</v>
      </c>
      <c r="P29" s="295">
        <f t="shared" ca="1" si="13"/>
        <v>45000</v>
      </c>
      <c r="Q29" s="295">
        <f t="shared" ca="1" si="14"/>
        <v>0</v>
      </c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  <c r="AY29" s="287"/>
      <c r="AZ29" s="287"/>
      <c r="BA29" s="287"/>
      <c r="BB29" s="287"/>
      <c r="BC29" s="287"/>
      <c r="BD29" s="287"/>
      <c r="BE29" s="287"/>
      <c r="BF29" s="287"/>
      <c r="BG29" s="287"/>
      <c r="BH29" s="287"/>
      <c r="BI29" s="287"/>
      <c r="BJ29" s="287"/>
      <c r="BK29" s="287"/>
      <c r="BL29" s="287"/>
      <c r="BM29" s="287"/>
      <c r="BN29" s="287"/>
      <c r="BO29" s="287"/>
      <c r="BP29" s="287"/>
      <c r="BQ29" s="287"/>
      <c r="BR29" s="287"/>
      <c r="BS29" s="287"/>
      <c r="BT29" s="287"/>
      <c r="BU29" s="287"/>
      <c r="BV29" s="287"/>
      <c r="BW29" s="287"/>
      <c r="BX29" s="287"/>
      <c r="BY29" s="287"/>
      <c r="BZ29" s="287"/>
      <c r="CA29" s="287"/>
      <c r="CB29" s="287"/>
      <c r="CC29" s="287"/>
      <c r="CD29" s="287"/>
      <c r="CE29" s="287"/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</row>
    <row r="30" spans="1:110" ht="15" customHeight="1" x14ac:dyDescent="0.25">
      <c r="A30" s="287" t="str">
        <f>Projects!A26</f>
        <v>BD-10</v>
      </c>
      <c r="B30" s="295">
        <f>Projects!B26</f>
        <v>18000000</v>
      </c>
      <c r="C30" s="294">
        <f>Projects!C26</f>
        <v>42</v>
      </c>
      <c r="D30" s="294">
        <f>Projects!D26</f>
        <v>19</v>
      </c>
      <c r="E30" s="287" t="str">
        <f>Projects!G26</f>
        <v>No</v>
      </c>
      <c r="F30" s="287" t="str">
        <f>Projects!M26</f>
        <v>No</v>
      </c>
      <c r="G30" s="294">
        <f t="shared" si="5"/>
        <v>60</v>
      </c>
      <c r="H30" s="294">
        <f t="shared" si="6"/>
        <v>43</v>
      </c>
      <c r="I30" s="290">
        <f t="shared" si="7"/>
        <v>1</v>
      </c>
      <c r="J30" s="295">
        <f>IF($E30="Yes",$B30*Assumptions!$B$9*0.95/$D30*SUMPRODUCT(($C$15:$DF$15&gt;=$C30)*($C$15:$DF$15&lt;$C30+$D30))+$B30*Assumptions!$B$9*0.05*SUMPRODUCT(--($C$15:$DF$15=$G30)),0)</f>
        <v>0</v>
      </c>
      <c r="K30" s="295">
        <f t="shared" si="8"/>
        <v>0</v>
      </c>
      <c r="L30" s="295">
        <f t="shared" si="9"/>
        <v>0</v>
      </c>
      <c r="M30" s="290">
        <f t="shared" si="10"/>
        <v>0.1</v>
      </c>
      <c r="N30" s="295">
        <f t="shared" si="11"/>
        <v>0</v>
      </c>
      <c r="O30" s="295">
        <f t="shared" si="12"/>
        <v>0</v>
      </c>
      <c r="P30" s="295">
        <f t="shared" si="13"/>
        <v>0</v>
      </c>
      <c r="Q30" s="295">
        <f t="shared" si="14"/>
        <v>0</v>
      </c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287"/>
      <c r="BW30" s="287"/>
      <c r="BX30" s="287"/>
      <c r="BY30" s="287"/>
      <c r="BZ30" s="287"/>
      <c r="CA30" s="287"/>
      <c r="CB30" s="287"/>
      <c r="CC30" s="287"/>
      <c r="CD30" s="287"/>
      <c r="CE30" s="287"/>
      <c r="CF30" s="287"/>
      <c r="CG30" s="287"/>
      <c r="CH30" s="287"/>
      <c r="CI30" s="287"/>
      <c r="CJ30" s="287"/>
      <c r="CK30" s="287"/>
      <c r="CL30" s="287"/>
      <c r="CM30" s="287"/>
      <c r="CN30" s="287"/>
      <c r="CO30" s="287"/>
      <c r="CP30" s="287"/>
      <c r="CQ30" s="287"/>
      <c r="CR30" s="287"/>
      <c r="CS30" s="287"/>
      <c r="CT30" s="287"/>
      <c r="CU30" s="287"/>
      <c r="CV30" s="287"/>
      <c r="CW30" s="287"/>
      <c r="CX30" s="287"/>
      <c r="CY30" s="287"/>
      <c r="CZ30" s="287"/>
      <c r="DA30" s="287"/>
      <c r="DB30" s="287"/>
      <c r="DC30" s="287"/>
      <c r="DD30" s="287"/>
      <c r="DE30" s="287"/>
      <c r="DF30" s="287"/>
    </row>
    <row r="31" spans="1:110" ht="15" customHeight="1" x14ac:dyDescent="0.25">
      <c r="A31" s="287" t="str">
        <f>Projects!A27</f>
        <v>BD-11</v>
      </c>
      <c r="B31" s="295">
        <f>Projects!B27</f>
        <v>15000000</v>
      </c>
      <c r="C31" s="294">
        <f>Projects!C27</f>
        <v>44</v>
      </c>
      <c r="D31" s="294">
        <f>Projects!D27</f>
        <v>19</v>
      </c>
      <c r="E31" s="287" t="str">
        <f>Projects!G27</f>
        <v>No</v>
      </c>
      <c r="F31" s="287" t="str">
        <f>Projects!M27</f>
        <v>No</v>
      </c>
      <c r="G31" s="294">
        <f t="shared" si="5"/>
        <v>62</v>
      </c>
      <c r="H31" s="294">
        <f t="shared" si="6"/>
        <v>45</v>
      </c>
      <c r="I31" s="290">
        <f t="shared" si="7"/>
        <v>1</v>
      </c>
      <c r="J31" s="295">
        <f>IF($E31="Yes",$B31*Assumptions!$B$9*0.95/$D31*SUMPRODUCT(($C$15:$DF$15&gt;=$C31)*($C$15:$DF$15&lt;$C31+$D31))+$B31*Assumptions!$B$9*0.05*SUMPRODUCT(--($C$15:$DF$15=$G31)),0)</f>
        <v>0</v>
      </c>
      <c r="K31" s="295">
        <f t="shared" si="8"/>
        <v>0</v>
      </c>
      <c r="L31" s="295">
        <f t="shared" si="9"/>
        <v>0</v>
      </c>
      <c r="M31" s="290">
        <f t="shared" si="10"/>
        <v>0.1</v>
      </c>
      <c r="N31" s="295">
        <f t="shared" si="11"/>
        <v>0</v>
      </c>
      <c r="O31" s="295">
        <f t="shared" si="12"/>
        <v>0</v>
      </c>
      <c r="P31" s="295">
        <f t="shared" si="13"/>
        <v>0</v>
      </c>
      <c r="Q31" s="295">
        <f t="shared" si="14"/>
        <v>0</v>
      </c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287"/>
      <c r="CM31" s="287"/>
      <c r="CN31" s="287"/>
      <c r="CO31" s="287"/>
      <c r="CP31" s="287"/>
      <c r="CQ31" s="287"/>
      <c r="CR31" s="287"/>
      <c r="CS31" s="287"/>
      <c r="CT31" s="287"/>
      <c r="CU31" s="287"/>
      <c r="CV31" s="287"/>
      <c r="CW31" s="287"/>
      <c r="CX31" s="287"/>
      <c r="CY31" s="287"/>
      <c r="CZ31" s="287"/>
      <c r="DA31" s="287"/>
      <c r="DB31" s="287"/>
      <c r="DC31" s="287"/>
      <c r="DD31" s="287"/>
      <c r="DE31" s="287"/>
      <c r="DF31" s="287"/>
    </row>
    <row r="32" spans="1:110" ht="15" customHeight="1" x14ac:dyDescent="0.25">
      <c r="A32" s="287" t="str">
        <f>Projects!A28</f>
        <v>BD-12</v>
      </c>
      <c r="B32" s="295">
        <f>Projects!B28</f>
        <v>15000000</v>
      </c>
      <c r="C32" s="294">
        <f>Projects!C28</f>
        <v>46</v>
      </c>
      <c r="D32" s="294">
        <f>Projects!D28</f>
        <v>19</v>
      </c>
      <c r="E32" s="287" t="str">
        <f>Projects!G28</f>
        <v>No</v>
      </c>
      <c r="F32" s="287" t="str">
        <f>Projects!M28</f>
        <v>Yes</v>
      </c>
      <c r="G32" s="294">
        <f t="shared" si="5"/>
        <v>64</v>
      </c>
      <c r="H32" s="294">
        <f t="shared" si="6"/>
        <v>47</v>
      </c>
      <c r="I32" s="290">
        <f t="shared" si="7"/>
        <v>0.75</v>
      </c>
      <c r="J32" s="295">
        <f>IF($E32="Yes",$B32*Assumptions!$B$9*0.95/$D32*SUMPRODUCT(($C$15:$DF$15&gt;=$C32)*($C$15:$DF$15&lt;$C32+$D32))+$B32*Assumptions!$B$9*0.05*SUMPRODUCT(--($C$15:$DF$15=$G32)),0)</f>
        <v>0</v>
      </c>
      <c r="K32" s="295">
        <f t="shared" si="8"/>
        <v>0</v>
      </c>
      <c r="L32" s="295">
        <f t="shared" si="9"/>
        <v>0</v>
      </c>
      <c r="M32" s="290">
        <f t="shared" si="10"/>
        <v>7.5000000000000011E-2</v>
      </c>
      <c r="N32" s="295">
        <f t="shared" si="11"/>
        <v>0</v>
      </c>
      <c r="O32" s="295">
        <f t="shared" si="12"/>
        <v>0</v>
      </c>
      <c r="P32" s="295">
        <f t="shared" si="13"/>
        <v>0</v>
      </c>
      <c r="Q32" s="295">
        <f t="shared" si="14"/>
        <v>0</v>
      </c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7"/>
      <c r="CI32" s="287"/>
      <c r="CJ32" s="287"/>
      <c r="CK32" s="287"/>
      <c r="CL32" s="287"/>
      <c r="CM32" s="287"/>
      <c r="CN32" s="287"/>
      <c r="CO32" s="287"/>
      <c r="CP32" s="287"/>
      <c r="CQ32" s="287"/>
      <c r="CR32" s="287"/>
      <c r="CS32" s="287"/>
      <c r="CT32" s="287"/>
      <c r="CU32" s="287"/>
      <c r="CV32" s="287"/>
      <c r="CW32" s="287"/>
      <c r="CX32" s="287"/>
      <c r="CY32" s="287"/>
      <c r="CZ32" s="287"/>
      <c r="DA32" s="287"/>
      <c r="DB32" s="287"/>
      <c r="DC32" s="287"/>
      <c r="DD32" s="287"/>
      <c r="DE32" s="287"/>
      <c r="DF32" s="287"/>
    </row>
    <row r="33" spans="1:110" ht="15" customHeight="1" x14ac:dyDescent="0.25">
      <c r="A33" s="287" t="str">
        <f>Projects!A29</f>
        <v>BD-13</v>
      </c>
      <c r="B33" s="295">
        <f>Projects!B29</f>
        <v>15000000</v>
      </c>
      <c r="C33" s="294">
        <f>Projects!C29</f>
        <v>48</v>
      </c>
      <c r="D33" s="294">
        <f>Projects!D29</f>
        <v>19</v>
      </c>
      <c r="E33" s="287" t="str">
        <f>Projects!G29</f>
        <v>Yes</v>
      </c>
      <c r="F33" s="287" t="str">
        <f>Projects!M29</f>
        <v>No</v>
      </c>
      <c r="G33" s="294">
        <f t="shared" si="5"/>
        <v>66</v>
      </c>
      <c r="H33" s="294">
        <f t="shared" si="6"/>
        <v>49</v>
      </c>
      <c r="I33" s="290">
        <f t="shared" si="7"/>
        <v>1</v>
      </c>
      <c r="J33" s="295">
        <f>IF($E33="Yes",$B33*Assumptions!$B$9*0.95/$D33*SUMPRODUCT(($C$15:$DF$15&gt;=$C33)*($C$15:$DF$15&lt;$C33+$D33))+$B33*Assumptions!$B$9*0.05*SUMPRODUCT(--($C$15:$DF$15=$G33)),0)</f>
        <v>1805865</v>
      </c>
      <c r="K33" s="295">
        <f t="shared" ca="1" si="8"/>
        <v>1882702.9510577996</v>
      </c>
      <c r="L33" s="295">
        <f t="shared" ca="1" si="9"/>
        <v>-76837.951057799626</v>
      </c>
      <c r="M33" s="290">
        <f t="shared" si="10"/>
        <v>0.1</v>
      </c>
      <c r="N33" s="295">
        <f t="shared" si="11"/>
        <v>37500</v>
      </c>
      <c r="O33" s="295">
        <f t="shared" ca="1" si="12"/>
        <v>0</v>
      </c>
      <c r="P33" s="295">
        <f t="shared" ca="1" si="13"/>
        <v>37500</v>
      </c>
      <c r="Q33" s="295">
        <f t="shared" ca="1" si="14"/>
        <v>0</v>
      </c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287"/>
      <c r="BE33" s="287"/>
      <c r="BF33" s="287"/>
      <c r="BG33" s="287"/>
      <c r="BH33" s="287"/>
      <c r="BI33" s="287"/>
      <c r="BJ33" s="287"/>
      <c r="BK33" s="287"/>
      <c r="BL33" s="287"/>
      <c r="BM33" s="287"/>
      <c r="BN33" s="287"/>
      <c r="BO33" s="287"/>
      <c r="BP33" s="287"/>
      <c r="BQ33" s="287"/>
      <c r="BR33" s="287"/>
      <c r="BS33" s="287"/>
      <c r="BT33" s="287"/>
      <c r="BU33" s="287"/>
      <c r="BV33" s="287"/>
      <c r="BW33" s="287"/>
      <c r="BX33" s="287"/>
      <c r="BY33" s="287"/>
      <c r="BZ33" s="287"/>
      <c r="CA33" s="287"/>
      <c r="CB33" s="287"/>
      <c r="CC33" s="287"/>
      <c r="CD33" s="287"/>
      <c r="CE33" s="287"/>
      <c r="CF33" s="287"/>
      <c r="CG33" s="287"/>
      <c r="CH33" s="287"/>
      <c r="CI33" s="287"/>
      <c r="CJ33" s="287"/>
      <c r="CK33" s="287"/>
      <c r="CL33" s="287"/>
      <c r="CM33" s="287"/>
      <c r="CN33" s="287"/>
      <c r="CO33" s="287"/>
      <c r="CP33" s="287"/>
      <c r="CQ33" s="287"/>
      <c r="CR33" s="287"/>
      <c r="CS33" s="287"/>
      <c r="CT33" s="287"/>
      <c r="CU33" s="287"/>
      <c r="CV33" s="287"/>
      <c r="CW33" s="287"/>
      <c r="CX33" s="287"/>
      <c r="CY33" s="287"/>
      <c r="CZ33" s="287"/>
      <c r="DA33" s="287"/>
      <c r="DB33" s="287"/>
      <c r="DC33" s="287"/>
      <c r="DD33" s="287"/>
      <c r="DE33" s="287"/>
      <c r="DF33" s="287"/>
    </row>
    <row r="34" spans="1:110" ht="15" customHeight="1" x14ac:dyDescent="0.25">
      <c r="A34" s="287" t="str">
        <f>Projects!A30</f>
        <v>BD-14</v>
      </c>
      <c r="B34" s="295">
        <f>Projects!B30</f>
        <v>15000000</v>
      </c>
      <c r="C34" s="294">
        <f>Projects!C30</f>
        <v>50</v>
      </c>
      <c r="D34" s="294">
        <f>Projects!D30</f>
        <v>19</v>
      </c>
      <c r="E34" s="287" t="str">
        <f>Projects!G30</f>
        <v>No</v>
      </c>
      <c r="F34" s="287" t="str">
        <f>Projects!M30</f>
        <v>No</v>
      </c>
      <c r="G34" s="294">
        <f t="shared" si="5"/>
        <v>68</v>
      </c>
      <c r="H34" s="294">
        <f t="shared" si="6"/>
        <v>51</v>
      </c>
      <c r="I34" s="290">
        <f t="shared" si="7"/>
        <v>1</v>
      </c>
      <c r="J34" s="295">
        <f>IF($E34="Yes",$B34*Assumptions!$B$9*0.95/$D34*SUMPRODUCT(($C$15:$DF$15&gt;=$C34)*($C$15:$DF$15&lt;$C34+$D34))+$B34*Assumptions!$B$9*0.05*SUMPRODUCT(--($C$15:$DF$15=$G34)),0)</f>
        <v>0</v>
      </c>
      <c r="K34" s="295">
        <f t="shared" si="8"/>
        <v>0</v>
      </c>
      <c r="L34" s="295">
        <f t="shared" si="9"/>
        <v>0</v>
      </c>
      <c r="M34" s="290">
        <f t="shared" si="10"/>
        <v>0.1</v>
      </c>
      <c r="N34" s="295">
        <f t="shared" si="11"/>
        <v>0</v>
      </c>
      <c r="O34" s="295">
        <f t="shared" si="12"/>
        <v>0</v>
      </c>
      <c r="P34" s="295">
        <f t="shared" si="13"/>
        <v>0</v>
      </c>
      <c r="Q34" s="295">
        <f t="shared" si="14"/>
        <v>0</v>
      </c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7"/>
      <c r="DB34" s="287"/>
      <c r="DC34" s="287"/>
      <c r="DD34" s="287"/>
      <c r="DE34" s="287"/>
      <c r="DF34" s="287"/>
    </row>
    <row r="35" spans="1:110" ht="15" customHeight="1" x14ac:dyDescent="0.25">
      <c r="A35" s="287" t="str">
        <f>Projects!A31</f>
        <v>BD-15</v>
      </c>
      <c r="B35" s="295">
        <f>Projects!B31</f>
        <v>18000000</v>
      </c>
      <c r="C35" s="294">
        <f>Projects!C31</f>
        <v>52</v>
      </c>
      <c r="D35" s="294">
        <f>Projects!D31</f>
        <v>19</v>
      </c>
      <c r="E35" s="287" t="str">
        <f>Projects!G31</f>
        <v>Yes</v>
      </c>
      <c r="F35" s="287" t="str">
        <f>Projects!M31</f>
        <v>No</v>
      </c>
      <c r="G35" s="294">
        <f t="shared" si="5"/>
        <v>70</v>
      </c>
      <c r="H35" s="294">
        <f t="shared" si="6"/>
        <v>53</v>
      </c>
      <c r="I35" s="290">
        <f t="shared" si="7"/>
        <v>1</v>
      </c>
      <c r="J35" s="295">
        <f>IF($E35="Yes",$B35*Assumptions!$B$9*0.95/$D35*SUMPRODUCT(($C$15:$DF$15&gt;=$C35)*($C$15:$DF$15&lt;$C35+$D35))+$B35*Assumptions!$B$9*0.05*SUMPRODUCT(--($C$15:$DF$15=$G35)),0)</f>
        <v>2167038</v>
      </c>
      <c r="K35" s="295">
        <f t="shared" ca="1" si="8"/>
        <v>1811261.5228043671</v>
      </c>
      <c r="L35" s="295">
        <f t="shared" ca="1" si="9"/>
        <v>355776.47719563288</v>
      </c>
      <c r="M35" s="290">
        <f t="shared" si="10"/>
        <v>0.1</v>
      </c>
      <c r="N35" s="295">
        <f t="shared" si="11"/>
        <v>45000</v>
      </c>
      <c r="O35" s="295">
        <f t="shared" ca="1" si="12"/>
        <v>35577.647719563291</v>
      </c>
      <c r="P35" s="295">
        <f t="shared" ca="1" si="13"/>
        <v>45000</v>
      </c>
      <c r="Q35" s="295">
        <f t="shared" ca="1" si="14"/>
        <v>0</v>
      </c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87"/>
      <c r="DB35" s="287"/>
      <c r="DC35" s="287"/>
      <c r="DD35" s="287"/>
      <c r="DE35" s="287"/>
      <c r="DF35" s="287"/>
    </row>
    <row r="36" spans="1:110" ht="15" customHeight="1" x14ac:dyDescent="0.25">
      <c r="A36" s="287" t="str">
        <f>Projects!A32</f>
        <v>BD-16</v>
      </c>
      <c r="B36" s="295">
        <f>Projects!B32</f>
        <v>15000000</v>
      </c>
      <c r="C36" s="294">
        <f>Projects!C32</f>
        <v>54</v>
      </c>
      <c r="D36" s="294">
        <f>Projects!D32</f>
        <v>19</v>
      </c>
      <c r="E36" s="287" t="str">
        <f>Projects!G32</f>
        <v>Yes</v>
      </c>
      <c r="F36" s="287" t="str">
        <f>Projects!M32</f>
        <v>No</v>
      </c>
      <c r="G36" s="294">
        <f t="shared" si="5"/>
        <v>72</v>
      </c>
      <c r="H36" s="294">
        <f t="shared" si="6"/>
        <v>55</v>
      </c>
      <c r="I36" s="290">
        <f t="shared" si="7"/>
        <v>1</v>
      </c>
      <c r="J36" s="295">
        <f>IF($E36="Yes",$B36*Assumptions!$B$9*0.95/$D36*SUMPRODUCT(($C$15:$DF$15&gt;=$C36)*($C$15:$DF$15&lt;$C36+$D36))+$B36*Assumptions!$B$9*0.05*SUMPRODUCT(--($C$15:$DF$15=$G36)),0)</f>
        <v>1805865</v>
      </c>
      <c r="K36" s="295">
        <f t="shared" ca="1" si="8"/>
        <v>1792623.9132181222</v>
      </c>
      <c r="L36" s="295">
        <f t="shared" ca="1" si="9"/>
        <v>13241.086781877792</v>
      </c>
      <c r="M36" s="290">
        <f t="shared" si="10"/>
        <v>0.1</v>
      </c>
      <c r="N36" s="295">
        <f t="shared" si="11"/>
        <v>37500</v>
      </c>
      <c r="O36" s="295">
        <f t="shared" ca="1" si="12"/>
        <v>1324.1086781877793</v>
      </c>
      <c r="P36" s="295">
        <f t="shared" ca="1" si="13"/>
        <v>37500</v>
      </c>
      <c r="Q36" s="295">
        <f t="shared" ca="1" si="14"/>
        <v>0</v>
      </c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87"/>
      <c r="DB36" s="287"/>
      <c r="DC36" s="287"/>
      <c r="DD36" s="287"/>
      <c r="DE36" s="287"/>
      <c r="DF36" s="287"/>
    </row>
    <row r="37" spans="1:110" ht="15" customHeight="1" x14ac:dyDescent="0.25">
      <c r="A37" s="287" t="str">
        <f>Projects!A33</f>
        <v>BD-17</v>
      </c>
      <c r="B37" s="295">
        <f>Projects!B33</f>
        <v>15000000</v>
      </c>
      <c r="C37" s="294">
        <f>Projects!C33</f>
        <v>56</v>
      </c>
      <c r="D37" s="294">
        <f>Projects!D33</f>
        <v>19</v>
      </c>
      <c r="E37" s="287" t="str">
        <f>Projects!G33</f>
        <v>Yes</v>
      </c>
      <c r="F37" s="287" t="str">
        <f>Projects!M33</f>
        <v>No</v>
      </c>
      <c r="G37" s="294">
        <f t="shared" si="5"/>
        <v>74</v>
      </c>
      <c r="H37" s="294">
        <f t="shared" si="6"/>
        <v>57</v>
      </c>
      <c r="I37" s="290">
        <f t="shared" si="7"/>
        <v>1</v>
      </c>
      <c r="J37" s="295">
        <f>IF($E37="Yes",$B37*Assumptions!$B$9*0.95/$D37*SUMPRODUCT(($C$15:$DF$15&gt;=$C37)*($C$15:$DF$15&lt;$C37+$D37))+$B37*Assumptions!$B$9*0.05*SUMPRODUCT(--($C$15:$DF$15=$G37)),0)</f>
        <v>1805865</v>
      </c>
      <c r="K37" s="295">
        <f t="shared" ca="1" si="8"/>
        <v>1812271.0673260873</v>
      </c>
      <c r="L37" s="295">
        <f t="shared" ca="1" si="9"/>
        <v>-6406.0673260872718</v>
      </c>
      <c r="M37" s="290">
        <f t="shared" si="10"/>
        <v>0.1</v>
      </c>
      <c r="N37" s="295">
        <f t="shared" si="11"/>
        <v>37500</v>
      </c>
      <c r="O37" s="295">
        <f t="shared" ca="1" si="12"/>
        <v>0</v>
      </c>
      <c r="P37" s="295">
        <f t="shared" ca="1" si="13"/>
        <v>37500</v>
      </c>
      <c r="Q37" s="295">
        <f t="shared" ca="1" si="14"/>
        <v>0</v>
      </c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  <c r="AY37" s="287"/>
      <c r="AZ37" s="287"/>
      <c r="BA37" s="287"/>
      <c r="BB37" s="287"/>
      <c r="BC37" s="287"/>
      <c r="BD37" s="287"/>
      <c r="BE37" s="287"/>
      <c r="BF37" s="287"/>
      <c r="BG37" s="287"/>
      <c r="BH37" s="287"/>
      <c r="BI37" s="287"/>
      <c r="BJ37" s="287"/>
      <c r="BK37" s="287"/>
      <c r="BL37" s="287"/>
      <c r="BM37" s="287"/>
      <c r="BN37" s="287"/>
      <c r="BO37" s="287"/>
      <c r="BP37" s="287"/>
      <c r="BQ37" s="287"/>
      <c r="BR37" s="287"/>
      <c r="BS37" s="287"/>
      <c r="BT37" s="287"/>
      <c r="BU37" s="287"/>
      <c r="BV37" s="287"/>
      <c r="BW37" s="287"/>
      <c r="BX37" s="287"/>
      <c r="BY37" s="287"/>
      <c r="BZ37" s="287"/>
      <c r="CA37" s="287"/>
      <c r="CB37" s="287"/>
      <c r="CC37" s="287"/>
      <c r="CD37" s="287"/>
      <c r="CE37" s="287"/>
      <c r="CF37" s="287"/>
      <c r="CG37" s="287"/>
      <c r="CH37" s="287"/>
      <c r="CI37" s="287"/>
      <c r="CJ37" s="287"/>
      <c r="CK37" s="287"/>
      <c r="CL37" s="287"/>
      <c r="CM37" s="287"/>
      <c r="CN37" s="287"/>
      <c r="CO37" s="287"/>
      <c r="CP37" s="287"/>
      <c r="CQ37" s="287"/>
      <c r="CR37" s="287"/>
      <c r="CS37" s="287"/>
      <c r="CT37" s="287"/>
      <c r="CU37" s="287"/>
      <c r="CV37" s="287"/>
      <c r="CW37" s="287"/>
      <c r="CX37" s="287"/>
      <c r="CY37" s="287"/>
      <c r="CZ37" s="287"/>
      <c r="DA37" s="287"/>
      <c r="DB37" s="287"/>
      <c r="DC37" s="287"/>
      <c r="DD37" s="287"/>
      <c r="DE37" s="287"/>
      <c r="DF37" s="287"/>
    </row>
    <row r="38" spans="1:110" ht="15" customHeight="1" x14ac:dyDescent="0.25">
      <c r="A38" s="287" t="str">
        <f>Projects!A34</f>
        <v>BD-18</v>
      </c>
      <c r="B38" s="295">
        <f>Projects!B34</f>
        <v>18000000</v>
      </c>
      <c r="C38" s="294">
        <f>Projects!C34</f>
        <v>58</v>
      </c>
      <c r="D38" s="294">
        <f>Projects!D34</f>
        <v>19</v>
      </c>
      <c r="E38" s="287" t="str">
        <f>Projects!G34</f>
        <v>Yes</v>
      </c>
      <c r="F38" s="287" t="str">
        <f>Projects!M34</f>
        <v>Yes</v>
      </c>
      <c r="G38" s="294">
        <f t="shared" si="5"/>
        <v>76</v>
      </c>
      <c r="H38" s="294">
        <f t="shared" si="6"/>
        <v>59</v>
      </c>
      <c r="I38" s="290">
        <f t="shared" si="7"/>
        <v>0.75</v>
      </c>
      <c r="J38" s="295">
        <f>IF($E38="Yes",$B38*Assumptions!$B$9*0.95/$D38*SUMPRODUCT(($C$15:$DF$15&gt;=$C38)*($C$15:$DF$15&lt;$C38+$D38))+$B38*Assumptions!$B$9*0.05*SUMPRODUCT(--($C$15:$DF$15=$G38)),0)</f>
        <v>2167038</v>
      </c>
      <c r="K38" s="295">
        <f t="shared" ca="1" si="8"/>
        <v>1817542.6787447154</v>
      </c>
      <c r="L38" s="295">
        <f t="shared" ca="1" si="9"/>
        <v>349495.32125528459</v>
      </c>
      <c r="M38" s="290">
        <f t="shared" si="10"/>
        <v>7.5000000000000011E-2</v>
      </c>
      <c r="N38" s="295">
        <f t="shared" si="11"/>
        <v>45000</v>
      </c>
      <c r="O38" s="295">
        <f t="shared" ca="1" si="12"/>
        <v>26212.149094146349</v>
      </c>
      <c r="P38" s="295">
        <f t="shared" ca="1" si="13"/>
        <v>26212.149094146349</v>
      </c>
      <c r="Q38" s="295">
        <f t="shared" ca="1" si="14"/>
        <v>-18787.850905853651</v>
      </c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  <c r="AY38" s="287"/>
      <c r="AZ38" s="287"/>
      <c r="BA38" s="287"/>
      <c r="BB38" s="287"/>
      <c r="BC38" s="287"/>
      <c r="BD38" s="287"/>
      <c r="BE38" s="287"/>
      <c r="BF38" s="287"/>
      <c r="BG38" s="287"/>
      <c r="BH38" s="287"/>
      <c r="BI38" s="287"/>
      <c r="BJ38" s="287"/>
      <c r="BK38" s="287"/>
      <c r="BL38" s="287"/>
      <c r="BM38" s="287"/>
      <c r="BN38" s="287"/>
      <c r="BO38" s="287"/>
      <c r="BP38" s="287"/>
      <c r="BQ38" s="287"/>
      <c r="BR38" s="287"/>
      <c r="BS38" s="287"/>
      <c r="BT38" s="287"/>
      <c r="BU38" s="287"/>
      <c r="BV38" s="287"/>
      <c r="BW38" s="287"/>
      <c r="BX38" s="287"/>
      <c r="BY38" s="287"/>
      <c r="BZ38" s="287"/>
      <c r="CA38" s="287"/>
      <c r="CB38" s="287"/>
      <c r="CC38" s="287"/>
      <c r="CD38" s="287"/>
      <c r="CE38" s="287"/>
      <c r="CF38" s="287"/>
      <c r="CG38" s="287"/>
      <c r="CH38" s="287"/>
      <c r="CI38" s="287"/>
      <c r="CJ38" s="287"/>
      <c r="CK38" s="287"/>
      <c r="CL38" s="287"/>
      <c r="CM38" s="287"/>
      <c r="CN38" s="287"/>
      <c r="CO38" s="287"/>
      <c r="CP38" s="287"/>
      <c r="CQ38" s="287"/>
      <c r="CR38" s="287"/>
      <c r="CS38" s="287"/>
      <c r="CT38" s="287"/>
      <c r="CU38" s="287"/>
      <c r="CV38" s="287"/>
      <c r="CW38" s="287"/>
      <c r="CX38" s="287"/>
      <c r="CY38" s="287"/>
      <c r="CZ38" s="287"/>
      <c r="DA38" s="287"/>
      <c r="DB38" s="287"/>
      <c r="DC38" s="287"/>
      <c r="DD38" s="287"/>
      <c r="DE38" s="287"/>
      <c r="DF38" s="287"/>
    </row>
    <row r="39" spans="1:110" ht="15" customHeight="1" x14ac:dyDescent="0.25">
      <c r="A39" s="287" t="str">
        <f>Projects!A35</f>
        <v>BD-19</v>
      </c>
      <c r="B39" s="295">
        <f>Projects!B35</f>
        <v>15000000</v>
      </c>
      <c r="C39" s="294">
        <f>Projects!C35</f>
        <v>60</v>
      </c>
      <c r="D39" s="294">
        <f>Projects!D35</f>
        <v>19</v>
      </c>
      <c r="E39" s="287" t="str">
        <f>Projects!G35</f>
        <v>Yes</v>
      </c>
      <c r="F39" s="287" t="str">
        <f>Projects!M35</f>
        <v>No</v>
      </c>
      <c r="G39" s="294">
        <f t="shared" si="5"/>
        <v>78</v>
      </c>
      <c r="H39" s="294">
        <f t="shared" si="6"/>
        <v>61</v>
      </c>
      <c r="I39" s="290">
        <f t="shared" si="7"/>
        <v>1</v>
      </c>
      <c r="J39" s="295">
        <f>IF($E39="Yes",$B39*Assumptions!$B$9*0.95/$D39*SUMPRODUCT(($C$15:$DF$15&gt;=$C39)*($C$15:$DF$15&lt;$C39+$D39))+$B39*Assumptions!$B$9*0.05*SUMPRODUCT(--($C$15:$DF$15=$G39)),0)</f>
        <v>1805865</v>
      </c>
      <c r="K39" s="295">
        <f t="shared" ca="1" si="8"/>
        <v>1822945.5986476522</v>
      </c>
      <c r="L39" s="295">
        <f t="shared" ca="1" si="9"/>
        <v>-17080.598647652194</v>
      </c>
      <c r="M39" s="290">
        <f t="shared" si="10"/>
        <v>0.1</v>
      </c>
      <c r="N39" s="295">
        <f t="shared" si="11"/>
        <v>37500</v>
      </c>
      <c r="O39" s="295">
        <f t="shared" ca="1" si="12"/>
        <v>0</v>
      </c>
      <c r="P39" s="295">
        <f t="shared" ca="1" si="13"/>
        <v>37500</v>
      </c>
      <c r="Q39" s="295">
        <f t="shared" ca="1" si="14"/>
        <v>0</v>
      </c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  <c r="AY39" s="287"/>
      <c r="AZ39" s="287"/>
      <c r="BA39" s="287"/>
      <c r="BB39" s="287"/>
      <c r="BC39" s="287"/>
      <c r="BD39" s="287"/>
      <c r="BE39" s="287"/>
      <c r="BF39" s="287"/>
      <c r="BG39" s="287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7"/>
      <c r="CI39" s="287"/>
      <c r="CJ39" s="287"/>
      <c r="CK39" s="287"/>
      <c r="CL39" s="287"/>
      <c r="CM39" s="287"/>
      <c r="CN39" s="287"/>
      <c r="CO39" s="287"/>
      <c r="CP39" s="287"/>
      <c r="CQ39" s="287"/>
      <c r="CR39" s="287"/>
      <c r="CS39" s="287"/>
      <c r="CT39" s="287"/>
      <c r="CU39" s="287"/>
      <c r="CV39" s="287"/>
      <c r="CW39" s="287"/>
      <c r="CX39" s="287"/>
      <c r="CY39" s="287"/>
      <c r="CZ39" s="287"/>
      <c r="DA39" s="287"/>
      <c r="DB39" s="287"/>
      <c r="DC39" s="287"/>
      <c r="DD39" s="287"/>
      <c r="DE39" s="287"/>
      <c r="DF39" s="287"/>
    </row>
    <row r="40" spans="1:110" ht="15" customHeight="1" x14ac:dyDescent="0.25">
      <c r="A40" s="287" t="str">
        <f>Projects!A36</f>
        <v>BD-20</v>
      </c>
      <c r="B40" s="295">
        <f>Projects!B36</f>
        <v>18000000</v>
      </c>
      <c r="C40" s="294">
        <f>Projects!C36</f>
        <v>62</v>
      </c>
      <c r="D40" s="294">
        <f>Projects!D36</f>
        <v>19</v>
      </c>
      <c r="E40" s="287" t="str">
        <f>Projects!G36</f>
        <v>Yes</v>
      </c>
      <c r="F40" s="287" t="str">
        <f>Projects!M36</f>
        <v>No</v>
      </c>
      <c r="G40" s="294">
        <f t="shared" si="5"/>
        <v>80</v>
      </c>
      <c r="H40" s="294">
        <f t="shared" si="6"/>
        <v>63</v>
      </c>
      <c r="I40" s="290">
        <f t="shared" si="7"/>
        <v>1</v>
      </c>
      <c r="J40" s="295">
        <f>IF($E40="Yes",$B40*Assumptions!$B$9*0.95/$D40*SUMPRODUCT(($C$15:$DF$15&gt;=$C40)*($C$15:$DF$15&lt;$C40+$D40))+$B40*Assumptions!$B$9*0.05*SUMPRODUCT(--($C$15:$DF$15=$G40)),0)</f>
        <v>2167038</v>
      </c>
      <c r="K40" s="295">
        <f t="shared" ca="1" si="8"/>
        <v>1848539.4404462257</v>
      </c>
      <c r="L40" s="295">
        <f t="shared" ca="1" si="9"/>
        <v>318498.55955377431</v>
      </c>
      <c r="M40" s="290">
        <f t="shared" si="10"/>
        <v>0.1</v>
      </c>
      <c r="N40" s="295">
        <f t="shared" si="11"/>
        <v>45000</v>
      </c>
      <c r="O40" s="295">
        <f t="shared" ca="1" si="12"/>
        <v>31849.855955377432</v>
      </c>
      <c r="P40" s="295">
        <f t="shared" ca="1" si="13"/>
        <v>45000</v>
      </c>
      <c r="Q40" s="295">
        <f t="shared" ca="1" si="14"/>
        <v>0</v>
      </c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  <c r="AY40" s="287"/>
      <c r="AZ40" s="287"/>
      <c r="BA40" s="287"/>
      <c r="BB40" s="287"/>
      <c r="BC40" s="287"/>
      <c r="BD40" s="287"/>
      <c r="BE40" s="287"/>
      <c r="BF40" s="287"/>
      <c r="BG40" s="287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7"/>
      <c r="CI40" s="287"/>
      <c r="CJ40" s="287"/>
      <c r="CK40" s="287"/>
      <c r="CL40" s="287"/>
      <c r="CM40" s="287"/>
      <c r="CN40" s="287"/>
      <c r="CO40" s="287"/>
      <c r="CP40" s="287"/>
      <c r="CQ40" s="287"/>
      <c r="CR40" s="287"/>
      <c r="CS40" s="287"/>
      <c r="CT40" s="287"/>
      <c r="CU40" s="287"/>
      <c r="CV40" s="287"/>
      <c r="CW40" s="287"/>
      <c r="CX40" s="287"/>
      <c r="CY40" s="287"/>
      <c r="CZ40" s="287"/>
      <c r="DA40" s="287"/>
      <c r="DB40" s="287"/>
      <c r="DC40" s="287"/>
      <c r="DD40" s="287"/>
      <c r="DE40" s="287"/>
      <c r="DF40" s="287"/>
    </row>
    <row r="41" spans="1:110" ht="15" customHeight="1" x14ac:dyDescent="0.25">
      <c r="A41" s="287" t="str">
        <f>Projects!A37</f>
        <v>BD-21</v>
      </c>
      <c r="B41" s="295">
        <f>Projects!B37</f>
        <v>15000000</v>
      </c>
      <c r="C41" s="294">
        <f>Projects!C37</f>
        <v>64</v>
      </c>
      <c r="D41" s="294">
        <f>Projects!D37</f>
        <v>19</v>
      </c>
      <c r="E41" s="287" t="str">
        <f>Projects!G37</f>
        <v>No</v>
      </c>
      <c r="F41" s="287" t="str">
        <f>Projects!M37</f>
        <v>No</v>
      </c>
      <c r="G41" s="294">
        <f t="shared" si="5"/>
        <v>82</v>
      </c>
      <c r="H41" s="294">
        <f t="shared" si="6"/>
        <v>65</v>
      </c>
      <c r="I41" s="290">
        <f t="shared" si="7"/>
        <v>1</v>
      </c>
      <c r="J41" s="295">
        <f>IF($E41="Yes",$B41*Assumptions!$B$9*0.95/$D41*SUMPRODUCT(($C$15:$DF$15&gt;=$C41)*($C$15:$DF$15&lt;$C41+$D41))+$B41*Assumptions!$B$9*0.05*SUMPRODUCT(--($C$15:$DF$15=$G41)),0)</f>
        <v>0</v>
      </c>
      <c r="K41" s="295">
        <f t="shared" si="8"/>
        <v>0</v>
      </c>
      <c r="L41" s="295">
        <f t="shared" si="9"/>
        <v>0</v>
      </c>
      <c r="M41" s="290">
        <f t="shared" si="10"/>
        <v>0.1</v>
      </c>
      <c r="N41" s="295">
        <f t="shared" si="11"/>
        <v>0</v>
      </c>
      <c r="O41" s="295">
        <f t="shared" si="12"/>
        <v>0</v>
      </c>
      <c r="P41" s="295">
        <f t="shared" si="13"/>
        <v>0</v>
      </c>
      <c r="Q41" s="295">
        <f t="shared" si="14"/>
        <v>0</v>
      </c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287"/>
      <c r="BC41" s="287"/>
      <c r="BD41" s="287"/>
      <c r="BE41" s="287"/>
      <c r="BF41" s="287"/>
      <c r="BG41" s="287"/>
      <c r="BH41" s="287"/>
      <c r="BI41" s="287"/>
      <c r="BJ41" s="287"/>
      <c r="BK41" s="287"/>
      <c r="BL41" s="287"/>
      <c r="BM41" s="287"/>
      <c r="BN41" s="287"/>
      <c r="BO41" s="287"/>
      <c r="BP41" s="287"/>
      <c r="BQ41" s="287"/>
      <c r="BR41" s="287"/>
      <c r="BS41" s="287"/>
      <c r="BT41" s="287"/>
      <c r="BU41" s="287"/>
      <c r="BV41" s="287"/>
      <c r="BW41" s="287"/>
      <c r="BX41" s="287"/>
      <c r="BY41" s="287"/>
      <c r="BZ41" s="287"/>
      <c r="CA41" s="287"/>
      <c r="CB41" s="287"/>
      <c r="CC41" s="287"/>
      <c r="CD41" s="287"/>
      <c r="CE41" s="287"/>
      <c r="CF41" s="287"/>
      <c r="CG41" s="287"/>
      <c r="CH41" s="287"/>
      <c r="CI41" s="287"/>
      <c r="CJ41" s="287"/>
      <c r="CK41" s="287"/>
      <c r="CL41" s="287"/>
      <c r="CM41" s="287"/>
      <c r="CN41" s="287"/>
      <c r="CO41" s="287"/>
      <c r="CP41" s="287"/>
      <c r="CQ41" s="287"/>
      <c r="CR41" s="287"/>
      <c r="CS41" s="287"/>
      <c r="CT41" s="287"/>
      <c r="CU41" s="287"/>
      <c r="CV41" s="287"/>
      <c r="CW41" s="287"/>
      <c r="CX41" s="287"/>
      <c r="CY41" s="287"/>
      <c r="CZ41" s="287"/>
      <c r="DA41" s="287"/>
      <c r="DB41" s="287"/>
      <c r="DC41" s="287"/>
      <c r="DD41" s="287"/>
      <c r="DE41" s="287"/>
      <c r="DF41" s="287"/>
    </row>
    <row r="42" spans="1:110" ht="15" customHeight="1" x14ac:dyDescent="0.25">
      <c r="A42" s="287" t="str">
        <f>Projects!A38</f>
        <v>BD-22</v>
      </c>
      <c r="B42" s="295">
        <f>Projects!B38</f>
        <v>15000000</v>
      </c>
      <c r="C42" s="294">
        <f>Projects!C38</f>
        <v>66</v>
      </c>
      <c r="D42" s="294">
        <f>Projects!D38</f>
        <v>19</v>
      </c>
      <c r="E42" s="287" t="str">
        <f>Projects!G38</f>
        <v>No</v>
      </c>
      <c r="F42" s="287" t="str">
        <f>Projects!M38</f>
        <v>No</v>
      </c>
      <c r="G42" s="294">
        <f t="shared" si="5"/>
        <v>84</v>
      </c>
      <c r="H42" s="294">
        <f t="shared" si="6"/>
        <v>67</v>
      </c>
      <c r="I42" s="290">
        <f t="shared" si="7"/>
        <v>1</v>
      </c>
      <c r="J42" s="295">
        <f>IF($E42="Yes",$B42*Assumptions!$B$9*0.95/$D42*SUMPRODUCT(($C$15:$DF$15&gt;=$C42)*($C$15:$DF$15&lt;$C42+$D42))+$B42*Assumptions!$B$9*0.05*SUMPRODUCT(--($C$15:$DF$15=$G42)),0)</f>
        <v>0</v>
      </c>
      <c r="K42" s="295">
        <f t="shared" si="8"/>
        <v>0</v>
      </c>
      <c r="L42" s="295">
        <f t="shared" si="9"/>
        <v>0</v>
      </c>
      <c r="M42" s="290">
        <f t="shared" si="10"/>
        <v>0.1</v>
      </c>
      <c r="N42" s="295">
        <f t="shared" si="11"/>
        <v>0</v>
      </c>
      <c r="O42" s="295">
        <f t="shared" si="12"/>
        <v>0</v>
      </c>
      <c r="P42" s="295">
        <f t="shared" si="13"/>
        <v>0</v>
      </c>
      <c r="Q42" s="295">
        <f t="shared" si="14"/>
        <v>0</v>
      </c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287"/>
      <c r="BC42" s="287"/>
      <c r="BD42" s="287"/>
      <c r="BE42" s="287"/>
      <c r="BF42" s="287"/>
      <c r="BG42" s="287"/>
      <c r="BH42" s="287"/>
      <c r="BI42" s="287"/>
      <c r="BJ42" s="287"/>
      <c r="BK42" s="287"/>
      <c r="BL42" s="287"/>
      <c r="BM42" s="287"/>
      <c r="BN42" s="287"/>
      <c r="BO42" s="287"/>
      <c r="BP42" s="287"/>
      <c r="BQ42" s="287"/>
      <c r="BR42" s="287"/>
      <c r="BS42" s="287"/>
      <c r="BT42" s="287"/>
      <c r="BU42" s="287"/>
      <c r="BV42" s="287"/>
      <c r="BW42" s="287"/>
      <c r="BX42" s="287"/>
      <c r="BY42" s="287"/>
      <c r="BZ42" s="287"/>
      <c r="CA42" s="287"/>
      <c r="CB42" s="287"/>
      <c r="CC42" s="287"/>
      <c r="CD42" s="287"/>
      <c r="CE42" s="287"/>
      <c r="CF42" s="287"/>
      <c r="CG42" s="287"/>
      <c r="CH42" s="287"/>
      <c r="CI42" s="287"/>
      <c r="CJ42" s="287"/>
      <c r="CK42" s="287"/>
      <c r="CL42" s="287"/>
      <c r="CM42" s="287"/>
      <c r="CN42" s="287"/>
      <c r="CO42" s="287"/>
      <c r="CP42" s="287"/>
      <c r="CQ42" s="287"/>
      <c r="CR42" s="287"/>
      <c r="CS42" s="287"/>
      <c r="CT42" s="287"/>
      <c r="CU42" s="287"/>
      <c r="CV42" s="287"/>
      <c r="CW42" s="287"/>
      <c r="CX42" s="287"/>
      <c r="CY42" s="287"/>
      <c r="CZ42" s="287"/>
      <c r="DA42" s="287"/>
      <c r="DB42" s="287"/>
      <c r="DC42" s="287"/>
      <c r="DD42" s="287"/>
      <c r="DE42" s="287"/>
      <c r="DF42" s="287"/>
    </row>
    <row r="43" spans="1:110" ht="15" customHeight="1" x14ac:dyDescent="0.25">
      <c r="A43" s="287" t="str">
        <f>Projects!A39</f>
        <v>BD-23</v>
      </c>
      <c r="B43" s="295">
        <f>Projects!B39</f>
        <v>18000000</v>
      </c>
      <c r="C43" s="294">
        <f>Projects!C39</f>
        <v>68</v>
      </c>
      <c r="D43" s="294">
        <f>Projects!D39</f>
        <v>19</v>
      </c>
      <c r="E43" s="287" t="str">
        <f>Projects!G39</f>
        <v>Yes</v>
      </c>
      <c r="F43" s="287" t="str">
        <f>Projects!M39</f>
        <v>No</v>
      </c>
      <c r="G43" s="294">
        <f t="shared" si="5"/>
        <v>86</v>
      </c>
      <c r="H43" s="294">
        <f t="shared" si="6"/>
        <v>69</v>
      </c>
      <c r="I43" s="290">
        <f t="shared" si="7"/>
        <v>1</v>
      </c>
      <c r="J43" s="295">
        <f>IF($E43="Yes",$B43*Assumptions!$B$9*0.95/$D43*SUMPRODUCT(($C$15:$DF$15&gt;=$C43)*($C$15:$DF$15&lt;$C43+$D43))+$B43*Assumptions!$B$9*0.05*SUMPRODUCT(--($C$15:$DF$15=$G43)),0)</f>
        <v>2167038</v>
      </c>
      <c r="K43" s="295">
        <f t="shared" ca="1" si="8"/>
        <v>1958667.1045072025</v>
      </c>
      <c r="L43" s="295">
        <f t="shared" ca="1" si="9"/>
        <v>208370.89549279748</v>
      </c>
      <c r="M43" s="290">
        <f t="shared" si="10"/>
        <v>0.1</v>
      </c>
      <c r="N43" s="295">
        <f t="shared" si="11"/>
        <v>45000</v>
      </c>
      <c r="O43" s="295">
        <f t="shared" ca="1" si="12"/>
        <v>20837.08954927975</v>
      </c>
      <c r="P43" s="295">
        <f t="shared" ca="1" si="13"/>
        <v>45000</v>
      </c>
      <c r="Q43" s="295">
        <f t="shared" ca="1" si="14"/>
        <v>0</v>
      </c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287"/>
      <c r="BC43" s="287"/>
      <c r="BD43" s="287"/>
      <c r="BE43" s="287"/>
      <c r="BF43" s="287"/>
      <c r="BG43" s="287"/>
      <c r="BH43" s="287"/>
      <c r="BI43" s="287"/>
      <c r="BJ43" s="287"/>
      <c r="BK43" s="287"/>
      <c r="BL43" s="287"/>
      <c r="BM43" s="287"/>
      <c r="BN43" s="287"/>
      <c r="BO43" s="287"/>
      <c r="BP43" s="287"/>
      <c r="BQ43" s="287"/>
      <c r="BR43" s="287"/>
      <c r="BS43" s="287"/>
      <c r="BT43" s="287"/>
      <c r="BU43" s="287"/>
      <c r="BV43" s="287"/>
      <c r="BW43" s="287"/>
      <c r="BX43" s="287"/>
      <c r="BY43" s="287"/>
      <c r="BZ43" s="287"/>
      <c r="CA43" s="287"/>
      <c r="CB43" s="287"/>
      <c r="CC43" s="287"/>
      <c r="CD43" s="287"/>
      <c r="CE43" s="287"/>
      <c r="CF43" s="287"/>
      <c r="CG43" s="287"/>
      <c r="CH43" s="287"/>
      <c r="CI43" s="287"/>
      <c r="CJ43" s="287"/>
      <c r="CK43" s="287"/>
      <c r="CL43" s="287"/>
      <c r="CM43" s="287"/>
      <c r="CN43" s="287"/>
      <c r="CO43" s="287"/>
      <c r="CP43" s="287"/>
      <c r="CQ43" s="287"/>
      <c r="CR43" s="287"/>
      <c r="CS43" s="287"/>
      <c r="CT43" s="287"/>
      <c r="CU43" s="287"/>
      <c r="CV43" s="287"/>
      <c r="CW43" s="287"/>
      <c r="CX43" s="287"/>
      <c r="CY43" s="287"/>
      <c r="CZ43" s="287"/>
      <c r="DA43" s="287"/>
      <c r="DB43" s="287"/>
      <c r="DC43" s="287"/>
      <c r="DD43" s="287"/>
      <c r="DE43" s="287"/>
      <c r="DF43" s="287"/>
    </row>
    <row r="44" spans="1:110" ht="15" customHeight="1" x14ac:dyDescent="0.25">
      <c r="A44" s="287" t="str">
        <f>Projects!A40</f>
        <v>BD-24</v>
      </c>
      <c r="B44" s="295">
        <f>Projects!B40</f>
        <v>15000000</v>
      </c>
      <c r="C44" s="294">
        <f>Projects!C40</f>
        <v>70</v>
      </c>
      <c r="D44" s="294">
        <f>Projects!D40</f>
        <v>19</v>
      </c>
      <c r="E44" s="287" t="str">
        <f>Projects!G40</f>
        <v>No</v>
      </c>
      <c r="F44" s="287" t="str">
        <f>Projects!M40</f>
        <v>Yes</v>
      </c>
      <c r="G44" s="294">
        <f t="shared" si="5"/>
        <v>88</v>
      </c>
      <c r="H44" s="294">
        <f t="shared" si="6"/>
        <v>71</v>
      </c>
      <c r="I44" s="290">
        <f t="shared" si="7"/>
        <v>0.75</v>
      </c>
      <c r="J44" s="295">
        <f>IF($E44="Yes",$B44*Assumptions!$B$9*0.95/$D44*SUMPRODUCT(($C$15:$DF$15&gt;=$C44)*($C$15:$DF$15&lt;$C44+$D44))+$B44*Assumptions!$B$9*0.05*SUMPRODUCT(--($C$15:$DF$15=$G44)),0)</f>
        <v>0</v>
      </c>
      <c r="K44" s="295">
        <f t="shared" si="8"/>
        <v>0</v>
      </c>
      <c r="L44" s="295">
        <f t="shared" si="9"/>
        <v>0</v>
      </c>
      <c r="M44" s="290">
        <f t="shared" si="10"/>
        <v>7.5000000000000011E-2</v>
      </c>
      <c r="N44" s="295">
        <f t="shared" si="11"/>
        <v>0</v>
      </c>
      <c r="O44" s="295">
        <f t="shared" si="12"/>
        <v>0</v>
      </c>
      <c r="P44" s="295">
        <f t="shared" si="13"/>
        <v>0</v>
      </c>
      <c r="Q44" s="295">
        <f t="shared" si="14"/>
        <v>0</v>
      </c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287"/>
      <c r="BC44" s="287"/>
      <c r="BD44" s="287"/>
      <c r="BE44" s="287"/>
      <c r="BF44" s="287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287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  <c r="CF44" s="287"/>
      <c r="CG44" s="287"/>
      <c r="CH44" s="287"/>
      <c r="CI44" s="287"/>
      <c r="CJ44" s="287"/>
      <c r="CK44" s="287"/>
      <c r="CL44" s="287"/>
      <c r="CM44" s="287"/>
      <c r="CN44" s="287"/>
      <c r="CO44" s="287"/>
      <c r="CP44" s="287"/>
      <c r="CQ44" s="287"/>
      <c r="CR44" s="287"/>
      <c r="CS44" s="287"/>
      <c r="CT44" s="287"/>
      <c r="CU44" s="287"/>
      <c r="CV44" s="287"/>
      <c r="CW44" s="287"/>
      <c r="CX44" s="287"/>
      <c r="CY44" s="287"/>
      <c r="CZ44" s="287"/>
      <c r="DA44" s="287"/>
      <c r="DB44" s="287"/>
      <c r="DC44" s="287"/>
      <c r="DD44" s="287"/>
      <c r="DE44" s="287"/>
      <c r="DF44" s="287"/>
    </row>
    <row r="45" spans="1:110" ht="15" customHeight="1" x14ac:dyDescent="0.25">
      <c r="A45" s="287" t="str">
        <f>Projects!A41</f>
        <v>BD-25</v>
      </c>
      <c r="B45" s="295">
        <f>Projects!B41</f>
        <v>15000000</v>
      </c>
      <c r="C45" s="294">
        <f>Projects!C41</f>
        <v>72</v>
      </c>
      <c r="D45" s="294">
        <f>Projects!D41</f>
        <v>19</v>
      </c>
      <c r="E45" s="287" t="str">
        <f>Projects!G41</f>
        <v>No</v>
      </c>
      <c r="F45" s="287" t="str">
        <f>Projects!M41</f>
        <v>No</v>
      </c>
      <c r="G45" s="294">
        <f t="shared" si="5"/>
        <v>90</v>
      </c>
      <c r="H45" s="294">
        <f t="shared" si="6"/>
        <v>73</v>
      </c>
      <c r="I45" s="290">
        <f t="shared" si="7"/>
        <v>1</v>
      </c>
      <c r="J45" s="295">
        <f>IF($E45="Yes",$B45*Assumptions!$B$9*0.95/$D45*SUMPRODUCT(($C$15:$DF$15&gt;=$C45)*($C$15:$DF$15&lt;$C45+$D45))+$B45*Assumptions!$B$9*0.05*SUMPRODUCT(--($C$15:$DF$15=$G45)),0)</f>
        <v>0</v>
      </c>
      <c r="K45" s="295">
        <f t="shared" si="8"/>
        <v>0</v>
      </c>
      <c r="L45" s="295">
        <f t="shared" si="9"/>
        <v>0</v>
      </c>
      <c r="M45" s="290">
        <f t="shared" si="10"/>
        <v>0.1</v>
      </c>
      <c r="N45" s="295">
        <f t="shared" si="11"/>
        <v>0</v>
      </c>
      <c r="O45" s="295">
        <f t="shared" si="12"/>
        <v>0</v>
      </c>
      <c r="P45" s="295">
        <f t="shared" si="13"/>
        <v>0</v>
      </c>
      <c r="Q45" s="295">
        <f t="shared" si="14"/>
        <v>0</v>
      </c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287"/>
      <c r="BC45" s="287"/>
      <c r="BD45" s="287"/>
      <c r="BE45" s="287"/>
      <c r="BF45" s="287"/>
      <c r="BG45" s="287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287"/>
      <c r="BS45" s="287"/>
      <c r="BT45" s="287"/>
      <c r="BU45" s="287"/>
      <c r="BV45" s="287"/>
      <c r="BW45" s="287"/>
      <c r="BX45" s="287"/>
      <c r="BY45" s="287"/>
      <c r="BZ45" s="287"/>
      <c r="CA45" s="287"/>
      <c r="CB45" s="287"/>
      <c r="CC45" s="287"/>
      <c r="CD45" s="287"/>
      <c r="CE45" s="287"/>
      <c r="CF45" s="287"/>
      <c r="CG45" s="287"/>
      <c r="CH45" s="287"/>
      <c r="CI45" s="287"/>
      <c r="CJ45" s="287"/>
      <c r="CK45" s="287"/>
      <c r="CL45" s="287"/>
      <c r="CM45" s="287"/>
      <c r="CN45" s="287"/>
      <c r="CO45" s="287"/>
      <c r="CP45" s="287"/>
      <c r="CQ45" s="287"/>
      <c r="CR45" s="287"/>
      <c r="CS45" s="287"/>
      <c r="CT45" s="287"/>
      <c r="CU45" s="287"/>
      <c r="CV45" s="287"/>
      <c r="CW45" s="287"/>
      <c r="CX45" s="287"/>
      <c r="CY45" s="287"/>
      <c r="CZ45" s="287"/>
      <c r="DA45" s="287"/>
      <c r="DB45" s="287"/>
      <c r="DC45" s="287"/>
      <c r="DD45" s="287"/>
      <c r="DE45" s="287"/>
      <c r="DF45" s="287"/>
    </row>
    <row r="46" spans="1:110" ht="15" customHeight="1" x14ac:dyDescent="0.25">
      <c r="A46" s="287" t="str">
        <f>Projects!A42</f>
        <v>BD-26</v>
      </c>
      <c r="B46" s="295">
        <f>Projects!B42</f>
        <v>18000000</v>
      </c>
      <c r="C46" s="294">
        <f>Projects!C42</f>
        <v>74</v>
      </c>
      <c r="D46" s="294">
        <f>Projects!D42</f>
        <v>19</v>
      </c>
      <c r="E46" s="287" t="str">
        <f>Projects!G42</f>
        <v>Yes</v>
      </c>
      <c r="F46" s="287" t="str">
        <f>Projects!M42</f>
        <v>No</v>
      </c>
      <c r="G46" s="294">
        <f t="shared" si="5"/>
        <v>92</v>
      </c>
      <c r="H46" s="294">
        <f t="shared" si="6"/>
        <v>75</v>
      </c>
      <c r="I46" s="290">
        <f t="shared" si="7"/>
        <v>1</v>
      </c>
      <c r="J46" s="295">
        <f>IF($E46="Yes",$B46*Assumptions!$B$9*0.95/$D46*SUMPRODUCT(($C$15:$DF$15&gt;=$C46)*($C$15:$DF$15&lt;$C46+$D46))+$B46*Assumptions!$B$9*0.05*SUMPRODUCT(--($C$15:$DF$15=$G46)),0)</f>
        <v>2167038</v>
      </c>
      <c r="K46" s="295">
        <f t="shared" ca="1" si="8"/>
        <v>2111272.5995736183</v>
      </c>
      <c r="L46" s="295">
        <f t="shared" ca="1" si="9"/>
        <v>55765.400426381733</v>
      </c>
      <c r="M46" s="290">
        <f t="shared" si="10"/>
        <v>0.1</v>
      </c>
      <c r="N46" s="295">
        <f t="shared" si="11"/>
        <v>45000</v>
      </c>
      <c r="O46" s="295">
        <f t="shared" ca="1" si="12"/>
        <v>5576.5400426381739</v>
      </c>
      <c r="P46" s="295">
        <f t="shared" ca="1" si="13"/>
        <v>45000</v>
      </c>
      <c r="Q46" s="295">
        <f t="shared" ca="1" si="14"/>
        <v>0</v>
      </c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  <c r="AY46" s="287"/>
      <c r="AZ46" s="287"/>
      <c r="BA46" s="287"/>
      <c r="BB46" s="287"/>
      <c r="BC46" s="287"/>
      <c r="BD46" s="287"/>
      <c r="BE46" s="287"/>
      <c r="BF46" s="287"/>
      <c r="BG46" s="287"/>
      <c r="BH46" s="287"/>
      <c r="BI46" s="287"/>
      <c r="BJ46" s="287"/>
      <c r="BK46" s="287"/>
      <c r="BL46" s="287"/>
      <c r="BM46" s="287"/>
      <c r="BN46" s="287"/>
      <c r="BO46" s="287"/>
      <c r="BP46" s="287"/>
      <c r="BQ46" s="287"/>
      <c r="BR46" s="287"/>
      <c r="BS46" s="287"/>
      <c r="BT46" s="287"/>
      <c r="BU46" s="287"/>
      <c r="BV46" s="287"/>
      <c r="BW46" s="287"/>
      <c r="BX46" s="287"/>
      <c r="BY46" s="287"/>
      <c r="BZ46" s="287"/>
      <c r="CA46" s="287"/>
      <c r="CB46" s="287"/>
      <c r="CC46" s="287"/>
      <c r="CD46" s="287"/>
      <c r="CE46" s="287"/>
      <c r="CF46" s="287"/>
      <c r="CG46" s="287"/>
      <c r="CH46" s="287"/>
      <c r="CI46" s="287"/>
      <c r="CJ46" s="287"/>
      <c r="CK46" s="287"/>
      <c r="CL46" s="287"/>
      <c r="CM46" s="287"/>
      <c r="CN46" s="287"/>
      <c r="CO46" s="287"/>
      <c r="CP46" s="287"/>
      <c r="CQ46" s="287"/>
      <c r="CR46" s="287"/>
      <c r="CS46" s="287"/>
      <c r="CT46" s="287"/>
      <c r="CU46" s="287"/>
      <c r="CV46" s="287"/>
      <c r="CW46" s="287"/>
      <c r="CX46" s="287"/>
      <c r="CY46" s="287"/>
      <c r="CZ46" s="287"/>
      <c r="DA46" s="287"/>
      <c r="DB46" s="287"/>
      <c r="DC46" s="287"/>
      <c r="DD46" s="287"/>
      <c r="DE46" s="287"/>
      <c r="DF46" s="287"/>
    </row>
    <row r="47" spans="1:110" ht="15" customHeight="1" x14ac:dyDescent="0.25">
      <c r="A47" s="287" t="str">
        <f>Projects!A43</f>
        <v>BD-27</v>
      </c>
      <c r="B47" s="295">
        <f>Projects!B43</f>
        <v>15000000</v>
      </c>
      <c r="C47" s="294">
        <f>Projects!C43</f>
        <v>76</v>
      </c>
      <c r="D47" s="294">
        <f>Projects!D43</f>
        <v>19</v>
      </c>
      <c r="E47" s="287" t="str">
        <f>Projects!G43</f>
        <v>Yes</v>
      </c>
      <c r="F47" s="287" t="str">
        <f>Projects!M43</f>
        <v>No</v>
      </c>
      <c r="G47" s="294">
        <f t="shared" si="5"/>
        <v>94</v>
      </c>
      <c r="H47" s="294">
        <f t="shared" si="6"/>
        <v>77</v>
      </c>
      <c r="I47" s="290">
        <f t="shared" si="7"/>
        <v>1</v>
      </c>
      <c r="J47" s="295">
        <f>IF($E47="Yes",$B47*Assumptions!$B$9*0.95/$D47*SUMPRODUCT(($C$15:$DF$15&gt;=$C47)*($C$15:$DF$15&lt;$C47+$D47))+$B47*Assumptions!$B$9*0.05*SUMPRODUCT(--($C$15:$DF$15=$G47)),0)</f>
        <v>1805865</v>
      </c>
      <c r="K47" s="295">
        <f t="shared" ca="1" si="8"/>
        <v>2171302.8621239448</v>
      </c>
      <c r="L47" s="295">
        <f t="shared" ca="1" si="9"/>
        <v>-365437.8621239448</v>
      </c>
      <c r="M47" s="290">
        <f t="shared" si="10"/>
        <v>0.1</v>
      </c>
      <c r="N47" s="295">
        <f t="shared" si="11"/>
        <v>37500</v>
      </c>
      <c r="O47" s="295">
        <f t="shared" ca="1" si="12"/>
        <v>0</v>
      </c>
      <c r="P47" s="295">
        <f t="shared" ca="1" si="13"/>
        <v>37500</v>
      </c>
      <c r="Q47" s="295">
        <f t="shared" ca="1" si="14"/>
        <v>0</v>
      </c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  <c r="AY47" s="287"/>
      <c r="AZ47" s="287"/>
      <c r="BA47" s="287"/>
      <c r="BB47" s="287"/>
      <c r="BC47" s="287"/>
      <c r="BD47" s="287"/>
      <c r="BE47" s="287"/>
      <c r="BF47" s="287"/>
      <c r="BG47" s="287"/>
      <c r="BH47" s="287"/>
      <c r="BI47" s="287"/>
      <c r="BJ47" s="287"/>
      <c r="BK47" s="287"/>
      <c r="BL47" s="287"/>
      <c r="BM47" s="287"/>
      <c r="BN47" s="287"/>
      <c r="BO47" s="287"/>
      <c r="BP47" s="287"/>
      <c r="BQ47" s="287"/>
      <c r="BR47" s="287"/>
      <c r="BS47" s="287"/>
      <c r="BT47" s="287"/>
      <c r="BU47" s="287"/>
      <c r="BV47" s="287"/>
      <c r="BW47" s="287"/>
      <c r="BX47" s="287"/>
      <c r="BY47" s="287"/>
      <c r="BZ47" s="287"/>
      <c r="CA47" s="287"/>
      <c r="CB47" s="287"/>
      <c r="CC47" s="287"/>
      <c r="CD47" s="287"/>
      <c r="CE47" s="287"/>
      <c r="CF47" s="287"/>
      <c r="CG47" s="287"/>
      <c r="CH47" s="287"/>
      <c r="CI47" s="287"/>
      <c r="CJ47" s="287"/>
      <c r="CK47" s="287"/>
      <c r="CL47" s="287"/>
      <c r="CM47" s="287"/>
      <c r="CN47" s="287"/>
      <c r="CO47" s="287"/>
      <c r="CP47" s="287"/>
      <c r="CQ47" s="287"/>
      <c r="CR47" s="287"/>
      <c r="CS47" s="287"/>
      <c r="CT47" s="287"/>
      <c r="CU47" s="287"/>
      <c r="CV47" s="287"/>
      <c r="CW47" s="287"/>
      <c r="CX47" s="287"/>
      <c r="CY47" s="287"/>
      <c r="CZ47" s="287"/>
      <c r="DA47" s="287"/>
      <c r="DB47" s="287"/>
      <c r="DC47" s="287"/>
      <c r="DD47" s="287"/>
      <c r="DE47" s="287"/>
      <c r="DF47" s="287"/>
    </row>
    <row r="48" spans="1:110" ht="15" customHeight="1" x14ac:dyDescent="0.25">
      <c r="A48" s="287" t="str">
        <f>Projects!A44</f>
        <v>BD-28</v>
      </c>
      <c r="B48" s="295">
        <f>Projects!B44</f>
        <v>15000000</v>
      </c>
      <c r="C48" s="294">
        <f>Projects!C44</f>
        <v>78</v>
      </c>
      <c r="D48" s="294">
        <f>Projects!D44</f>
        <v>19</v>
      </c>
      <c r="E48" s="287" t="str">
        <f>Projects!G44</f>
        <v>Yes</v>
      </c>
      <c r="F48" s="287" t="str">
        <f>Projects!M44</f>
        <v>No</v>
      </c>
      <c r="G48" s="294">
        <f t="shared" si="5"/>
        <v>96</v>
      </c>
      <c r="H48" s="294">
        <f t="shared" si="6"/>
        <v>79</v>
      </c>
      <c r="I48" s="290">
        <f t="shared" si="7"/>
        <v>1</v>
      </c>
      <c r="J48" s="295">
        <f>IF($E48="Yes",$B48*Assumptions!$B$9*0.95/$D48*SUMPRODUCT(($C$15:$DF$15&gt;=$C48)*($C$15:$DF$15&lt;$C48+$D48))+$B48*Assumptions!$B$9*0.05*SUMPRODUCT(--($C$15:$DF$15=$G48)),0)</f>
        <v>1805865</v>
      </c>
      <c r="K48" s="295">
        <f t="shared" ca="1" si="8"/>
        <v>2311847.6522723217</v>
      </c>
      <c r="L48" s="295">
        <f t="shared" ca="1" si="9"/>
        <v>-505982.65227232175</v>
      </c>
      <c r="M48" s="290">
        <f t="shared" si="10"/>
        <v>0.1</v>
      </c>
      <c r="N48" s="295">
        <f t="shared" si="11"/>
        <v>37500</v>
      </c>
      <c r="O48" s="295">
        <f t="shared" ca="1" si="12"/>
        <v>0</v>
      </c>
      <c r="P48" s="295">
        <f t="shared" ca="1" si="13"/>
        <v>37500</v>
      </c>
      <c r="Q48" s="295">
        <f t="shared" ca="1" si="14"/>
        <v>0</v>
      </c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287"/>
      <c r="BC48" s="287"/>
      <c r="BD48" s="287"/>
      <c r="BE48" s="287"/>
      <c r="BF48" s="287"/>
      <c r="BG48" s="287"/>
      <c r="BH48" s="287"/>
      <c r="BI48" s="287"/>
      <c r="BJ48" s="287"/>
      <c r="BK48" s="287"/>
      <c r="BL48" s="287"/>
      <c r="BM48" s="287"/>
      <c r="BN48" s="287"/>
      <c r="BO48" s="287"/>
      <c r="BP48" s="287"/>
      <c r="BQ48" s="287"/>
      <c r="BR48" s="287"/>
      <c r="BS48" s="287"/>
      <c r="BT48" s="287"/>
      <c r="BU48" s="287"/>
      <c r="BV48" s="287"/>
      <c r="BW48" s="287"/>
      <c r="BX48" s="287"/>
      <c r="BY48" s="287"/>
      <c r="BZ48" s="287"/>
      <c r="CA48" s="287"/>
      <c r="CB48" s="287"/>
      <c r="CC48" s="287"/>
      <c r="CD48" s="287"/>
      <c r="CE48" s="287"/>
      <c r="CF48" s="287"/>
      <c r="CG48" s="287"/>
      <c r="CH48" s="287"/>
      <c r="CI48" s="287"/>
      <c r="CJ48" s="287"/>
      <c r="CK48" s="287"/>
      <c r="CL48" s="287"/>
      <c r="CM48" s="287"/>
      <c r="CN48" s="287"/>
      <c r="CO48" s="287"/>
      <c r="CP48" s="287"/>
      <c r="CQ48" s="287"/>
      <c r="CR48" s="287"/>
      <c r="CS48" s="287"/>
      <c r="CT48" s="287"/>
      <c r="CU48" s="287"/>
      <c r="CV48" s="287"/>
      <c r="CW48" s="287"/>
      <c r="CX48" s="287"/>
      <c r="CY48" s="287"/>
      <c r="CZ48" s="287"/>
      <c r="DA48" s="287"/>
      <c r="DB48" s="287"/>
      <c r="DC48" s="287"/>
      <c r="DD48" s="287"/>
      <c r="DE48" s="287"/>
      <c r="DF48" s="287"/>
    </row>
    <row r="49" spans="1:110" ht="15" customHeight="1" x14ac:dyDescent="0.25">
      <c r="A49" s="287" t="str">
        <f>Projects!A45</f>
        <v>BD-29</v>
      </c>
      <c r="B49" s="295">
        <f>Projects!B45</f>
        <v>18000000</v>
      </c>
      <c r="C49" s="294">
        <f>Projects!C45</f>
        <v>80</v>
      </c>
      <c r="D49" s="294">
        <f>Projects!D45</f>
        <v>19</v>
      </c>
      <c r="E49" s="287" t="str">
        <f>Projects!G45</f>
        <v>Yes</v>
      </c>
      <c r="F49" s="287" t="str">
        <f>Projects!M45</f>
        <v>No</v>
      </c>
      <c r="G49" s="294">
        <f t="shared" si="5"/>
        <v>98</v>
      </c>
      <c r="H49" s="294">
        <f t="shared" si="6"/>
        <v>81</v>
      </c>
      <c r="I49" s="290">
        <f t="shared" si="7"/>
        <v>1</v>
      </c>
      <c r="J49" s="295">
        <f>IF($E49="Yes",$B49*Assumptions!$B$9*0.95/$D49*SUMPRODUCT(($C$15:$DF$15&gt;=$C49)*($C$15:$DF$15&lt;$C49+$D49))+$B49*Assumptions!$B$9*0.05*SUMPRODUCT(--($C$15:$DF$15=$G49)),0)</f>
        <v>2167038</v>
      </c>
      <c r="K49" s="295">
        <f t="shared" ca="1" si="8"/>
        <v>2638383.5455155494</v>
      </c>
      <c r="L49" s="295">
        <f t="shared" ca="1" si="9"/>
        <v>-471345.54551554937</v>
      </c>
      <c r="M49" s="290">
        <f t="shared" si="10"/>
        <v>0.1</v>
      </c>
      <c r="N49" s="295">
        <f t="shared" si="11"/>
        <v>45000</v>
      </c>
      <c r="O49" s="295">
        <f t="shared" ca="1" si="12"/>
        <v>0</v>
      </c>
      <c r="P49" s="295">
        <f t="shared" ca="1" si="13"/>
        <v>45000</v>
      </c>
      <c r="Q49" s="295">
        <f t="shared" ca="1" si="14"/>
        <v>0</v>
      </c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287"/>
      <c r="BC49" s="287"/>
      <c r="BD49" s="287"/>
      <c r="BE49" s="287"/>
      <c r="BF49" s="287"/>
      <c r="BG49" s="287"/>
      <c r="BH49" s="287"/>
      <c r="BI49" s="287"/>
      <c r="BJ49" s="287"/>
      <c r="BK49" s="287"/>
      <c r="BL49" s="287"/>
      <c r="BM49" s="287"/>
      <c r="BN49" s="287"/>
      <c r="BO49" s="287"/>
      <c r="BP49" s="287"/>
      <c r="BQ49" s="287"/>
      <c r="BR49" s="287"/>
      <c r="BS49" s="287"/>
      <c r="BT49" s="287"/>
      <c r="BU49" s="287"/>
      <c r="BV49" s="287"/>
      <c r="BW49" s="287"/>
      <c r="BX49" s="287"/>
      <c r="BY49" s="287"/>
      <c r="BZ49" s="287"/>
      <c r="CA49" s="287"/>
      <c r="CB49" s="287"/>
      <c r="CC49" s="287"/>
      <c r="CD49" s="287"/>
      <c r="CE49" s="287"/>
      <c r="CF49" s="287"/>
      <c r="CG49" s="287"/>
      <c r="CH49" s="287"/>
      <c r="CI49" s="287"/>
      <c r="CJ49" s="287"/>
      <c r="CK49" s="287"/>
      <c r="CL49" s="287"/>
      <c r="CM49" s="287"/>
      <c r="CN49" s="287"/>
      <c r="CO49" s="287"/>
      <c r="CP49" s="287"/>
      <c r="CQ49" s="287"/>
      <c r="CR49" s="287"/>
      <c r="CS49" s="287"/>
      <c r="CT49" s="287"/>
      <c r="CU49" s="287"/>
      <c r="CV49" s="287"/>
      <c r="CW49" s="287"/>
      <c r="CX49" s="287"/>
      <c r="CY49" s="287"/>
      <c r="CZ49" s="287"/>
      <c r="DA49" s="287"/>
      <c r="DB49" s="287"/>
      <c r="DC49" s="287"/>
      <c r="DD49" s="287"/>
      <c r="DE49" s="287"/>
      <c r="DF49" s="287"/>
    </row>
    <row r="50" spans="1:110" ht="15" customHeight="1" x14ac:dyDescent="0.25">
      <c r="A50" s="287" t="str">
        <f>Projects!A46</f>
        <v>BD-30</v>
      </c>
      <c r="B50" s="295">
        <f>Projects!B46</f>
        <v>15000000</v>
      </c>
      <c r="C50" s="294">
        <f>Projects!C46</f>
        <v>82</v>
      </c>
      <c r="D50" s="294">
        <f>Projects!D46</f>
        <v>19</v>
      </c>
      <c r="E50" s="287" t="str">
        <f>Projects!G46</f>
        <v>Yes</v>
      </c>
      <c r="F50" s="287" t="str">
        <f>Projects!M46</f>
        <v>Yes</v>
      </c>
      <c r="G50" s="294">
        <f t="shared" si="5"/>
        <v>100</v>
      </c>
      <c r="H50" s="294">
        <f t="shared" si="6"/>
        <v>83</v>
      </c>
      <c r="I50" s="290">
        <f t="shared" si="7"/>
        <v>0.25</v>
      </c>
      <c r="J50" s="295">
        <f>IF($E50="Yes",$B50*Assumptions!$B$9*0.95/$D50*SUMPRODUCT(($C$15:$DF$15&gt;=$C50)*($C$15:$DF$15&lt;$C50+$D50))+$B50*Assumptions!$B$9*0.05*SUMPRODUCT(--($C$15:$DF$15=$G50)),0)</f>
        <v>1805865</v>
      </c>
      <c r="K50" s="295">
        <f t="shared" ca="1" si="8"/>
        <v>3475794.8281602538</v>
      </c>
      <c r="L50" s="295">
        <f t="shared" ca="1" si="9"/>
        <v>-1669929.8281602538</v>
      </c>
      <c r="M50" s="290">
        <f t="shared" si="10"/>
        <v>2.5000000000000001E-2</v>
      </c>
      <c r="N50" s="295">
        <f t="shared" si="11"/>
        <v>37500</v>
      </c>
      <c r="O50" s="295">
        <f t="shared" ca="1" si="12"/>
        <v>0</v>
      </c>
      <c r="P50" s="295">
        <f t="shared" ca="1" si="13"/>
        <v>0</v>
      </c>
      <c r="Q50" s="295">
        <f t="shared" ca="1" si="14"/>
        <v>-37500</v>
      </c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7"/>
      <c r="BD50" s="287"/>
      <c r="BE50" s="287"/>
      <c r="BF50" s="287"/>
      <c r="BG50" s="287"/>
      <c r="BH50" s="287"/>
      <c r="BI50" s="287"/>
      <c r="BJ50" s="287"/>
      <c r="BK50" s="287"/>
      <c r="BL50" s="287"/>
      <c r="BM50" s="287"/>
      <c r="BN50" s="287"/>
      <c r="BO50" s="287"/>
      <c r="BP50" s="287"/>
      <c r="BQ50" s="287"/>
      <c r="BR50" s="287"/>
      <c r="BS50" s="287"/>
      <c r="BT50" s="287"/>
      <c r="BU50" s="287"/>
      <c r="BV50" s="287"/>
      <c r="BW50" s="287"/>
      <c r="BX50" s="287"/>
      <c r="BY50" s="287"/>
      <c r="BZ50" s="287"/>
      <c r="CA50" s="287"/>
      <c r="CB50" s="287"/>
      <c r="CC50" s="287"/>
      <c r="CD50" s="287"/>
      <c r="CE50" s="287"/>
      <c r="CF50" s="287"/>
      <c r="CG50" s="287"/>
      <c r="CH50" s="287"/>
      <c r="CI50" s="287"/>
      <c r="CJ50" s="287"/>
      <c r="CK50" s="287"/>
      <c r="CL50" s="287"/>
      <c r="CM50" s="287"/>
      <c r="CN50" s="287"/>
      <c r="CO50" s="287"/>
      <c r="CP50" s="287"/>
      <c r="CQ50" s="287"/>
      <c r="CR50" s="287"/>
      <c r="CS50" s="287"/>
      <c r="CT50" s="287"/>
      <c r="CU50" s="287"/>
      <c r="CV50" s="287"/>
      <c r="CW50" s="287"/>
      <c r="CX50" s="287"/>
      <c r="CY50" s="287"/>
      <c r="CZ50" s="287"/>
      <c r="DA50" s="287"/>
      <c r="DB50" s="287"/>
      <c r="DC50" s="287"/>
      <c r="DD50" s="287"/>
      <c r="DE50" s="287"/>
      <c r="DF50" s="287"/>
    </row>
    <row r="51" spans="1:1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87"/>
      <c r="AO51" s="287"/>
      <c r="AP51" s="287"/>
      <c r="AQ51" s="287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287"/>
      <c r="BC51" s="287"/>
      <c r="BD51" s="287"/>
      <c r="BE51" s="287"/>
      <c r="BF51" s="287"/>
      <c r="BG51" s="287"/>
      <c r="BH51" s="287"/>
      <c r="BI51" s="287"/>
      <c r="BJ51" s="287"/>
      <c r="BK51" s="287"/>
      <c r="BL51" s="287"/>
      <c r="BM51" s="287"/>
      <c r="BN51" s="287"/>
      <c r="BO51" s="287"/>
      <c r="BP51" s="287"/>
      <c r="BQ51" s="287"/>
      <c r="BR51" s="287"/>
      <c r="BS51" s="287"/>
      <c r="BT51" s="287"/>
      <c r="BU51" s="287"/>
      <c r="BV51" s="287"/>
      <c r="BW51" s="287"/>
      <c r="BX51" s="287"/>
      <c r="BY51" s="287"/>
      <c r="BZ51" s="287"/>
      <c r="CA51" s="287"/>
      <c r="CB51" s="287"/>
      <c r="CC51" s="287"/>
      <c r="CD51" s="287"/>
      <c r="CE51" s="287"/>
      <c r="CF51" s="287"/>
      <c r="CG51" s="287"/>
      <c r="CH51" s="287"/>
      <c r="CI51" s="287"/>
      <c r="CJ51" s="287"/>
      <c r="CK51" s="287"/>
      <c r="CL51" s="287"/>
      <c r="CM51" s="287"/>
      <c r="CN51" s="287"/>
      <c r="CO51" s="287"/>
      <c r="CP51" s="287"/>
      <c r="CQ51" s="287"/>
      <c r="CR51" s="287"/>
      <c r="CS51" s="287"/>
      <c r="CT51" s="287"/>
      <c r="CU51" s="287"/>
      <c r="CV51" s="287"/>
      <c r="CW51" s="287"/>
      <c r="CX51" s="287"/>
      <c r="CY51" s="287"/>
      <c r="CZ51" s="287"/>
      <c r="DA51" s="287"/>
      <c r="DB51" s="287"/>
      <c r="DC51" s="287"/>
      <c r="DD51" s="287"/>
      <c r="DE51" s="287"/>
      <c r="DF51" s="287"/>
    </row>
    <row r="52" spans="1:1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87"/>
      <c r="AO52" s="287"/>
      <c r="AP52" s="287"/>
      <c r="AQ52" s="287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287"/>
      <c r="BC52" s="287"/>
      <c r="BD52" s="287"/>
      <c r="BE52" s="287"/>
      <c r="BF52" s="287"/>
      <c r="BG52" s="287"/>
      <c r="BH52" s="287"/>
      <c r="BI52" s="287"/>
      <c r="BJ52" s="287"/>
      <c r="BK52" s="287"/>
      <c r="BL52" s="287"/>
      <c r="BM52" s="287"/>
      <c r="BN52" s="287"/>
      <c r="BO52" s="287"/>
      <c r="BP52" s="287"/>
      <c r="BQ52" s="287"/>
      <c r="BR52" s="287"/>
      <c r="BS52" s="287"/>
      <c r="BT52" s="287"/>
      <c r="BU52" s="287"/>
      <c r="BV52" s="287"/>
      <c r="BW52" s="287"/>
      <c r="BX52" s="287"/>
      <c r="BY52" s="287"/>
      <c r="BZ52" s="287"/>
      <c r="CA52" s="287"/>
      <c r="CB52" s="287"/>
      <c r="CC52" s="287"/>
      <c r="CD52" s="287"/>
      <c r="CE52" s="287"/>
      <c r="CF52" s="287"/>
      <c r="CG52" s="287"/>
      <c r="CH52" s="287"/>
      <c r="CI52" s="287"/>
      <c r="CJ52" s="287"/>
      <c r="CK52" s="287"/>
      <c r="CL52" s="287"/>
      <c r="CM52" s="287"/>
      <c r="CN52" s="287"/>
      <c r="CO52" s="287"/>
      <c r="CP52" s="287"/>
      <c r="CQ52" s="287"/>
      <c r="CR52" s="287"/>
      <c r="CS52" s="287"/>
      <c r="CT52" s="287"/>
      <c r="CU52" s="287"/>
      <c r="CV52" s="287"/>
      <c r="CW52" s="287"/>
      <c r="CX52" s="287"/>
      <c r="CY52" s="287"/>
      <c r="CZ52" s="287"/>
      <c r="DA52" s="287"/>
      <c r="DB52" s="287"/>
      <c r="DC52" s="287"/>
      <c r="DD52" s="287"/>
      <c r="DE52" s="287"/>
      <c r="DF52" s="287"/>
    </row>
    <row r="53" spans="1:110" ht="15" customHeight="1" x14ac:dyDescent="0.25">
      <c r="A53" s="299" t="s">
        <v>880</v>
      </c>
      <c r="B53" s="287"/>
      <c r="C53" s="295">
        <f t="shared" ref="C53:AH53" ca="1" si="15">SUMPRODUCT(($H$21:$H$50=C$15)*$N$21:$N$50)+SUMPRODUCT(($G$21:$G$50=C$15)*$Q$21:$Q$50)</f>
        <v>0</v>
      </c>
      <c r="D53" s="295">
        <f t="shared" ca="1" si="15"/>
        <v>0</v>
      </c>
      <c r="E53" s="295">
        <f t="shared" ca="1" si="15"/>
        <v>0</v>
      </c>
      <c r="F53" s="295">
        <f t="shared" ca="1" si="15"/>
        <v>0</v>
      </c>
      <c r="G53" s="295">
        <f t="shared" ca="1" si="15"/>
        <v>0</v>
      </c>
      <c r="H53" s="295">
        <f t="shared" ca="1" si="15"/>
        <v>0</v>
      </c>
      <c r="I53" s="295">
        <f t="shared" ca="1" si="15"/>
        <v>0</v>
      </c>
      <c r="J53" s="295">
        <f t="shared" ca="1" si="15"/>
        <v>0</v>
      </c>
      <c r="K53" s="295">
        <f t="shared" ca="1" si="15"/>
        <v>0</v>
      </c>
      <c r="L53" s="295">
        <f t="shared" ca="1" si="15"/>
        <v>0</v>
      </c>
      <c r="M53" s="295">
        <f t="shared" ca="1" si="15"/>
        <v>0</v>
      </c>
      <c r="N53" s="295">
        <f t="shared" ca="1" si="15"/>
        <v>0</v>
      </c>
      <c r="O53" s="295">
        <f t="shared" ca="1" si="15"/>
        <v>0</v>
      </c>
      <c r="P53" s="295">
        <f t="shared" ca="1" si="15"/>
        <v>0</v>
      </c>
      <c r="Q53" s="295">
        <f t="shared" ca="1" si="15"/>
        <v>0</v>
      </c>
      <c r="R53" s="295">
        <f t="shared" ca="1" si="15"/>
        <v>0</v>
      </c>
      <c r="S53" s="295">
        <f t="shared" ca="1" si="15"/>
        <v>0</v>
      </c>
      <c r="T53" s="295">
        <f t="shared" ca="1" si="15"/>
        <v>0</v>
      </c>
      <c r="U53" s="295">
        <f t="shared" ca="1" si="15"/>
        <v>0</v>
      </c>
      <c r="V53" s="295">
        <f t="shared" ca="1" si="15"/>
        <v>0</v>
      </c>
      <c r="W53" s="295">
        <f t="shared" ca="1" si="15"/>
        <v>0</v>
      </c>
      <c r="X53" s="295">
        <f t="shared" ca="1" si="15"/>
        <v>0</v>
      </c>
      <c r="Y53" s="295">
        <f t="shared" ca="1" si="15"/>
        <v>0</v>
      </c>
      <c r="Z53" s="295">
        <f t="shared" ca="1" si="15"/>
        <v>0</v>
      </c>
      <c r="AA53" s="295">
        <f t="shared" ca="1" si="15"/>
        <v>0</v>
      </c>
      <c r="AB53" s="295">
        <f t="shared" ca="1" si="15"/>
        <v>0</v>
      </c>
      <c r="AC53" s="295">
        <f t="shared" ca="1" si="15"/>
        <v>0</v>
      </c>
      <c r="AD53" s="295">
        <f t="shared" ca="1" si="15"/>
        <v>0</v>
      </c>
      <c r="AE53" s="295">
        <f t="shared" ca="1" si="15"/>
        <v>0</v>
      </c>
      <c r="AF53" s="295">
        <f t="shared" ca="1" si="15"/>
        <v>0</v>
      </c>
      <c r="AG53" s="295">
        <f t="shared" ca="1" si="15"/>
        <v>0</v>
      </c>
      <c r="AH53" s="295">
        <f t="shared" ca="1" si="15"/>
        <v>0</v>
      </c>
      <c r="AI53" s="295">
        <f t="shared" ref="AI53:BN53" ca="1" si="16">SUMPRODUCT(($H$21:$H$50=AI$15)*$N$21:$N$50)+SUMPRODUCT(($G$21:$G$50=AI$15)*$Q$21:$Q$50)</f>
        <v>0</v>
      </c>
      <c r="AJ53" s="295">
        <f t="shared" ca="1" si="16"/>
        <v>0</v>
      </c>
      <c r="AK53" s="295">
        <f t="shared" ca="1" si="16"/>
        <v>37500</v>
      </c>
      <c r="AL53" s="295">
        <f t="shared" ca="1" si="16"/>
        <v>0</v>
      </c>
      <c r="AM53" s="295">
        <f t="shared" ca="1" si="16"/>
        <v>0</v>
      </c>
      <c r="AN53" s="295">
        <f t="shared" ca="1" si="16"/>
        <v>37500</v>
      </c>
      <c r="AO53" s="295">
        <f t="shared" ca="1" si="16"/>
        <v>0</v>
      </c>
      <c r="AP53" s="295">
        <f t="shared" ca="1" si="16"/>
        <v>0</v>
      </c>
      <c r="AQ53" s="295">
        <f t="shared" ca="1" si="16"/>
        <v>45000</v>
      </c>
      <c r="AR53" s="295">
        <f t="shared" ca="1" si="16"/>
        <v>0</v>
      </c>
      <c r="AS53" s="295">
        <f t="shared" ca="1" si="16"/>
        <v>0</v>
      </c>
      <c r="AT53" s="295">
        <f t="shared" ca="1" si="16"/>
        <v>45000</v>
      </c>
      <c r="AU53" s="295">
        <f t="shared" ca="1" si="16"/>
        <v>0</v>
      </c>
      <c r="AV53" s="295">
        <f t="shared" ca="1" si="16"/>
        <v>0</v>
      </c>
      <c r="AW53" s="295">
        <f t="shared" ca="1" si="16"/>
        <v>0</v>
      </c>
      <c r="AX53" s="295">
        <f t="shared" ca="1" si="16"/>
        <v>0</v>
      </c>
      <c r="AY53" s="295">
        <f t="shared" ca="1" si="16"/>
        <v>0</v>
      </c>
      <c r="AZ53" s="295">
        <f t="shared" ca="1" si="16"/>
        <v>0</v>
      </c>
      <c r="BA53" s="295">
        <f t="shared" ca="1" si="16"/>
        <v>0</v>
      </c>
      <c r="BB53" s="295">
        <f t="shared" ca="1" si="16"/>
        <v>37500</v>
      </c>
      <c r="BC53" s="295">
        <f t="shared" ca="1" si="16"/>
        <v>0</v>
      </c>
      <c r="BD53" s="295">
        <f t="shared" ca="1" si="16"/>
        <v>0</v>
      </c>
      <c r="BE53" s="295">
        <f t="shared" ca="1" si="16"/>
        <v>-37500</v>
      </c>
      <c r="BF53" s="295">
        <f t="shared" ca="1" si="16"/>
        <v>45000</v>
      </c>
      <c r="BG53" s="295">
        <f t="shared" ca="1" si="16"/>
        <v>0</v>
      </c>
      <c r="BH53" s="295">
        <f t="shared" ca="1" si="16"/>
        <v>37500</v>
      </c>
      <c r="BI53" s="295">
        <f t="shared" ca="1" si="16"/>
        <v>0</v>
      </c>
      <c r="BJ53" s="295">
        <f t="shared" ca="1" si="16"/>
        <v>37500</v>
      </c>
      <c r="BK53" s="295">
        <f t="shared" ca="1" si="16"/>
        <v>0</v>
      </c>
      <c r="BL53" s="295">
        <f t="shared" ca="1" si="16"/>
        <v>45000</v>
      </c>
      <c r="BM53" s="295">
        <f t="shared" ca="1" si="16"/>
        <v>0</v>
      </c>
      <c r="BN53" s="295">
        <f t="shared" ca="1" si="16"/>
        <v>37500</v>
      </c>
      <c r="BO53" s="295">
        <f t="shared" ref="BO53:CT53" ca="1" si="17">SUMPRODUCT(($H$21:$H$50=BO$15)*$N$21:$N$50)+SUMPRODUCT(($G$21:$G$50=BO$15)*$Q$21:$Q$50)</f>
        <v>0</v>
      </c>
      <c r="BP53" s="295">
        <f t="shared" ca="1" si="17"/>
        <v>45000</v>
      </c>
      <c r="BQ53" s="295">
        <f t="shared" ca="1" si="17"/>
        <v>0</v>
      </c>
      <c r="BR53" s="295">
        <f t="shared" ca="1" si="17"/>
        <v>0</v>
      </c>
      <c r="BS53" s="295">
        <f t="shared" ca="1" si="17"/>
        <v>0</v>
      </c>
      <c r="BT53" s="295">
        <f t="shared" ca="1" si="17"/>
        <v>0</v>
      </c>
      <c r="BU53" s="295">
        <f t="shared" ca="1" si="17"/>
        <v>0</v>
      </c>
      <c r="BV53" s="295">
        <f t="shared" ca="1" si="17"/>
        <v>45000</v>
      </c>
      <c r="BW53" s="295">
        <f t="shared" ca="1" si="17"/>
        <v>0</v>
      </c>
      <c r="BX53" s="295">
        <f t="shared" ca="1" si="17"/>
        <v>0</v>
      </c>
      <c r="BY53" s="295">
        <f t="shared" ca="1" si="17"/>
        <v>0</v>
      </c>
      <c r="BZ53" s="295">
        <f t="shared" ca="1" si="17"/>
        <v>0</v>
      </c>
      <c r="CA53" s="295">
        <f t="shared" ca="1" si="17"/>
        <v>0</v>
      </c>
      <c r="CB53" s="295">
        <f t="shared" ca="1" si="17"/>
        <v>45000</v>
      </c>
      <c r="CC53" s="295">
        <f t="shared" ca="1" si="17"/>
        <v>-18787.850905853651</v>
      </c>
      <c r="CD53" s="295">
        <f t="shared" ca="1" si="17"/>
        <v>37500</v>
      </c>
      <c r="CE53" s="295">
        <f t="shared" ca="1" si="17"/>
        <v>0</v>
      </c>
      <c r="CF53" s="295">
        <f t="shared" ca="1" si="17"/>
        <v>37500</v>
      </c>
      <c r="CG53" s="295">
        <f t="shared" ca="1" si="17"/>
        <v>0</v>
      </c>
      <c r="CH53" s="295">
        <f t="shared" ca="1" si="17"/>
        <v>45000</v>
      </c>
      <c r="CI53" s="295">
        <f t="shared" ca="1" si="17"/>
        <v>0</v>
      </c>
      <c r="CJ53" s="295">
        <f t="shared" ca="1" si="17"/>
        <v>37500</v>
      </c>
      <c r="CK53" s="295">
        <f t="shared" ca="1" si="17"/>
        <v>0</v>
      </c>
      <c r="CL53" s="295">
        <f t="shared" ca="1" si="17"/>
        <v>0</v>
      </c>
      <c r="CM53" s="295">
        <f t="shared" ca="1" si="17"/>
        <v>0</v>
      </c>
      <c r="CN53" s="295">
        <f t="shared" ca="1" si="17"/>
        <v>0</v>
      </c>
      <c r="CO53" s="295">
        <f t="shared" ca="1" si="17"/>
        <v>0</v>
      </c>
      <c r="CP53" s="295">
        <f t="shared" ca="1" si="17"/>
        <v>0</v>
      </c>
      <c r="CQ53" s="295">
        <f t="shared" ca="1" si="17"/>
        <v>0</v>
      </c>
      <c r="CR53" s="295">
        <f t="shared" ca="1" si="17"/>
        <v>0</v>
      </c>
      <c r="CS53" s="295">
        <f t="shared" ca="1" si="17"/>
        <v>0</v>
      </c>
      <c r="CT53" s="295">
        <f t="shared" ca="1" si="17"/>
        <v>0</v>
      </c>
      <c r="CU53" s="295">
        <f t="shared" ref="CU53:DF53" ca="1" si="18">SUMPRODUCT(($H$21:$H$50=CU$15)*$N$21:$N$50)+SUMPRODUCT(($G$21:$G$50=CU$15)*$Q$21:$Q$50)</f>
        <v>0</v>
      </c>
      <c r="CV53" s="295">
        <f t="shared" ca="1" si="18"/>
        <v>0</v>
      </c>
      <c r="CW53" s="295">
        <f t="shared" ca="1" si="18"/>
        <v>0</v>
      </c>
      <c r="CX53" s="295">
        <f t="shared" ca="1" si="18"/>
        <v>0</v>
      </c>
      <c r="CY53" s="295">
        <f t="shared" ca="1" si="18"/>
        <v>0</v>
      </c>
      <c r="CZ53" s="295">
        <f t="shared" ca="1" si="18"/>
        <v>0</v>
      </c>
      <c r="DA53" s="295">
        <f t="shared" ca="1" si="18"/>
        <v>-37500</v>
      </c>
      <c r="DB53" s="295">
        <f t="shared" ca="1" si="18"/>
        <v>0</v>
      </c>
      <c r="DC53" s="295">
        <f t="shared" ca="1" si="18"/>
        <v>0</v>
      </c>
      <c r="DD53" s="295">
        <f t="shared" ca="1" si="18"/>
        <v>0</v>
      </c>
      <c r="DE53" s="295">
        <f t="shared" ca="1" si="18"/>
        <v>0</v>
      </c>
      <c r="DF53" s="295">
        <f t="shared" ca="1" si="18"/>
        <v>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3A51"/>
  </sheetPr>
  <dimension ref="A1:J5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41" sqref="J41"/>
    </sheetView>
  </sheetViews>
  <sheetFormatPr defaultColWidth="8.7109375" defaultRowHeight="15" customHeight="1" x14ac:dyDescent="0.25"/>
  <cols>
    <col min="1" max="1" width="38" customWidth="1"/>
    <col min="2" max="9" width="14" customWidth="1"/>
    <col min="10" max="10" width="13" customWidth="1"/>
  </cols>
  <sheetData>
    <row r="1" spans="1:10" ht="17.25" customHeight="1" x14ac:dyDescent="0.3">
      <c r="A1" s="355" t="s">
        <v>0</v>
      </c>
      <c r="B1" s="356"/>
      <c r="C1" s="356"/>
      <c r="D1" s="356"/>
      <c r="E1" s="356"/>
      <c r="F1" s="302"/>
      <c r="G1" s="302"/>
      <c r="H1" s="302"/>
      <c r="I1" s="302"/>
    </row>
    <row r="2" spans="1:10" ht="15" customHeight="1" x14ac:dyDescent="0.25">
      <c r="A2" s="305" t="s">
        <v>1</v>
      </c>
      <c r="B2" s="328" t="s">
        <v>2</v>
      </c>
      <c r="C2" s="328" t="s">
        <v>3</v>
      </c>
      <c r="D2" s="328" t="s">
        <v>4</v>
      </c>
      <c r="E2" s="328" t="s">
        <v>5</v>
      </c>
      <c r="F2" s="328" t="s">
        <v>6</v>
      </c>
      <c r="G2" s="328" t="s">
        <v>7</v>
      </c>
      <c r="H2" s="328" t="s">
        <v>8</v>
      </c>
      <c r="I2" s="328" t="s">
        <v>9</v>
      </c>
      <c r="J2" s="328" t="s">
        <v>10</v>
      </c>
    </row>
    <row r="3" spans="1:10" ht="15" customHeight="1" x14ac:dyDescent="0.25">
      <c r="A3" s="64" t="s">
        <v>11</v>
      </c>
      <c r="B3" s="65">
        <f>Model!C8+Model!D8+Model!E8+Model!F8+Model!G8+Model!H8+Model!I8+Model!J8+Model!K8+Model!L8+Model!M8+Model!N8</f>
        <v>58755984.530581184</v>
      </c>
      <c r="C3" s="65">
        <f>Model!O8+Model!P8+Model!Q8+Model!R8+Model!S8+Model!T8+Model!U8+Model!V8+Model!W8+Model!X8+Model!Y8+Model!Z8</f>
        <v>87410002.951298565</v>
      </c>
      <c r="D3" s="65">
        <f>Model!AA8+Model!AB8+Model!AC8+Model!AD8+Model!AE8+Model!AF8+Model!AG8+Model!AH8+Model!AI8+Model!AJ8+Model!AK8+Model!AL8</f>
        <v>53157200.678054005</v>
      </c>
      <c r="E3" s="65">
        <f>Model!AM8+Model!AN8+Model!AO8+Model!AP8+Model!AQ8+Model!AR8+Model!AS8+Model!AT8+Model!AU8+Model!AV8+Model!AW8+Model!AX8</f>
        <v>67380857.82476601</v>
      </c>
      <c r="F3" s="65">
        <f>Model!AY8+Model!AZ8+Model!BA8+Model!BB8+Model!BC8+Model!BD8+Model!BE8+Model!BF8+Model!BG8+Model!BH8+Model!BI8+Model!BJ8</f>
        <v>58566903.920151994</v>
      </c>
      <c r="G3" s="65">
        <f>Model!BK8+Model!BL8+Model!BM8+Model!BN8+Model!BO8+Model!BP8+Model!BQ8+Model!BR8+Model!BS8+Model!BT8+Model!BU8+Model!BV8</f>
        <v>71144460</v>
      </c>
      <c r="H3" s="65">
        <f>Model!BW8+Model!BX8+Model!BY8+Model!BZ8+Model!CA8+Model!CB8+Model!CC8+Model!CD8+Model!CE8+Model!CF8+Model!CG8+Model!CH8</f>
        <v>56176353</v>
      </c>
      <c r="I3" s="65">
        <f>Model!CI8+Model!CJ8+Model!CK8+Model!CL8+Model!CM8+Model!CN8+Model!CO8+Model!CP8+Model!CQ8+Model!CR8+Model!CS8+Model!CT8</f>
        <v>60109692</v>
      </c>
      <c r="J3" s="65">
        <f>Model!CU8+Model!CV8+Model!CW8+Model!CX8+Model!CY8+Model!CZ8+Model!DA8+Model!DB8+Model!DC8+Model!DD8+Model!DE8+Model!DF8</f>
        <v>10292910</v>
      </c>
    </row>
    <row r="4" spans="1:10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15" customHeight="1" x14ac:dyDescent="0.25">
      <c r="A5" s="66" t="s">
        <v>12</v>
      </c>
      <c r="B5" s="67">
        <f>Model!C10+Model!D10+Model!E10+Model!F10+Model!G10+Model!H10+Model!I10+Model!J10+Model!K10+Model!L10+Model!M10+Model!N10</f>
        <v>3717997.3658770192</v>
      </c>
      <c r="C5" s="67">
        <f>Model!O10+Model!P10+Model!Q10+Model!R10+Model!S10+Model!T10+Model!U10+Model!V10+Model!W10+Model!X10+Model!Y10+Model!Z10</f>
        <v>5245409.4852842968</v>
      </c>
      <c r="D5" s="67">
        <f>Model!AA10+Model!AB10+Model!AC10+Model!AD10+Model!AE10+Model!AF10+Model!AG10+Model!AH10+Model!AI10+Model!AJ10+Model!AK10+Model!AL10</f>
        <v>4540620.1062756535</v>
      </c>
      <c r="E5" s="67">
        <f>Model!AM10+Model!AN10+Model!AO10+Model!AP10+Model!AQ10+Model!AR10+Model!AS10+Model!AT10+Model!AU10+Model!AV10+Model!AW10+Model!AX10</f>
        <v>4449429.1835952746</v>
      </c>
      <c r="F5" s="67">
        <f>Model!AY10+Model!AZ10+Model!BA10+Model!BB10+Model!BC10+Model!BD10+Model!BE10+Model!BF10+Model!BG10+Model!BH10+Model!BI10+Model!BJ10</f>
        <v>4425095.8601952661</v>
      </c>
      <c r="G5" s="67">
        <f>Model!BK10+Model!BL10+Model!BM10+Model!BN10+Model!BO10+Model!BP10+Model!BQ10+Model!BR10+Model!BS10+Model!BT10+Model!BU10+Model!BV10</f>
        <v>4499193</v>
      </c>
      <c r="H5" s="67">
        <f>Model!BW10+Model!BX10+Model!BY10+Model!BZ10+Model!CA10+Model!CB10+Model!CC10+Model!CD10+Model!CE10+Model!CF10+Model!CG10+Model!CH10</f>
        <v>4272169.5</v>
      </c>
      <c r="I5" s="67">
        <f>Model!CI10+Model!CJ10+Model!CK10+Model!CL10+Model!CM10+Model!CN10+Model!CO10+Model!CP10+Model!CQ10+Model!CR10+Model!CS10+Model!CT10</f>
        <v>3714930</v>
      </c>
      <c r="J5" s="67">
        <f>Model!CU10+Model!CV10+Model!CW10+Model!CX10+Model!CY10+Model!CZ10+Model!DA10+Model!DB10+Model!DC10+Model!DD10+Model!DE10+Model!DF10</f>
        <v>1093840.5</v>
      </c>
    </row>
    <row r="6" spans="1:10" ht="15" hidden="1" customHeight="1" x14ac:dyDescent="0.25">
      <c r="A6" s="66" t="s">
        <v>13</v>
      </c>
      <c r="B6" s="67">
        <f>Model!C11+Model!D11+Model!E11+Model!F11+Model!G11+Model!H11+Model!I11+Model!J11+Model!K11+Model!L11+Model!M11+Model!N11</f>
        <v>0</v>
      </c>
      <c r="C6" s="67">
        <f>Model!O11+Model!P11+Model!Q11+Model!R11+Model!S11+Model!T11+Model!U11+Model!V11+Model!W11+Model!X11+Model!Y11+Model!Z11</f>
        <v>0</v>
      </c>
      <c r="D6" s="67">
        <f>Model!AA11+Model!AB11+Model!AC11+Model!AD11+Model!AE11+Model!AF11+Model!AG11+Model!AH11+Model!AI11+Model!AJ11+Model!AK11+Model!AL11</f>
        <v>0</v>
      </c>
      <c r="E6" s="67">
        <f>Model!AM11+Model!AN11+Model!AO11+Model!AP11+Model!AQ11+Model!AR11+Model!AS11+Model!AT11+Model!AU11+Model!AV11+Model!AW11+Model!AX11</f>
        <v>0</v>
      </c>
      <c r="F6" s="67">
        <f>Model!AY11+Model!AZ11+Model!BA11+Model!BB11+Model!BC11+Model!BD11+Model!BE11+Model!BF11+Model!BG11+Model!BH11+Model!BI11+Model!BJ11</f>
        <v>0</v>
      </c>
      <c r="G6" s="67">
        <f>Model!BK11+Model!BL11+Model!BM11+Model!BN11+Model!BO11+Model!BP11+Model!BQ11+Model!BR11+Model!BS11+Model!BT11+Model!BU11+Model!BV11</f>
        <v>0</v>
      </c>
      <c r="H6" s="67">
        <f>Model!BW11+Model!BX11+Model!BY11+Model!BZ11+Model!CA11+Model!CB11+Model!CC11+Model!CD11+Model!CE11+Model!CF11+Model!CG11+Model!CH11</f>
        <v>0</v>
      </c>
      <c r="I6" s="67">
        <f>Model!CI11+Model!CJ11+Model!CK11+Model!CL11+Model!CM11+Model!CN11+Model!CO11+Model!CP11+Model!CQ11+Model!CR11+Model!CS11+Model!CT11</f>
        <v>0</v>
      </c>
      <c r="J6" s="67">
        <f>Model!CU11+Model!CV11+Model!CW11+Model!CX11+Model!CY11+Model!CZ11+Model!DA11+Model!DB11+Model!DC11+Model!DD11+Model!DE11+Model!DF11</f>
        <v>0</v>
      </c>
    </row>
    <row r="7" spans="1:10" ht="15" customHeight="1" x14ac:dyDescent="0.25">
      <c r="A7" s="66" t="s">
        <v>14</v>
      </c>
      <c r="B7" s="67">
        <f>Model!C12+Model!D12+Model!E12+Model!F12+Model!G12+Model!H12+Model!I12+Model!J12+Model!K12+Model!L12+Model!M12+Model!N12</f>
        <v>2760139.7183945151</v>
      </c>
      <c r="C7" s="67">
        <f>Model!O12+Model!P12+Model!Q12+Model!R12+Model!S12+Model!T12+Model!U12+Model!V12+Model!W12+Model!X12+Model!Y12+Model!Z12</f>
        <v>3934038.052223688</v>
      </c>
      <c r="D7" s="67">
        <f>Model!AA12+Model!AB12+Model!AC12+Model!AD12+Model!AE12+Model!AF12+Model!AG12+Model!AH12+Model!AI12+Model!AJ12+Model!AK12+Model!AL12</f>
        <v>3405448.579161257</v>
      </c>
      <c r="E7" s="67">
        <f>Model!AM12+Model!AN12+Model!AO12+Model!AP12+Model!AQ12+Model!AR12+Model!AS12+Model!AT12+Model!AU12+Model!AV12+Model!AW12+Model!AX12</f>
        <v>3337055.71853742</v>
      </c>
      <c r="F7" s="67">
        <f>Model!AY12+Model!AZ12+Model!BA12+Model!BB12+Model!BC12+Model!BD12+Model!BE12+Model!BF12+Model!BG12+Model!BH12+Model!BI12+Model!BJ12</f>
        <v>3318805.8144143466</v>
      </c>
      <c r="G7" s="67">
        <f>Model!BK12+Model!BL12+Model!BM12+Model!BN12+Model!BO12+Model!BP12+Model!BQ12+Model!BR12+Model!BS12+Model!BT12+Model!BU12+Model!BV12</f>
        <v>3374378.4000000004</v>
      </c>
      <c r="H7" s="67">
        <f>Model!BW12+Model!BX12+Model!BY12+Model!BZ12+Model!CA12+Model!CB12+Model!CC12+Model!CD12+Model!CE12+Model!CF12+Model!CG12+Model!CH12</f>
        <v>3204111.6000000006</v>
      </c>
      <c r="I7" s="67">
        <f>Model!CI12+Model!CJ12+Model!CK12+Model!CL12+Model!CM12+Model!CN12+Model!CO12+Model!CP12+Model!CQ12+Model!CR12+Model!CS12+Model!CT12</f>
        <v>2786184</v>
      </c>
      <c r="J7" s="67">
        <f>Model!CU12+Model!CV12+Model!CW12+Model!CX12+Model!CY12+Model!CZ12+Model!DA12+Model!DB12+Model!DC12+Model!DD12+Model!DE12+Model!DF12</f>
        <v>820376.39999999991</v>
      </c>
    </row>
    <row r="8" spans="1:10" ht="15" hidden="1" customHeight="1" x14ac:dyDescent="0.25">
      <c r="A8" s="66" t="s">
        <v>15</v>
      </c>
      <c r="B8" s="67">
        <f>Model!C13+Model!D13+Model!E13+Model!F13+Model!G13+Model!H13+Model!I13+Model!J13+Model!K13+Model!L13+Model!M13+Model!N13</f>
        <v>0</v>
      </c>
      <c r="C8" s="67">
        <f>Model!O13+Model!P13+Model!Q13+Model!R13+Model!S13+Model!T13+Model!U13+Model!V13+Model!W13+Model!X13+Model!Y13+Model!Z13</f>
        <v>0</v>
      </c>
      <c r="D8" s="67">
        <f>Model!AA13+Model!AB13+Model!AC13+Model!AD13+Model!AE13+Model!AF13+Model!AG13+Model!AH13+Model!AI13+Model!AJ13+Model!AK13+Model!AL13</f>
        <v>0</v>
      </c>
      <c r="E8" s="67">
        <f>Model!AM13+Model!AN13+Model!AO13+Model!AP13+Model!AQ13+Model!AR13+Model!AS13+Model!AT13+Model!AU13+Model!AV13+Model!AW13+Model!AX13</f>
        <v>0</v>
      </c>
      <c r="F8" s="67">
        <f>Model!AY13+Model!AZ13+Model!BA13+Model!BB13+Model!BC13+Model!BD13+Model!BE13+Model!BF13+Model!BG13+Model!BH13+Model!BI13+Model!BJ13</f>
        <v>0</v>
      </c>
      <c r="G8" s="67">
        <f>Model!BK13+Model!BL13+Model!BM13+Model!BN13+Model!BO13+Model!BP13+Model!BQ13+Model!BR13+Model!BS13+Model!BT13+Model!BU13+Model!BV13</f>
        <v>0</v>
      </c>
      <c r="H8" s="67">
        <f>Model!BW13+Model!BX13+Model!BY13+Model!BZ13+Model!CA13+Model!CB13+Model!CC13+Model!CD13+Model!CE13+Model!CF13+Model!CG13+Model!CH13</f>
        <v>0</v>
      </c>
      <c r="I8" s="67">
        <f>Model!CI13+Model!CJ13+Model!CK13+Model!CL13+Model!CM13+Model!CN13+Model!CO13+Model!CP13+Model!CQ13+Model!CR13+Model!CS13+Model!CT13</f>
        <v>0</v>
      </c>
      <c r="J8" s="67">
        <f>Model!CU13+Model!CV13+Model!CW13+Model!CX13+Model!CY13+Model!CZ13+Model!DA13+Model!DB13+Model!DC13+Model!DD13+Model!DE13+Model!DF13</f>
        <v>0</v>
      </c>
    </row>
    <row r="9" spans="1:10" ht="15" customHeight="1" x14ac:dyDescent="0.25">
      <c r="A9" s="66" t="s">
        <v>16</v>
      </c>
      <c r="B9" s="67">
        <f>Model!C14+Model!D14+Model!E14+Model!F14+Model!G14+Model!H14+Model!I14+Model!J14+Model!K14+Model!L14+Model!M14+Model!N14</f>
        <v>52277847.446309648</v>
      </c>
      <c r="C9" s="67">
        <f>Model!O14+Model!P14+Model!Q14+Model!R14+Model!S14+Model!T14+Model!U14+Model!V14+Model!W14+Model!X14+Model!Y14+Model!Z14</f>
        <v>78230555.413790554</v>
      </c>
      <c r="D9" s="67">
        <f>Model!AA14+Model!AB14+Model!AC14+Model!AD14+Model!AE14+Model!AF14+Model!AG14+Model!AH14+Model!AI14+Model!AJ14+Model!AK14+Model!AL14</f>
        <v>45211131.992617086</v>
      </c>
      <c r="E9" s="67">
        <f>Model!AM14+Model!AN14+Model!AO14+Model!AP14+Model!AQ14+Model!AR14+Model!AS14+Model!AT14+Model!AU14+Model!AV14+Model!AW14+Model!AX14</f>
        <v>59594372.922633313</v>
      </c>
      <c r="F9" s="67">
        <f>Model!AY14+Model!AZ14+Model!BA14+Model!BB14+Model!BC14+Model!BD14+Model!BE14+Model!BF14+Model!BG14+Model!BH14+Model!BI14+Model!BJ14</f>
        <v>50823002.2455424</v>
      </c>
      <c r="G9" s="67">
        <f>Model!BK14+Model!BL14+Model!BM14+Model!BN14+Model!BO14+Model!BP14+Model!BQ14+Model!BR14+Model!BS14+Model!BT14+Model!BU14+Model!BV14</f>
        <v>63270888.599999987</v>
      </c>
      <c r="H9" s="67">
        <f>Model!BW14+Model!BX14+Model!BY14+Model!BZ14+Model!CA14+Model!CB14+Model!CC14+Model!CD14+Model!CE14+Model!CF14+Model!CG14+Model!CH14</f>
        <v>48700071.899999991</v>
      </c>
      <c r="I9" s="67">
        <f>Model!CI14+Model!CJ14+Model!CK14+Model!CL14+Model!CM14+Model!CN14+Model!CO14+Model!CP14+Model!CQ14+Model!CR14+Model!CS14+Model!CT14</f>
        <v>53608578.000000007</v>
      </c>
      <c r="J9" s="67">
        <f>Model!CU14+Model!CV14+Model!CW14+Model!CX14+Model!CY14+Model!CZ14+Model!DA14+Model!DB14+Model!DC14+Model!DD14+Model!DE14+Model!DF14</f>
        <v>8378693.1000000006</v>
      </c>
    </row>
    <row r="10" spans="1:10" ht="15" customHeight="1" x14ac:dyDescent="0.25">
      <c r="A10" s="68" t="s">
        <v>17</v>
      </c>
      <c r="B10" s="69">
        <f>Model!C15+Model!D15+Model!E15+Model!F15+Model!G15+Model!H15+Model!I15+Model!J15+Model!K15+Model!L15+Model!M15+Model!N15</f>
        <v>-52239810.516309649</v>
      </c>
      <c r="C10" s="69">
        <f>Model!O15+Model!P15+Model!Q15+Model!R15+Model!S15+Model!T15+Model!U15+Model!V15+Model!W15+Model!X15+Model!Y15+Model!Z15</f>
        <v>-78230555.413790554</v>
      </c>
      <c r="D10" s="69">
        <f>Model!AA15+Model!AB15+Model!AC15+Model!AD15+Model!AE15+Model!AF15+Model!AG15+Model!AH15+Model!AI15+Model!AJ15+Model!AK15+Model!AL15</f>
        <v>-45211131.992617086</v>
      </c>
      <c r="E10" s="69">
        <f>Model!AM15+Model!AN15+Model!AO15+Model!AP15+Model!AQ15+Model!AR15+Model!AS15+Model!AT15+Model!AU15+Model!AV15+Model!AW15+Model!AX15</f>
        <v>-59594372.922633313</v>
      </c>
      <c r="F10" s="69">
        <f>Model!AY15+Model!AZ15+Model!BA15+Model!BB15+Model!BC15+Model!BD15+Model!BE15+Model!BF15+Model!BG15+Model!BH15+Model!BI15+Model!BJ15</f>
        <v>-50823002.2455424</v>
      </c>
      <c r="G10" s="69">
        <f>Model!BK15+Model!BL15+Model!BM15+Model!BN15+Model!BO15+Model!BP15+Model!BQ15+Model!BR15+Model!BS15+Model!BT15+Model!BU15+Model!BV15</f>
        <v>-63270888.599999987</v>
      </c>
      <c r="H10" s="69">
        <f>Model!BW15+Model!BX15+Model!BY15+Model!BZ15+Model!CA15+Model!CB15+Model!CC15+Model!CD15+Model!CE15+Model!CF15+Model!CG15+Model!CH15</f>
        <v>-48700071.899999991</v>
      </c>
      <c r="I10" s="69">
        <f>Model!CI15+Model!CJ15+Model!CK15+Model!CL15+Model!CM15+Model!CN15+Model!CO15+Model!CP15+Model!CQ15+Model!CR15+Model!CS15+Model!CT15</f>
        <v>-53608578.000000007</v>
      </c>
      <c r="J10" s="69">
        <f>Model!CU15+Model!CV15+Model!CW15+Model!CX15+Model!CY15+Model!CZ15+Model!DA15+Model!DB15+Model!DC15+Model!DD15+Model!DE15+Model!DF15</f>
        <v>-8378693.1000000006</v>
      </c>
    </row>
    <row r="11" spans="1:10" ht="15" customHeight="1" x14ac:dyDescent="0.25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ht="15" customHeight="1" x14ac:dyDescent="0.25">
      <c r="A12" s="70" t="s">
        <v>18</v>
      </c>
      <c r="B12" s="71">
        <f>Model!C17+Model!D17+Model!E17+Model!F17+Model!G17+Model!H17+Model!I17+Model!J17+Model!K17+Model!L17+Model!M17+Model!N17</f>
        <v>6516174.014271535</v>
      </c>
      <c r="C12" s="71">
        <f>Model!O17+Model!P17+Model!Q17+Model!R17+Model!S17+Model!T17+Model!U17+Model!V17+Model!W17+Model!X17+Model!Y17+Model!Z17</f>
        <v>9179447.5375079848</v>
      </c>
      <c r="D12" s="71">
        <f>Model!AA17+Model!AB17+Model!AC17+Model!AD17+Model!AE17+Model!AF17+Model!AG17+Model!AH17+Model!AI17+Model!AJ17+Model!AK17+Model!AL17</f>
        <v>7946068.6854369082</v>
      </c>
      <c r="E12" s="71">
        <f>Model!AM17+Model!AN17+Model!AO17+Model!AP17+Model!AQ17+Model!AR17+Model!AS17+Model!AT17+Model!AU17+Model!AV17+Model!AW17+Model!AX17</f>
        <v>7786484.9021326946</v>
      </c>
      <c r="F12" s="71">
        <f>Model!AY17+Model!AZ17+Model!BA17+Model!BB17+Model!BC17+Model!BD17+Model!BE17+Model!BF17+Model!BG17+Model!BH17+Model!BI17+Model!BJ17</f>
        <v>7743901.6746096108</v>
      </c>
      <c r="G12" s="71">
        <f>Model!BK17+Model!BL17+Model!BM17+Model!BN17+Model!BO17+Model!BP17+Model!BQ17+Model!BR17+Model!BS17+Model!BT17+Model!BU17+Model!BV17</f>
        <v>7873571.3999999994</v>
      </c>
      <c r="H12" s="71">
        <f>Model!BW17+Model!BX17+Model!BY17+Model!BZ17+Model!CA17+Model!CB17+Model!CC17+Model!CD17+Model!CE17+Model!CF17+Model!CG17+Model!CH17</f>
        <v>7476281.1000000015</v>
      </c>
      <c r="I12" s="71">
        <f>Model!CI17+Model!CJ17+Model!CK17+Model!CL17+Model!CM17+Model!CN17+Model!CO17+Model!CP17+Model!CQ17+Model!CR17+Model!CS17+Model!CT17</f>
        <v>6501114</v>
      </c>
      <c r="J12" s="71">
        <f>Model!CU17+Model!CV17+Model!CW17+Model!CX17+Model!CY17+Model!CZ17+Model!DA17+Model!DB17+Model!DC17+Model!DD17+Model!DE17+Model!DF17</f>
        <v>1914216.8999999997</v>
      </c>
    </row>
    <row r="13" spans="1:10" ht="15" customHeight="1" x14ac:dyDescent="0.25">
      <c r="A13" s="66" t="s">
        <v>19</v>
      </c>
      <c r="B13" s="67">
        <f>Model!C18+Model!D18+Model!E18+Model!F18+Model!G18+Model!H18+Model!I18+Model!J18+Model!K18+Model!L18+Model!M18+Model!N18</f>
        <v>1405537.6199999999</v>
      </c>
      <c r="C13" s="67">
        <f>Model!O18+Model!P18+Model!Q18+Model!R18+Model!S18+Model!T18+Model!U18+Model!V18+Model!W18+Model!X18+Model!Y18+Model!Z18</f>
        <v>679001.54999999993</v>
      </c>
      <c r="D13" s="67">
        <f>Model!AA18+Model!AB18+Model!AC18+Model!AD18+Model!AE18+Model!AF18+Model!AG18+Model!AH18+Model!AI18+Model!AJ18+Model!AK18+Model!AL18</f>
        <v>620319.48</v>
      </c>
      <c r="E13" s="67">
        <f>Model!AM18+Model!AN18+Model!AO18+Model!AP18+Model!AQ18+Model!AR18+Model!AS18+Model!AT18+Model!AU18+Model!AV18+Model!AW18+Model!AX18</f>
        <v>0</v>
      </c>
      <c r="F13" s="67">
        <f>Model!AY18+Model!AZ18+Model!BA18+Model!BB18+Model!BC18+Model!BD18+Model!BE18+Model!BF18+Model!BG18+Model!BH18+Model!BI18+Model!BJ18</f>
        <v>0</v>
      </c>
      <c r="G13" s="67">
        <f>Model!BK18+Model!BL18+Model!BM18+Model!BN18+Model!BO18+Model!BP18+Model!BQ18+Model!BR18+Model!BS18+Model!BT18+Model!BU18+Model!BV18</f>
        <v>0</v>
      </c>
      <c r="H13" s="67">
        <f>Model!BW18+Model!BX18+Model!BY18+Model!BZ18+Model!CA18+Model!CB18+Model!CC18+Model!CD18+Model!CE18+Model!CF18+Model!CG18+Model!CH18</f>
        <v>0</v>
      </c>
      <c r="I13" s="67">
        <f>Model!CI18+Model!CJ18+Model!CK18+Model!CL18+Model!CM18+Model!CN18+Model!CO18+Model!CP18+Model!CQ18+Model!CR18+Model!CS18+Model!CT18</f>
        <v>0</v>
      </c>
      <c r="J13" s="67">
        <f>Model!CU18+Model!CV18+Model!CW18+Model!CX18+Model!CY18+Model!CZ18+Model!DA18+Model!DB18+Model!DC18+Model!DD18+Model!DE18+Model!DF18</f>
        <v>0</v>
      </c>
    </row>
    <row r="14" spans="1:10" ht="15" customHeight="1" x14ac:dyDescent="0.25">
      <c r="A14" s="66" t="s">
        <v>20</v>
      </c>
      <c r="B14" s="67">
        <f>Model!C19+Model!D19+Model!E19+Model!F19+Model!G19+Model!H19+Model!I19+Model!J19+Model!K19+Model!L19+Model!M19+Model!N19</f>
        <v>-695365.05920000013</v>
      </c>
      <c r="C14" s="67">
        <f>Model!O19+Model!P19+Model!Q19+Model!R19+Model!S19+Model!T19+Model!U19+Model!V19+Model!W19+Model!X19+Model!Y19+Model!Z19</f>
        <v>-1471170.0250000001</v>
      </c>
      <c r="D14" s="67">
        <f>Model!AA19+Model!AB19+Model!AC19+Model!AD19+Model!AE19+Model!AF19+Model!AG19+Model!AH19+Model!AI19+Model!AJ19+Model!AK19+Model!AL19</f>
        <v>-1344025.54</v>
      </c>
      <c r="E14" s="67">
        <f>Model!AM19+Model!AN19+Model!AO19+Model!AP19+Model!AQ19+Model!AR19+Model!AS19+Model!AT19+Model!AU19+Model!AV19+Model!AW19+Model!AX19</f>
        <v>0</v>
      </c>
      <c r="F14" s="67">
        <f>Model!AY19+Model!AZ19+Model!BA19+Model!BB19+Model!BC19+Model!BD19+Model!BE19+Model!BF19+Model!BG19+Model!BH19+Model!BI19+Model!BJ19</f>
        <v>0</v>
      </c>
      <c r="G14" s="67">
        <f>Model!BK19+Model!BL19+Model!BM19+Model!BN19+Model!BO19+Model!BP19+Model!BQ19+Model!BR19+Model!BS19+Model!BT19+Model!BU19+Model!BV19</f>
        <v>0</v>
      </c>
      <c r="H14" s="67">
        <f>Model!BW19+Model!BX19+Model!BY19+Model!BZ19+Model!CA19+Model!CB19+Model!CC19+Model!CD19+Model!CE19+Model!CF19+Model!CG19+Model!CH19</f>
        <v>0</v>
      </c>
      <c r="I14" s="67">
        <f>Model!CI19+Model!CJ19+Model!CK19+Model!CL19+Model!CM19+Model!CN19+Model!CO19+Model!CP19+Model!CQ19+Model!CR19+Model!CS19+Model!CT19</f>
        <v>0</v>
      </c>
      <c r="J14" s="67">
        <f>Model!CU19+Model!CV19+Model!CW19+Model!CX19+Model!CY19+Model!CZ19+Model!DA19+Model!DB19+Model!DC19+Model!DD19+Model!DE19+Model!DF19</f>
        <v>0</v>
      </c>
    </row>
    <row r="15" spans="1:10" ht="15" customHeight="1" x14ac:dyDescent="0.25">
      <c r="A15" s="72" t="s">
        <v>21</v>
      </c>
      <c r="B15" s="73">
        <f>Model!C20+Model!D20+Model!E20+Model!F20+Model!G20+Model!H20+Model!I20+Model!J20+Model!K20+Model!L20+Model!M20+Model!N20</f>
        <v>7226346.5750715351</v>
      </c>
      <c r="C15" s="73">
        <f>Model!O20+Model!P20+Model!Q20+Model!R20+Model!S20+Model!T20+Model!U20+Model!V20+Model!W20+Model!X20+Model!Y20+Model!Z20</f>
        <v>8387279.0625079842</v>
      </c>
      <c r="D15" s="73">
        <f>Model!AA20+Model!AB20+Model!AC20+Model!AD20+Model!AE20+Model!AF20+Model!AG20+Model!AH20+Model!AI20+Model!AJ20+Model!AK20+Model!AL20</f>
        <v>7222362.6254369095</v>
      </c>
      <c r="E15" s="73">
        <f>Model!AM20+Model!AN20+Model!AO20+Model!AP20+Model!AQ20+Model!AR20+Model!AS20+Model!AT20+Model!AU20+Model!AV20+Model!AW20+Model!AX20</f>
        <v>7786484.9021326946</v>
      </c>
      <c r="F15" s="73">
        <f>Model!AY20+Model!AZ20+Model!BA20+Model!BB20+Model!BC20+Model!BD20+Model!BE20+Model!BF20+Model!BG20+Model!BH20+Model!BI20+Model!BJ20</f>
        <v>7743901.6746096108</v>
      </c>
      <c r="G15" s="73">
        <f>Model!BK20+Model!BL20+Model!BM20+Model!BN20+Model!BO20+Model!BP20+Model!BQ20+Model!BR20+Model!BS20+Model!BT20+Model!BU20+Model!BV20</f>
        <v>7873571.3999999994</v>
      </c>
      <c r="H15" s="73">
        <f>Model!BW20+Model!BX20+Model!BY20+Model!BZ20+Model!CA20+Model!CB20+Model!CC20+Model!CD20+Model!CE20+Model!CF20+Model!CG20+Model!CH20</f>
        <v>7476281.1000000015</v>
      </c>
      <c r="I15" s="73">
        <f>Model!CI20+Model!CJ20+Model!CK20+Model!CL20+Model!CM20+Model!CN20+Model!CO20+Model!CP20+Model!CQ20+Model!CR20+Model!CS20+Model!CT20</f>
        <v>6501114</v>
      </c>
      <c r="J15" s="73">
        <f>Model!CU20+Model!CV20+Model!CW20+Model!CX20+Model!CY20+Model!CZ20+Model!DA20+Model!DB20+Model!DC20+Model!DD20+Model!DE20+Model!DF20</f>
        <v>1914216.8999999997</v>
      </c>
    </row>
    <row r="16" spans="1:10" ht="15" customHeight="1" x14ac:dyDescent="0.25">
      <c r="A16" s="302"/>
      <c r="B16" s="3"/>
      <c r="C16" s="3"/>
      <c r="D16" s="3"/>
      <c r="E16" s="3"/>
      <c r="F16" s="3"/>
      <c r="G16" s="3"/>
      <c r="H16" s="3"/>
      <c r="I16" s="329"/>
      <c r="J16" s="329"/>
    </row>
    <row r="17" spans="1:10" ht="15" customHeight="1" x14ac:dyDescent="0.25">
      <c r="A17" s="315" t="s">
        <v>22</v>
      </c>
      <c r="B17" s="316"/>
      <c r="C17" s="316"/>
      <c r="D17" s="316"/>
      <c r="E17" s="316"/>
      <c r="F17" s="316"/>
      <c r="G17" s="316"/>
      <c r="H17" s="316"/>
      <c r="I17" s="330"/>
      <c r="J17" s="330"/>
    </row>
    <row r="18" spans="1:10" ht="15" customHeight="1" x14ac:dyDescent="0.25">
      <c r="A18" s="13" t="s">
        <v>23</v>
      </c>
      <c r="B18" s="74">
        <f>SUM(Model!C23:N24)+SUM(Model!C26:N30)</f>
        <v>-3064374.1233333331</v>
      </c>
      <c r="C18" s="74">
        <f>SUM(Model!O23:Z24)+SUM(Model!O26:Z30)</f>
        <v>-4440766.3563000001</v>
      </c>
      <c r="D18" s="74">
        <f>SUM(Model!AA23:AL24)+SUM(Model!AA26:AL30)</f>
        <v>-4576297.6834260011</v>
      </c>
      <c r="E18" s="74">
        <f>SUM(Model!AM23:AX24)+SUM(Model!AM26:AX30)</f>
        <v>-4667823.63709452</v>
      </c>
      <c r="F18" s="74">
        <f>SUM(Model!AY23:BJ24)+SUM(Model!AY26:BJ30)</f>
        <v>-4761180.109836407</v>
      </c>
      <c r="G18" s="74">
        <f>SUM(Model!BK23:BV24)+SUM(Model!BK26:BV30)</f>
        <v>-4856403.7120331377</v>
      </c>
      <c r="H18" s="74">
        <f>SUM(Model!BW23:CH24)+SUM(Model!BW26:CH30)</f>
        <v>-4953531.7862737998</v>
      </c>
      <c r="I18" s="74">
        <f>SUM(Model!CI23:CT24)+SUM(Model!CI26:CT30)</f>
        <v>-5052602.4219992766</v>
      </c>
      <c r="J18" s="74">
        <f>SUM(Model!CU23:DF24)+SUM(Model!CU26:DF30)</f>
        <v>-4456713.6357849352</v>
      </c>
    </row>
    <row r="19" spans="1:10" ht="15" customHeight="1" x14ac:dyDescent="0.25">
      <c r="A19" s="13" t="s">
        <v>24</v>
      </c>
      <c r="B19" s="3">
        <f>SUM(Model!C31:N53)+SUM(Model!C55:N55)</f>
        <v>-1018827.2099999995</v>
      </c>
      <c r="C19" s="3">
        <f>SUM(Model!O31:Z53)+SUM(Model!O55:Z55)</f>
        <v>-780998.44920000015</v>
      </c>
      <c r="D19" s="3">
        <f>SUM(Model!AA31:AL53)+SUM(Model!AA55:AL55)</f>
        <v>-772138.41818399983</v>
      </c>
      <c r="E19" s="3">
        <f>SUM(Model!AM31:AX53)+SUM(Model!AM55:AX55)</f>
        <v>-787581.18654768134</v>
      </c>
      <c r="F19" s="3">
        <f>SUM(Model!AY31:BJ53)+SUM(Model!AY55:BJ55)</f>
        <v>-803332.81027863314</v>
      </c>
      <c r="G19" s="3">
        <f>SUM(Model!BK31:BV53)+SUM(Model!BK55:BV55)</f>
        <v>-819399.46648420626</v>
      </c>
      <c r="H19" s="3">
        <f>SUM(Model!BW31:CH53)+SUM(Model!BW55:CH55)</f>
        <v>-835787.45581389044</v>
      </c>
      <c r="I19" s="3">
        <f>SUM(Model!CI31:CT53)+SUM(Model!CI55:CT55)</f>
        <v>-852503.20493016765</v>
      </c>
      <c r="J19" s="3">
        <f>SUM(Model!CU31:DF53)+SUM(Model!CU55:DF55)</f>
        <v>-869553.26902877074</v>
      </c>
    </row>
    <row r="20" spans="1:10" ht="15" customHeight="1" x14ac:dyDescent="0.25">
      <c r="A20" s="13" t="s">
        <v>25</v>
      </c>
      <c r="B20" s="3">
        <f>SUM(Model!C25:N25)</f>
        <v>-830666.66666666686</v>
      </c>
      <c r="C20" s="3">
        <f>SUM(Model!O25:Z25)</f>
        <v>-1246000.0000000002</v>
      </c>
      <c r="D20" s="3">
        <f>SUM(Model!AA25:AL25)</f>
        <v>-1246000.0000000002</v>
      </c>
      <c r="E20" s="3">
        <f>SUM(Model!AM25:AX25)</f>
        <v>-1246000.0000000002</v>
      </c>
      <c r="F20" s="3">
        <f>SUM(Model!AY25:BJ25)</f>
        <v>-1246000.0000000002</v>
      </c>
      <c r="G20" s="3">
        <f>SUM(Model!BK25:BV25)</f>
        <v>-1246000.0000000002</v>
      </c>
      <c r="H20" s="3">
        <f>SUM(Model!BW25:CH25)</f>
        <v>-1246000.0000000002</v>
      </c>
      <c r="I20" s="3">
        <f>SUM(Model!CI25:CT25)</f>
        <v>-1246000.0000000002</v>
      </c>
      <c r="J20" s="3">
        <f>SUM(Model!CU25:DF25)</f>
        <v>-1246000.0000000002</v>
      </c>
    </row>
    <row r="21" spans="1:10" ht="15" customHeight="1" x14ac:dyDescent="0.25">
      <c r="A21" s="13" t="s">
        <v>26</v>
      </c>
      <c r="B21" s="3">
        <f ca="1">SUM(Model!C54:N54)</f>
        <v>0</v>
      </c>
      <c r="C21" s="3">
        <f ca="1">SUM(Model!O54:Z54)</f>
        <v>0</v>
      </c>
      <c r="D21" s="3">
        <f ca="1">SUM(Model!AA54:AL54)</f>
        <v>-37500</v>
      </c>
      <c r="E21" s="3">
        <f ca="1">SUM(Model!AM54:AX54)</f>
        <v>-127500</v>
      </c>
      <c r="F21" s="3">
        <f ca="1">SUM(Model!AY54:BJ54)</f>
        <v>-120000</v>
      </c>
      <c r="G21" s="3">
        <f ca="1">SUM(Model!BK54:BV54)</f>
        <v>-172500</v>
      </c>
      <c r="H21" s="3">
        <f ca="1">SUM(Model!BW54:CH54)</f>
        <v>-146212.14909414636</v>
      </c>
      <c r="I21" s="3">
        <f ca="1">SUM(Model!CI54:CT54)</f>
        <v>-37500</v>
      </c>
      <c r="J21" s="3">
        <f ca="1">SUM(Model!CU54:DF54)</f>
        <v>37500</v>
      </c>
    </row>
    <row r="22" spans="1:10" ht="15" customHeight="1" x14ac:dyDescent="0.25">
      <c r="A22" s="18" t="s">
        <v>27</v>
      </c>
      <c r="B22" s="20">
        <f ca="1">SUM(Model!C56:N56)</f>
        <v>-4913868</v>
      </c>
      <c r="C22" s="20">
        <f ca="1">SUM(Model!O56:Z56)</f>
        <v>-6467764.8055000016</v>
      </c>
      <c r="D22" s="20">
        <f ca="1">SUM(Model!AA56:AL56)</f>
        <v>-6631936.1016099993</v>
      </c>
      <c r="E22" s="20">
        <f ca="1">SUM(Model!AM56:AX56)</f>
        <v>-6828904.8236422008</v>
      </c>
      <c r="F22" s="20">
        <f ca="1">SUM(Model!AY56:BJ56)</f>
        <v>-6930512.9201150406</v>
      </c>
      <c r="G22" s="20">
        <f ca="1">SUM(Model!BK56:BV56)</f>
        <v>-7094303.1785173425</v>
      </c>
      <c r="H22" s="20">
        <f ca="1">SUM(Model!BW56:CH56)</f>
        <v>-7181531.3911818359</v>
      </c>
      <c r="I22" s="20">
        <f ca="1">SUM(Model!CI56:CT56)</f>
        <v>-7188605.6269294461</v>
      </c>
      <c r="J22" s="20">
        <f ca="1">SUM(Model!CU56:DF56)</f>
        <v>-6534766.9048137059</v>
      </c>
    </row>
    <row r="23" spans="1:10" ht="15" customHeight="1" x14ac:dyDescent="0.25">
      <c r="A23" s="24" t="s">
        <v>28</v>
      </c>
      <c r="B23" s="25">
        <f ca="1">SUM(Model!C57:N57)</f>
        <v>2312478.5750715346</v>
      </c>
      <c r="C23" s="25">
        <f ca="1">SUM(Model!O57:Z57)</f>
        <v>1919514.2570079844</v>
      </c>
      <c r="D23" s="25">
        <f ca="1">SUM(Model!AA57:AL57)</f>
        <v>590426.52382691181</v>
      </c>
      <c r="E23" s="25">
        <f ca="1">SUM(Model!AM57:AX57)</f>
        <v>957580.07849049417</v>
      </c>
      <c r="F23" s="25">
        <f ca="1">SUM(Model!AY57:BJ57)</f>
        <v>813388.7544945695</v>
      </c>
      <c r="G23" s="25">
        <f ca="1">SUM(Model!BK57:BV57)</f>
        <v>779268.2214826562</v>
      </c>
      <c r="H23" s="25">
        <f ca="1">SUM(Model!BW57:CH57)</f>
        <v>294749.70881816687</v>
      </c>
      <c r="I23" s="25">
        <f ca="1">SUM(Model!CI57:CT57)</f>
        <v>-687491.62692944647</v>
      </c>
      <c r="J23" s="25">
        <f ca="1">SUM(Model!CU57:DF57)</f>
        <v>-4620550.0048137074</v>
      </c>
    </row>
    <row r="24" spans="1:10" ht="15" customHeight="1" x14ac:dyDescent="0.25">
      <c r="A24" s="13" t="s">
        <v>29</v>
      </c>
      <c r="B24" s="75">
        <f t="shared" ref="B24:J24" ca="1" si="0">IFERROR(IF(OR(B15&lt;=0,B23/B15&lt;0,B23/B15&gt;1),0,B23/B15),0)</f>
        <v>0.3200065968395161</v>
      </c>
      <c r="C24" s="75">
        <f t="shared" ca="1" si="0"/>
        <v>0.2288601872791397</v>
      </c>
      <c r="D24" s="75">
        <f t="shared" ca="1" si="0"/>
        <v>8.174977558554733E-2</v>
      </c>
      <c r="E24" s="75">
        <f t="shared" ca="1" si="0"/>
        <v>0.12297976436430461</v>
      </c>
      <c r="F24" s="75">
        <f t="shared" ca="1" si="0"/>
        <v>0.10503603850775577</v>
      </c>
      <c r="G24" s="75">
        <f t="shared" ca="1" si="0"/>
        <v>9.8972649372641275E-2</v>
      </c>
      <c r="H24" s="75">
        <f t="shared" ca="1" si="0"/>
        <v>3.9424642395825223E-2</v>
      </c>
      <c r="I24" s="75">
        <f t="shared" ca="1" si="0"/>
        <v>0</v>
      </c>
      <c r="J24" s="75">
        <f t="shared" ca="1" si="0"/>
        <v>0</v>
      </c>
    </row>
    <row r="25" spans="1:10" ht="15" customHeight="1" x14ac:dyDescent="0.25">
      <c r="A25" s="2" t="s">
        <v>30</v>
      </c>
      <c r="B25" s="76">
        <f>Model!F80+Model!G80+Model!H80+Model!I80+Model!J80+Model!K80+Model!L80+Model!M80+Model!N80+Model!C80+Model!D80+Model!E80</f>
        <v>472791.64000000007</v>
      </c>
      <c r="C25" s="76">
        <f>Model!O80+Model!P80+Model!Q80+Model!R80+Model!S80+Model!T80+Model!U80+Model!V80+Model!W80+Model!X80+Model!Y80+Model!Z80</f>
        <v>813221.42399999988</v>
      </c>
      <c r="D25" s="76">
        <f>Model!AA80+Model!AB80+Model!AC80+Model!AD80+Model!AE80+Model!AF80+Model!AG80+Model!AH80+Model!AI80+Model!AJ80+Model!AK80+Model!AL80</f>
        <v>2050567.6580000001</v>
      </c>
      <c r="E25" s="76">
        <f>Model!AM80+Model!AN80+Model!AO80+Model!AP80+Model!AQ80+Model!AR80+Model!AS80+Model!AT80+Model!AU80+Model!AV80+Model!AW80+Model!AX80</f>
        <v>1213040.7745000001</v>
      </c>
      <c r="F25" s="76">
        <f>Model!AY80+Model!AZ80+Model!BA80+Model!BB80+Model!BC80+Model!BD80+Model!BE80+Model!BF80+Model!BG80+Model!BH80+Model!BI80+Model!BJ80</f>
        <v>1748083.8310000005</v>
      </c>
      <c r="G25" s="76">
        <f>Model!BK80+Model!BL80+Model!BM80+Model!BN80+Model!BO80+Model!BP80+Model!BQ80+Model!BR80+Model!BS80+Model!BT80+Model!BU80+Model!BV80</f>
        <v>778990.88650000002</v>
      </c>
      <c r="H25" s="76">
        <f>Model!BW80+Model!BX80+Model!BY80+Model!BZ80+Model!CA80+Model!CB80+Model!CC80+Model!CD80+Model!CE80+Model!CF80+Model!CG80+Model!CH80</f>
        <v>819993</v>
      </c>
      <c r="I25" s="76">
        <f>Model!CI80+Model!CJ80+Model!CK80+Model!CL80+Model!CM80+Model!CN80+Model!CO80+Model!CP80+Model!CQ80+Model!CR80+Model!CS80+Model!CT80</f>
        <v>2310160</v>
      </c>
      <c r="J25" s="76">
        <f>Model!CU80+Model!CV80+Model!CW80+Model!CX80+Model!CY80+Model!CZ80+Model!DA80+Model!DB80+Model!DC80+Model!DD80+Model!DE80+Model!DF80</f>
        <v>2772192</v>
      </c>
    </row>
    <row r="26" spans="1:10" ht="15" customHeight="1" x14ac:dyDescent="0.25">
      <c r="A26" s="13" t="s">
        <v>31</v>
      </c>
      <c r="B26" s="3">
        <f>Model!F111+Model!G111+Model!H111+Model!I111+Model!J111+Model!K111+Model!L111+Model!M111+Model!N111+Model!C111+Model!D111+Model!E111</f>
        <v>-1446157.7533333332</v>
      </c>
      <c r="C26" s="3">
        <f>Model!O111+Model!P111+Model!Q111+Model!R111+Model!S111+Model!T111+Model!U111+Model!V111+Model!W111+Model!X111+Model!Y111+Model!Z111</f>
        <v>-951137.31649999996</v>
      </c>
      <c r="D26" s="3">
        <f>Model!AA111+Model!AB111+Model!AC111+Model!AD111+Model!AE111+Model!AF111+Model!AG111+Model!AH111+Model!AI111+Model!AJ111+Model!AK111+Model!AL111</f>
        <v>-970160.06283000007</v>
      </c>
      <c r="E26" s="3">
        <f>Model!AM111+Model!AN111+Model!AO111+Model!AP111+Model!AQ111+Model!AR111+Model!AS111+Model!AT111+Model!AU111+Model!AV111+Model!AW111+Model!AX111</f>
        <v>-1152928.2640865999</v>
      </c>
      <c r="F26" s="3">
        <f>Model!AY111+Model!AZ111+Model!BA111+Model!BB111+Model!BC111+Model!BD111+Model!BE111+Model!BF111+Model!BG111+Model!BH111+Model!BI111+Model!BJ111</f>
        <v>-2286311.5293683317</v>
      </c>
      <c r="G26" s="3">
        <f>Model!BK111+Model!BL111+Model!BM111+Model!BN111+Model!BO111+Model!BP111+Model!BQ111+Model!BR111+Model!BS111+Model!BT111+Model!BU111+Model!BV111</f>
        <v>-1456826.0999556989</v>
      </c>
      <c r="H26" s="3">
        <f>Model!BW111+Model!BX111+Model!BY111+Model!BZ111+Model!CA111+Model!CB111+Model!CC111+Model!CD111+Model!CE111+Model!CF111+Model!CG111+Model!CH111</f>
        <v>-1581603.452354813</v>
      </c>
      <c r="I26" s="3">
        <f>Model!CI111+Model!CJ111+Model!CK111+Model!CL111+Model!CM111+Model!CN111+Model!CO111+Model!CP111+Model!CQ111+Model!CR111+Model!CS111+Model!CT111</f>
        <v>-1877439.0747954296</v>
      </c>
      <c r="J26" s="3">
        <f>Model!CU111+Model!CV111+Model!CW111+Model!CX111+Model!CY111+Model!CZ111+Model!DA111+Model!DB111+Model!DC111+Model!DD111+Model!DE111+Model!DF111</f>
        <v>-1306224.2030601155</v>
      </c>
    </row>
    <row r="27" spans="1:10" ht="15" customHeight="1" x14ac:dyDescent="0.25">
      <c r="A27" s="24" t="s">
        <v>32</v>
      </c>
      <c r="B27" s="25">
        <f>Model!F113+Model!G113+Model!H113+Model!I113+Model!J113+Model!K113+Model!L113+Model!M113+Model!N113+Model!C113+Model!D113+Model!E113</f>
        <v>-973366.1133333334</v>
      </c>
      <c r="C27" s="25">
        <f>Model!O113+Model!P113+Model!Q113+Model!R113+Model!S113+Model!T113+Model!U113+Model!V113+Model!W113+Model!X113+Model!Y113+Model!Z113</f>
        <v>-137915.89250000002</v>
      </c>
      <c r="D27" s="25">
        <f>Model!AA113+Model!AB113+Model!AC113+Model!AD113+Model!AE113+Model!AF113+Model!AG113+Model!AH113+Model!AI113+Model!AJ113+Model!AK113+Model!AL113</f>
        <v>1080407.5951700001</v>
      </c>
      <c r="E27" s="25">
        <f>Model!AM113+Model!AN113+Model!AO113+Model!AP113+Model!AQ113+Model!AR113+Model!AS113+Model!AT113+Model!AU113+Model!AV113+Model!AW113+Model!AX113</f>
        <v>60112.510413400189</v>
      </c>
      <c r="F27" s="25">
        <f>Model!AY113+Model!AZ113+Model!BA113+Model!BB113+Model!BC113+Model!BD113+Model!BE113+Model!BF113+Model!BG113+Model!BH113+Model!BI113+Model!BJ113</f>
        <v>-538227.69836833188</v>
      </c>
      <c r="G27" s="25">
        <f>Model!BK113+Model!BL113+Model!BM113+Model!BN113+Model!BO113+Model!BP113+Model!BQ113+Model!BR113+Model!BS113+Model!BT113+Model!BU113+Model!BV113</f>
        <v>-677835.2134556988</v>
      </c>
      <c r="H27" s="25">
        <f>Model!BW113+Model!BX113+Model!BY113+Model!BZ113+Model!CA113+Model!CB113+Model!CC113+Model!CD113+Model!CE113+Model!CF113+Model!CG113+Model!CH113</f>
        <v>-761610.45235481265</v>
      </c>
      <c r="I27" s="25">
        <f>Model!CI113+Model!CJ113+Model!CK113+Model!CL113+Model!CM113+Model!CN113+Model!CO113+Model!CP113+Model!CQ113+Model!CR113+Model!CS113+Model!CT113</f>
        <v>432720.92520457029</v>
      </c>
      <c r="J27" s="25">
        <f>Model!CU113+Model!CV113+Model!CW113+Model!CX113+Model!CY113+Model!CZ113+Model!DA113+Model!DB113+Model!DC113+Model!DD113+Model!DE113+Model!DF113</f>
        <v>1465967.7969398848</v>
      </c>
    </row>
    <row r="28" spans="1:10" ht="15" customHeight="1" x14ac:dyDescent="0.25">
      <c r="A28" s="302"/>
      <c r="B28" s="3"/>
      <c r="C28" s="3"/>
      <c r="D28" s="3"/>
      <c r="E28" s="3"/>
      <c r="F28" s="3"/>
      <c r="G28" s="3"/>
      <c r="H28" s="3"/>
      <c r="I28" s="329"/>
      <c r="J28" s="329"/>
    </row>
    <row r="29" spans="1:10" ht="15" customHeight="1" x14ac:dyDescent="0.25">
      <c r="A29" s="24" t="s">
        <v>33</v>
      </c>
      <c r="B29" s="25">
        <f ca="1">Model!F122+Model!G122+Model!H122+Model!I122+Model!J122+Model!K122+Model!L122+Model!M122+Model!N122+Model!C122+Model!D122+Model!E122</f>
        <v>1339112.4617382013</v>
      </c>
      <c r="C29" s="25">
        <f ca="1">Model!O122+Model!P122+Model!Q122+Model!R122+Model!S122+Model!T122+Model!U122+Model!V122+Model!W122+Model!X122+Model!Y122+Model!Z122</f>
        <v>1781598.3645079844</v>
      </c>
      <c r="D29" s="25">
        <f ca="1">Model!AA122+Model!AB122+Model!AC122+Model!AD122+Model!AE122+Model!AF122+Model!AG122+Model!AH122+Model!AI122+Model!AJ122+Model!AK122+Model!AL122</f>
        <v>1670834.1189969117</v>
      </c>
      <c r="E29" s="25">
        <f ca="1">Model!AM122+Model!AN122+Model!AO122+Model!AP122+Model!AQ122+Model!AR122+Model!AS122+Model!AT122+Model!AU122+Model!AV122+Model!AW122+Model!AX122</f>
        <v>1017692.5889038946</v>
      </c>
      <c r="F29" s="25">
        <f ca="1">Model!AY122+Model!AZ122+Model!BA122+Model!BB122+Model!BC122+Model!BD122+Model!BE122+Model!BF122+Model!BG122+Model!BH122+Model!BI122+Model!BJ122</f>
        <v>275161.0561262382</v>
      </c>
      <c r="G29" s="25">
        <f ca="1">Model!BK122+Model!BL122+Model!BM122+Model!BN122+Model!BO122+Model!BP122+Model!BQ122+Model!BR122+Model!BS122+Model!BT122+Model!BU122+Model!BV122</f>
        <v>101433.00802695716</v>
      </c>
      <c r="H29" s="25">
        <f ca="1">Model!BW122+Model!BX122+Model!BY122+Model!BZ122+Model!CA122+Model!CB122+Model!CC122+Model!CD122+Model!CE122+Model!CF122+Model!CG122+Model!CH122</f>
        <v>-466860.74353664578</v>
      </c>
      <c r="I29" s="25">
        <f ca="1">Model!CI122+Model!CJ122+Model!CK122+Model!CL122+Model!CM122+Model!CN122+Model!CO122+Model!CP122+Model!CQ122+Model!CR122+Model!CS122+Model!CT122</f>
        <v>-254770.70172487618</v>
      </c>
      <c r="J29" s="25">
        <f ca="1">Model!CU122+Model!CV122+Model!CW122+Model!CX122+Model!CY122+Model!CZ122+Model!DA122+Model!DB122+Model!DC122+Model!DD122+Model!DE122+Model!DF122</f>
        <v>-3154582.2078738222</v>
      </c>
    </row>
    <row r="30" spans="1:10" ht="15" customHeight="1" x14ac:dyDescent="0.25">
      <c r="A30" s="302"/>
      <c r="B30" s="3"/>
      <c r="C30" s="3"/>
      <c r="D30" s="3"/>
      <c r="E30" s="3"/>
      <c r="F30" s="3"/>
      <c r="G30" s="3"/>
      <c r="H30" s="3"/>
      <c r="I30" s="329"/>
      <c r="J30" s="329"/>
    </row>
    <row r="31" spans="1:10" ht="15" customHeight="1" x14ac:dyDescent="0.25">
      <c r="A31" s="315" t="s">
        <v>34</v>
      </c>
      <c r="B31" s="316"/>
      <c r="C31" s="316"/>
      <c r="D31" s="316"/>
      <c r="E31" s="316"/>
      <c r="F31" s="316"/>
      <c r="G31" s="316"/>
      <c r="H31" s="316"/>
      <c r="I31" s="330"/>
      <c r="J31" s="330"/>
    </row>
    <row r="32" spans="1:10" ht="15" customHeight="1" x14ac:dyDescent="0.25">
      <c r="A32" s="13" t="s">
        <v>35</v>
      </c>
      <c r="B32" s="3">
        <f>Model!F106+Model!G106+Model!H106+Model!I106+Model!J106+Model!K106+Model!L106+Model!M106+Model!N106+Model!C106+Model!D106+Model!E106</f>
        <v>0</v>
      </c>
      <c r="C32" s="3">
        <f>Model!O106+Model!P106+Model!Q106+Model!R106+Model!S106+Model!T106+Model!U106+Model!V106+Model!W106+Model!X106+Model!Y106+Model!Z106</f>
        <v>0</v>
      </c>
      <c r="D32" s="3">
        <f>Model!AA106+Model!AB106+Model!AC106+Model!AD106+Model!AE106+Model!AF106+Model!AG106+Model!AH106+Model!AI106+Model!AJ106+Model!AK106+Model!AL106</f>
        <v>0</v>
      </c>
      <c r="E32" s="3">
        <f>Model!AM106+Model!AN106+Model!AO106+Model!AP106+Model!AQ106+Model!AR106+Model!AS106+Model!AT106+Model!AU106+Model!AV106+Model!AW106+Model!AX106</f>
        <v>0</v>
      </c>
      <c r="F32" s="3">
        <f>Model!AY106+Model!AZ106+Model!BA106+Model!BB106+Model!BC106+Model!BD106+Model!BE106+Model!BF106+Model!BG106+Model!BH106+Model!BI106+Model!BJ106</f>
        <v>0</v>
      </c>
      <c r="G32" s="3">
        <f>Model!BK106+Model!BL106+Model!BM106+Model!BN106+Model!BO106+Model!BP106+Model!BQ106+Model!BR106+Model!BS106+Model!BT106+Model!BU106+Model!BV106</f>
        <v>0</v>
      </c>
      <c r="H32" s="3">
        <f>Model!BW106+Model!BX106+Model!BY106+Model!BZ106+Model!CA106+Model!CB106+Model!CC106+Model!CD106+Model!CE106+Model!CF106+Model!CG106+Model!CH106</f>
        <v>0</v>
      </c>
      <c r="I32" s="3">
        <f>Model!CI106+Model!CJ106+Model!CK106+Model!CL106+Model!CM106+Model!CN106+Model!CO106+Model!CP106+Model!CQ106+Model!CR106+Model!CS106+Model!CT106</f>
        <v>0</v>
      </c>
      <c r="J32" s="3">
        <f>Model!CU106+Model!CV106+Model!CW106+Model!CX106+Model!CY106+Model!CZ106+Model!DA106+Model!DB106+Model!DC106+Model!DD106+Model!DE106+Model!DF106</f>
        <v>0</v>
      </c>
    </row>
    <row r="33" spans="1:10" ht="15" customHeight="1" x14ac:dyDescent="0.25">
      <c r="A33" s="13" t="s">
        <v>36</v>
      </c>
      <c r="B33" s="3">
        <f>Model!F107+Model!G107+Model!H107+Model!I107+Model!J107+Model!K107+Model!L107+Model!M107+Model!N107+Model!C107+Model!D107+Model!E107</f>
        <v>0</v>
      </c>
      <c r="C33" s="3">
        <f>Model!O107+Model!P107+Model!Q107+Model!R107+Model!S107+Model!T107+Model!U107+Model!V107+Model!W107+Model!X107+Model!Y107+Model!Z107</f>
        <v>0</v>
      </c>
      <c r="D33" s="3">
        <f>Model!AA107+Model!AB107+Model!AC107+Model!AD107+Model!AE107+Model!AF107+Model!AG107+Model!AH107+Model!AI107+Model!AJ107+Model!AK107+Model!AL107</f>
        <v>0</v>
      </c>
      <c r="E33" s="3">
        <f>Model!AM107+Model!AN107+Model!AO107+Model!AP107+Model!AQ107+Model!AR107+Model!AS107+Model!AT107+Model!AU107+Model!AV107+Model!AW107+Model!AX107</f>
        <v>0</v>
      </c>
      <c r="F33" s="3">
        <f>Model!AY107+Model!AZ107+Model!BA107+Model!BB107+Model!BC107+Model!BD107+Model!BE107+Model!BF107+Model!BG107+Model!BH107+Model!BI107+Model!BJ107</f>
        <v>0</v>
      </c>
      <c r="G33" s="3">
        <f>Model!BK107+Model!BL107+Model!BM107+Model!BN107+Model!BO107+Model!BP107+Model!BQ107+Model!BR107+Model!BS107+Model!BT107+Model!BU107+Model!BV107</f>
        <v>0</v>
      </c>
      <c r="H33" s="3">
        <f>Model!BW107+Model!BX107+Model!BY107+Model!BZ107+Model!CA107+Model!CB107+Model!CC107+Model!CD107+Model!CE107+Model!CF107+Model!CG107+Model!CH107</f>
        <v>0</v>
      </c>
      <c r="I33" s="3">
        <f>Model!CI107+Model!CJ107+Model!CK107+Model!CL107+Model!CM107+Model!CN107+Model!CO107+Model!CP107+Model!CQ107+Model!CR107+Model!CS107+Model!CT107</f>
        <v>0</v>
      </c>
      <c r="J33" s="3">
        <f>Model!CU107+Model!CV107+Model!CW107+Model!CX107+Model!CY107+Model!CZ107+Model!DA107+Model!DB107+Model!DC107+Model!DD107+Model!DE107+Model!DF107</f>
        <v>0</v>
      </c>
    </row>
    <row r="34" spans="1:10" ht="15" customHeight="1" x14ac:dyDescent="0.25">
      <c r="A34" s="13" t="s">
        <v>37</v>
      </c>
      <c r="B34" s="3">
        <f>Model!F108+Model!G108+Model!H108+Model!I108+Model!J108+Model!K108+Model!L108+Model!M108+Model!N108+Model!C108+Model!D108+Model!E108</f>
        <v>0</v>
      </c>
      <c r="C34" s="3">
        <f>Model!O108+Model!P108+Model!Q108+Model!R108+Model!S108+Model!T108+Model!U108+Model!V108+Model!W108+Model!X108+Model!Y108+Model!Z108</f>
        <v>0</v>
      </c>
      <c r="D34" s="3">
        <f>Model!AA108+Model!AB108+Model!AC108+Model!AD108+Model!AE108+Model!AF108+Model!AG108+Model!AH108+Model!AI108+Model!AJ108+Model!AK108+Model!AL108</f>
        <v>0</v>
      </c>
      <c r="E34" s="3">
        <f>Model!AM108+Model!AN108+Model!AO108+Model!AP108+Model!AQ108+Model!AR108+Model!AS108+Model!AT108+Model!AU108+Model!AV108+Model!AW108+Model!AX108</f>
        <v>-163365</v>
      </c>
      <c r="F34" s="3">
        <f>Model!AY108+Model!AZ108+Model!BA108+Model!BB108+Model!BC108+Model!BD108+Model!BE108+Model!BF108+Model!BG108+Model!BH108+Model!BI108+Model!BJ108</f>
        <v>-281718</v>
      </c>
      <c r="G34" s="3">
        <f>Model!BK108+Model!BL108+Model!BM108+Model!BN108+Model!BO108+Model!BP108+Model!BQ108+Model!BR108+Model!BS108+Model!BT108+Model!BU108+Model!BV108</f>
        <v>-134601.47999999998</v>
      </c>
      <c r="H34" s="3">
        <f>Model!BW108+Model!BX108+Model!BY108+Model!BZ108+Model!CA108+Model!CB108+Model!CC108+Model!CD108+Model!CE108+Model!CF108+Model!CG108+Model!CH108</f>
        <v>0</v>
      </c>
      <c r="I34" s="3">
        <f>Model!CI108+Model!CJ108+Model!CK108+Model!CL108+Model!CM108+Model!CN108+Model!CO108+Model!CP108+Model!CQ108+Model!CR108+Model!CS108+Model!CT108</f>
        <v>0</v>
      </c>
      <c r="J34" s="3">
        <f>Model!CU108+Model!CV108+Model!CW108+Model!CX108+Model!CY108+Model!CZ108+Model!DA108+Model!DB108+Model!DC108+Model!DD108+Model!DE108+Model!DF108</f>
        <v>0</v>
      </c>
    </row>
    <row r="35" spans="1:10" ht="15" customHeight="1" x14ac:dyDescent="0.25">
      <c r="A35" s="13" t="s">
        <v>38</v>
      </c>
      <c r="B35" s="3">
        <f>Model!F109+Model!G109+Model!H109+Model!I109+Model!J109+Model!K109+Model!L109+Model!M109+Model!N109+Model!C109+Model!D109+Model!E109</f>
        <v>0</v>
      </c>
      <c r="C35" s="3">
        <f>Model!O109+Model!P109+Model!Q109+Model!R109+Model!S109+Model!T109+Model!U109+Model!V109+Model!W109+Model!X109+Model!Y109+Model!Z109</f>
        <v>0</v>
      </c>
      <c r="D35" s="3">
        <f>Model!AA109+Model!AB109+Model!AC109+Model!AD109+Model!AE109+Model!AF109+Model!AG109+Model!AH109+Model!AI109+Model!AJ109+Model!AK109+Model!AL109</f>
        <v>0</v>
      </c>
      <c r="E35" s="3">
        <f>Model!AM109+Model!AN109+Model!AO109+Model!AP109+Model!AQ109+Model!AR109+Model!AS109+Model!AT109+Model!AU109+Model!AV109+Model!AW109+Model!AX109</f>
        <v>0</v>
      </c>
      <c r="F35" s="3">
        <f>Model!AY109+Model!AZ109+Model!BA109+Model!BB109+Model!BC109+Model!BD109+Model!BE109+Model!BF109+Model!BG109+Model!BH109+Model!BI109+Model!BJ109</f>
        <v>-995239</v>
      </c>
      <c r="G35" s="3">
        <f>Model!BK109+Model!BL109+Model!BM109+Model!BN109+Model!BO109+Model!BP109+Model!BQ109+Model!BR109+Model!BS109+Model!BT109+Model!BU109+Model!BV109</f>
        <v>-292683</v>
      </c>
      <c r="H35" s="3">
        <f>Model!BW109+Model!BX109+Model!BY109+Model!BZ109+Model!CA109+Model!CB109+Model!CC109+Model!CD109+Model!CE109+Model!CF109+Model!CG109+Model!CH109</f>
        <v>-312005</v>
      </c>
      <c r="I35" s="3">
        <f>Model!CI109+Model!CJ109+Model!CK109+Model!CL109+Model!CM109+Model!CN109+Model!CO109+Model!CP109+Model!CQ109+Model!CR109+Model!CS109+Model!CT109</f>
        <v>-74753.973393520777</v>
      </c>
      <c r="J35" s="3">
        <f>Model!CU109+Model!CV109+Model!CW109+Model!CX109+Model!CY109+Model!CZ109+Model!DA109+Model!DB109+Model!DC109+Model!DD109+Model!DE109+Model!DF109</f>
        <v>0</v>
      </c>
    </row>
    <row r="36" spans="1:10" ht="15" customHeight="1" x14ac:dyDescent="0.25">
      <c r="A36" s="13" t="s">
        <v>39</v>
      </c>
      <c r="B36" s="3">
        <f>Model!F110+Model!G110+Model!H110+Model!I110+Model!J110+Model!K110+Model!L110+Model!M110+Model!N110+Model!C110+Model!D110+Model!E110</f>
        <v>0</v>
      </c>
      <c r="C36" s="3">
        <f>Model!O110+Model!P110+Model!Q110+Model!R110+Model!S110+Model!T110+Model!U110+Model!V110+Model!W110+Model!X110+Model!Y110+Model!Z110</f>
        <v>0</v>
      </c>
      <c r="D36" s="3">
        <f>Model!AA110+Model!AB110+Model!AC110+Model!AD110+Model!AE110+Model!AF110+Model!AG110+Model!AH110+Model!AI110+Model!AJ110+Model!AK110+Model!AL110</f>
        <v>0</v>
      </c>
      <c r="E36" s="3">
        <f>Model!AM110+Model!AN110+Model!AO110+Model!AP110+Model!AQ110+Model!AR110+Model!AS110+Model!AT110+Model!AU110+Model!AV110+Model!AW110+Model!AX110</f>
        <v>0</v>
      </c>
      <c r="F36" s="3">
        <f>Model!AY110+Model!AZ110+Model!BA110+Model!BB110+Model!BC110+Model!BD110+Model!BE110+Model!BF110+Model!BG110+Model!BH110+Model!BI110+Model!BJ110</f>
        <v>0</v>
      </c>
      <c r="G36" s="3">
        <f>Model!BK110+Model!BL110+Model!BM110+Model!BN110+Model!BO110+Model!BP110+Model!BQ110+Model!BR110+Model!BS110+Model!BT110+Model!BU110+Model!BV110</f>
        <v>0</v>
      </c>
      <c r="H36" s="3">
        <f>Model!BW110+Model!BX110+Model!BY110+Model!BZ110+Model!CA110+Model!CB110+Model!CC110+Model!CD110+Model!CE110+Model!CF110+Model!CG110+Model!CH110</f>
        <v>-219466</v>
      </c>
      <c r="I36" s="3">
        <f>Model!CI110+Model!CJ110+Model!CK110+Model!CL110+Model!CM110+Model!CN110+Model!CO110+Model!CP110+Model!CQ110+Model!CR110+Model!CS110+Model!CT110</f>
        <v>-731550</v>
      </c>
      <c r="J36" s="3">
        <f>Model!CU110+Model!CV110+Model!CW110+Model!CX110+Model!CY110+Model!CZ110+Model!DA110+Model!DB110+Model!DC110+Model!DD110+Model!DE110+Model!DF110</f>
        <v>-236911.84893640719</v>
      </c>
    </row>
    <row r="37" spans="1:10" ht="15" customHeight="1" x14ac:dyDescent="0.25">
      <c r="A37" s="302"/>
      <c r="B37" s="3"/>
      <c r="C37" s="3"/>
      <c r="D37" s="3"/>
      <c r="E37" s="3"/>
      <c r="F37" s="3"/>
      <c r="G37" s="3"/>
      <c r="H37" s="3"/>
      <c r="I37" s="329"/>
      <c r="J37" s="329"/>
    </row>
    <row r="38" spans="1:10" ht="15" customHeight="1" x14ac:dyDescent="0.25">
      <c r="A38" s="315" t="s">
        <v>40</v>
      </c>
      <c r="B38" s="316"/>
      <c r="C38" s="316"/>
      <c r="D38" s="316"/>
      <c r="E38" s="316"/>
      <c r="F38" s="316"/>
      <c r="G38" s="316"/>
      <c r="H38" s="316"/>
      <c r="I38" s="330"/>
      <c r="J38" s="330"/>
    </row>
    <row r="39" spans="1:10" ht="15" customHeight="1" x14ac:dyDescent="0.25">
      <c r="A39" s="13" t="s">
        <v>41</v>
      </c>
      <c r="B39" s="3">
        <f>Model!F130+Model!G130+Model!H130+Model!I130+Model!J130+Model!K130+Model!L130+Model!M130+Model!N130+Model!C130+Model!D130+Model!E130</f>
        <v>-390000</v>
      </c>
      <c r="C39" s="3">
        <f>Model!O130+Model!P130+Model!Q130+Model!R130+Model!S130+Model!T130+Model!U130+Model!V130+Model!W130+Model!X130+Model!Y130+Model!Z130</f>
        <v>-1495969.243285445</v>
      </c>
      <c r="D39" s="3">
        <f>Model!AA130+Model!AB130+Model!AC130+Model!AD130+Model!AE130+Model!AF130+Model!AG130+Model!AH130+Model!AI130+Model!AJ130+Model!AK130+Model!AL130</f>
        <v>0</v>
      </c>
      <c r="E39" s="3">
        <f>Model!AM130+Model!AN130+Model!AO130+Model!AP130+Model!AQ130+Model!AR130+Model!AS130+Model!AT130+Model!AU130+Model!AV130+Model!AW130+Model!AX130</f>
        <v>0</v>
      </c>
      <c r="F39" s="3">
        <f>Model!AY130+Model!AZ130+Model!BA130+Model!BB130+Model!BC130+Model!BD130+Model!BE130+Model!BF130+Model!BG130+Model!BH130+Model!BI130+Model!BJ130</f>
        <v>0</v>
      </c>
      <c r="G39" s="3">
        <f>Model!BK130+Model!BL130+Model!BM130+Model!BN130+Model!BO130+Model!BP130+Model!BQ130+Model!BR130+Model!BS130+Model!BT130+Model!BU130+Model!BV130</f>
        <v>0</v>
      </c>
      <c r="H39" s="3">
        <f>Model!BW130+Model!BX130+Model!BY130+Model!BZ130+Model!CA130+Model!CB130+Model!CC130+Model!CD130+Model!CE130+Model!CF130+Model!CG130+Model!CH130</f>
        <v>0</v>
      </c>
      <c r="I39" s="3">
        <f>Model!CI130+Model!CJ130+Model!CK130+Model!CL130+Model!CM130+Model!CN130+Model!CO130+Model!CP130+Model!CQ130+Model!CR130+Model!CS130+Model!CT130</f>
        <v>0</v>
      </c>
      <c r="J39" s="3">
        <f>Model!CU130+Model!CV130+Model!CW130+Model!CX130+Model!CY130+Model!CZ130+Model!DA130+Model!DB130+Model!DC130+Model!DD130+Model!DE130+Model!DF130</f>
        <v>0</v>
      </c>
    </row>
    <row r="40" spans="1:10" ht="15" customHeight="1" x14ac:dyDescent="0.25">
      <c r="A40" s="13" t="s">
        <v>42</v>
      </c>
      <c r="B40" s="3">
        <f>Model!N131</f>
        <v>1404377.581435547</v>
      </c>
      <c r="C40" s="3">
        <f>Model!Z131</f>
        <v>0</v>
      </c>
      <c r="D40" s="3">
        <f>Model!AL131</f>
        <v>0</v>
      </c>
      <c r="E40" s="3">
        <f>Model!AX131</f>
        <v>0</v>
      </c>
      <c r="F40" s="3">
        <f>Model!BJ131</f>
        <v>0</v>
      </c>
      <c r="G40" s="3">
        <f>Model!BV131</f>
        <v>0</v>
      </c>
      <c r="H40" s="3">
        <f>Model!CH131</f>
        <v>0</v>
      </c>
      <c r="I40" s="3">
        <f>Model!CT131</f>
        <v>0</v>
      </c>
      <c r="J40" s="3">
        <f>Model!DF131</f>
        <v>0</v>
      </c>
    </row>
    <row r="41" spans="1:10" ht="15" customHeight="1" x14ac:dyDescent="0.25">
      <c r="A41" s="13" t="s">
        <v>43</v>
      </c>
      <c r="B41" s="3">
        <f>Model!F136+Model!G136+Model!H136+Model!I136+Model!J136+Model!K136+Model!L136+Model!M136+Model!N136+Model!C136+Model!D136+Model!E136</f>
        <v>0</v>
      </c>
      <c r="C41" s="3">
        <f ca="1">Model!O136+Model!P136+Model!Q136+Model!R136+Model!S136+Model!T136+Model!U136+Model!V136+Model!W136+Model!X136+Model!Y136+Model!Z136</f>
        <v>-250000</v>
      </c>
      <c r="D41" s="3">
        <f ca="1">Model!AA136+Model!AB136+Model!AC136+Model!AD136+Model!AE136+Model!AF136+Model!AG136+Model!AH136+Model!AI136+Model!AJ136+Model!AK136+Model!AL136</f>
        <v>-250000</v>
      </c>
      <c r="E41" s="3">
        <f ca="1">Model!AM136+Model!AN136+Model!AO136+Model!AP136+Model!AQ136+Model!AR136+Model!AS136+Model!AT136+Model!AU136+Model!AV136+Model!AW136+Model!AX136</f>
        <v>-250000</v>
      </c>
      <c r="F41" s="3">
        <f ca="1">Model!AY136+Model!AZ136+Model!BA136+Model!BB136+Model!BC136+Model!BD136+Model!BE136+Model!BF136+Model!BG136+Model!BH136+Model!BI136+Model!BJ136</f>
        <v>-250000</v>
      </c>
      <c r="G41" s="3">
        <f ca="1">Model!BK136+Model!BL136+Model!BM136+Model!BN136+Model!BO136+Model!BP136+Model!BQ136+Model!BR136+Model!BS136+Model!BT136+Model!BU136+Model!BV136</f>
        <v>0</v>
      </c>
      <c r="H41" s="3">
        <f ca="1">Model!BW136+Model!BX136+Model!BY136+Model!BZ136+Model!CA136+Model!CB136+Model!CC136+Model!CD136+Model!CE136+Model!CF136+Model!CG136+Model!CH136</f>
        <v>0</v>
      </c>
      <c r="I41" s="3">
        <f ca="1">Model!CI136+Model!CJ136+Model!CK136+Model!CL136+Model!CM136+Model!CN136+Model!CO136+Model!CP136+Model!CQ136+Model!CR136+Model!CS136+Model!CT136</f>
        <v>0</v>
      </c>
      <c r="J41" s="3">
        <f>Model!CU136+Model!CV136+Model!CW136+Model!CX136+Model!CY136+Model!CZ136+Model!DA136+Model!DB136+Model!DC136+Model!DD136+Model!DE136+Model!DF136</f>
        <v>0</v>
      </c>
    </row>
    <row r="42" spans="1:10" ht="15" customHeight="1" x14ac:dyDescent="0.25">
      <c r="A42" s="13" t="s">
        <v>44</v>
      </c>
      <c r="B42" s="3">
        <f>Model!N137</f>
        <v>1000000</v>
      </c>
      <c r="C42" s="3">
        <f ca="1">Model!Z137</f>
        <v>750000</v>
      </c>
      <c r="D42" s="3">
        <f ca="1">Model!AL137</f>
        <v>500000</v>
      </c>
      <c r="E42" s="3">
        <f ca="1">Model!AX137</f>
        <v>250000</v>
      </c>
      <c r="F42" s="3">
        <f ca="1">Model!BJ137</f>
        <v>0</v>
      </c>
      <c r="G42" s="3">
        <f ca="1">Model!BV137</f>
        <v>0</v>
      </c>
      <c r="H42" s="3">
        <f ca="1">Model!CH137</f>
        <v>0</v>
      </c>
      <c r="I42" s="3">
        <f ca="1">Model!CT137</f>
        <v>0</v>
      </c>
      <c r="J42" s="3">
        <f ca="1">Model!DF137</f>
        <v>0</v>
      </c>
    </row>
    <row r="43" spans="1:10" ht="15" customHeight="1" x14ac:dyDescent="0.25">
      <c r="A43" s="13" t="s">
        <v>45</v>
      </c>
      <c r="B43" s="3">
        <f>Model!F184+Model!G184+Model!H184+Model!I184+Model!J184+Model!K184+Model!L184+Model!M184+Model!N184+Model!C184+Model!D184+Model!E184</f>
        <v>0</v>
      </c>
      <c r="C43" s="3">
        <f>Model!O184+Model!P184+Model!Q184+Model!R184+Model!S184+Model!T184+Model!U184+Model!V184+Model!W184+Model!X184+Model!Y184+Model!Z184</f>
        <v>0</v>
      </c>
      <c r="D43" s="3">
        <f>Model!AA184+Model!AB184+Model!AC184+Model!AD184+Model!AE184+Model!AF184+Model!AG184+Model!AH184+Model!AI184+Model!AJ184+Model!AK184+Model!AL184</f>
        <v>0</v>
      </c>
      <c r="E43" s="3">
        <f>Model!AM184+Model!AN184+Model!AO184+Model!AP184+Model!AQ184+Model!AR184+Model!AS184+Model!AT184+Model!AU184+Model!AV184+Model!AW184+Model!AX184</f>
        <v>0</v>
      </c>
      <c r="F43" s="3">
        <f>Model!AY184+Model!AZ184+Model!BA184+Model!BB184+Model!BC184+Model!BD184+Model!BE184+Model!BF184+Model!BG184+Model!BH184+Model!BI184+Model!BJ184</f>
        <v>0</v>
      </c>
      <c r="G43" s="3">
        <f>Model!BK184+Model!BL184+Model!BM184+Model!BN184+Model!BO184+Model!BP184+Model!BQ184+Model!BR184+Model!BS184+Model!BT184+Model!BU184+Model!BV184</f>
        <v>0</v>
      </c>
      <c r="H43" s="3">
        <f>Model!BW184+Model!BX184+Model!BY184+Model!BZ184+Model!CA184+Model!CB184+Model!CC184+Model!CD184+Model!CE184+Model!CF184+Model!CG184+Model!CH184</f>
        <v>0</v>
      </c>
      <c r="I43" s="3">
        <f>Model!CI184+Model!CJ184+Model!CK184+Model!CL184+Model!CM184+Model!CN184+Model!CO184+Model!CP184+Model!CQ184+Model!CR184+Model!CS184+Model!CT184</f>
        <v>0</v>
      </c>
      <c r="J43" s="3">
        <f>Model!CU184+Model!CV184+Model!CW184+Model!CX184+Model!CY184+Model!CZ184+Model!DA184+Model!DB184+Model!DC184+Model!DD184+Model!DE184+Model!DF184</f>
        <v>0</v>
      </c>
    </row>
    <row r="44" spans="1:10" ht="15" customHeight="1" x14ac:dyDescent="0.25">
      <c r="A44" s="13" t="s">
        <v>46</v>
      </c>
      <c r="B44" s="3">
        <f>Model!N144+Model!N149+Model!N154+Model!N159</f>
        <v>2378399.9201831054</v>
      </c>
      <c r="C44" s="3">
        <f>Model!Z144+Model!Z149+Model!Z154+Model!Z159</f>
        <v>1714451.0986600891</v>
      </c>
      <c r="D44" s="3">
        <f>Model!AL144+Model!AL149+Model!AL154+Model!AL159</f>
        <v>1035128.5155491498</v>
      </c>
      <c r="E44" s="3">
        <f>Model!AX144+Model!AX149+Model!AX154+Model!AX159</f>
        <v>1199352.084159791</v>
      </c>
      <c r="F44" s="3">
        <f>Model!BJ144+Model!BJ149+Model!BJ154+Model!BJ159</f>
        <v>975331.49544908153</v>
      </c>
      <c r="G44" s="3">
        <f>Model!BV144+Model!BV149+Model!BV154+Model!BV159</f>
        <v>820735.28594806022</v>
      </c>
      <c r="H44" s="3">
        <f>Model!CH144+Model!CH149+Model!CH154+Model!CH159</f>
        <v>621470.38110717363</v>
      </c>
      <c r="I44" s="3">
        <f>Model!CT144+Model!CT149+Model!CT154+Model!CT159</f>
        <v>233637.08331219968</v>
      </c>
      <c r="J44" s="3">
        <f>Model!DF144+Model!DF149+Model!DF154+Model!DF159</f>
        <v>0</v>
      </c>
    </row>
    <row r="45" spans="1:10" ht="15" customHeight="1" x14ac:dyDescent="0.25">
      <c r="A45" s="302"/>
      <c r="B45" s="3"/>
      <c r="C45" s="3"/>
      <c r="D45" s="3"/>
      <c r="E45" s="3"/>
      <c r="F45" s="3"/>
      <c r="G45" s="3"/>
      <c r="H45" s="3"/>
      <c r="I45" s="329"/>
      <c r="J45" s="329"/>
    </row>
    <row r="46" spans="1:10" ht="15" customHeight="1" x14ac:dyDescent="0.25">
      <c r="A46" s="13" t="s">
        <v>47</v>
      </c>
      <c r="B46" s="3">
        <f>Model!N170</f>
        <v>90239873.755658567</v>
      </c>
      <c r="C46" s="3">
        <f>Model!Z170</f>
        <v>56473335.557831988</v>
      </c>
      <c r="D46" s="3">
        <f>Model!AL170</f>
        <v>46152166.879777998</v>
      </c>
      <c r="E46" s="3">
        <f>Model!AX170</f>
        <v>13258584.501624003</v>
      </c>
      <c r="F46" s="3">
        <f>Model!BJ170</f>
        <v>0</v>
      </c>
      <c r="G46" s="3">
        <f>Model!BV170</f>
        <v>0</v>
      </c>
      <c r="H46" s="3">
        <f>Model!CH170</f>
        <v>0</v>
      </c>
      <c r="I46" s="3">
        <f>Model!CT170</f>
        <v>0</v>
      </c>
      <c r="J46" s="3">
        <f>Model!DF170</f>
        <v>0</v>
      </c>
    </row>
    <row r="47" spans="1:10" ht="15" customHeight="1" x14ac:dyDescent="0.25">
      <c r="A47" s="302"/>
      <c r="B47" s="3"/>
      <c r="C47" s="3"/>
      <c r="D47" s="3"/>
      <c r="E47" s="3"/>
      <c r="F47" s="3"/>
      <c r="G47" s="3"/>
      <c r="H47" s="3"/>
      <c r="I47" s="329"/>
      <c r="J47" s="329"/>
    </row>
    <row r="48" spans="1:10" ht="15" customHeight="1" x14ac:dyDescent="0.25">
      <c r="A48" s="77" t="s">
        <v>48</v>
      </c>
      <c r="B48" s="78">
        <f ca="1">Model!N177</f>
        <v>3444104.7650715336</v>
      </c>
      <c r="C48" s="78">
        <f ca="1">Model!Z177</f>
        <v>5363619.0220795162</v>
      </c>
      <c r="D48" s="78">
        <f ca="1">Model!AL177</f>
        <v>5954045.5459064264</v>
      </c>
      <c r="E48" s="78">
        <f ca="1">Model!AX177</f>
        <v>6911625.6243969165</v>
      </c>
      <c r="F48" s="78">
        <f ca="1">Model!BJ177</f>
        <v>7725014.3788914876</v>
      </c>
      <c r="G48" s="78">
        <f ca="1">Model!BV177</f>
        <v>8504282.6003741454</v>
      </c>
      <c r="H48" s="78">
        <f ca="1">Model!CH177</f>
        <v>8799032.3091923092</v>
      </c>
      <c r="I48" s="78">
        <f ca="1">Model!CT177</f>
        <v>8111540.6822628602</v>
      </c>
      <c r="J48" s="78">
        <f ca="1">Model!DF177</f>
        <v>3490990.6774491537</v>
      </c>
    </row>
    <row r="49" spans="1:10" ht="15" customHeight="1" x14ac:dyDescent="0.25">
      <c r="A49" s="77" t="s">
        <v>49</v>
      </c>
      <c r="B49" s="78">
        <f>Model!N185</f>
        <v>-599262.67333333322</v>
      </c>
      <c r="C49" s="78">
        <f ca="1">Model!Z185</f>
        <v>-2483147.8091187784</v>
      </c>
      <c r="D49" s="78">
        <f ca="1">Model!AL185</f>
        <v>-1652740.2139487786</v>
      </c>
      <c r="E49" s="78">
        <f ca="1">Model!AX185</f>
        <v>-1842627.7035353784</v>
      </c>
      <c r="F49" s="78">
        <f ca="1">Model!BJ185</f>
        <v>-2630855.4019037108</v>
      </c>
      <c r="G49" s="78">
        <f ca="1">Model!BV185</f>
        <v>-3308690.6153594078</v>
      </c>
      <c r="H49" s="78">
        <f ca="1">Model!CH185</f>
        <v>-4070301.0677142208</v>
      </c>
      <c r="I49" s="78">
        <f ca="1">Model!CT185</f>
        <v>-3637580.1425096509</v>
      </c>
      <c r="J49" s="78">
        <f ca="1">Model!DF185</f>
        <v>-2171612.3455697666</v>
      </c>
    </row>
    <row r="50" spans="1:10" ht="15" customHeight="1" x14ac:dyDescent="0.25">
      <c r="A50" s="77" t="s">
        <v>50</v>
      </c>
      <c r="B50" s="78">
        <f>Model!F189+Model!G189+Model!H189+Model!I189+Model!J189+Model!K189+Model!L189+Model!M189+Model!N189+Model!C189+Model!D189+Model!E189</f>
        <v>0</v>
      </c>
      <c r="C50" s="78">
        <f ca="1">Model!O189+Model!P189+Model!Q189+Model!R189+Model!S189+Model!T189+Model!U189+Model!V189+Model!W189+Model!X189+Model!Y189+Model!Z189</f>
        <v>-591393.92752146022</v>
      </c>
      <c r="D50" s="78">
        <f ca="1">Model!AA189+Model!AB189+Model!AC189+Model!AD189+Model!AE189+Model!AF189+Model!AG189+Model!AH189+Model!AI189+Model!AJ189+Model!AK189+Model!AL189</f>
        <v>-534479.50935239531</v>
      </c>
      <c r="E50" s="78">
        <f ca="1">Model!AM189+Model!AN189+Model!AO189+Model!AP189+Model!AQ189+Model!AR189+Model!AS189+Model!AT189+Model!AU189+Model!AV189+Model!AW189+Model!AX189</f>
        <v>-501250.23569907347</v>
      </c>
      <c r="F50" s="78">
        <f ca="1">Model!AY189+Model!AZ189+Model!BA189+Model!BB189+Model!BC189+Model!BD189+Model!BE189+Model!BF189+Model!BG189+Model!BH189+Model!BI189+Model!BJ189</f>
        <v>-305307.77667116839</v>
      </c>
      <c r="G50" s="78">
        <f ca="1">Model!BK189+Model!BL189+Model!BM189+Model!BN189+Model!BO189+Model!BP189+Model!BQ189+Model!BR189+Model!BS189+Model!BT189+Model!BU189+Model!BV189</f>
        <v>-82548.316837871462</v>
      </c>
      <c r="H50" s="78">
        <f ca="1">Model!BW189+Model!BX189+Model!BY189+Model!BZ189+Model!CA189+Model!CB189+Model!CC189+Model!CD189+Model!CE189+Model!CF189+Model!CG189+Model!CH189</f>
        <v>-30429.902408087146</v>
      </c>
      <c r="I50" s="78">
        <f ca="1">Model!CI189+Model!CJ189+Model!CK189+Model!CL189+Model!CM189+Model!CN189+Model!CO189+Model!CP189+Model!CQ189+Model!CR189+Model!CS189+Model!CT189</f>
        <v>0</v>
      </c>
      <c r="J50" s="78">
        <f ca="1">Model!CU189+Model!CV189+Model!CW189+Model!CX189+Model!CY189+Model!CZ189+Model!DA189+Model!DB189+Model!DC189+Model!DD189+Model!DE189+Model!DF189</f>
        <v>0</v>
      </c>
    </row>
    <row r="51" spans="1:10" ht="15" customHeight="1" x14ac:dyDescent="0.25">
      <c r="A51" s="79" t="s">
        <v>51</v>
      </c>
      <c r="B51" s="80">
        <f ca="1">Model!N190</f>
        <v>2844842.0917382007</v>
      </c>
      <c r="C51" s="80">
        <f ca="1">Model!Z190</f>
        <v>2880471.2129607382</v>
      </c>
      <c r="D51" s="80">
        <f ca="1">Model!AL190</f>
        <v>4301305.3319576476</v>
      </c>
      <c r="E51" s="80">
        <f ca="1">Model!AX190</f>
        <v>5068997.9208615385</v>
      </c>
      <c r="F51" s="80">
        <f ca="1">Model!BJ190</f>
        <v>5094158.9769877763</v>
      </c>
      <c r="G51" s="80">
        <f ca="1">Model!BV190</f>
        <v>5195591.9850147367</v>
      </c>
      <c r="H51" s="80">
        <f ca="1">Model!CH190</f>
        <v>4728731.2414780883</v>
      </c>
      <c r="I51" s="80">
        <f ca="1">Model!CT190</f>
        <v>4473960.5397532098</v>
      </c>
      <c r="J51" s="80">
        <f ca="1">Model!DF190</f>
        <v>1319378.3318793871</v>
      </c>
    </row>
  </sheetData>
  <mergeCells count="1">
    <mergeCell ref="A1:E1"/>
  </mergeCells>
  <conditionalFormatting sqref="B3:J50">
    <cfRule type="cellIs" dxfId="24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B1833"/>
  </sheetPr>
  <dimension ref="A1:AK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8.7109375" defaultRowHeight="15" customHeight="1" x14ac:dyDescent="0.25"/>
  <cols>
    <col min="1" max="1" width="38" customWidth="1"/>
    <col min="2" max="37" width="13" customWidth="1"/>
  </cols>
  <sheetData>
    <row r="1" spans="1:37" ht="17.25" customHeight="1" x14ac:dyDescent="0.3">
      <c r="A1" s="1" t="s">
        <v>192</v>
      </c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</row>
    <row r="2" spans="1:37" ht="15" customHeight="1" x14ac:dyDescent="0.25">
      <c r="A2" s="305" t="s">
        <v>1</v>
      </c>
      <c r="B2" s="81" t="s">
        <v>193</v>
      </c>
      <c r="C2" s="331" t="s">
        <v>194</v>
      </c>
      <c r="D2" s="331" t="s">
        <v>195</v>
      </c>
      <c r="E2" s="331" t="s">
        <v>196</v>
      </c>
      <c r="F2" s="331" t="s">
        <v>197</v>
      </c>
      <c r="G2" s="331" t="s">
        <v>198</v>
      </c>
      <c r="H2" s="331" t="s">
        <v>199</v>
      </c>
      <c r="I2" s="331" t="s">
        <v>200</v>
      </c>
      <c r="J2" s="331" t="s">
        <v>201</v>
      </c>
      <c r="K2" s="331" t="s">
        <v>202</v>
      </c>
      <c r="L2" s="331" t="s">
        <v>203</v>
      </c>
      <c r="M2" s="331" t="s">
        <v>204</v>
      </c>
      <c r="N2" s="331" t="s">
        <v>205</v>
      </c>
      <c r="O2" s="331" t="s">
        <v>206</v>
      </c>
      <c r="P2" s="331" t="s">
        <v>207</v>
      </c>
      <c r="Q2" s="331" t="s">
        <v>208</v>
      </c>
      <c r="R2" s="331" t="s">
        <v>209</v>
      </c>
      <c r="S2" s="331" t="s">
        <v>210</v>
      </c>
      <c r="T2" s="331" t="s">
        <v>211</v>
      </c>
      <c r="U2" s="331" t="s">
        <v>212</v>
      </c>
      <c r="V2" s="331" t="s">
        <v>213</v>
      </c>
      <c r="W2" s="331" t="s">
        <v>214</v>
      </c>
      <c r="X2" s="331" t="s">
        <v>215</v>
      </c>
      <c r="Y2" s="331" t="s">
        <v>216</v>
      </c>
      <c r="Z2" s="331" t="s">
        <v>217</v>
      </c>
      <c r="AA2" s="331" t="s">
        <v>218</v>
      </c>
      <c r="AB2" s="331" t="s">
        <v>219</v>
      </c>
      <c r="AC2" s="331" t="s">
        <v>220</v>
      </c>
      <c r="AD2" s="331" t="s">
        <v>221</v>
      </c>
      <c r="AE2" s="332" t="s">
        <v>222</v>
      </c>
      <c r="AF2" s="332" t="s">
        <v>223</v>
      </c>
      <c r="AG2" s="332" t="s">
        <v>224</v>
      </c>
      <c r="AH2" s="332" t="s">
        <v>225</v>
      </c>
      <c r="AI2" s="332" t="s">
        <v>226</v>
      </c>
      <c r="AJ2" s="332" t="s">
        <v>227</v>
      </c>
      <c r="AK2" s="332" t="s">
        <v>228</v>
      </c>
    </row>
    <row r="3" spans="1:37" ht="15" customHeight="1" x14ac:dyDescent="0.25">
      <c r="A3" s="64" t="s">
        <v>11</v>
      </c>
      <c r="B3" s="65">
        <f>Model!C8+Model!D8+Model!E8</f>
        <v>7148521.79</v>
      </c>
      <c r="C3" s="65">
        <f>Model!F8+Model!G8+Model!H8</f>
        <v>13123243.948978219</v>
      </c>
      <c r="D3" s="65">
        <f>Model!I8+Model!J8+Model!K8</f>
        <v>17611879.547728192</v>
      </c>
      <c r="E3" s="65">
        <f>Model!L8+Model!M8+Model!N8</f>
        <v>20872339.243874777</v>
      </c>
      <c r="F3" s="65">
        <f>Model!O8+Model!P8+Model!Q8</f>
        <v>21844454.363001734</v>
      </c>
      <c r="G3" s="65">
        <f>Model!R8+Model!S8+Model!T8</f>
        <v>24422091.790786527</v>
      </c>
      <c r="H3" s="65">
        <f>Model!U8+Model!V8+Model!W8</f>
        <v>21333125.166748282</v>
      </c>
      <c r="I3" s="65">
        <f>Model!X8+Model!Y8+Model!Z8</f>
        <v>19810331.630762</v>
      </c>
      <c r="J3" s="65">
        <f>Model!AA8+Model!AB8+Model!AC8</f>
        <v>17143021.497728001</v>
      </c>
      <c r="K3" s="65">
        <f>Model!AD8+Model!AE8+Model!AF8</f>
        <v>13569035.117488001</v>
      </c>
      <c r="L3" s="65">
        <f>Model!AG8+Model!AH8+Model!AI8</f>
        <v>10431100.051765</v>
      </c>
      <c r="M3" s="65">
        <f>Model!AJ8+Model!AK8+Model!AL8</f>
        <v>12014044.011073001</v>
      </c>
      <c r="N3" s="65">
        <f>Model!AM8+Model!AN8+Model!AO8</f>
        <v>14078629.058484001</v>
      </c>
      <c r="O3" s="65">
        <f>Model!AP8+Model!AQ8+Model!AR8</f>
        <v>16211907.488293998</v>
      </c>
      <c r="P3" s="65">
        <f>Model!AS8+Model!AT8+Model!AU8</f>
        <v>19136949.921916001</v>
      </c>
      <c r="Q3" s="65">
        <f>Model!AV8+Model!AW8+Model!AX8</f>
        <v>17953371.356072001</v>
      </c>
      <c r="R3" s="65">
        <f>Model!AY8+Model!AZ8+Model!BA8</f>
        <v>17287079.614079997</v>
      </c>
      <c r="S3" s="65">
        <f>Model!BB8+Model!BC8+Model!BD8</f>
        <v>14974516.349224001</v>
      </c>
      <c r="T3" s="65">
        <f>Model!BE8+Model!BF8+Model!BG8</f>
        <v>13524834.951639999</v>
      </c>
      <c r="U3" s="65">
        <f>Model!BH8+Model!BI8+Model!BJ8</f>
        <v>12780473.005208001</v>
      </c>
      <c r="V3" s="65">
        <f>Model!BK8+Model!BL8+Model!BM8</f>
        <v>14195085</v>
      </c>
      <c r="W3" s="65">
        <f>Model!BN8+Model!BO8+Model!BP8</f>
        <v>18046668</v>
      </c>
      <c r="X3" s="65">
        <f>Model!BQ8+Model!BR8+Model!BS8</f>
        <v>19880676</v>
      </c>
      <c r="Y3" s="65">
        <f>Model!BT8+Model!BU8+Model!BV8</f>
        <v>19022031</v>
      </c>
      <c r="Z3" s="65">
        <f>Model!BW8+Model!BX8+Model!BY8</f>
        <v>16723875</v>
      </c>
      <c r="AA3" s="65">
        <f>Model!BZ8+Model!CA8+Model!CB8</f>
        <v>13447512</v>
      </c>
      <c r="AB3" s="65">
        <f>Model!CC8+Model!CD8+Model!CE8</f>
        <v>12735585</v>
      </c>
      <c r="AC3" s="65">
        <f>Model!CF8+Model!CG8+Model!CH8</f>
        <v>13269381</v>
      </c>
      <c r="AD3" s="65">
        <f>Model!CI8+Model!CJ8+Model!CK8</f>
        <v>16130874</v>
      </c>
      <c r="AE3" s="65">
        <f>Model!CL8+Model!CM8+Model!CN8</f>
        <v>16826532</v>
      </c>
      <c r="AF3" s="65">
        <f>Model!CO8+Model!CP8+Model!CQ8</f>
        <v>15232053</v>
      </c>
      <c r="AG3" s="65">
        <f>Model!CR8+Model!CS8+Model!CT8</f>
        <v>11920233</v>
      </c>
      <c r="AH3" s="65">
        <f>Model!CU8+Model!CV8+Model!CW8</f>
        <v>7048326</v>
      </c>
      <c r="AI3" s="65">
        <f>Model!CX8+Model!CY8+Model!CZ8</f>
        <v>2846829</v>
      </c>
      <c r="AJ3" s="65">
        <f>Model!DA8+Model!DB8+Model!DC8</f>
        <v>397755</v>
      </c>
      <c r="AK3" s="65">
        <f>Model!DD8+Model!DE8+Model!DF8</f>
        <v>0</v>
      </c>
    </row>
    <row r="4" spans="1:37" ht="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</row>
    <row r="5" spans="1:37" ht="15" customHeight="1" x14ac:dyDescent="0.25">
      <c r="A5" s="66" t="s">
        <v>12</v>
      </c>
      <c r="B5" s="67">
        <f>Model!C10+Model!D10+Model!E10</f>
        <v>474531.7</v>
      </c>
      <c r="C5" s="67">
        <f>Model!F10+Model!G10+Model!H10</f>
        <v>747948.89991497714</v>
      </c>
      <c r="D5" s="67">
        <f>Model!I10+Model!J10+Model!K10</f>
        <v>1084626.0059876658</v>
      </c>
      <c r="E5" s="67">
        <f>Model!L10+Model!M10+Model!N10</f>
        <v>1410890.7599743763</v>
      </c>
      <c r="F5" s="67">
        <f>Model!O10+Model!P10+Model!Q10</f>
        <v>1327850.3714416157</v>
      </c>
      <c r="G5" s="67">
        <f>Model!R10+Model!S10+Model!T10</f>
        <v>1714356.5971648658</v>
      </c>
      <c r="H5" s="67">
        <f>Model!U10+Model!V10+Model!W10</f>
        <v>1183741.1591980094</v>
      </c>
      <c r="I5" s="67">
        <f>Model!X10+Model!Y10+Model!Z10</f>
        <v>1019461.3574798061</v>
      </c>
      <c r="J5" s="67">
        <f>Model!AA10+Model!AB10+Model!AC10</f>
        <v>994535.24350230629</v>
      </c>
      <c r="K5" s="67">
        <f>Model!AD10+Model!AE10+Model!AF10</f>
        <v>1037757.4046992395</v>
      </c>
      <c r="L5" s="67">
        <f>Model!AG10+Model!AH10+Model!AI10</f>
        <v>1124201.7270931061</v>
      </c>
      <c r="M5" s="67">
        <f>Model!AJ10+Model!AK10+Model!AL10</f>
        <v>1384125.7309810021</v>
      </c>
      <c r="N5" s="67">
        <f>Model!AM10+Model!AN10+Model!AO10</f>
        <v>1033750.9035738751</v>
      </c>
      <c r="O5" s="67">
        <f>Model!AP10+Model!AQ10+Model!AR10</f>
        <v>1061440.3383060498</v>
      </c>
      <c r="P5" s="67">
        <f>Model!AS10+Model!AT10+Model!AU10</f>
        <v>1402893.2104135498</v>
      </c>
      <c r="Q5" s="67">
        <f>Model!AV10+Model!AW10+Model!AX10</f>
        <v>951344.73130180012</v>
      </c>
      <c r="R5" s="67">
        <f>Model!AY10+Model!AZ10+Model!BA10</f>
        <v>1002940.9813018001</v>
      </c>
      <c r="S5" s="67">
        <f>Model!BB10+Model!BC10+Model!BD10</f>
        <v>1054537.2313018001</v>
      </c>
      <c r="T5" s="67">
        <f>Model!BE10+Model!BF10+Model!BG10</f>
        <v>1137091.2313017999</v>
      </c>
      <c r="U5" s="67">
        <f>Model!BH10+Model!BI10+Model!BJ10</f>
        <v>1230526.4162898667</v>
      </c>
      <c r="V5" s="67">
        <f>Model!BK10+Model!BL10+Model!BM10</f>
        <v>1011286.5</v>
      </c>
      <c r="W5" s="67">
        <f>Model!BN10+Model!BO10+Model!BP10</f>
        <v>1114479</v>
      </c>
      <c r="X5" s="67">
        <f>Model!BQ10+Model!BR10+Model!BS10</f>
        <v>1227990.75</v>
      </c>
      <c r="Y5" s="67">
        <f>Model!BT10+Model!BU10+Model!BV10</f>
        <v>1145436.75</v>
      </c>
      <c r="Z5" s="67">
        <f>Model!BW10+Model!BX10+Model!BY10</f>
        <v>1197033</v>
      </c>
      <c r="AA5" s="67">
        <f>Model!BZ10+Model!CA10+Model!CB10</f>
        <v>990648</v>
      </c>
      <c r="AB5" s="67">
        <f>Model!CC10+Model!CD10+Model!CE10</f>
        <v>1093840.5</v>
      </c>
      <c r="AC5" s="67">
        <f>Model!CF10+Model!CG10+Model!CH10</f>
        <v>990648</v>
      </c>
      <c r="AD5" s="67">
        <f>Model!CI10+Model!CJ10+Model!CK10</f>
        <v>1021605.75</v>
      </c>
      <c r="AE5" s="67">
        <f>Model!CL10+Model!CM10+Model!CN10</f>
        <v>1021605.75</v>
      </c>
      <c r="AF5" s="67">
        <f>Model!CO10+Model!CP10+Model!CQ10</f>
        <v>835859.25</v>
      </c>
      <c r="AG5" s="67">
        <f>Model!CR10+Model!CS10+Model!CT10</f>
        <v>835859.25</v>
      </c>
      <c r="AH5" s="67">
        <f>Model!CU10+Model!CV10+Model!CW10</f>
        <v>650112.75</v>
      </c>
      <c r="AI5" s="67">
        <f>Model!CX10+Model!CY10+Model!CZ10</f>
        <v>340535.25</v>
      </c>
      <c r="AJ5" s="67">
        <f>Model!DA10+Model!DB10+Model!DC10</f>
        <v>103192.5</v>
      </c>
      <c r="AK5" s="67">
        <f>Model!DD10+Model!DE10+Model!DF10</f>
        <v>0</v>
      </c>
    </row>
    <row r="6" spans="1:37" ht="15" hidden="1" customHeight="1" x14ac:dyDescent="0.25">
      <c r="A6" s="66" t="s">
        <v>13</v>
      </c>
      <c r="B6" s="67">
        <f>Model!C11+Model!D11+Model!E11</f>
        <v>0</v>
      </c>
      <c r="C6" s="67">
        <f>Model!F11+Model!G11+Model!H11</f>
        <v>0</v>
      </c>
      <c r="D6" s="67">
        <f>Model!I11+Model!J11+Model!K11</f>
        <v>0</v>
      </c>
      <c r="E6" s="67">
        <f>Model!L11+Model!M11+Model!N11</f>
        <v>0</v>
      </c>
      <c r="F6" s="67">
        <f>Model!O11+Model!P11+Model!Q11</f>
        <v>0</v>
      </c>
      <c r="G6" s="67">
        <f>Model!R11+Model!S11+Model!T11</f>
        <v>0</v>
      </c>
      <c r="H6" s="67">
        <f>Model!U11+Model!V11+Model!W11</f>
        <v>0</v>
      </c>
      <c r="I6" s="67">
        <f>Model!X11+Model!Y11+Model!Z11</f>
        <v>0</v>
      </c>
      <c r="J6" s="67">
        <f>Model!AA11+Model!AB11+Model!AC11</f>
        <v>0</v>
      </c>
      <c r="K6" s="67">
        <f>Model!AD11+Model!AE11+Model!AF11</f>
        <v>0</v>
      </c>
      <c r="L6" s="67">
        <f>Model!AG11+Model!AH11+Model!AI11</f>
        <v>0</v>
      </c>
      <c r="M6" s="67">
        <f>Model!AJ11+Model!AK11+Model!AL11</f>
        <v>0</v>
      </c>
      <c r="N6" s="67">
        <f>Model!AM11+Model!AN11+Model!AO11</f>
        <v>0</v>
      </c>
      <c r="O6" s="67">
        <f>Model!AP11+Model!AQ11+Model!AR11</f>
        <v>0</v>
      </c>
      <c r="P6" s="67">
        <f>Model!AS11+Model!AT11+Model!AU11</f>
        <v>0</v>
      </c>
      <c r="Q6" s="67">
        <f>Model!AV11+Model!AW11+Model!AX11</f>
        <v>0</v>
      </c>
      <c r="R6" s="67">
        <f>Model!AY11+Model!AZ11+Model!BA11</f>
        <v>0</v>
      </c>
      <c r="S6" s="67">
        <f>Model!BB11+Model!BC11+Model!BD11</f>
        <v>0</v>
      </c>
      <c r="T6" s="67">
        <f>Model!BE11+Model!BF11+Model!BG11</f>
        <v>0</v>
      </c>
      <c r="U6" s="67">
        <f>Model!BH11+Model!BI11+Model!BJ11</f>
        <v>0</v>
      </c>
      <c r="V6" s="67">
        <f>Model!BK11+Model!BL11+Model!BM11</f>
        <v>0</v>
      </c>
      <c r="W6" s="67">
        <f>Model!BN11+Model!BO11+Model!BP11</f>
        <v>0</v>
      </c>
      <c r="X6" s="67">
        <f>Model!BQ11+Model!BR11+Model!BS11</f>
        <v>0</v>
      </c>
      <c r="Y6" s="67">
        <f>Model!BT11+Model!BU11+Model!BV11</f>
        <v>0</v>
      </c>
      <c r="Z6" s="67">
        <f>Model!BW11+Model!BX11+Model!BY11</f>
        <v>0</v>
      </c>
      <c r="AA6" s="67">
        <f>Model!BZ11+Model!CA11+Model!CB11</f>
        <v>0</v>
      </c>
      <c r="AB6" s="67">
        <f>Model!CC11+Model!CD11+Model!CE11</f>
        <v>0</v>
      </c>
      <c r="AC6" s="67">
        <f>Model!CF11+Model!CG11+Model!CH11</f>
        <v>0</v>
      </c>
      <c r="AD6" s="67">
        <f>Model!CI11+Model!CJ11+Model!CK11</f>
        <v>0</v>
      </c>
      <c r="AE6" s="67">
        <f>Model!CL11+Model!CM11+Model!CN11</f>
        <v>0</v>
      </c>
      <c r="AF6" s="67">
        <f>Model!CO11+Model!CP11+Model!CQ11</f>
        <v>0</v>
      </c>
      <c r="AG6" s="67">
        <f>Model!CR11+Model!CS11+Model!CT11</f>
        <v>0</v>
      </c>
      <c r="AH6" s="67">
        <f>Model!CU11+Model!CV11+Model!CW11</f>
        <v>0</v>
      </c>
      <c r="AI6" s="67">
        <f>Model!CX11+Model!CY11+Model!CZ11</f>
        <v>0</v>
      </c>
      <c r="AJ6" s="67">
        <f>Model!DA11+Model!DB11+Model!DC11</f>
        <v>0</v>
      </c>
      <c r="AK6" s="67">
        <f>Model!DD11+Model!DE11+Model!DF11</f>
        <v>0</v>
      </c>
    </row>
    <row r="7" spans="1:37" ht="15" customHeight="1" x14ac:dyDescent="0.25">
      <c r="A7" s="66" t="s">
        <v>14</v>
      </c>
      <c r="B7" s="67">
        <f>Model!C12+Model!D12+Model!E12</f>
        <v>319091.99</v>
      </c>
      <c r="C7" s="67">
        <f>Model!F12+Model!G12+Model!H12</f>
        <v>569419.22259354836</v>
      </c>
      <c r="D7" s="67">
        <f>Model!I12+Model!J12+Model!K12</f>
        <v>813465.56297608267</v>
      </c>
      <c r="E7" s="67">
        <f>Model!L12+Model!M12+Model!N12</f>
        <v>1058162.9428248843</v>
      </c>
      <c r="F7" s="67">
        <f>Model!O12+Model!P12+Model!Q12</f>
        <v>995882.95319284278</v>
      </c>
      <c r="G7" s="67">
        <f>Model!R12+Model!S12+Model!T12</f>
        <v>1285761.2179274426</v>
      </c>
      <c r="H7" s="67">
        <f>Model!U12+Model!V12+Model!W12</f>
        <v>887801.56770085753</v>
      </c>
      <c r="I7" s="67">
        <f>Model!X12+Model!Y12+Model!Z12</f>
        <v>764592.31340254494</v>
      </c>
      <c r="J7" s="67">
        <f>Model!AA12+Model!AB12+Model!AC12</f>
        <v>745897.81850054499</v>
      </c>
      <c r="K7" s="67">
        <f>Model!AD12+Model!AE12+Model!AF12</f>
        <v>778314.28232955839</v>
      </c>
      <c r="L7" s="67">
        <f>Model!AG12+Model!AH12+Model!AI12</f>
        <v>843147.20998758497</v>
      </c>
      <c r="M7" s="67">
        <f>Model!AJ12+Model!AK12+Model!AL12</f>
        <v>1038089.2683435684</v>
      </c>
      <c r="N7" s="67">
        <f>Model!AM12+Model!AN12+Model!AO12</f>
        <v>775309.42104510008</v>
      </c>
      <c r="O7" s="67">
        <f>Model!AP12+Model!AQ12+Model!AR12</f>
        <v>796076.39647123986</v>
      </c>
      <c r="P7" s="67">
        <f>Model!AS12+Model!AT12+Model!AU12</f>
        <v>1052164.8097172398</v>
      </c>
      <c r="Q7" s="67">
        <f>Model!AV12+Model!AW12+Model!AX12</f>
        <v>713505.09130384005</v>
      </c>
      <c r="R7" s="67">
        <f>Model!AY12+Model!AZ12+Model!BA12</f>
        <v>752202.09130384005</v>
      </c>
      <c r="S7" s="67">
        <f>Model!BB12+Model!BC12+Model!BD12</f>
        <v>790899.09130384005</v>
      </c>
      <c r="T7" s="67">
        <f>Model!BE12+Model!BF12+Model!BG12</f>
        <v>852814.29130384</v>
      </c>
      <c r="U7" s="67">
        <f>Model!BH12+Model!BI12+Model!BJ12</f>
        <v>922890.34050282673</v>
      </c>
      <c r="V7" s="67">
        <f>Model!BK12+Model!BL12+Model!BM12</f>
        <v>758461.2</v>
      </c>
      <c r="W7" s="67">
        <f>Model!BN12+Model!BO12+Model!BP12</f>
        <v>835855.2</v>
      </c>
      <c r="X7" s="67">
        <f>Model!BQ12+Model!BR12+Model!BS12</f>
        <v>920988.60000000009</v>
      </c>
      <c r="Y7" s="67">
        <f>Model!BT12+Model!BU12+Model!BV12</f>
        <v>859073.39999999991</v>
      </c>
      <c r="Z7" s="67">
        <f>Model!BW12+Model!BX12+Model!BY12</f>
        <v>897770.39999999991</v>
      </c>
      <c r="AA7" s="67">
        <f>Model!BZ12+Model!CA12+Model!CB12</f>
        <v>742982.39999999991</v>
      </c>
      <c r="AB7" s="67">
        <f>Model!CC12+Model!CD12+Model!CE12</f>
        <v>820376.39999999991</v>
      </c>
      <c r="AC7" s="67">
        <f>Model!CF12+Model!CG12+Model!CH12</f>
        <v>742982.4</v>
      </c>
      <c r="AD7" s="67">
        <f>Model!CI12+Model!CJ12+Model!CK12</f>
        <v>766200.6</v>
      </c>
      <c r="AE7" s="67">
        <f>Model!CL12+Model!CM12+Model!CN12</f>
        <v>766200.59999999986</v>
      </c>
      <c r="AF7" s="67">
        <f>Model!CO12+Model!CP12+Model!CQ12</f>
        <v>626891.39999999991</v>
      </c>
      <c r="AG7" s="67">
        <f>Model!CR12+Model!CS12+Model!CT12</f>
        <v>626891.4</v>
      </c>
      <c r="AH7" s="67">
        <f>Model!CU12+Model!CV12+Model!CW12</f>
        <v>487582.19999999995</v>
      </c>
      <c r="AI7" s="67">
        <f>Model!CX12+Model!CY12+Model!CZ12</f>
        <v>255400.19999999998</v>
      </c>
      <c r="AJ7" s="67">
        <f>Model!DA12+Model!DB12+Model!DC12</f>
        <v>77394</v>
      </c>
      <c r="AK7" s="67">
        <f>Model!DD12+Model!DE12+Model!DF12</f>
        <v>0</v>
      </c>
    </row>
    <row r="8" spans="1:37" ht="15" hidden="1" customHeight="1" x14ac:dyDescent="0.25">
      <c r="A8" s="66" t="s">
        <v>15</v>
      </c>
      <c r="B8" s="67">
        <f>Model!C13+Model!D13+Model!E13</f>
        <v>0</v>
      </c>
      <c r="C8" s="67">
        <f>Model!F13+Model!G13+Model!H13</f>
        <v>0</v>
      </c>
      <c r="D8" s="67">
        <f>Model!I13+Model!J13+Model!K13</f>
        <v>0</v>
      </c>
      <c r="E8" s="67">
        <f>Model!L13+Model!M13+Model!N13</f>
        <v>0</v>
      </c>
      <c r="F8" s="67">
        <f>Model!O13+Model!P13+Model!Q13</f>
        <v>0</v>
      </c>
      <c r="G8" s="67">
        <f>Model!R13+Model!S13+Model!T13</f>
        <v>0</v>
      </c>
      <c r="H8" s="67">
        <f>Model!U13+Model!V13+Model!W13</f>
        <v>0</v>
      </c>
      <c r="I8" s="67">
        <f>Model!X13+Model!Y13+Model!Z13</f>
        <v>0</v>
      </c>
      <c r="J8" s="67">
        <f>Model!AA13+Model!AB13+Model!AC13</f>
        <v>0</v>
      </c>
      <c r="K8" s="67">
        <f>Model!AD13+Model!AE13+Model!AF13</f>
        <v>0</v>
      </c>
      <c r="L8" s="67">
        <f>Model!AG13+Model!AH13+Model!AI13</f>
        <v>0</v>
      </c>
      <c r="M8" s="67">
        <f>Model!AJ13+Model!AK13+Model!AL13</f>
        <v>0</v>
      </c>
      <c r="N8" s="67">
        <f>Model!AM13+Model!AN13+Model!AO13</f>
        <v>0</v>
      </c>
      <c r="O8" s="67">
        <f>Model!AP13+Model!AQ13+Model!AR13</f>
        <v>0</v>
      </c>
      <c r="P8" s="67">
        <f>Model!AS13+Model!AT13+Model!AU13</f>
        <v>0</v>
      </c>
      <c r="Q8" s="67">
        <f>Model!AV13+Model!AW13+Model!AX13</f>
        <v>0</v>
      </c>
      <c r="R8" s="67">
        <f>Model!AY13+Model!AZ13+Model!BA13</f>
        <v>0</v>
      </c>
      <c r="S8" s="67">
        <f>Model!BB13+Model!BC13+Model!BD13</f>
        <v>0</v>
      </c>
      <c r="T8" s="67">
        <f>Model!BE13+Model!BF13+Model!BG13</f>
        <v>0</v>
      </c>
      <c r="U8" s="67">
        <f>Model!BH13+Model!BI13+Model!BJ13</f>
        <v>0</v>
      </c>
      <c r="V8" s="67">
        <f>Model!BK13+Model!BL13+Model!BM13</f>
        <v>0</v>
      </c>
      <c r="W8" s="67">
        <f>Model!BN13+Model!BO13+Model!BP13</f>
        <v>0</v>
      </c>
      <c r="X8" s="67">
        <f>Model!BQ13+Model!BR13+Model!BS13</f>
        <v>0</v>
      </c>
      <c r="Y8" s="67">
        <f>Model!BT13+Model!BU13+Model!BV13</f>
        <v>0</v>
      </c>
      <c r="Z8" s="67">
        <f>Model!BW13+Model!BX13+Model!BY13</f>
        <v>0</v>
      </c>
      <c r="AA8" s="67">
        <f>Model!BZ13+Model!CA13+Model!CB13</f>
        <v>0</v>
      </c>
      <c r="AB8" s="67">
        <f>Model!CC13+Model!CD13+Model!CE13</f>
        <v>0</v>
      </c>
      <c r="AC8" s="67">
        <f>Model!CF13+Model!CG13+Model!CH13</f>
        <v>0</v>
      </c>
      <c r="AD8" s="67">
        <f>Model!CI13+Model!CJ13+Model!CK13</f>
        <v>0</v>
      </c>
      <c r="AE8" s="67">
        <f>Model!CL13+Model!CM13+Model!CN13</f>
        <v>0</v>
      </c>
      <c r="AF8" s="67">
        <f>Model!CO13+Model!CP13+Model!CQ13</f>
        <v>0</v>
      </c>
      <c r="AG8" s="67">
        <f>Model!CR13+Model!CS13+Model!CT13</f>
        <v>0</v>
      </c>
      <c r="AH8" s="67">
        <f>Model!CU13+Model!CV13+Model!CW13</f>
        <v>0</v>
      </c>
      <c r="AI8" s="67">
        <f>Model!CX13+Model!CY13+Model!CZ13</f>
        <v>0</v>
      </c>
      <c r="AJ8" s="67">
        <f>Model!DA13+Model!DB13+Model!DC13</f>
        <v>0</v>
      </c>
      <c r="AK8" s="67">
        <f>Model!DD13+Model!DE13+Model!DF13</f>
        <v>0</v>
      </c>
    </row>
    <row r="9" spans="1:37" ht="15" customHeight="1" x14ac:dyDescent="0.25">
      <c r="A9" s="66" t="s">
        <v>16</v>
      </c>
      <c r="B9" s="67">
        <f>Model!C14+Model!D14+Model!E14</f>
        <v>6354898.0999999996</v>
      </c>
      <c r="C9" s="67">
        <f>Model!F14+Model!G14+Model!H14</f>
        <v>11805875.826469695</v>
      </c>
      <c r="D9" s="67">
        <f>Model!I14+Model!J14+Model!K14</f>
        <v>15713787.978764443</v>
      </c>
      <c r="E9" s="67">
        <f>Model!L14+Model!M14+Model!N14</f>
        <v>18403285.541075516</v>
      </c>
      <c r="F9" s="67">
        <f>Model!O14+Model!P14+Model!Q14</f>
        <v>19520721.038367279</v>
      </c>
      <c r="G9" s="67">
        <f>Model!R14+Model!S14+Model!T14</f>
        <v>21421973.975694221</v>
      </c>
      <c r="H9" s="67">
        <f>Model!U14+Model!V14+Model!W14</f>
        <v>19261582.439849418</v>
      </c>
      <c r="I9" s="67">
        <f>Model!X14+Model!Y14+Model!Z14</f>
        <v>18026277.959879648</v>
      </c>
      <c r="J9" s="67">
        <f>Model!AA14+Model!AB14+Model!AC14</f>
        <v>15402588.435725149</v>
      </c>
      <c r="K9" s="67">
        <f>Model!AD14+Model!AE14+Model!AF14</f>
        <v>11752963.430459201</v>
      </c>
      <c r="L9" s="67">
        <f>Model!AG14+Model!AH14+Model!AI14</f>
        <v>8463751.1146843098</v>
      </c>
      <c r="M9" s="67">
        <f>Model!AJ14+Model!AK14+Model!AL14</f>
        <v>9591829.0117484294</v>
      </c>
      <c r="N9" s="67">
        <f>Model!AM14+Model!AN14+Model!AO14</f>
        <v>12269568.733865026</v>
      </c>
      <c r="O9" s="67">
        <f>Model!AP14+Model!AQ14+Model!AR14</f>
        <v>14354390.753516708</v>
      </c>
      <c r="P9" s="67">
        <f>Model!AS14+Model!AT14+Model!AU14</f>
        <v>16681891.90178521</v>
      </c>
      <c r="Q9" s="67">
        <f>Model!AV14+Model!AW14+Model!AX14</f>
        <v>16288521.533466361</v>
      </c>
      <c r="R9" s="67">
        <f>Model!AY14+Model!AZ14+Model!BA14</f>
        <v>15531936.541474361</v>
      </c>
      <c r="S9" s="67">
        <f>Model!BB14+Model!BC14+Model!BD14</f>
        <v>13129080.026618361</v>
      </c>
      <c r="T9" s="67">
        <f>Model!BE14+Model!BF14+Model!BG14</f>
        <v>11534929.42903436</v>
      </c>
      <c r="U9" s="67">
        <f>Model!BH14+Model!BI14+Model!BJ14</f>
        <v>10627056.248415306</v>
      </c>
      <c r="V9" s="67">
        <f>Model!BK14+Model!BL14+Model!BM14</f>
        <v>12425337.300000001</v>
      </c>
      <c r="W9" s="67">
        <f>Model!BN14+Model!BO14+Model!BP14</f>
        <v>16096333.800000001</v>
      </c>
      <c r="X9" s="67">
        <f>Model!BQ14+Model!BR14+Model!BS14</f>
        <v>17731696.649999999</v>
      </c>
      <c r="Y9" s="67">
        <f>Model!BT14+Model!BU14+Model!BV14</f>
        <v>17017520.850000001</v>
      </c>
      <c r="Z9" s="67">
        <f>Model!BW14+Model!BX14+Model!BY14</f>
        <v>14629071.600000001</v>
      </c>
      <c r="AA9" s="67">
        <f>Model!BZ14+Model!CA14+Model!CB14</f>
        <v>11713881.6</v>
      </c>
      <c r="AB9" s="67">
        <f>Model!CC14+Model!CD14+Model!CE14</f>
        <v>10821368.1</v>
      </c>
      <c r="AC9" s="67">
        <f>Model!CF14+Model!CG14+Model!CH14</f>
        <v>11535750.6</v>
      </c>
      <c r="AD9" s="67">
        <f>Model!CI14+Model!CJ14+Model!CK14</f>
        <v>14343067.649999999</v>
      </c>
      <c r="AE9" s="67">
        <f>Model!CL14+Model!CM14+Model!CN14</f>
        <v>15038725.649999999</v>
      </c>
      <c r="AF9" s="67">
        <f>Model!CO14+Model!CP14+Model!CQ14</f>
        <v>13769302.350000001</v>
      </c>
      <c r="AG9" s="67">
        <f>Model!CR14+Model!CS14+Model!CT14</f>
        <v>10457482.35</v>
      </c>
      <c r="AH9" s="67">
        <f>Model!CU14+Model!CV14+Model!CW14</f>
        <v>5910631.0500000007</v>
      </c>
      <c r="AI9" s="67">
        <f>Model!CX14+Model!CY14+Model!CZ14</f>
        <v>2250893.5499999998</v>
      </c>
      <c r="AJ9" s="67">
        <f>Model!DA14+Model!DB14+Model!DC14</f>
        <v>217168.5</v>
      </c>
      <c r="AK9" s="67">
        <f>Model!DD14+Model!DE14+Model!DF14</f>
        <v>0</v>
      </c>
    </row>
    <row r="10" spans="1:37" ht="15" customHeight="1" x14ac:dyDescent="0.25">
      <c r="A10" s="68" t="s">
        <v>17</v>
      </c>
      <c r="B10" s="82">
        <f>Model!C15+Model!D15+Model!E15</f>
        <v>-6384621.4299999997</v>
      </c>
      <c r="C10" s="82">
        <f>Model!F15+Model!G15+Model!H15</f>
        <v>-11738115.566469695</v>
      </c>
      <c r="D10" s="82">
        <f>Model!I15+Model!J15+Model!K15</f>
        <v>-15713787.978764443</v>
      </c>
      <c r="E10" s="82">
        <f>Model!L15+Model!M15+Model!N15</f>
        <v>-18403285.541075516</v>
      </c>
      <c r="F10" s="82">
        <f>Model!O15+Model!P15+Model!Q15</f>
        <v>-19520721.038367279</v>
      </c>
      <c r="G10" s="82">
        <f>Model!R15+Model!S15+Model!T15</f>
        <v>-21421973.975694221</v>
      </c>
      <c r="H10" s="82">
        <f>Model!U15+Model!V15+Model!W15</f>
        <v>-19261582.439849418</v>
      </c>
      <c r="I10" s="82">
        <f>Model!X15+Model!Y15+Model!Z15</f>
        <v>-18026277.959879648</v>
      </c>
      <c r="J10" s="82">
        <f>Model!AA15+Model!AB15+Model!AC15</f>
        <v>-15402588.435725149</v>
      </c>
      <c r="K10" s="82">
        <f>Model!AD15+Model!AE15+Model!AF15</f>
        <v>-11752963.430459201</v>
      </c>
      <c r="L10" s="82">
        <f>Model!AG15+Model!AH15+Model!AI15</f>
        <v>-8463751.1146843098</v>
      </c>
      <c r="M10" s="82">
        <f>Model!AJ15+Model!AK15+Model!AL15</f>
        <v>-9591829.0117484294</v>
      </c>
      <c r="N10" s="82">
        <f>Model!AM15+Model!AN15+Model!AO15</f>
        <v>-12269568.733865026</v>
      </c>
      <c r="O10" s="82">
        <f>Model!AP15+Model!AQ15+Model!AR15</f>
        <v>-14354390.753516708</v>
      </c>
      <c r="P10" s="82">
        <f>Model!AS15+Model!AT15+Model!AU15</f>
        <v>-16681891.90178521</v>
      </c>
      <c r="Q10" s="82">
        <f>Model!AV15+Model!AW15+Model!AX15</f>
        <v>-16288521.533466361</v>
      </c>
      <c r="R10" s="82">
        <f>Model!AY15+Model!AZ15+Model!BA15</f>
        <v>-15531936.541474361</v>
      </c>
      <c r="S10" s="82">
        <f>Model!BB15+Model!BC15+Model!BD15</f>
        <v>-13129080.026618361</v>
      </c>
      <c r="T10" s="82">
        <f>Model!BE15+Model!BF15+Model!BG15</f>
        <v>-11534929.42903436</v>
      </c>
      <c r="U10" s="82">
        <f>Model!BH15+Model!BI15+Model!BJ15</f>
        <v>-10627056.248415306</v>
      </c>
      <c r="V10" s="82">
        <f>Model!BK15+Model!BL15+Model!BM15</f>
        <v>-12425337.300000001</v>
      </c>
      <c r="W10" s="82">
        <f>Model!BN15+Model!BO15+Model!BP15</f>
        <v>-16096333.800000001</v>
      </c>
      <c r="X10" s="82">
        <f>Model!BQ15+Model!BR15+Model!BS15</f>
        <v>-17731696.649999999</v>
      </c>
      <c r="Y10" s="82">
        <f>Model!BT15+Model!BU15+Model!BV15</f>
        <v>-17017520.850000001</v>
      </c>
      <c r="Z10" s="82">
        <f>Model!BW15+Model!BX15+Model!BY15</f>
        <v>-14629071.600000001</v>
      </c>
      <c r="AA10" s="82">
        <f>Model!BZ15+Model!CA15+Model!CB15</f>
        <v>-11713881.6</v>
      </c>
      <c r="AB10" s="82">
        <f>Model!CC15+Model!CD15+Model!CE15</f>
        <v>-10821368.1</v>
      </c>
      <c r="AC10" s="82">
        <f>Model!CF15+Model!CG15+Model!CH15</f>
        <v>-11535750.6</v>
      </c>
      <c r="AD10" s="82">
        <f>Model!CI15+Model!CJ15+Model!CK15</f>
        <v>-14343067.649999999</v>
      </c>
      <c r="AE10" s="82">
        <f>Model!CL15+Model!CM15+Model!CN15</f>
        <v>-15038725.649999999</v>
      </c>
      <c r="AF10" s="82">
        <f>Model!CO15+Model!CP15+Model!CQ15</f>
        <v>-13769302.350000001</v>
      </c>
      <c r="AG10" s="82">
        <f>Model!CR15+Model!CS15+Model!CT15</f>
        <v>-10457482.35</v>
      </c>
      <c r="AH10" s="82">
        <f>Model!CU15+Model!CV15+Model!CW15</f>
        <v>-5910631.0500000007</v>
      </c>
      <c r="AI10" s="82">
        <f>Model!CX15+Model!CY15+Model!CZ15</f>
        <v>-2250893.5499999998</v>
      </c>
      <c r="AJ10" s="82">
        <f>Model!DA15+Model!DB15+Model!DC15</f>
        <v>-217168.5</v>
      </c>
      <c r="AK10" s="82">
        <f>Model!DD15+Model!DE15+Model!DF15</f>
        <v>0</v>
      </c>
    </row>
    <row r="11" spans="1:37" ht="15" customHeight="1" x14ac:dyDescent="0.25">
      <c r="A11" s="6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</row>
    <row r="12" spans="1:37" ht="15" customHeight="1" x14ac:dyDescent="0.25">
      <c r="A12" s="70" t="s">
        <v>18</v>
      </c>
      <c r="B12" s="71">
        <f>Model!C17+Model!D17+Model!E17</f>
        <v>763900.36000000057</v>
      </c>
      <c r="C12" s="71">
        <f>Model!F17+Model!G17+Model!H17</f>
        <v>1385128.3825085252</v>
      </c>
      <c r="D12" s="71">
        <f>Model!I17+Model!J17+Model!K17</f>
        <v>1898091.5689637493</v>
      </c>
      <c r="E12" s="71">
        <f>Model!L17+Model!M17+Model!N17</f>
        <v>2469053.7027992597</v>
      </c>
      <c r="F12" s="71">
        <f>Model!O17+Model!P17+Model!Q17</f>
        <v>2323733.3246344579</v>
      </c>
      <c r="G12" s="71">
        <f>Model!R17+Model!S17+Model!T17</f>
        <v>3000117.8150923084</v>
      </c>
      <c r="H12" s="71">
        <f>Model!U17+Model!V17+Model!W17</f>
        <v>2071542.7268988676</v>
      </c>
      <c r="I12" s="71">
        <f>Model!X17+Model!Y17+Model!Z17</f>
        <v>1784053.6708823508</v>
      </c>
      <c r="J12" s="71">
        <f>Model!AA17+Model!AB17+Model!AC17</f>
        <v>1740433.0620028507</v>
      </c>
      <c r="K12" s="71">
        <f>Model!AD17+Model!AE17+Model!AF17</f>
        <v>1816071.6870287973</v>
      </c>
      <c r="L12" s="71">
        <f>Model!AG17+Model!AH17+Model!AI17</f>
        <v>1967348.9370806911</v>
      </c>
      <c r="M12" s="71">
        <f>Model!AJ17+Model!AK17+Model!AL17</f>
        <v>2422214.9993245709</v>
      </c>
      <c r="N12" s="71">
        <f>Model!AM17+Model!AN17+Model!AO17</f>
        <v>1809060.3246189752</v>
      </c>
      <c r="O12" s="71">
        <f>Model!AP17+Model!AQ17+Model!AR17</f>
        <v>1857516.7347772904</v>
      </c>
      <c r="P12" s="71">
        <f>Model!AS17+Model!AT17+Model!AU17</f>
        <v>2455058.0201307889</v>
      </c>
      <c r="Q12" s="71">
        <f>Model!AV17+Model!AW17+Model!AX17</f>
        <v>1664849.8226056397</v>
      </c>
      <c r="R12" s="71">
        <f>Model!AY17+Model!AZ17+Model!BA17</f>
        <v>1755143.0726056388</v>
      </c>
      <c r="S12" s="71">
        <f>Model!BB17+Model!BC17+Model!BD17</f>
        <v>1845436.3226056397</v>
      </c>
      <c r="T12" s="71">
        <f>Model!BE17+Model!BF17+Model!BG17</f>
        <v>1989905.5226056399</v>
      </c>
      <c r="U12" s="71">
        <f>Model!BH17+Model!BI17+Model!BJ17</f>
        <v>2153416.7567926929</v>
      </c>
      <c r="V12" s="71">
        <f>Model!BK17+Model!BL17+Model!BM17</f>
        <v>1769747.6999999997</v>
      </c>
      <c r="W12" s="71">
        <f>Model!BN17+Model!BO17+Model!BP17</f>
        <v>1950334.2000000002</v>
      </c>
      <c r="X12" s="71">
        <f>Model!BQ17+Model!BR17+Model!BS17</f>
        <v>2148979.3500000006</v>
      </c>
      <c r="Y12" s="71">
        <f>Model!BT17+Model!BU17+Model!BV17</f>
        <v>2004510.1499999994</v>
      </c>
      <c r="Z12" s="71">
        <f>Model!BW17+Model!BX17+Model!BY17</f>
        <v>2094803.4000000004</v>
      </c>
      <c r="AA12" s="71">
        <f>Model!BZ17+Model!CA17+Model!CB17</f>
        <v>1733630.4000000004</v>
      </c>
      <c r="AB12" s="71">
        <f>Model!CC17+Model!CD17+Model!CE17</f>
        <v>1914216.9000000004</v>
      </c>
      <c r="AC12" s="71">
        <f>Model!CF17+Model!CG17+Model!CH17</f>
        <v>1733630.4000000004</v>
      </c>
      <c r="AD12" s="71">
        <f>Model!CI17+Model!CJ17+Model!CK17</f>
        <v>1787806.3500000006</v>
      </c>
      <c r="AE12" s="71">
        <f>Model!CL17+Model!CM17+Model!CN17</f>
        <v>1787806.3499999996</v>
      </c>
      <c r="AF12" s="71">
        <f>Model!CO17+Model!CP17+Model!CQ17</f>
        <v>1462750.6499999994</v>
      </c>
      <c r="AG12" s="71">
        <f>Model!CR17+Model!CS17+Model!CT17</f>
        <v>1462750.65</v>
      </c>
      <c r="AH12" s="71">
        <f>Model!CU17+Model!CV17+Model!CW17</f>
        <v>1137694.9499999997</v>
      </c>
      <c r="AI12" s="71">
        <f>Model!CX17+Model!CY17+Model!CZ17</f>
        <v>595935.44999999995</v>
      </c>
      <c r="AJ12" s="71">
        <f>Model!DA17+Model!DB17+Model!DC17</f>
        <v>180586.5</v>
      </c>
      <c r="AK12" s="71">
        <f>Model!DD17+Model!DE17+Model!DF17</f>
        <v>0</v>
      </c>
    </row>
    <row r="13" spans="1:37" ht="15" customHeight="1" x14ac:dyDescent="0.25">
      <c r="A13" s="66" t="s">
        <v>19</v>
      </c>
      <c r="B13" s="67">
        <f>Model!C18+Model!D18+Model!E18</f>
        <v>0</v>
      </c>
      <c r="C13" s="67">
        <f>Model!F18+Model!G18+Model!H18</f>
        <v>0</v>
      </c>
      <c r="D13" s="67">
        <f>Model!I18+Model!J18+Model!K18</f>
        <v>644526.72</v>
      </c>
      <c r="E13" s="67">
        <f>Model!L18+Model!M18+Model!N18</f>
        <v>761010.89999999991</v>
      </c>
      <c r="F13" s="67">
        <f>Model!O18+Model!P18+Model!Q18</f>
        <v>0</v>
      </c>
      <c r="G13" s="67">
        <f>Model!R18+Model!S18+Model!T18</f>
        <v>679001.54999999993</v>
      </c>
      <c r="H13" s="67">
        <f>Model!U18+Model!V18+Model!W18</f>
        <v>0</v>
      </c>
      <c r="I13" s="67">
        <f>Model!X18+Model!Y18+Model!Z18</f>
        <v>0</v>
      </c>
      <c r="J13" s="67">
        <f>Model!AA18+Model!AB18+Model!AC18</f>
        <v>0</v>
      </c>
      <c r="K13" s="67">
        <f>Model!AD18+Model!AE18+Model!AF18</f>
        <v>620319.48</v>
      </c>
      <c r="L13" s="67">
        <f>Model!AG18+Model!AH18+Model!AI18</f>
        <v>0</v>
      </c>
      <c r="M13" s="67">
        <f>Model!AJ18+Model!AK18+Model!AL18</f>
        <v>0</v>
      </c>
      <c r="N13" s="67">
        <f>Model!AM18+Model!AN18+Model!AO18</f>
        <v>0</v>
      </c>
      <c r="O13" s="67">
        <f>Model!AP18+Model!AQ18+Model!AR18</f>
        <v>0</v>
      </c>
      <c r="P13" s="67">
        <f>Model!AS18+Model!AT18+Model!AU18</f>
        <v>0</v>
      </c>
      <c r="Q13" s="67">
        <f>Model!AV18+Model!AW18+Model!AX18</f>
        <v>0</v>
      </c>
      <c r="R13" s="67">
        <f>Model!AY18+Model!AZ18+Model!BA18</f>
        <v>0</v>
      </c>
      <c r="S13" s="67">
        <f>Model!BB18+Model!BC18+Model!BD18</f>
        <v>0</v>
      </c>
      <c r="T13" s="67">
        <f>Model!BE18+Model!BF18+Model!BG18</f>
        <v>0</v>
      </c>
      <c r="U13" s="67">
        <f>Model!BH18+Model!BI18+Model!BJ18</f>
        <v>0</v>
      </c>
      <c r="V13" s="67">
        <f>Model!BK18+Model!BL18+Model!BM18</f>
        <v>0</v>
      </c>
      <c r="W13" s="67">
        <f>Model!BN18+Model!BO18+Model!BP18</f>
        <v>0</v>
      </c>
      <c r="X13" s="67">
        <f>Model!BQ18+Model!BR18+Model!BS18</f>
        <v>0</v>
      </c>
      <c r="Y13" s="67">
        <f>Model!BT18+Model!BU18+Model!BV18</f>
        <v>0</v>
      </c>
      <c r="Z13" s="67">
        <f>Model!BW18+Model!BX18+Model!BY18</f>
        <v>0</v>
      </c>
      <c r="AA13" s="67">
        <f>Model!BZ18+Model!CA18+Model!CB18</f>
        <v>0</v>
      </c>
      <c r="AB13" s="67">
        <f>Model!CC18+Model!CD18+Model!CE18</f>
        <v>0</v>
      </c>
      <c r="AC13" s="67">
        <f>Model!CF18+Model!CG18+Model!CH18</f>
        <v>0</v>
      </c>
      <c r="AD13" s="67">
        <f>Model!CI18+Model!CJ18+Model!CK18</f>
        <v>0</v>
      </c>
      <c r="AE13" s="67">
        <f>Model!CL18+Model!CM18+Model!CN18</f>
        <v>0</v>
      </c>
      <c r="AF13" s="67">
        <f>Model!CO18+Model!CP18+Model!CQ18</f>
        <v>0</v>
      </c>
      <c r="AG13" s="67">
        <f>Model!CR18+Model!CS18+Model!CT18</f>
        <v>0</v>
      </c>
      <c r="AH13" s="67">
        <f>Model!CU18+Model!CV18+Model!CW18</f>
        <v>0</v>
      </c>
      <c r="AI13" s="67">
        <f>Model!CX18+Model!CY18+Model!CZ18</f>
        <v>0</v>
      </c>
      <c r="AJ13" s="67">
        <f>Model!DA18+Model!DB18+Model!DC18</f>
        <v>0</v>
      </c>
      <c r="AK13" s="67">
        <f>Model!DD18+Model!DE18+Model!DF18</f>
        <v>0</v>
      </c>
    </row>
    <row r="14" spans="1:37" ht="15" customHeight="1" x14ac:dyDescent="0.25">
      <c r="A14" s="66" t="s">
        <v>20</v>
      </c>
      <c r="B14" s="83">
        <f>Model!C19+Model!D19+Model!E19</f>
        <v>-1966.5</v>
      </c>
      <c r="C14" s="83">
        <f>Model!F19+Model!G19+Model!H19</f>
        <v>0</v>
      </c>
      <c r="D14" s="83">
        <f>Model!I19+Model!J19+Model!K19</f>
        <v>-317966.51520000002</v>
      </c>
      <c r="E14" s="83">
        <f>Model!L19+Model!M19+Model!N19</f>
        <v>-375432.04399999999</v>
      </c>
      <c r="F14" s="83">
        <f>Model!O19+Model!P19+Model!Q19</f>
        <v>0</v>
      </c>
      <c r="G14" s="83">
        <f>Model!R19+Model!S19+Model!T19</f>
        <v>-1471170.0250000001</v>
      </c>
      <c r="H14" s="83">
        <f>Model!U19+Model!V19+Model!W19</f>
        <v>0</v>
      </c>
      <c r="I14" s="83">
        <f>Model!X19+Model!Y19+Model!Z19</f>
        <v>0</v>
      </c>
      <c r="J14" s="83">
        <f>Model!AA19+Model!AB19+Model!AC19</f>
        <v>0</v>
      </c>
      <c r="K14" s="83">
        <f>Model!AD19+Model!AE19+Model!AF19</f>
        <v>-1344025.54</v>
      </c>
      <c r="L14" s="83">
        <f>Model!AG19+Model!AH19+Model!AI19</f>
        <v>0</v>
      </c>
      <c r="M14" s="83">
        <f>Model!AJ19+Model!AK19+Model!AL19</f>
        <v>0</v>
      </c>
      <c r="N14" s="83">
        <f>Model!AM19+Model!AN19+Model!AO19</f>
        <v>0</v>
      </c>
      <c r="O14" s="83">
        <f>Model!AP19+Model!AQ19+Model!AR19</f>
        <v>0</v>
      </c>
      <c r="P14" s="83">
        <f>Model!AS19+Model!AT19+Model!AU19</f>
        <v>0</v>
      </c>
      <c r="Q14" s="83">
        <f>Model!AV19+Model!AW19+Model!AX19</f>
        <v>0</v>
      </c>
      <c r="R14" s="83">
        <f>Model!AY19+Model!AZ19+Model!BA19</f>
        <v>0</v>
      </c>
      <c r="S14" s="83">
        <f>Model!BB19+Model!BC19+Model!BD19</f>
        <v>0</v>
      </c>
      <c r="T14" s="83">
        <f>Model!BE19+Model!BF19+Model!BG19</f>
        <v>0</v>
      </c>
      <c r="U14" s="83">
        <f>Model!BH19+Model!BI19+Model!BJ19</f>
        <v>0</v>
      </c>
      <c r="V14" s="83">
        <f>Model!BK19+Model!BL19+Model!BM19</f>
        <v>0</v>
      </c>
      <c r="W14" s="83">
        <f>Model!BN19+Model!BO19+Model!BP19</f>
        <v>0</v>
      </c>
      <c r="X14" s="83">
        <f>Model!BQ19+Model!BR19+Model!BS19</f>
        <v>0</v>
      </c>
      <c r="Y14" s="83">
        <f>Model!BT19+Model!BU19+Model!BV19</f>
        <v>0</v>
      </c>
      <c r="Z14" s="83">
        <f>Model!BW19+Model!BX19+Model!BY19</f>
        <v>0</v>
      </c>
      <c r="AA14" s="83">
        <f>Model!BZ19+Model!CA19+Model!CB19</f>
        <v>0</v>
      </c>
      <c r="AB14" s="83">
        <f>Model!CC19+Model!CD19+Model!CE19</f>
        <v>0</v>
      </c>
      <c r="AC14" s="83">
        <f>Model!CF19+Model!CG19+Model!CH19</f>
        <v>0</v>
      </c>
      <c r="AD14" s="83">
        <f>Model!CI19+Model!CJ19+Model!CK19</f>
        <v>0</v>
      </c>
      <c r="AE14" s="83">
        <f>Model!CL19+Model!CM19+Model!CN19</f>
        <v>0</v>
      </c>
      <c r="AF14" s="83">
        <f>Model!CO19+Model!CP19+Model!CQ19</f>
        <v>0</v>
      </c>
      <c r="AG14" s="83">
        <f>Model!CR19+Model!CS19+Model!CT19</f>
        <v>0</v>
      </c>
      <c r="AH14" s="83">
        <f>Model!CU19+Model!CV19+Model!CW19</f>
        <v>0</v>
      </c>
      <c r="AI14" s="83">
        <f>Model!CX19+Model!CY19+Model!CZ19</f>
        <v>0</v>
      </c>
      <c r="AJ14" s="83">
        <f>Model!DA19+Model!DB19+Model!DC19</f>
        <v>0</v>
      </c>
      <c r="AK14" s="83">
        <f>Model!DD19+Model!DE19+Model!DF19</f>
        <v>0</v>
      </c>
    </row>
    <row r="15" spans="1:37" ht="15" customHeight="1" x14ac:dyDescent="0.25">
      <c r="A15" s="72" t="s">
        <v>21</v>
      </c>
      <c r="B15" s="73">
        <f>Model!C20+Model!D20+Model!E20</f>
        <v>761933.86000000057</v>
      </c>
      <c r="C15" s="73">
        <f>Model!F20+Model!G20+Model!H20</f>
        <v>1385128.3825085252</v>
      </c>
      <c r="D15" s="73">
        <f>Model!I20+Model!J20+Model!K20</f>
        <v>2224651.7737637493</v>
      </c>
      <c r="E15" s="73">
        <f>Model!L20+Model!M20+Model!N20</f>
        <v>2854632.5587992594</v>
      </c>
      <c r="F15" s="73">
        <f>Model!O20+Model!P20+Model!Q20</f>
        <v>2323733.3246344579</v>
      </c>
      <c r="G15" s="73">
        <f>Model!R20+Model!S20+Model!T20</f>
        <v>2207949.3400923079</v>
      </c>
      <c r="H15" s="73">
        <f>Model!U20+Model!V20+Model!W20</f>
        <v>2071542.7268988676</v>
      </c>
      <c r="I15" s="73">
        <f>Model!X20+Model!Y20+Model!Z20</f>
        <v>1784053.6708823508</v>
      </c>
      <c r="J15" s="73">
        <f>Model!AA20+Model!AB20+Model!AC20</f>
        <v>1740433.0620028507</v>
      </c>
      <c r="K15" s="73">
        <f>Model!AD20+Model!AE20+Model!AF20</f>
        <v>1092365.6270287973</v>
      </c>
      <c r="L15" s="73">
        <f>Model!AG20+Model!AH20+Model!AI20</f>
        <v>1967348.9370806911</v>
      </c>
      <c r="M15" s="73">
        <f>Model!AJ20+Model!AK20+Model!AL20</f>
        <v>2422214.9993245709</v>
      </c>
      <c r="N15" s="73">
        <f>Model!AM20+Model!AN20+Model!AO20</f>
        <v>1809060.3246189752</v>
      </c>
      <c r="O15" s="73">
        <f>Model!AP20+Model!AQ20+Model!AR20</f>
        <v>1857516.7347772904</v>
      </c>
      <c r="P15" s="73">
        <f>Model!AS20+Model!AT20+Model!AU20</f>
        <v>2455058.0201307889</v>
      </c>
      <c r="Q15" s="73">
        <f>Model!AV20+Model!AW20+Model!AX20</f>
        <v>1664849.8226056397</v>
      </c>
      <c r="R15" s="73">
        <f>Model!AY20+Model!AZ20+Model!BA20</f>
        <v>1755143.0726056388</v>
      </c>
      <c r="S15" s="73">
        <f>Model!BB20+Model!BC20+Model!BD20</f>
        <v>1845436.3226056397</v>
      </c>
      <c r="T15" s="73">
        <f>Model!BE20+Model!BF20+Model!BG20</f>
        <v>1989905.5226056399</v>
      </c>
      <c r="U15" s="73">
        <f>Model!BH20+Model!BI20+Model!BJ20</f>
        <v>2153416.7567926929</v>
      </c>
      <c r="V15" s="73">
        <f>Model!BK20+Model!BL20+Model!BM20</f>
        <v>1769747.6999999997</v>
      </c>
      <c r="W15" s="73">
        <f>Model!BN20+Model!BO20+Model!BP20</f>
        <v>1950334.2000000002</v>
      </c>
      <c r="X15" s="73">
        <f>Model!BQ20+Model!BR20+Model!BS20</f>
        <v>2148979.3500000006</v>
      </c>
      <c r="Y15" s="73">
        <f>Model!BT20+Model!BU20+Model!BV20</f>
        <v>2004510.1499999994</v>
      </c>
      <c r="Z15" s="73">
        <f>Model!BW20+Model!BX20+Model!BY20</f>
        <v>2094803.4000000004</v>
      </c>
      <c r="AA15" s="73">
        <f>Model!BZ20+Model!CA20+Model!CB20</f>
        <v>1733630.4000000004</v>
      </c>
      <c r="AB15" s="73">
        <f>Model!CC20+Model!CD20+Model!CE20</f>
        <v>1914216.9000000004</v>
      </c>
      <c r="AC15" s="73">
        <f>Model!CF20+Model!CG20+Model!CH20</f>
        <v>1733630.4000000004</v>
      </c>
      <c r="AD15" s="73">
        <f>Model!CI20+Model!CJ20+Model!CK20</f>
        <v>1787806.3500000006</v>
      </c>
      <c r="AE15" s="73">
        <f>Model!CL20+Model!CM20+Model!CN20</f>
        <v>1787806.3499999996</v>
      </c>
      <c r="AF15" s="73">
        <f>Model!CO20+Model!CP20+Model!CQ20</f>
        <v>1462750.6499999994</v>
      </c>
      <c r="AG15" s="73">
        <f>Model!CR20+Model!CS20+Model!CT20</f>
        <v>1462750.65</v>
      </c>
      <c r="AH15" s="73">
        <f>Model!CU20+Model!CV20+Model!CW20</f>
        <v>1137694.9499999997</v>
      </c>
      <c r="AI15" s="73">
        <f>Model!CX20+Model!CY20+Model!CZ20</f>
        <v>595935.44999999995</v>
      </c>
      <c r="AJ15" s="73">
        <f>Model!DA20+Model!DB20+Model!DC20</f>
        <v>180586.5</v>
      </c>
      <c r="AK15" s="73">
        <f>Model!DD20+Model!DE20+Model!DF20</f>
        <v>0</v>
      </c>
    </row>
    <row r="16" spans="1:37" ht="15" customHeight="1" x14ac:dyDescent="0.25">
      <c r="A16" s="302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" customHeight="1" x14ac:dyDescent="0.25">
      <c r="A17" s="315" t="s">
        <v>22</v>
      </c>
      <c r="B17" s="310"/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</row>
    <row r="18" spans="1:37" ht="15" customHeight="1" x14ac:dyDescent="0.25">
      <c r="A18" s="13" t="s">
        <v>23</v>
      </c>
      <c r="B18" s="83">
        <f>SUM(Model!C23:E24)+SUM(Model!C26:E30)</f>
        <v>-637683.26</v>
      </c>
      <c r="C18" s="83">
        <f>SUM(Model!F23:H24)+SUM(Model!F26:H30)</f>
        <v>-517122.1533333332</v>
      </c>
      <c r="D18" s="83">
        <f>SUM(Model!I23:K24)+SUM(Model!I26:K30)</f>
        <v>-884653.10499999998</v>
      </c>
      <c r="E18" s="83">
        <f>SUM(Model!L23:N24)+SUM(Model!L26:N30)</f>
        <v>-1024915.6049999999</v>
      </c>
      <c r="F18" s="83">
        <f>SUM(Model!O23:Q24)+SUM(Model!O26:Q30)</f>
        <v>-1059265.605</v>
      </c>
      <c r="G18" s="83">
        <f>SUM(Model!R23:T24)+SUM(Model!R26:T30)</f>
        <v>-1127166.9170999997</v>
      </c>
      <c r="H18" s="83">
        <f>SUM(Model!U23:W24)+SUM(Model!U26:W30)</f>
        <v>-1127166.9170999997</v>
      </c>
      <c r="I18" s="83">
        <f>SUM(Model!X23:Z24)+SUM(Model!X26:Z30)</f>
        <v>-1127166.9170999997</v>
      </c>
      <c r="J18" s="83">
        <f>SUM(Model!AA23:AC24)+SUM(Model!AA26:AC30)</f>
        <v>-1127166.9170999997</v>
      </c>
      <c r="K18" s="83">
        <f>SUM(Model!AD23:AF24)+SUM(Model!AD26:AF30)</f>
        <v>-1149710.2554419998</v>
      </c>
      <c r="L18" s="83">
        <f>SUM(Model!AG23:AI24)+SUM(Model!AG26:AI30)</f>
        <v>-1149710.2554419998</v>
      </c>
      <c r="M18" s="83">
        <f>SUM(Model!AJ23:AL24)+SUM(Model!AJ26:AL30)</f>
        <v>-1149710.2554419998</v>
      </c>
      <c r="N18" s="83">
        <f>SUM(Model!AM23:AO24)+SUM(Model!AM26:AO30)</f>
        <v>-1149710.2554419998</v>
      </c>
      <c r="O18" s="83">
        <f>SUM(Model!AP23:AR24)+SUM(Model!AP26:AR30)</f>
        <v>-1172704.4605508398</v>
      </c>
      <c r="P18" s="83">
        <f>SUM(Model!AS23:AU24)+SUM(Model!AS26:AU30)</f>
        <v>-1172704.4605508398</v>
      </c>
      <c r="Q18" s="83">
        <f>SUM(Model!AV23:AX24)+SUM(Model!AV26:AX30)</f>
        <v>-1172704.4605508398</v>
      </c>
      <c r="R18" s="83">
        <f>SUM(Model!AY23:BA24)+SUM(Model!AY26:BA30)</f>
        <v>-1172704.4605508398</v>
      </c>
      <c r="S18" s="83">
        <f>SUM(Model!BB23:BD24)+SUM(Model!BB26:BD30)</f>
        <v>-1196158.5497618567</v>
      </c>
      <c r="T18" s="83">
        <f>SUM(Model!BE23:BG24)+SUM(Model!BE26:BG30)</f>
        <v>-1196158.5497618567</v>
      </c>
      <c r="U18" s="83">
        <f>SUM(Model!BH23:BJ24)+SUM(Model!BH26:BJ30)</f>
        <v>-1196158.5497618567</v>
      </c>
      <c r="V18" s="83">
        <f>SUM(Model!BK23:BM24)+SUM(Model!BK26:BM30)</f>
        <v>-1196158.5497618567</v>
      </c>
      <c r="W18" s="83">
        <f>SUM(Model!BN23:BP24)+SUM(Model!BN26:BP30)</f>
        <v>-1220081.7207570937</v>
      </c>
      <c r="X18" s="83">
        <f>SUM(Model!BQ23:BS24)+SUM(Model!BQ26:BS30)</f>
        <v>-1220081.7207570937</v>
      </c>
      <c r="Y18" s="83">
        <f>SUM(Model!BT23:BV24)+SUM(Model!BT26:BV30)</f>
        <v>-1220081.7207570937</v>
      </c>
      <c r="Z18" s="83">
        <f>SUM(Model!BW23:BY24)+SUM(Model!BW26:BY30)</f>
        <v>-1220081.7207570937</v>
      </c>
      <c r="AA18" s="83">
        <f>SUM(Model!BZ23:CB24)+SUM(Model!BZ26:CB30)</f>
        <v>-1244483.3551722358</v>
      </c>
      <c r="AB18" s="83">
        <f>SUM(Model!CC23:CE24)+SUM(Model!CC26:CE30)</f>
        <v>-1244483.3551722358</v>
      </c>
      <c r="AC18" s="83">
        <f>SUM(Model!CF23:CH24)+SUM(Model!CF26:CH30)</f>
        <v>-1244483.3551722358</v>
      </c>
      <c r="AD18" s="83">
        <f>SUM(Model!CI23:CK24)+SUM(Model!CI26:CK30)</f>
        <v>-1244483.3551722358</v>
      </c>
      <c r="AE18" s="83">
        <f>SUM(Model!CL23:CN24)+SUM(Model!CL26:CN30)</f>
        <v>-1269373.02227568</v>
      </c>
      <c r="AF18" s="83">
        <f>SUM(Model!CO23:CQ24)+SUM(Model!CO26:CQ30)</f>
        <v>-1269373.02227568</v>
      </c>
      <c r="AG18" s="83">
        <f>SUM(Model!CR23:CT24)+SUM(Model!CR26:CT30)</f>
        <v>-1269373.02227568</v>
      </c>
      <c r="AH18" s="83">
        <f>SUM(Model!CU23:CW24)+SUM(Model!CU26:CW30)</f>
        <v>-1097712.7181736294</v>
      </c>
      <c r="AI18" s="83">
        <f>SUM(Model!CX23:CZ24)+SUM(Model!CX26:CZ30)</f>
        <v>-1119666.9725371022</v>
      </c>
      <c r="AJ18" s="83">
        <f>SUM(Model!DA23:DC24)+SUM(Model!DA26:DC30)</f>
        <v>-1119666.9725371022</v>
      </c>
      <c r="AK18" s="83">
        <f>SUM(Model!DD23:DF24)+SUM(Model!DD26:DF30)</f>
        <v>-1119666.9725371022</v>
      </c>
    </row>
    <row r="19" spans="1:37" ht="15" customHeight="1" x14ac:dyDescent="0.25">
      <c r="A19" s="13" t="s">
        <v>24</v>
      </c>
      <c r="B19" s="67">
        <f>SUM(Model!C31:E53)+SUM(Model!C55:E55)</f>
        <v>-230334.79000000004</v>
      </c>
      <c r="C19" s="67">
        <f>SUM(Model!F31:H53)+SUM(Model!F55:H55)</f>
        <v>-304586.78000000003</v>
      </c>
      <c r="D19" s="67">
        <f>SUM(Model!I31:K53)+SUM(Model!I55:K55)</f>
        <v>-205952.82000000007</v>
      </c>
      <c r="E19" s="67">
        <f>SUM(Model!L31:N53)+SUM(Model!L55:N55)</f>
        <v>-277952.81999999995</v>
      </c>
      <c r="F19" s="67">
        <f>SUM(Model!O31:Q53)+SUM(Model!O55:Q55)</f>
        <v>-186452.82000000007</v>
      </c>
      <c r="G19" s="67">
        <f>SUM(Model!R31:T53)+SUM(Model!R55:T55)</f>
        <v>-214181.8764000001</v>
      </c>
      <c r="H19" s="67">
        <f>SUM(Model!U31:W53)+SUM(Model!U55:W55)</f>
        <v>-190181.87640000007</v>
      </c>
      <c r="I19" s="67">
        <f>SUM(Model!X31:Z53)+SUM(Model!X55:Z55)</f>
        <v>-190181.87640000007</v>
      </c>
      <c r="J19" s="67">
        <f>SUM(Model!AA31:AC53)+SUM(Model!AA55:AC55)</f>
        <v>-190181.87640000007</v>
      </c>
      <c r="K19" s="67">
        <f>SUM(Model!AD31:AF53)+SUM(Model!AD55:AF55)</f>
        <v>-193985.51392799997</v>
      </c>
      <c r="L19" s="67">
        <f>SUM(Model!AG31:AI53)+SUM(Model!AG55:AI55)</f>
        <v>-193985.51392799997</v>
      </c>
      <c r="M19" s="67">
        <f>SUM(Model!AJ31:AL53)+SUM(Model!AJ55:AL55)</f>
        <v>-193985.51392799997</v>
      </c>
      <c r="N19" s="67">
        <f>SUM(Model!AM31:AO53)+SUM(Model!AM55:AO55)</f>
        <v>-193985.51392799997</v>
      </c>
      <c r="O19" s="67">
        <f>SUM(Model!AP31:AR53)+SUM(Model!AP55:AR55)</f>
        <v>-197865.22420656009</v>
      </c>
      <c r="P19" s="67">
        <f>SUM(Model!AS31:AU53)+SUM(Model!AS55:AU55)</f>
        <v>-197865.22420656009</v>
      </c>
      <c r="Q19" s="67">
        <f>SUM(Model!AV31:AX53)+SUM(Model!AV55:AX55)</f>
        <v>-197865.22420656009</v>
      </c>
      <c r="R19" s="67">
        <f>SUM(Model!AY31:BA53)+SUM(Model!AY55:BA55)</f>
        <v>-197865.22420656009</v>
      </c>
      <c r="S19" s="67">
        <f>SUM(Model!BB31:BD53)+SUM(Model!BB55:BD55)</f>
        <v>-201822.52869069119</v>
      </c>
      <c r="T19" s="67">
        <f>SUM(Model!BE31:BG53)+SUM(Model!BE55:BG55)</f>
        <v>-201822.52869069119</v>
      </c>
      <c r="U19" s="67">
        <f>SUM(Model!BH31:BJ53)+SUM(Model!BH55:BJ55)</f>
        <v>-201822.52869069119</v>
      </c>
      <c r="V19" s="67">
        <f>SUM(Model!BK31:BM53)+SUM(Model!BK55:BM55)</f>
        <v>-201822.52869069119</v>
      </c>
      <c r="W19" s="67">
        <f>SUM(Model!BN31:BP53)+SUM(Model!BN55:BP55)</f>
        <v>-205858.97926450506</v>
      </c>
      <c r="X19" s="67">
        <f>SUM(Model!BQ31:BS53)+SUM(Model!BQ55:BS55)</f>
        <v>-205858.97926450506</v>
      </c>
      <c r="Y19" s="67">
        <f>SUM(Model!BT31:BV53)+SUM(Model!BT55:BV55)</f>
        <v>-205858.97926450506</v>
      </c>
      <c r="Z19" s="67">
        <f>SUM(Model!BW31:BY53)+SUM(Model!BW55:BY55)</f>
        <v>-205858.97926450506</v>
      </c>
      <c r="AA19" s="67">
        <f>SUM(Model!BZ31:CB53)+SUM(Model!BZ55:CB55)</f>
        <v>-209976.1588497952</v>
      </c>
      <c r="AB19" s="67">
        <f>SUM(Model!CC31:CE53)+SUM(Model!CC55:CE55)</f>
        <v>-209976.1588497952</v>
      </c>
      <c r="AC19" s="67">
        <f>SUM(Model!CF31:CH53)+SUM(Model!CF55:CH55)</f>
        <v>-209976.1588497952</v>
      </c>
      <c r="AD19" s="67">
        <f>SUM(Model!CI31:CK53)+SUM(Model!CI55:CK55)</f>
        <v>-209976.1588497952</v>
      </c>
      <c r="AE19" s="67">
        <f>SUM(Model!CL31:CN53)+SUM(Model!CL55:CN55)</f>
        <v>-214175.68202679098</v>
      </c>
      <c r="AF19" s="67">
        <f>SUM(Model!CO31:CQ53)+SUM(Model!CO55:CQ55)</f>
        <v>-214175.68202679098</v>
      </c>
      <c r="AG19" s="67">
        <f>SUM(Model!CR31:CT53)+SUM(Model!CR55:CT55)</f>
        <v>-214175.68202679098</v>
      </c>
      <c r="AH19" s="67">
        <f>SUM(Model!CU31:CW53)+SUM(Model!CU55:CW55)</f>
        <v>-214175.68202679098</v>
      </c>
      <c r="AI19" s="67">
        <f>SUM(Model!CX31:CZ53)+SUM(Model!CX55:CZ55)</f>
        <v>-218459.19566732692</v>
      </c>
      <c r="AJ19" s="67">
        <f>SUM(Model!DA31:DC53)+SUM(Model!DA55:DC55)</f>
        <v>-218459.19566732692</v>
      </c>
      <c r="AK19" s="67">
        <f>SUM(Model!DD31:DF53)+SUM(Model!DD55:DF55)</f>
        <v>-218459.19566732692</v>
      </c>
    </row>
    <row r="20" spans="1:37" ht="15" customHeight="1" x14ac:dyDescent="0.25">
      <c r="A20" s="13" t="s">
        <v>25</v>
      </c>
      <c r="B20" s="74">
        <f>SUM(Model!C25:E25)</f>
        <v>0</v>
      </c>
      <c r="C20" s="74">
        <f>SUM(Model!F25:H25)</f>
        <v>-207666.66666666669</v>
      </c>
      <c r="D20" s="74">
        <f>SUM(Model!I25:K25)</f>
        <v>-311500</v>
      </c>
      <c r="E20" s="74">
        <f>SUM(Model!L25:N25)</f>
        <v>-311500</v>
      </c>
      <c r="F20" s="74">
        <f>SUM(Model!O25:Q25)</f>
        <v>-311500</v>
      </c>
      <c r="G20" s="74">
        <f>SUM(Model!R25:T25)</f>
        <v>-311500</v>
      </c>
      <c r="H20" s="74">
        <f>SUM(Model!U25:W25)</f>
        <v>-311500</v>
      </c>
      <c r="I20" s="74">
        <f>SUM(Model!X25:Z25)</f>
        <v>-311500</v>
      </c>
      <c r="J20" s="74">
        <f>SUM(Model!AA25:AC25)</f>
        <v>-311500</v>
      </c>
      <c r="K20" s="74">
        <f>SUM(Model!AD25:AF25)</f>
        <v>-311500</v>
      </c>
      <c r="L20" s="74">
        <f>SUM(Model!AG25:AI25)</f>
        <v>-311500</v>
      </c>
      <c r="M20" s="74">
        <f>SUM(Model!AJ25:AL25)</f>
        <v>-311500</v>
      </c>
      <c r="N20" s="74">
        <f>SUM(Model!AM25:AO25)</f>
        <v>-311500</v>
      </c>
      <c r="O20" s="74">
        <f>SUM(Model!AP25:AR25)</f>
        <v>-311500</v>
      </c>
      <c r="P20" s="74">
        <f>SUM(Model!AS25:AU25)</f>
        <v>-311500</v>
      </c>
      <c r="Q20" s="74">
        <f>SUM(Model!AV25:AX25)</f>
        <v>-311500</v>
      </c>
      <c r="R20" s="74">
        <f>SUM(Model!AY25:BA25)</f>
        <v>-311500</v>
      </c>
      <c r="S20" s="74">
        <f>SUM(Model!BB25:BD25)</f>
        <v>-311500</v>
      </c>
      <c r="T20" s="74">
        <f>SUM(Model!BE25:BG25)</f>
        <v>-311500</v>
      </c>
      <c r="U20" s="74">
        <f>SUM(Model!BH25:BJ25)</f>
        <v>-311500</v>
      </c>
      <c r="V20" s="74">
        <f>SUM(Model!BK25:BM25)</f>
        <v>-311500</v>
      </c>
      <c r="W20" s="74">
        <f>SUM(Model!BN25:BP25)</f>
        <v>-311500</v>
      </c>
      <c r="X20" s="74">
        <f>SUM(Model!BQ25:BS25)</f>
        <v>-311500</v>
      </c>
      <c r="Y20" s="74">
        <f>SUM(Model!BT25:BV25)</f>
        <v>-311500</v>
      </c>
      <c r="Z20" s="74">
        <f>SUM(Model!BW25:BY25)</f>
        <v>-311500</v>
      </c>
      <c r="AA20" s="74">
        <f>SUM(Model!BZ25:CB25)</f>
        <v>-311500</v>
      </c>
      <c r="AB20" s="74">
        <f>SUM(Model!CC25:CE25)</f>
        <v>-311500</v>
      </c>
      <c r="AC20" s="74">
        <f>SUM(Model!CF25:CH25)</f>
        <v>-311500</v>
      </c>
      <c r="AD20" s="74">
        <f>SUM(Model!CI25:CK25)</f>
        <v>-311500</v>
      </c>
      <c r="AE20" s="74">
        <f>SUM(Model!CL25:CN25)</f>
        <v>-311500</v>
      </c>
      <c r="AF20" s="74">
        <f>SUM(Model!CO25:CQ25)</f>
        <v>-311500</v>
      </c>
      <c r="AG20" s="74">
        <f>SUM(Model!CR25:CT25)</f>
        <v>-311500</v>
      </c>
      <c r="AH20" s="74">
        <f>SUM(Model!CU25:CW25)</f>
        <v>-311500</v>
      </c>
      <c r="AI20" s="74">
        <f>SUM(Model!CX25:CZ25)</f>
        <v>-311500</v>
      </c>
      <c r="AJ20" s="74">
        <f>SUM(Model!DA25:DC25)</f>
        <v>-311500</v>
      </c>
      <c r="AK20" s="74">
        <f>SUM(Model!DD25:DF25)</f>
        <v>-311500</v>
      </c>
    </row>
    <row r="21" spans="1:37" ht="15" customHeight="1" x14ac:dyDescent="0.25">
      <c r="A21" s="13" t="s">
        <v>26</v>
      </c>
      <c r="B21" s="74">
        <f ca="1">SUM(Model!C54:E54)</f>
        <v>0</v>
      </c>
      <c r="C21" s="74">
        <f ca="1">SUM(Model!F54:H54)</f>
        <v>0</v>
      </c>
      <c r="D21" s="74">
        <f ca="1">SUM(Model!I54:K54)</f>
        <v>0</v>
      </c>
      <c r="E21" s="74">
        <f ca="1">SUM(Model!L54:N54)</f>
        <v>0</v>
      </c>
      <c r="F21" s="74">
        <f ca="1">SUM(Model!O54:Q54)</f>
        <v>0</v>
      </c>
      <c r="G21" s="74">
        <f ca="1">SUM(Model!R54:T54)</f>
        <v>0</v>
      </c>
      <c r="H21" s="74">
        <f ca="1">SUM(Model!U54:W54)</f>
        <v>0</v>
      </c>
      <c r="I21" s="74">
        <f ca="1">SUM(Model!X54:Z54)</f>
        <v>0</v>
      </c>
      <c r="J21" s="74">
        <f ca="1">SUM(Model!AA54:AC54)</f>
        <v>0</v>
      </c>
      <c r="K21" s="74">
        <f ca="1">SUM(Model!AD54:AF54)</f>
        <v>0</v>
      </c>
      <c r="L21" s="74">
        <f ca="1">SUM(Model!AG54:AI54)</f>
        <v>0</v>
      </c>
      <c r="M21" s="74">
        <f ca="1">SUM(Model!AJ54:AL54)</f>
        <v>-37500</v>
      </c>
      <c r="N21" s="74">
        <f ca="1">SUM(Model!AM54:AO54)</f>
        <v>-37500</v>
      </c>
      <c r="O21" s="74">
        <f ca="1">SUM(Model!AP54:AR54)</f>
        <v>-45000</v>
      </c>
      <c r="P21" s="74">
        <f ca="1">SUM(Model!AS54:AU54)</f>
        <v>-45000</v>
      </c>
      <c r="Q21" s="74">
        <f ca="1">SUM(Model!AV54:AX54)</f>
        <v>0</v>
      </c>
      <c r="R21" s="74">
        <f ca="1">SUM(Model!AY54:BA54)</f>
        <v>0</v>
      </c>
      <c r="S21" s="74">
        <f ca="1">SUM(Model!BB54:BD54)</f>
        <v>-37500</v>
      </c>
      <c r="T21" s="74">
        <f ca="1">SUM(Model!BE54:BG54)</f>
        <v>-7500</v>
      </c>
      <c r="U21" s="74">
        <f ca="1">SUM(Model!BH54:BJ54)</f>
        <v>-75000</v>
      </c>
      <c r="V21" s="74">
        <f ca="1">SUM(Model!BK54:BM54)</f>
        <v>-45000</v>
      </c>
      <c r="W21" s="74">
        <f ca="1">SUM(Model!BN54:BP54)</f>
        <v>-82500</v>
      </c>
      <c r="X21" s="74">
        <f ca="1">SUM(Model!BQ54:BS54)</f>
        <v>0</v>
      </c>
      <c r="Y21" s="74">
        <f ca="1">SUM(Model!BT54:BV54)</f>
        <v>-45000</v>
      </c>
      <c r="Z21" s="74">
        <f ca="1">SUM(Model!BW54:BY54)</f>
        <v>0</v>
      </c>
      <c r="AA21" s="74">
        <f ca="1">SUM(Model!BZ54:CB54)</f>
        <v>-45000</v>
      </c>
      <c r="AB21" s="74">
        <f ca="1">SUM(Model!CC54:CE54)</f>
        <v>-18712.149094146349</v>
      </c>
      <c r="AC21" s="74">
        <f ca="1">SUM(Model!CF54:CH54)</f>
        <v>-82500</v>
      </c>
      <c r="AD21" s="74">
        <f ca="1">SUM(Model!CI54:CK54)</f>
        <v>-37500</v>
      </c>
      <c r="AE21" s="74">
        <f ca="1">SUM(Model!CL54:CN54)</f>
        <v>0</v>
      </c>
      <c r="AF21" s="74">
        <f ca="1">SUM(Model!CO54:CQ54)</f>
        <v>0</v>
      </c>
      <c r="AG21" s="74">
        <f ca="1">SUM(Model!CR54:CT54)</f>
        <v>0</v>
      </c>
      <c r="AH21" s="74">
        <f ca="1">SUM(Model!CU54:CW54)</f>
        <v>0</v>
      </c>
      <c r="AI21" s="74">
        <f ca="1">SUM(Model!CX54:CZ54)</f>
        <v>0</v>
      </c>
      <c r="AJ21" s="74">
        <f ca="1">SUM(Model!DA54:DC54)</f>
        <v>37500</v>
      </c>
      <c r="AK21" s="74">
        <f ca="1">SUM(Model!DD54:DF54)</f>
        <v>0</v>
      </c>
    </row>
    <row r="22" spans="1:37" ht="15" customHeight="1" x14ac:dyDescent="0.25">
      <c r="A22" s="84" t="s">
        <v>27</v>
      </c>
      <c r="B22" s="85">
        <f ca="1">SUM(Model!C56:E56)</f>
        <v>-868018.05</v>
      </c>
      <c r="C22" s="85">
        <f ca="1">SUM(Model!F56:H56)</f>
        <v>-1029375.6</v>
      </c>
      <c r="D22" s="85">
        <f ca="1">SUM(Model!I56:K56)</f>
        <v>-1402105.925</v>
      </c>
      <c r="E22" s="85">
        <f ca="1">SUM(Model!L56:N56)</f>
        <v>-1614368.425</v>
      </c>
      <c r="F22" s="85">
        <f ca="1">SUM(Model!O56:Q56)</f>
        <v>-1557218.425</v>
      </c>
      <c r="G22" s="85">
        <f ca="1">SUM(Model!R56:T56)</f>
        <v>-1652848.7934999999</v>
      </c>
      <c r="H22" s="85">
        <f ca="1">SUM(Model!U56:W56)</f>
        <v>-1628848.7934999999</v>
      </c>
      <c r="I22" s="85">
        <f ca="1">SUM(Model!X56:Z56)</f>
        <v>-1628848.7934999999</v>
      </c>
      <c r="J22" s="85">
        <f ca="1">SUM(Model!AA56:AC56)</f>
        <v>-1628848.7934999999</v>
      </c>
      <c r="K22" s="85">
        <f ca="1">SUM(Model!AD56:AF56)</f>
        <v>-1655195.7693699994</v>
      </c>
      <c r="L22" s="85">
        <f ca="1">SUM(Model!AG56:AI56)</f>
        <v>-1655195.7693699994</v>
      </c>
      <c r="M22" s="85">
        <f ca="1">SUM(Model!AJ56:AL56)</f>
        <v>-1692695.7693699994</v>
      </c>
      <c r="N22" s="85">
        <f ca="1">SUM(Model!AM56:AO56)</f>
        <v>-1692695.7693699994</v>
      </c>
      <c r="O22" s="85">
        <f ca="1">SUM(Model!AP56:AR56)</f>
        <v>-1727069.6847574003</v>
      </c>
      <c r="P22" s="85">
        <f ca="1">SUM(Model!AS56:AU56)</f>
        <v>-1727069.6847574003</v>
      </c>
      <c r="Q22" s="85">
        <f ca="1">SUM(Model!AV56:AX56)</f>
        <v>-1682069.6847574003</v>
      </c>
      <c r="R22" s="85">
        <f ca="1">SUM(Model!AY56:BA56)</f>
        <v>-1682069.6847574003</v>
      </c>
      <c r="S22" s="85">
        <f ca="1">SUM(Model!BB56:BD56)</f>
        <v>-1746981.0784525471</v>
      </c>
      <c r="T22" s="85">
        <f ca="1">SUM(Model!BE56:BG56)</f>
        <v>-1716981.0784525471</v>
      </c>
      <c r="U22" s="85">
        <f ca="1">SUM(Model!BH56:BJ56)</f>
        <v>-1784481.0784525471</v>
      </c>
      <c r="V22" s="85">
        <f ca="1">SUM(Model!BK56:BM56)</f>
        <v>-1754481.0784525471</v>
      </c>
      <c r="W22" s="85">
        <f ca="1">SUM(Model!BN56:BP56)</f>
        <v>-1819940.700021599</v>
      </c>
      <c r="X22" s="85">
        <f ca="1">SUM(Model!BQ56:BS56)</f>
        <v>-1737440.700021599</v>
      </c>
      <c r="Y22" s="85">
        <f ca="1">SUM(Model!BT56:BV56)</f>
        <v>-1782440.700021599</v>
      </c>
      <c r="Z22" s="85">
        <f ca="1">SUM(Model!BW56:BY56)</f>
        <v>-1737440.700021599</v>
      </c>
      <c r="AA22" s="85">
        <f ca="1">SUM(Model!BZ56:CB56)</f>
        <v>-1810959.5140220299</v>
      </c>
      <c r="AB22" s="85">
        <f ca="1">SUM(Model!CC56:CE56)</f>
        <v>-1784671.6631161761</v>
      </c>
      <c r="AC22" s="85">
        <f ca="1">SUM(Model!CF56:CH56)</f>
        <v>-1848459.5140220299</v>
      </c>
      <c r="AD22" s="85">
        <f ca="1">SUM(Model!CI56:CK56)</f>
        <v>-1803459.5140220299</v>
      </c>
      <c r="AE22" s="85">
        <f ca="1">SUM(Model!CL56:CN56)</f>
        <v>-1795048.7043024721</v>
      </c>
      <c r="AF22" s="85">
        <f ca="1">SUM(Model!CO56:CQ56)</f>
        <v>-1795048.7043024721</v>
      </c>
      <c r="AG22" s="85">
        <f ca="1">SUM(Model!CR56:CT56)</f>
        <v>-1795048.7043024721</v>
      </c>
      <c r="AH22" s="85">
        <f ca="1">SUM(Model!CU56:CW56)</f>
        <v>-1623388.4002004205</v>
      </c>
      <c r="AI22" s="85">
        <f ca="1">SUM(Model!CX56:CZ56)</f>
        <v>-1649626.1682044286</v>
      </c>
      <c r="AJ22" s="85">
        <f ca="1">SUM(Model!DA56:DC56)</f>
        <v>-1612126.1682044286</v>
      </c>
      <c r="AK22" s="85">
        <f ca="1">SUM(Model!DD56:DF56)</f>
        <v>-1649626.1682044286</v>
      </c>
    </row>
    <row r="23" spans="1:37" s="88" customFormat="1" ht="15" customHeight="1" x14ac:dyDescent="0.25">
      <c r="A23" s="24" t="s">
        <v>28</v>
      </c>
      <c r="B23" s="86">
        <f ca="1">SUM(Model!C57:E57)</f>
        <v>-106084.18999999942</v>
      </c>
      <c r="C23" s="86">
        <f ca="1">SUM(Model!F57:H57)</f>
        <v>355752.78250852518</v>
      </c>
      <c r="D23" s="86">
        <f ca="1">SUM(Model!I57:K57)</f>
        <v>822545.84876374924</v>
      </c>
      <c r="E23" s="86">
        <f ca="1">SUM(Model!L57:N57)</f>
        <v>1240264.1337992596</v>
      </c>
      <c r="F23" s="86">
        <f ca="1">SUM(Model!O57:Q57)</f>
        <v>766514.89963445789</v>
      </c>
      <c r="G23" s="86">
        <f ca="1">SUM(Model!R57:T57)</f>
        <v>555100.54659230809</v>
      </c>
      <c r="H23" s="86">
        <f ca="1">SUM(Model!U57:W57)</f>
        <v>442693.93339886772</v>
      </c>
      <c r="I23" s="86">
        <f ca="1">SUM(Model!X57:Z57)</f>
        <v>155204.87738235085</v>
      </c>
      <c r="J23" s="86">
        <f ca="1">SUM(Model!AA57:AC57)</f>
        <v>111584.26850285078</v>
      </c>
      <c r="K23" s="86">
        <f ca="1">SUM(Model!AD57:AF57)</f>
        <v>-562830.14234120212</v>
      </c>
      <c r="L23" s="86">
        <f ca="1">SUM(Model!AG57:AI57)</f>
        <v>312153.16771069169</v>
      </c>
      <c r="M23" s="86">
        <f ca="1">SUM(Model!AJ57:AL57)</f>
        <v>729519.22995457146</v>
      </c>
      <c r="N23" s="86">
        <f ca="1">SUM(Model!AM57:AO57)</f>
        <v>116364.55524897575</v>
      </c>
      <c r="O23" s="86">
        <f ca="1">SUM(Model!AP57:AR57)</f>
        <v>130447.05001989019</v>
      </c>
      <c r="P23" s="86">
        <f ca="1">SUM(Model!AS57:AU57)</f>
        <v>727988.33537338872</v>
      </c>
      <c r="Q23" s="86">
        <f ca="1">SUM(Model!AV57:AX57)</f>
        <v>-17219.862151760492</v>
      </c>
      <c r="R23" s="86">
        <f ca="1">SUM(Model!AY57:BA57)</f>
        <v>73073.387848238577</v>
      </c>
      <c r="S23" s="86">
        <f ca="1">SUM(Model!BB57:BD57)</f>
        <v>98455.244153092499</v>
      </c>
      <c r="T23" s="86">
        <f ca="1">SUM(Model!BE57:BG57)</f>
        <v>272924.44415309269</v>
      </c>
      <c r="U23" s="86">
        <f ca="1">SUM(Model!BH57:BJ57)</f>
        <v>368935.67834014574</v>
      </c>
      <c r="V23" s="86">
        <f ca="1">SUM(Model!BK57:BM57)</f>
        <v>15266.621547452523</v>
      </c>
      <c r="W23" s="86">
        <f ca="1">SUM(Model!BN57:BP57)</f>
        <v>130393.49997840135</v>
      </c>
      <c r="X23" s="86">
        <f ca="1">SUM(Model!BQ57:BS57)</f>
        <v>411538.64997840172</v>
      </c>
      <c r="Y23" s="86">
        <f ca="1">SUM(Model!BT57:BV57)</f>
        <v>222069.4499784006</v>
      </c>
      <c r="Z23" s="86">
        <f ca="1">SUM(Model!BW57:BY57)</f>
        <v>357362.69997840154</v>
      </c>
      <c r="AA23" s="86">
        <f ca="1">SUM(Model!BZ57:CB57)</f>
        <v>-77329.114022029447</v>
      </c>
      <c r="AB23" s="86">
        <f ca="1">SUM(Model!CC57:CE57)</f>
        <v>129545.23688382423</v>
      </c>
      <c r="AC23" s="86">
        <f ca="1">SUM(Model!CF57:CH57)</f>
        <v>-114829.11402202945</v>
      </c>
      <c r="AD23" s="86">
        <f ca="1">SUM(Model!CI57:CK57)</f>
        <v>-15653.164022029261</v>
      </c>
      <c r="AE23" s="86">
        <f ca="1">SUM(Model!CL57:CN57)</f>
        <v>-7242.3543024724349</v>
      </c>
      <c r="AF23" s="86">
        <f ca="1">SUM(Model!CO57:CQ57)</f>
        <v>-332298.05430247262</v>
      </c>
      <c r="AG23" s="86">
        <f ca="1">SUM(Model!CR57:CT57)</f>
        <v>-332298.05430247216</v>
      </c>
      <c r="AH23" s="86">
        <f ca="1">SUM(Model!CU57:CW57)</f>
        <v>-485693.45020042069</v>
      </c>
      <c r="AI23" s="86">
        <f ca="1">SUM(Model!CX57:CZ57)</f>
        <v>-1053690.7182044289</v>
      </c>
      <c r="AJ23" s="86">
        <f ca="1">SUM(Model!DA57:DC57)</f>
        <v>-1431539.6682044286</v>
      </c>
      <c r="AK23" s="86">
        <f ca="1">SUM(Model!DD57:DF57)</f>
        <v>-1649626.1682044286</v>
      </c>
    </row>
    <row r="24" spans="1:37" ht="15" customHeight="1" x14ac:dyDescent="0.25">
      <c r="A24" s="13" t="s">
        <v>29</v>
      </c>
      <c r="B24" s="87">
        <f t="shared" ref="B24:AK24" ca="1" si="0">IFERROR(IF(OR(B15&lt;=0,B23/B15&lt;0,B23/B15&gt;1),0,B23/B15),0)</f>
        <v>0</v>
      </c>
      <c r="C24" s="87">
        <f t="shared" ca="1" si="0"/>
        <v>0.25683740727645915</v>
      </c>
      <c r="D24" s="87">
        <f t="shared" ca="1" si="0"/>
        <v>0.36974139434511827</v>
      </c>
      <c r="E24" s="87">
        <f t="shared" ca="1" si="0"/>
        <v>0.43447417776281172</v>
      </c>
      <c r="F24" s="87">
        <f t="shared" ca="1" si="0"/>
        <v>0.32986353963617443</v>
      </c>
      <c r="G24" s="87">
        <f t="shared" ca="1" si="0"/>
        <v>0.25141000135859137</v>
      </c>
      <c r="H24" s="87">
        <f t="shared" ca="1" si="0"/>
        <v>0.21370253562743916</v>
      </c>
      <c r="I24" s="87">
        <f t="shared" ca="1" si="0"/>
        <v>8.6995632427128822E-2</v>
      </c>
      <c r="J24" s="87">
        <f t="shared" ca="1" si="0"/>
        <v>6.4112933119324991E-2</v>
      </c>
      <c r="K24" s="87">
        <f t="shared" ca="1" si="0"/>
        <v>0</v>
      </c>
      <c r="L24" s="87">
        <f t="shared" ca="1" si="0"/>
        <v>0.15866690541124312</v>
      </c>
      <c r="M24" s="87">
        <f t="shared" ca="1" si="0"/>
        <v>0.30117856183616903</v>
      </c>
      <c r="N24" s="87">
        <f t="shared" ca="1" si="0"/>
        <v>6.4323203414172761E-2</v>
      </c>
      <c r="O24" s="87">
        <f t="shared" ca="1" si="0"/>
        <v>7.0226581315581155E-2</v>
      </c>
      <c r="P24" s="87">
        <f t="shared" ca="1" si="0"/>
        <v>0.29652591890052621</v>
      </c>
      <c r="Q24" s="87">
        <f t="shared" ca="1" si="0"/>
        <v>0</v>
      </c>
      <c r="R24" s="87">
        <f t="shared" ca="1" si="0"/>
        <v>4.1633863921848702E-2</v>
      </c>
      <c r="S24" s="87">
        <f t="shared" ca="1" si="0"/>
        <v>5.335065910812891E-2</v>
      </c>
      <c r="T24" s="87">
        <f t="shared" ca="1" si="0"/>
        <v>0.13715447344239615</v>
      </c>
      <c r="U24" s="87">
        <f t="shared" ca="1" si="0"/>
        <v>0.17132572093923887</v>
      </c>
      <c r="V24" s="87">
        <f t="shared" ca="1" si="0"/>
        <v>8.6264395469775306E-3</v>
      </c>
      <c r="W24" s="87">
        <f t="shared" ca="1" si="0"/>
        <v>6.6857003265594864E-2</v>
      </c>
      <c r="X24" s="87">
        <f t="shared" ca="1" si="0"/>
        <v>0.19150423664071115</v>
      </c>
      <c r="Y24" s="87">
        <f t="shared" ca="1" si="0"/>
        <v>0.11078489673818846</v>
      </c>
      <c r="Z24" s="87">
        <f t="shared" ca="1" si="0"/>
        <v>0.17059486345038463</v>
      </c>
      <c r="AA24" s="87">
        <f t="shared" ca="1" si="0"/>
        <v>0</v>
      </c>
      <c r="AB24" s="87">
        <f t="shared" ca="1" si="0"/>
        <v>6.7675317715471112E-2</v>
      </c>
      <c r="AC24" s="87">
        <f t="shared" ca="1" si="0"/>
        <v>0</v>
      </c>
      <c r="AD24" s="87">
        <f t="shared" ca="1" si="0"/>
        <v>0</v>
      </c>
      <c r="AE24" s="87">
        <f t="shared" ca="1" si="0"/>
        <v>0</v>
      </c>
      <c r="AF24" s="87">
        <f t="shared" ca="1" si="0"/>
        <v>0</v>
      </c>
      <c r="AG24" s="87">
        <f t="shared" ca="1" si="0"/>
        <v>0</v>
      </c>
      <c r="AH24" s="87">
        <f t="shared" ca="1" si="0"/>
        <v>0</v>
      </c>
      <c r="AI24" s="87">
        <f t="shared" ca="1" si="0"/>
        <v>0</v>
      </c>
      <c r="AJ24" s="87">
        <f t="shared" ca="1" si="0"/>
        <v>0</v>
      </c>
      <c r="AK24" s="87">
        <f t="shared" ca="1" si="0"/>
        <v>0</v>
      </c>
    </row>
    <row r="25" spans="1:37" ht="15" customHeight="1" x14ac:dyDescent="0.25">
      <c r="A25" s="29" t="s">
        <v>30</v>
      </c>
      <c r="B25" s="67">
        <f>Model!C80+Model!D80+Model!E80</f>
        <v>102343.74</v>
      </c>
      <c r="C25" s="67">
        <f>Model!F80+Model!G80+Model!H80</f>
        <v>130843.74</v>
      </c>
      <c r="D25" s="67">
        <f>Model!I80+Model!J80+Model!K80</f>
        <v>130010.41</v>
      </c>
      <c r="E25" s="67">
        <f>Model!L80+Model!M80+Model!N80</f>
        <v>109593.75</v>
      </c>
      <c r="F25" s="67">
        <f>Model!O80+Model!P80+Model!Q80</f>
        <v>157115.04120000001</v>
      </c>
      <c r="G25" s="67">
        <f>Model!R80+Model!S80+Model!T80</f>
        <v>141864.84120000002</v>
      </c>
      <c r="H25" s="67">
        <f>Model!U80+Model!V80+Model!W80</f>
        <v>165079.66560000001</v>
      </c>
      <c r="I25" s="67">
        <f>Model!X80+Model!Y80+Model!Z80</f>
        <v>349161.87599999999</v>
      </c>
      <c r="J25" s="67">
        <f>Model!AA80+Model!AB80+Model!AC80</f>
        <v>488990.32199999999</v>
      </c>
      <c r="K25" s="67">
        <f>Model!AD80+Model!AE80+Model!AF80</f>
        <v>605746.81299999997</v>
      </c>
      <c r="L25" s="67">
        <f>Model!AG80+Model!AH80+Model!AI80</f>
        <v>483108.65350000001</v>
      </c>
      <c r="M25" s="67">
        <f>Model!AJ80+Model!AK80+Model!AL80</f>
        <v>472721.86950000003</v>
      </c>
      <c r="N25" s="67">
        <f>Model!AM80+Model!AN80+Model!AO80</f>
        <v>419626.17300000001</v>
      </c>
      <c r="O25" s="67">
        <f>Model!AP80+Model!AQ80+Model!AR80</f>
        <v>280951.57550000004</v>
      </c>
      <c r="P25" s="67">
        <f>Model!AS80+Model!AT80+Model!AU80</f>
        <v>240077.3885</v>
      </c>
      <c r="Q25" s="67">
        <f>Model!AV80+Model!AW80+Model!AX80</f>
        <v>272385.63750000001</v>
      </c>
      <c r="R25" s="67">
        <f>Model!AY80+Model!AZ80+Model!BA80</f>
        <v>205270.86900000001</v>
      </c>
      <c r="S25" s="67">
        <f>Model!BB80+Model!BC80+Model!BD80</f>
        <v>1053238.4300000002</v>
      </c>
      <c r="T25" s="67">
        <f>Model!BE80+Model!BF80+Model!BG80</f>
        <v>246723.98550000001</v>
      </c>
      <c r="U25" s="67">
        <f>Model!BH80+Model!BI80+Model!BJ80</f>
        <v>242850.5465</v>
      </c>
      <c r="V25" s="67">
        <f>Model!BK80+Model!BL80+Model!BM80</f>
        <v>363306.88650000002</v>
      </c>
      <c r="W25" s="67">
        <f>Model!BN80+Model!BO80+Model!BP80</f>
        <v>130876</v>
      </c>
      <c r="X25" s="67">
        <f>Model!BQ80+Model!BR80+Model!BS80</f>
        <v>142406</v>
      </c>
      <c r="Y25" s="67">
        <f>Model!BT80+Model!BU80+Model!BV80</f>
        <v>142402</v>
      </c>
      <c r="Z25" s="67">
        <f>Model!BW80+Model!BX80+Model!BY80</f>
        <v>142402</v>
      </c>
      <c r="AA25" s="67">
        <f>Model!BZ80+Model!CA80+Model!CB80</f>
        <v>215558</v>
      </c>
      <c r="AB25" s="67">
        <f>Model!CC80+Model!CD80+Model!CE80</f>
        <v>231017</v>
      </c>
      <c r="AC25" s="67">
        <f>Model!CF80+Model!CG80+Model!CH80</f>
        <v>231016</v>
      </c>
      <c r="AD25" s="67">
        <f>Model!CI80+Model!CJ80+Model!CK80</f>
        <v>231016</v>
      </c>
      <c r="AE25" s="67">
        <f>Model!CL80+Model!CM80+Model!CN80</f>
        <v>693048</v>
      </c>
      <c r="AF25" s="67">
        <f>Model!CO80+Model!CP80+Model!CQ80</f>
        <v>693048</v>
      </c>
      <c r="AG25" s="67">
        <f>Model!CR80+Model!CS80+Model!CT80</f>
        <v>693048</v>
      </c>
      <c r="AH25" s="67">
        <f>Model!CU80+Model!CV80+Model!CW80</f>
        <v>693048</v>
      </c>
      <c r="AI25" s="67">
        <f>Model!CX80+Model!CY80+Model!CZ80</f>
        <v>693048</v>
      </c>
      <c r="AJ25" s="67">
        <f>Model!DA80+Model!DB80+Model!DC80</f>
        <v>693048</v>
      </c>
      <c r="AK25" s="67">
        <f>Model!DD80+Model!DE80+Model!DF80</f>
        <v>693048</v>
      </c>
    </row>
    <row r="26" spans="1:37" ht="15" customHeight="1" x14ac:dyDescent="0.25">
      <c r="A26" s="13" t="s">
        <v>31</v>
      </c>
      <c r="B26" s="83">
        <f>Model!C111+Model!D111+Model!E111</f>
        <v>-628460.17999999993</v>
      </c>
      <c r="C26" s="83">
        <f>Model!F111+Model!G111+Model!H111</f>
        <v>-349157.02333333332</v>
      </c>
      <c r="D26" s="83">
        <f>Model!I111+Model!J111+Model!K111</f>
        <v>-234270.27499999997</v>
      </c>
      <c r="E26" s="83">
        <f>Model!L111+Model!M111+Model!N111</f>
        <v>-234270.27499999997</v>
      </c>
      <c r="F26" s="83">
        <f>Model!O111+Model!P111+Model!Q111</f>
        <v>-234270.27499999997</v>
      </c>
      <c r="G26" s="83">
        <f>Model!R111+Model!S111+Model!T111</f>
        <v>-238955.68050000002</v>
      </c>
      <c r="H26" s="83">
        <f>Model!U111+Model!V111+Model!W111</f>
        <v>-238955.68050000002</v>
      </c>
      <c r="I26" s="83">
        <f>Model!X111+Model!Y111+Model!Z111</f>
        <v>-238955.68050000002</v>
      </c>
      <c r="J26" s="83">
        <f>Model!AA111+Model!AB111+Model!AC111</f>
        <v>-238955.68050000002</v>
      </c>
      <c r="K26" s="83">
        <f>Model!AD111+Model!AE111+Model!AF111</f>
        <v>-243734.79411000002</v>
      </c>
      <c r="L26" s="83">
        <f>Model!AG111+Model!AH111+Model!AI111</f>
        <v>-243734.79411000002</v>
      </c>
      <c r="M26" s="83">
        <f>Model!AJ111+Model!AK111+Model!AL111</f>
        <v>-243734.79411000002</v>
      </c>
      <c r="N26" s="83">
        <f>Model!AM111+Model!AN111+Model!AO111</f>
        <v>-243734.79411000002</v>
      </c>
      <c r="O26" s="83">
        <f>Model!AP111+Model!AQ111+Model!AR111</f>
        <v>-248609.48999219993</v>
      </c>
      <c r="P26" s="83">
        <f>Model!AS111+Model!AT111+Model!AU111</f>
        <v>-330292.48999219993</v>
      </c>
      <c r="Q26" s="83">
        <f>Model!AV111+Model!AW111+Model!AX111</f>
        <v>-330291.48999219993</v>
      </c>
      <c r="R26" s="83">
        <f>Model!AY111+Model!AZ111+Model!BA111</f>
        <v>-330291.48999219993</v>
      </c>
      <c r="S26" s="83">
        <f>Model!BB111+Model!BC111+Model!BD111</f>
        <v>-1187102.679792044</v>
      </c>
      <c r="T26" s="83">
        <f>Model!BE111+Model!BF111+Model!BG111</f>
        <v>-384459.67979204399</v>
      </c>
      <c r="U26" s="83">
        <f>Model!BH111+Model!BI111+Model!BJ111</f>
        <v>-384457.67979204399</v>
      </c>
      <c r="V26" s="83">
        <f>Model!BK111+Model!BL111+Model!BM111</f>
        <v>-384457.67979204399</v>
      </c>
      <c r="W26" s="83">
        <f>Model!BN111+Model!BO111+Model!BP111</f>
        <v>-389529.31338788487</v>
      </c>
      <c r="X26" s="83">
        <f>Model!BQ111+Model!BR111+Model!BS111</f>
        <v>-349545.79338788486</v>
      </c>
      <c r="Y26" s="83">
        <f>Model!BT111+Model!BU111+Model!BV111</f>
        <v>-333293.31338788487</v>
      </c>
      <c r="Z26" s="83">
        <f>Model!BW111+Model!BX111+Model!BY111</f>
        <v>-333293.31338788487</v>
      </c>
      <c r="AA26" s="83">
        <f>Model!BZ111+Model!CA111+Model!CB111</f>
        <v>-411622.37965564255</v>
      </c>
      <c r="AB26" s="83">
        <f>Model!CC111+Model!CD111+Model!CE111</f>
        <v>-418344.37965564255</v>
      </c>
      <c r="AC26" s="83">
        <f>Model!CF111+Model!CG111+Model!CH111</f>
        <v>-418343.37965564255</v>
      </c>
      <c r="AD26" s="83">
        <f>Model!CI111+Model!CJ111+Model!CK111</f>
        <v>-411735.35304916336</v>
      </c>
      <c r="AE26" s="83">
        <f>Model!CL111+Model!CM111+Model!CN111</f>
        <v>-488567.90724875545</v>
      </c>
      <c r="AF26" s="83">
        <f>Model!CO111+Model!CP111+Model!CQ111</f>
        <v>-488567.90724875545</v>
      </c>
      <c r="AG26" s="83">
        <f>Model!CR111+Model!CS111+Model!CT111</f>
        <v>-488567.90724875545</v>
      </c>
      <c r="AH26" s="83">
        <f>Model!CU111+Model!CV111+Model!CW111</f>
        <v>-482842.42712406605</v>
      </c>
      <c r="AI26" s="83">
        <f>Model!CX111+Model!CY111+Model!CZ111</f>
        <v>-286091.8246029545</v>
      </c>
      <c r="AJ26" s="83">
        <f>Model!DA111+Model!DB111+Model!DC111</f>
        <v>-268644.97566654737</v>
      </c>
      <c r="AK26" s="83">
        <f>Model!DD111+Model!DE111+Model!DF111</f>
        <v>-268644.97566654737</v>
      </c>
    </row>
    <row r="27" spans="1:37" ht="15" customHeight="1" x14ac:dyDescent="0.25">
      <c r="A27" s="24" t="s">
        <v>32</v>
      </c>
      <c r="B27" s="86">
        <f>Model!C113+Model!D113+Model!E113</f>
        <v>-526116.43999999994</v>
      </c>
      <c r="C27" s="86">
        <f>Model!F113+Model!G113+Model!H113</f>
        <v>-218313.28333333327</v>
      </c>
      <c r="D27" s="86">
        <f>Model!I113+Model!J113+Model!K113</f>
        <v>-104259.86499999998</v>
      </c>
      <c r="E27" s="86">
        <f>Model!L113+Model!M113+Model!N113</f>
        <v>-124676.52499999998</v>
      </c>
      <c r="F27" s="86">
        <f>Model!O113+Model!P113+Model!Q113</f>
        <v>-77155.233799999973</v>
      </c>
      <c r="G27" s="86">
        <f>Model!R113+Model!S113+Model!T113</f>
        <v>-97090.839300000007</v>
      </c>
      <c r="H27" s="86">
        <f>Model!U113+Model!V113+Model!W113</f>
        <v>-73876.014900000024</v>
      </c>
      <c r="I27" s="86">
        <f>Model!X113+Model!Y113+Model!Z113</f>
        <v>110206.19549999997</v>
      </c>
      <c r="J27" s="86">
        <f>Model!AA113+Model!AB113+Model!AC113</f>
        <v>250034.64149999997</v>
      </c>
      <c r="K27" s="86">
        <f>Model!AD113+Model!AE113+Model!AF113</f>
        <v>362012.01888999995</v>
      </c>
      <c r="L27" s="86">
        <f>Model!AG113+Model!AH113+Model!AI113</f>
        <v>239373.85938999997</v>
      </c>
      <c r="M27" s="86">
        <f>Model!AJ113+Model!AK113+Model!AL113</f>
        <v>228987.07538999998</v>
      </c>
      <c r="N27" s="86">
        <f>Model!AM113+Model!AN113+Model!AO113</f>
        <v>175891.37888999999</v>
      </c>
      <c r="O27" s="86">
        <f>Model!AP113+Model!AQ113+Model!AR113</f>
        <v>32342.08550780006</v>
      </c>
      <c r="P27" s="86">
        <f>Model!AS113+Model!AT113+Model!AU113</f>
        <v>-90215.101492199959</v>
      </c>
      <c r="Q27" s="86">
        <f>Model!AV113+Model!AW113+Model!AX113</f>
        <v>-57905.852492199949</v>
      </c>
      <c r="R27" s="86">
        <f>Model!AY113+Model!AZ113+Model!BA113</f>
        <v>-125020.62099219997</v>
      </c>
      <c r="S27" s="86">
        <f>Model!BB113+Model!BC113+Model!BD113</f>
        <v>-133864.24979204393</v>
      </c>
      <c r="T27" s="86">
        <f>Model!BE113+Model!BF113+Model!BG113</f>
        <v>-137735.69429204398</v>
      </c>
      <c r="U27" s="86">
        <f>Model!BH113+Model!BI113+Model!BJ113</f>
        <v>-141607.13329204399</v>
      </c>
      <c r="V27" s="86">
        <f>Model!BK113+Model!BL113+Model!BM113</f>
        <v>-21150.793292043978</v>
      </c>
      <c r="W27" s="86">
        <f>Model!BN113+Model!BO113+Model!BP113</f>
        <v>-258653.3133878849</v>
      </c>
      <c r="X27" s="86">
        <f>Model!BQ113+Model!BR113+Model!BS113</f>
        <v>-207139.79338788489</v>
      </c>
      <c r="Y27" s="86">
        <f>Model!BT113+Model!BU113+Model!BV113</f>
        <v>-190891.3133878849</v>
      </c>
      <c r="Z27" s="86">
        <f>Model!BW113+Model!BX113+Model!BY113</f>
        <v>-190891.3133878849</v>
      </c>
      <c r="AA27" s="86">
        <f>Model!BZ113+Model!CA113+Model!CB113</f>
        <v>-196064.37965564258</v>
      </c>
      <c r="AB27" s="86">
        <f>Model!CC113+Model!CD113+Model!CE113</f>
        <v>-187327.37965564258</v>
      </c>
      <c r="AC27" s="86">
        <f>Model!CF113+Model!CG113+Model!CH113</f>
        <v>-187327.37965564258</v>
      </c>
      <c r="AD27" s="86">
        <f>Model!CI113+Model!CJ113+Model!CK113</f>
        <v>-180719.35304916339</v>
      </c>
      <c r="AE27" s="86">
        <f>Model!CL113+Model!CM113+Model!CN113</f>
        <v>204480.09275124455</v>
      </c>
      <c r="AF27" s="86">
        <f>Model!CO113+Model!CP113+Model!CQ113</f>
        <v>204480.09275124455</v>
      </c>
      <c r="AG27" s="86">
        <f>Model!CR113+Model!CS113+Model!CT113</f>
        <v>204480.09275124455</v>
      </c>
      <c r="AH27" s="86">
        <f>Model!CU113+Model!CV113+Model!CW113</f>
        <v>210205.57287593395</v>
      </c>
      <c r="AI27" s="86">
        <f>Model!CX113+Model!CY113+Model!CZ113</f>
        <v>406956.1753970455</v>
      </c>
      <c r="AJ27" s="86">
        <f>Model!DA113+Model!DB113+Model!DC113</f>
        <v>424403.02433345269</v>
      </c>
      <c r="AK27" s="86">
        <f>Model!DD113+Model!DE113+Model!DF113</f>
        <v>424403.02433345269</v>
      </c>
    </row>
    <row r="28" spans="1:37" ht="15" customHeight="1" x14ac:dyDescent="0.25">
      <c r="A28" s="302"/>
      <c r="B28" s="333"/>
      <c r="C28" s="333"/>
      <c r="D28" s="333"/>
      <c r="E28" s="333"/>
      <c r="F28" s="333"/>
      <c r="G28" s="333"/>
      <c r="H28" s="333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3"/>
      <c r="T28" s="333"/>
      <c r="U28" s="333"/>
      <c r="V28" s="333"/>
      <c r="W28" s="333"/>
      <c r="X28" s="333"/>
      <c r="Y28" s="333"/>
      <c r="Z28" s="333"/>
      <c r="AA28" s="333"/>
      <c r="AB28" s="333"/>
      <c r="AC28" s="333"/>
      <c r="AD28" s="333"/>
      <c r="AE28" s="333"/>
      <c r="AF28" s="333"/>
      <c r="AG28" s="333"/>
      <c r="AH28" s="333"/>
      <c r="AI28" s="333"/>
      <c r="AJ28" s="333"/>
      <c r="AK28" s="333"/>
    </row>
    <row r="29" spans="1:37" ht="15" customHeight="1" x14ac:dyDescent="0.25">
      <c r="A29" s="24" t="s">
        <v>33</v>
      </c>
      <c r="B29" s="86">
        <f ca="1">Model!C122+Model!D122+Model!E122</f>
        <v>-632200.62999999954</v>
      </c>
      <c r="C29" s="86">
        <f ca="1">Model!F122+Model!G122+Model!H122</f>
        <v>137439.49917519192</v>
      </c>
      <c r="D29" s="86">
        <f ca="1">Model!I122+Model!J122+Model!K122</f>
        <v>718285.98376374936</v>
      </c>
      <c r="E29" s="86">
        <f ca="1">Model!L122+Model!M122+Model!N122</f>
        <v>1115587.6087992596</v>
      </c>
      <c r="F29" s="86">
        <f ca="1">Model!O122+Model!P122+Model!Q122</f>
        <v>689359.66583445796</v>
      </c>
      <c r="G29" s="86">
        <f ca="1">Model!R122+Model!S122+Model!T122</f>
        <v>458009.70729230816</v>
      </c>
      <c r="H29" s="86">
        <f ca="1">Model!U122+Model!V122+Model!W122</f>
        <v>368817.91849886754</v>
      </c>
      <c r="I29" s="86">
        <f ca="1">Model!X122+Model!Y122+Model!Z122</f>
        <v>265411.07288235077</v>
      </c>
      <c r="J29" s="86">
        <f ca="1">Model!AA122+Model!AB122+Model!AC122</f>
        <v>361618.91000285069</v>
      </c>
      <c r="K29" s="86">
        <f ca="1">Model!AD122+Model!AE122+Model!AF122</f>
        <v>-200818.12345120218</v>
      </c>
      <c r="L29" s="86">
        <f ca="1">Model!AG122+Model!AH122+Model!AI122</f>
        <v>551527.02710069169</v>
      </c>
      <c r="M29" s="86">
        <f ca="1">Model!AJ122+Model!AK122+Model!AL122</f>
        <v>958506.30534457148</v>
      </c>
      <c r="N29" s="86">
        <f ca="1">Model!AM122+Model!AN122+Model!AO122</f>
        <v>292255.9341389758</v>
      </c>
      <c r="O29" s="86">
        <f ca="1">Model!AP122+Model!AQ122+Model!AR122</f>
        <v>162789.13552769029</v>
      </c>
      <c r="P29" s="86">
        <f ca="1">Model!AS122+Model!AT122+Model!AU122</f>
        <v>637773.23388118891</v>
      </c>
      <c r="Q29" s="86">
        <f ca="1">Model!AV122+Model!AW122+Model!AX122</f>
        <v>-75125.714643960237</v>
      </c>
      <c r="R29" s="86">
        <f ca="1">Model!AY122+Model!AZ122+Model!BA122</f>
        <v>-51947.233143961173</v>
      </c>
      <c r="S29" s="86">
        <f ca="1">Model!BB122+Model!BC122+Model!BD122</f>
        <v>-35409.005638951203</v>
      </c>
      <c r="T29" s="86">
        <f ca="1">Model!BE122+Model!BF122+Model!BG122</f>
        <v>135188.74986104888</v>
      </c>
      <c r="U29" s="86">
        <f ca="1">Model!BH122+Model!BI122+Model!BJ122</f>
        <v>227328.54504810169</v>
      </c>
      <c r="V29" s="86">
        <f ca="1">Model!BK122+Model!BL122+Model!BM122</f>
        <v>-5884.1717445915565</v>
      </c>
      <c r="W29" s="86">
        <f ca="1">Model!BN122+Model!BO122+Model!BP122</f>
        <v>-128259.81340948364</v>
      </c>
      <c r="X29" s="86">
        <f ca="1">Model!BQ122+Model!BR122+Model!BS122</f>
        <v>204398.85659051675</v>
      </c>
      <c r="Y29" s="86">
        <f ca="1">Model!BT122+Model!BU122+Model!BV122</f>
        <v>31178.136590515613</v>
      </c>
      <c r="Z29" s="86">
        <f ca="1">Model!BW122+Model!BX122+Model!BY122</f>
        <v>166471.38659051654</v>
      </c>
      <c r="AA29" s="86">
        <f ca="1">Model!BZ122+Model!CA122+Model!CB122</f>
        <v>-273393.493677672</v>
      </c>
      <c r="AB29" s="86">
        <f ca="1">Model!CC122+Model!CD122+Model!CE122</f>
        <v>-57782.142771818326</v>
      </c>
      <c r="AC29" s="86">
        <f ca="1">Model!CF122+Model!CG122+Model!CH122</f>
        <v>-302156.493677672</v>
      </c>
      <c r="AD29" s="86">
        <f ca="1">Model!CI122+Model!CJ122+Model!CK122</f>
        <v>-196372.51707119262</v>
      </c>
      <c r="AE29" s="86">
        <f ca="1">Model!CL122+Model!CM122+Model!CN122</f>
        <v>197237.73844877211</v>
      </c>
      <c r="AF29" s="86">
        <f ca="1">Model!CO122+Model!CP122+Model!CQ122</f>
        <v>-127817.96155122807</v>
      </c>
      <c r="AG29" s="86">
        <f ca="1">Model!CR122+Model!CS122+Model!CT122</f>
        <v>-127817.96155122761</v>
      </c>
      <c r="AH29" s="86">
        <f ca="1">Model!CU122+Model!CV122+Model!CW122</f>
        <v>-275487.87732448673</v>
      </c>
      <c r="AI29" s="86">
        <f ca="1">Model!CX122+Model!CY122+Model!CZ122</f>
        <v>-646734.54280738323</v>
      </c>
      <c r="AJ29" s="86">
        <f ca="1">Model!DA122+Model!DB122+Model!DC122</f>
        <v>-1007136.6438709762</v>
      </c>
      <c r="AK29" s="86">
        <f ca="1">Model!DD122+Model!DE122+Model!DF122</f>
        <v>-1225223.1438709761</v>
      </c>
    </row>
    <row r="30" spans="1:37" ht="15" customHeight="1" x14ac:dyDescent="0.25">
      <c r="A30" s="302"/>
      <c r="B30" s="329"/>
      <c r="C30" s="329"/>
      <c r="D30" s="329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329"/>
      <c r="P30" s="329"/>
      <c r="Q30" s="329"/>
      <c r="R30" s="329"/>
      <c r="S30" s="329"/>
      <c r="T30" s="329"/>
      <c r="U30" s="329"/>
      <c r="V30" s="329"/>
      <c r="W30" s="329"/>
      <c r="X30" s="329"/>
      <c r="Y30" s="329"/>
      <c r="Z30" s="329"/>
      <c r="AA30" s="329"/>
      <c r="AB30" s="329"/>
      <c r="AC30" s="329"/>
      <c r="AD30" s="329"/>
      <c r="AE30" s="329"/>
      <c r="AF30" s="329"/>
      <c r="AG30" s="329"/>
      <c r="AH30" s="329"/>
      <c r="AI30" s="329"/>
      <c r="AJ30" s="329"/>
      <c r="AK30" s="329"/>
    </row>
    <row r="31" spans="1:37" ht="15" customHeight="1" x14ac:dyDescent="0.25">
      <c r="A31" s="315" t="s">
        <v>34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</row>
    <row r="32" spans="1:37" ht="15" customHeight="1" x14ac:dyDescent="0.25">
      <c r="A32" s="13" t="s">
        <v>35</v>
      </c>
      <c r="B32" s="89">
        <f>Model!C106+Model!D106+Model!E106</f>
        <v>0</v>
      </c>
      <c r="C32" s="89">
        <f>Model!F106+Model!G106+Model!H106</f>
        <v>0</v>
      </c>
      <c r="D32" s="89">
        <f>Model!I106+Model!J106+Model!K106</f>
        <v>0</v>
      </c>
      <c r="E32" s="89">
        <f>Model!L106+Model!M106+Model!N106</f>
        <v>0</v>
      </c>
      <c r="F32" s="89">
        <f>Model!O106+Model!P106+Model!Q106</f>
        <v>0</v>
      </c>
      <c r="G32" s="89">
        <f>Model!R106+Model!S106+Model!T106</f>
        <v>0</v>
      </c>
      <c r="H32" s="89">
        <f>Model!U106+Model!V106+Model!W106</f>
        <v>0</v>
      </c>
      <c r="I32" s="89">
        <f>Model!X106+Model!Y106+Model!Z106</f>
        <v>0</v>
      </c>
      <c r="J32" s="89">
        <f>Model!AA106+Model!AB106+Model!AC106</f>
        <v>0</v>
      </c>
      <c r="K32" s="89">
        <f>Model!AD106+Model!AE106+Model!AF106</f>
        <v>0</v>
      </c>
      <c r="L32" s="89">
        <f>Model!AG106+Model!AH106+Model!AI106</f>
        <v>0</v>
      </c>
      <c r="M32" s="89">
        <f>Model!AJ106+Model!AK106+Model!AL106</f>
        <v>0</v>
      </c>
      <c r="N32" s="89">
        <f>Model!AM106+Model!AN106+Model!AO106</f>
        <v>0</v>
      </c>
      <c r="O32" s="89">
        <f>Model!AP106+Model!AQ106+Model!AR106</f>
        <v>0</v>
      </c>
      <c r="P32" s="89">
        <f>Model!AS106+Model!AT106+Model!AU106</f>
        <v>0</v>
      </c>
      <c r="Q32" s="89">
        <f>Model!AV106+Model!AW106+Model!AX106</f>
        <v>0</v>
      </c>
      <c r="R32" s="89">
        <f>Model!AY106+Model!AZ106+Model!BA106</f>
        <v>0</v>
      </c>
      <c r="S32" s="89">
        <f>Model!BB106+Model!BC106+Model!BD106</f>
        <v>0</v>
      </c>
      <c r="T32" s="89">
        <f>Model!BE106+Model!BF106+Model!BG106</f>
        <v>0</v>
      </c>
      <c r="U32" s="89">
        <f>Model!BH106+Model!BI106+Model!BJ106</f>
        <v>0</v>
      </c>
      <c r="V32" s="89">
        <f>Model!BK106+Model!BL106+Model!BM106</f>
        <v>0</v>
      </c>
      <c r="W32" s="89">
        <f>Model!BN106+Model!BO106+Model!BP106</f>
        <v>0</v>
      </c>
      <c r="X32" s="89">
        <f>Model!BQ106+Model!BR106+Model!BS106</f>
        <v>0</v>
      </c>
      <c r="Y32" s="89">
        <f>Model!BT106+Model!BU106+Model!BV106</f>
        <v>0</v>
      </c>
      <c r="Z32" s="89">
        <f>Model!BW106+Model!BX106+Model!BY106</f>
        <v>0</v>
      </c>
      <c r="AA32" s="89">
        <f>Model!BZ106+Model!CA106+Model!CB106</f>
        <v>0</v>
      </c>
      <c r="AB32" s="89">
        <f>Model!CC106+Model!CD106+Model!CE106</f>
        <v>0</v>
      </c>
      <c r="AC32" s="89">
        <f>Model!CF106+Model!CG106+Model!CH106</f>
        <v>0</v>
      </c>
      <c r="AD32" s="89">
        <f>Model!CI106+Model!CJ106+Model!CK106</f>
        <v>0</v>
      </c>
      <c r="AE32" s="89">
        <f>Model!CL106+Model!CM106+Model!CN106</f>
        <v>0</v>
      </c>
      <c r="AF32" s="89">
        <f>Model!CO106+Model!CP106+Model!CQ106</f>
        <v>0</v>
      </c>
      <c r="AG32" s="89">
        <f>Model!CR106+Model!CS106+Model!CT106</f>
        <v>0</v>
      </c>
      <c r="AH32" s="89">
        <f>Model!CU106+Model!CV106+Model!CW106</f>
        <v>0</v>
      </c>
      <c r="AI32" s="89">
        <f>Model!CX106+Model!CY106+Model!CZ106</f>
        <v>0</v>
      </c>
      <c r="AJ32" s="89">
        <f>Model!DA106+Model!DB106+Model!DC106</f>
        <v>0</v>
      </c>
      <c r="AK32" s="89">
        <f>Model!DD106+Model!DE106+Model!DF106</f>
        <v>0</v>
      </c>
    </row>
    <row r="33" spans="1:37" ht="15" customHeight="1" x14ac:dyDescent="0.25">
      <c r="A33" s="13" t="s">
        <v>36</v>
      </c>
      <c r="B33" s="89">
        <f>Model!C107+Model!D107+Model!E107</f>
        <v>0</v>
      </c>
      <c r="C33" s="89">
        <f>Model!F107+Model!G107+Model!H107</f>
        <v>0</v>
      </c>
      <c r="D33" s="89">
        <f>Model!I107+Model!J107+Model!K107</f>
        <v>0</v>
      </c>
      <c r="E33" s="89">
        <f>Model!L107+Model!M107+Model!N107</f>
        <v>0</v>
      </c>
      <c r="F33" s="89">
        <f>Model!O107+Model!P107+Model!Q107</f>
        <v>0</v>
      </c>
      <c r="G33" s="89">
        <f>Model!R107+Model!S107+Model!T107</f>
        <v>0</v>
      </c>
      <c r="H33" s="89">
        <f>Model!U107+Model!V107+Model!W107</f>
        <v>0</v>
      </c>
      <c r="I33" s="89">
        <f>Model!X107+Model!Y107+Model!Z107</f>
        <v>0</v>
      </c>
      <c r="J33" s="89">
        <f>Model!AA107+Model!AB107+Model!AC107</f>
        <v>0</v>
      </c>
      <c r="K33" s="89">
        <f>Model!AD107+Model!AE107+Model!AF107</f>
        <v>0</v>
      </c>
      <c r="L33" s="89">
        <f>Model!AG107+Model!AH107+Model!AI107</f>
        <v>0</v>
      </c>
      <c r="M33" s="89">
        <f>Model!AJ107+Model!AK107+Model!AL107</f>
        <v>0</v>
      </c>
      <c r="N33" s="89">
        <f>Model!AM107+Model!AN107+Model!AO107</f>
        <v>0</v>
      </c>
      <c r="O33" s="89">
        <f>Model!AP107+Model!AQ107+Model!AR107</f>
        <v>0</v>
      </c>
      <c r="P33" s="89">
        <f>Model!AS107+Model!AT107+Model!AU107</f>
        <v>0</v>
      </c>
      <c r="Q33" s="89">
        <f>Model!AV107+Model!AW107+Model!AX107</f>
        <v>0</v>
      </c>
      <c r="R33" s="89">
        <f>Model!AY107+Model!AZ107+Model!BA107</f>
        <v>0</v>
      </c>
      <c r="S33" s="89">
        <f>Model!BB107+Model!BC107+Model!BD107</f>
        <v>0</v>
      </c>
      <c r="T33" s="89">
        <f>Model!BE107+Model!BF107+Model!BG107</f>
        <v>0</v>
      </c>
      <c r="U33" s="89">
        <f>Model!BH107+Model!BI107+Model!BJ107</f>
        <v>0</v>
      </c>
      <c r="V33" s="89">
        <f>Model!BK107+Model!BL107+Model!BM107</f>
        <v>0</v>
      </c>
      <c r="W33" s="89">
        <f>Model!BN107+Model!BO107+Model!BP107</f>
        <v>0</v>
      </c>
      <c r="X33" s="89">
        <f>Model!BQ107+Model!BR107+Model!BS107</f>
        <v>0</v>
      </c>
      <c r="Y33" s="89">
        <f>Model!BT107+Model!BU107+Model!BV107</f>
        <v>0</v>
      </c>
      <c r="Z33" s="89">
        <f>Model!BW107+Model!BX107+Model!BY107</f>
        <v>0</v>
      </c>
      <c r="AA33" s="89">
        <f>Model!BZ107+Model!CA107+Model!CB107</f>
        <v>0</v>
      </c>
      <c r="AB33" s="89">
        <f>Model!CC107+Model!CD107+Model!CE107</f>
        <v>0</v>
      </c>
      <c r="AC33" s="89">
        <f>Model!CF107+Model!CG107+Model!CH107</f>
        <v>0</v>
      </c>
      <c r="AD33" s="89">
        <f>Model!CI107+Model!CJ107+Model!CK107</f>
        <v>0</v>
      </c>
      <c r="AE33" s="89">
        <f>Model!CL107+Model!CM107+Model!CN107</f>
        <v>0</v>
      </c>
      <c r="AF33" s="89">
        <f>Model!CO107+Model!CP107+Model!CQ107</f>
        <v>0</v>
      </c>
      <c r="AG33" s="89">
        <f>Model!CR107+Model!CS107+Model!CT107</f>
        <v>0</v>
      </c>
      <c r="AH33" s="89">
        <f>Model!CU107+Model!CV107+Model!CW107</f>
        <v>0</v>
      </c>
      <c r="AI33" s="89">
        <f>Model!CX107+Model!CY107+Model!CZ107</f>
        <v>0</v>
      </c>
      <c r="AJ33" s="89">
        <f>Model!DA107+Model!DB107+Model!DC107</f>
        <v>0</v>
      </c>
      <c r="AK33" s="89">
        <f>Model!DD107+Model!DE107+Model!DF107</f>
        <v>0</v>
      </c>
    </row>
    <row r="34" spans="1:37" ht="15" customHeight="1" x14ac:dyDescent="0.25">
      <c r="A34" s="13" t="s">
        <v>37</v>
      </c>
      <c r="B34" s="89">
        <f>Model!C108+Model!D108+Model!E108</f>
        <v>0</v>
      </c>
      <c r="C34" s="89">
        <f>Model!F108+Model!G108+Model!H108</f>
        <v>0</v>
      </c>
      <c r="D34" s="89">
        <f>Model!I108+Model!J108+Model!K108</f>
        <v>0</v>
      </c>
      <c r="E34" s="89">
        <f>Model!L108+Model!M108+Model!N108</f>
        <v>0</v>
      </c>
      <c r="F34" s="89">
        <f>Model!O108+Model!P108+Model!Q108</f>
        <v>0</v>
      </c>
      <c r="G34" s="89">
        <f>Model!R108+Model!S108+Model!T108</f>
        <v>0</v>
      </c>
      <c r="H34" s="89">
        <f>Model!U108+Model!V108+Model!W108</f>
        <v>0</v>
      </c>
      <c r="I34" s="89">
        <f>Model!X108+Model!Y108+Model!Z108</f>
        <v>0</v>
      </c>
      <c r="J34" s="89">
        <f>Model!AA108+Model!AB108+Model!AC108</f>
        <v>0</v>
      </c>
      <c r="K34" s="89">
        <f>Model!AD108+Model!AE108+Model!AF108</f>
        <v>0</v>
      </c>
      <c r="L34" s="89">
        <f>Model!AG108+Model!AH108+Model!AI108</f>
        <v>0</v>
      </c>
      <c r="M34" s="89">
        <f>Model!AJ108+Model!AK108+Model!AL108</f>
        <v>0</v>
      </c>
      <c r="N34" s="89">
        <f>Model!AM108+Model!AN108+Model!AO108</f>
        <v>0</v>
      </c>
      <c r="O34" s="89">
        <f>Model!AP108+Model!AQ108+Model!AR108</f>
        <v>0</v>
      </c>
      <c r="P34" s="89">
        <f>Model!AS108+Model!AT108+Model!AU108</f>
        <v>-81683</v>
      </c>
      <c r="Q34" s="89">
        <f>Model!AV108+Model!AW108+Model!AX108</f>
        <v>-81682</v>
      </c>
      <c r="R34" s="89">
        <f>Model!AY108+Model!AZ108+Model!BA108</f>
        <v>-81682</v>
      </c>
      <c r="S34" s="89">
        <f>Model!BB108+Model!BC108+Model!BD108</f>
        <v>-81682</v>
      </c>
      <c r="T34" s="89">
        <f>Model!BE108+Model!BF108+Model!BG108</f>
        <v>-59178</v>
      </c>
      <c r="U34" s="89">
        <f>Model!BH108+Model!BI108+Model!BJ108</f>
        <v>-59176</v>
      </c>
      <c r="V34" s="89">
        <f>Model!BK108+Model!BL108+Model!BM108</f>
        <v>-59176</v>
      </c>
      <c r="W34" s="89">
        <f>Model!BN108+Model!BO108+Model!BP108</f>
        <v>-59176</v>
      </c>
      <c r="X34" s="89">
        <f>Model!BQ108+Model!BR108+Model!BS108</f>
        <v>-16249.479999999981</v>
      </c>
      <c r="Y34" s="89">
        <f>Model!BT108+Model!BU108+Model!BV108</f>
        <v>0</v>
      </c>
      <c r="Z34" s="89">
        <f>Model!BW108+Model!BX108+Model!BY108</f>
        <v>0</v>
      </c>
      <c r="AA34" s="89">
        <f>Model!BZ108+Model!CA108+Model!CB108</f>
        <v>0</v>
      </c>
      <c r="AB34" s="89">
        <f>Model!CC108+Model!CD108+Model!CE108</f>
        <v>0</v>
      </c>
      <c r="AC34" s="89">
        <f>Model!CF108+Model!CG108+Model!CH108</f>
        <v>0</v>
      </c>
      <c r="AD34" s="89">
        <f>Model!CI108+Model!CJ108+Model!CK108</f>
        <v>0</v>
      </c>
      <c r="AE34" s="89">
        <f>Model!CL108+Model!CM108+Model!CN108</f>
        <v>0</v>
      </c>
      <c r="AF34" s="89">
        <f>Model!CO108+Model!CP108+Model!CQ108</f>
        <v>0</v>
      </c>
      <c r="AG34" s="89">
        <f>Model!CR108+Model!CS108+Model!CT108</f>
        <v>0</v>
      </c>
      <c r="AH34" s="89">
        <f>Model!CU108+Model!CV108+Model!CW108</f>
        <v>0</v>
      </c>
      <c r="AI34" s="89">
        <f>Model!CX108+Model!CY108+Model!CZ108</f>
        <v>0</v>
      </c>
      <c r="AJ34" s="89">
        <f>Model!DA108+Model!DB108+Model!DC108</f>
        <v>0</v>
      </c>
      <c r="AK34" s="89">
        <f>Model!DD108+Model!DE108+Model!DF108</f>
        <v>0</v>
      </c>
    </row>
    <row r="35" spans="1:37" ht="15" customHeight="1" x14ac:dyDescent="0.25">
      <c r="A35" s="13" t="s">
        <v>38</v>
      </c>
      <c r="B35" s="89">
        <f>Model!C109+Model!D109+Model!E109</f>
        <v>0</v>
      </c>
      <c r="C35" s="89">
        <f>Model!F109+Model!G109+Model!H109</f>
        <v>0</v>
      </c>
      <c r="D35" s="89">
        <f>Model!I109+Model!J109+Model!K109</f>
        <v>0</v>
      </c>
      <c r="E35" s="89">
        <f>Model!L109+Model!M109+Model!N109</f>
        <v>0</v>
      </c>
      <c r="F35" s="89">
        <f>Model!O109+Model!P109+Model!Q109</f>
        <v>0</v>
      </c>
      <c r="G35" s="89">
        <f>Model!R109+Model!S109+Model!T109</f>
        <v>0</v>
      </c>
      <c r="H35" s="89">
        <f>Model!U109+Model!V109+Model!W109</f>
        <v>0</v>
      </c>
      <c r="I35" s="89">
        <f>Model!X109+Model!Y109+Model!Z109</f>
        <v>0</v>
      </c>
      <c r="J35" s="89">
        <f>Model!AA109+Model!AB109+Model!AC109</f>
        <v>0</v>
      </c>
      <c r="K35" s="89">
        <f>Model!AD109+Model!AE109+Model!AF109</f>
        <v>0</v>
      </c>
      <c r="L35" s="89">
        <f>Model!AG109+Model!AH109+Model!AI109</f>
        <v>0</v>
      </c>
      <c r="M35" s="89">
        <f>Model!AJ109+Model!AK109+Model!AL109</f>
        <v>0</v>
      </c>
      <c r="N35" s="89">
        <f>Model!AM109+Model!AN109+Model!AO109</f>
        <v>0</v>
      </c>
      <c r="O35" s="89">
        <f>Model!AP109+Model!AQ109+Model!AR109</f>
        <v>0</v>
      </c>
      <c r="P35" s="89">
        <f>Model!AS109+Model!AT109+Model!AU109</f>
        <v>0</v>
      </c>
      <c r="Q35" s="89">
        <f>Model!AV109+Model!AW109+Model!AX109</f>
        <v>0</v>
      </c>
      <c r="R35" s="89">
        <f>Model!AY109+Model!AZ109+Model!BA109</f>
        <v>0</v>
      </c>
      <c r="S35" s="89">
        <f>Model!BB109+Model!BC109+Model!BD109</f>
        <v>-851839</v>
      </c>
      <c r="T35" s="89">
        <f>Model!BE109+Model!BF109+Model!BG109</f>
        <v>-71700</v>
      </c>
      <c r="U35" s="89">
        <f>Model!BH109+Model!BI109+Model!BJ109</f>
        <v>-71700</v>
      </c>
      <c r="V35" s="89">
        <f>Model!BK109+Model!BL109+Model!BM109</f>
        <v>-71700</v>
      </c>
      <c r="W35" s="89">
        <f>Model!BN109+Model!BO109+Model!BP109</f>
        <v>-71700</v>
      </c>
      <c r="X35" s="89">
        <f>Model!BQ109+Model!BR109+Model!BS109</f>
        <v>-74643</v>
      </c>
      <c r="Y35" s="89">
        <f>Model!BT109+Model!BU109+Model!BV109</f>
        <v>-74640</v>
      </c>
      <c r="Z35" s="89">
        <f>Model!BW109+Model!BX109+Model!BY109</f>
        <v>-74640</v>
      </c>
      <c r="AA35" s="89">
        <f>Model!BZ109+Model!CA109+Model!CB109</f>
        <v>-74640</v>
      </c>
      <c r="AB35" s="89">
        <f>Model!CC109+Model!CD109+Model!CE109</f>
        <v>-81363</v>
      </c>
      <c r="AC35" s="89">
        <f>Model!CF109+Model!CG109+Model!CH109</f>
        <v>-81362</v>
      </c>
      <c r="AD35" s="89">
        <f>Model!CI109+Model!CJ109+Model!CK109</f>
        <v>-74753.973393520777</v>
      </c>
      <c r="AE35" s="89">
        <f>Model!CL109+Model!CM109+Model!CN109</f>
        <v>0</v>
      </c>
      <c r="AF35" s="89">
        <f>Model!CO109+Model!CP109+Model!CQ109</f>
        <v>0</v>
      </c>
      <c r="AG35" s="89">
        <f>Model!CR109+Model!CS109+Model!CT109</f>
        <v>0</v>
      </c>
      <c r="AH35" s="89">
        <f>Model!CU109+Model!CV109+Model!CW109</f>
        <v>0</v>
      </c>
      <c r="AI35" s="89">
        <f>Model!CX109+Model!CY109+Model!CZ109</f>
        <v>0</v>
      </c>
      <c r="AJ35" s="89">
        <f>Model!DA109+Model!DB109+Model!DC109</f>
        <v>0</v>
      </c>
      <c r="AK35" s="89">
        <f>Model!DD109+Model!DE109+Model!DF109</f>
        <v>0</v>
      </c>
    </row>
    <row r="36" spans="1:37" ht="15" customHeight="1" x14ac:dyDescent="0.25">
      <c r="A36" s="13" t="s">
        <v>39</v>
      </c>
      <c r="B36" s="89">
        <f>Model!C110+Model!D110+Model!E110</f>
        <v>0</v>
      </c>
      <c r="C36" s="89">
        <f>Model!F110+Model!G110+Model!H110</f>
        <v>0</v>
      </c>
      <c r="D36" s="89">
        <f>Model!I110+Model!J110+Model!K110</f>
        <v>0</v>
      </c>
      <c r="E36" s="89">
        <f>Model!L110+Model!M110+Model!N110</f>
        <v>0</v>
      </c>
      <c r="F36" s="89">
        <f>Model!O110+Model!P110+Model!Q110</f>
        <v>0</v>
      </c>
      <c r="G36" s="89">
        <f>Model!R110+Model!S110+Model!T110</f>
        <v>0</v>
      </c>
      <c r="H36" s="89">
        <f>Model!U110+Model!V110+Model!W110</f>
        <v>0</v>
      </c>
      <c r="I36" s="89">
        <f>Model!X110+Model!Y110+Model!Z110</f>
        <v>0</v>
      </c>
      <c r="J36" s="89">
        <f>Model!AA110+Model!AB110+Model!AC110</f>
        <v>0</v>
      </c>
      <c r="K36" s="89">
        <f>Model!AD110+Model!AE110+Model!AF110</f>
        <v>0</v>
      </c>
      <c r="L36" s="89">
        <f>Model!AG110+Model!AH110+Model!AI110</f>
        <v>0</v>
      </c>
      <c r="M36" s="89">
        <f>Model!AJ110+Model!AK110+Model!AL110</f>
        <v>0</v>
      </c>
      <c r="N36" s="89">
        <f>Model!AM110+Model!AN110+Model!AO110</f>
        <v>0</v>
      </c>
      <c r="O36" s="89">
        <f>Model!AP110+Model!AQ110+Model!AR110</f>
        <v>0</v>
      </c>
      <c r="P36" s="89">
        <f>Model!AS110+Model!AT110+Model!AU110</f>
        <v>0</v>
      </c>
      <c r="Q36" s="89">
        <f>Model!AV110+Model!AW110+Model!AX110</f>
        <v>0</v>
      </c>
      <c r="R36" s="89">
        <f>Model!AY110+Model!AZ110+Model!BA110</f>
        <v>0</v>
      </c>
      <c r="S36" s="89">
        <f>Model!BB110+Model!BC110+Model!BD110</f>
        <v>0</v>
      </c>
      <c r="T36" s="89">
        <f>Model!BE110+Model!BF110+Model!BG110</f>
        <v>0</v>
      </c>
      <c r="U36" s="89">
        <f>Model!BH110+Model!BI110+Model!BJ110</f>
        <v>0</v>
      </c>
      <c r="V36" s="89">
        <f>Model!BK110+Model!BL110+Model!BM110</f>
        <v>0</v>
      </c>
      <c r="W36" s="89">
        <f>Model!BN110+Model!BO110+Model!BP110</f>
        <v>0</v>
      </c>
      <c r="X36" s="89">
        <f>Model!BQ110+Model!BR110+Model!BS110</f>
        <v>0</v>
      </c>
      <c r="Y36" s="89">
        <f>Model!BT110+Model!BU110+Model!BV110</f>
        <v>0</v>
      </c>
      <c r="Z36" s="89">
        <f>Model!BW110+Model!BX110+Model!BY110</f>
        <v>0</v>
      </c>
      <c r="AA36" s="89">
        <f>Model!BZ110+Model!CA110+Model!CB110</f>
        <v>-73156</v>
      </c>
      <c r="AB36" s="89">
        <f>Model!CC110+Model!CD110+Model!CE110</f>
        <v>-73155</v>
      </c>
      <c r="AC36" s="89">
        <f>Model!CF110+Model!CG110+Model!CH110</f>
        <v>-73155</v>
      </c>
      <c r="AD36" s="89">
        <f>Model!CI110+Model!CJ110+Model!CK110</f>
        <v>-73155</v>
      </c>
      <c r="AE36" s="89">
        <f>Model!CL110+Model!CM110+Model!CN110</f>
        <v>-219465</v>
      </c>
      <c r="AF36" s="89">
        <f>Model!CO110+Model!CP110+Model!CQ110</f>
        <v>-219465</v>
      </c>
      <c r="AG36" s="89">
        <f>Model!CR110+Model!CS110+Model!CT110</f>
        <v>-219465</v>
      </c>
      <c r="AH36" s="89">
        <f>Model!CU110+Model!CV110+Model!CW110</f>
        <v>-219465</v>
      </c>
      <c r="AI36" s="89">
        <f>Model!CX110+Model!CY110+Model!CZ110</f>
        <v>-17446.848936407172</v>
      </c>
      <c r="AJ36" s="89">
        <f>Model!DA110+Model!DB110+Model!DC110</f>
        <v>0</v>
      </c>
      <c r="AK36" s="89">
        <f>Model!DD110+Model!DE110+Model!DF110</f>
        <v>0</v>
      </c>
    </row>
    <row r="37" spans="1:37" ht="15" customHeight="1" x14ac:dyDescent="0.25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</row>
    <row r="38" spans="1:37" ht="15" customHeight="1" x14ac:dyDescent="0.25">
      <c r="A38" s="315" t="s">
        <v>40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</row>
    <row r="39" spans="1:37" ht="15" customHeight="1" x14ac:dyDescent="0.25">
      <c r="A39" s="13" t="s">
        <v>41</v>
      </c>
      <c r="B39" s="89">
        <f>Model!C130+Model!D130+Model!E130</f>
        <v>0</v>
      </c>
      <c r="C39" s="89">
        <f>Model!F130+Model!G130+Model!H130</f>
        <v>0</v>
      </c>
      <c r="D39" s="89">
        <f>Model!I130+Model!J130+Model!K130</f>
        <v>0</v>
      </c>
      <c r="E39" s="89">
        <f>Model!L130+Model!M130+Model!N130</f>
        <v>-390000</v>
      </c>
      <c r="F39" s="89">
        <f>Model!O130+Model!P130+Model!Q130</f>
        <v>-390000</v>
      </c>
      <c r="G39" s="89">
        <f>Model!R130+Model!S130+Model!T130</f>
        <v>-390000</v>
      </c>
      <c r="H39" s="89">
        <f>Model!U130+Model!V130+Model!W130</f>
        <v>-390000</v>
      </c>
      <c r="I39" s="89">
        <f>Model!X130+Model!Y130+Model!Z130</f>
        <v>-325969.24328544503</v>
      </c>
      <c r="J39" s="89">
        <f>Model!AA130+Model!AB130+Model!AC130</f>
        <v>0</v>
      </c>
      <c r="K39" s="89">
        <f>Model!AD130+Model!AE130+Model!AF130</f>
        <v>0</v>
      </c>
      <c r="L39" s="89">
        <f>Model!AG130+Model!AH130+Model!AI130</f>
        <v>0</v>
      </c>
      <c r="M39" s="89">
        <f>Model!AJ130+Model!AK130+Model!AL130</f>
        <v>0</v>
      </c>
      <c r="N39" s="89">
        <f>Model!AM130+Model!AN130+Model!AO130</f>
        <v>0</v>
      </c>
      <c r="O39" s="89">
        <f>Model!AP130+Model!AQ130+Model!AR130</f>
        <v>0</v>
      </c>
      <c r="P39" s="89">
        <f>Model!AS130+Model!AT130+Model!AU130</f>
        <v>0</v>
      </c>
      <c r="Q39" s="89">
        <f>Model!AV130+Model!AW130+Model!AX130</f>
        <v>0</v>
      </c>
      <c r="R39" s="89">
        <f>Model!AY130+Model!AZ130+Model!BA130</f>
        <v>0</v>
      </c>
      <c r="S39" s="89">
        <f>Model!BB130+Model!BC130+Model!BD130</f>
        <v>0</v>
      </c>
      <c r="T39" s="89">
        <f>Model!BE130+Model!BF130+Model!BG130</f>
        <v>0</v>
      </c>
      <c r="U39" s="89">
        <f>Model!BH130+Model!BI130+Model!BJ130</f>
        <v>0</v>
      </c>
      <c r="V39" s="89">
        <f>Model!BK130+Model!BL130+Model!BM130</f>
        <v>0</v>
      </c>
      <c r="W39" s="89">
        <f>Model!BN130+Model!BO130+Model!BP130</f>
        <v>0</v>
      </c>
      <c r="X39" s="89">
        <f>Model!BQ130+Model!BR130+Model!BS130</f>
        <v>0</v>
      </c>
      <c r="Y39" s="89">
        <f>Model!BT130+Model!BU130+Model!BV130</f>
        <v>0</v>
      </c>
      <c r="Z39" s="89">
        <f>Model!BW130+Model!BX130+Model!BY130</f>
        <v>0</v>
      </c>
      <c r="AA39" s="89">
        <f>Model!BZ130+Model!CA130+Model!CB130</f>
        <v>0</v>
      </c>
      <c r="AB39" s="89">
        <f>Model!CC130+Model!CD130+Model!CE130</f>
        <v>0</v>
      </c>
      <c r="AC39" s="89">
        <f>Model!CF130+Model!CG130+Model!CH130</f>
        <v>0</v>
      </c>
      <c r="AD39" s="89">
        <f>Model!CI130+Model!CJ130+Model!CK130</f>
        <v>0</v>
      </c>
      <c r="AE39" s="89">
        <f>Model!CL130+Model!CM130+Model!CN130</f>
        <v>0</v>
      </c>
      <c r="AF39" s="89">
        <f>Model!CO130+Model!CP130+Model!CQ130</f>
        <v>0</v>
      </c>
      <c r="AG39" s="89">
        <f>Model!CR130+Model!CS130+Model!CT130</f>
        <v>0</v>
      </c>
      <c r="AH39" s="89">
        <f>Model!CU130+Model!CV130+Model!CW130</f>
        <v>0</v>
      </c>
      <c r="AI39" s="89">
        <f>Model!CX130+Model!CY130+Model!CZ130</f>
        <v>0</v>
      </c>
      <c r="AJ39" s="89">
        <f>Model!DA130+Model!DB130+Model!DC130</f>
        <v>0</v>
      </c>
      <c r="AK39" s="89">
        <f>Model!DD130+Model!DE130+Model!DF130</f>
        <v>0</v>
      </c>
    </row>
    <row r="40" spans="1:37" ht="15" customHeight="1" x14ac:dyDescent="0.25">
      <c r="A40" s="13" t="s">
        <v>42</v>
      </c>
      <c r="B40" s="89">
        <f>Model!C131+Model!D131+Model!E131</f>
        <v>0</v>
      </c>
      <c r="C40" s="89">
        <f>Model!H131</f>
        <v>1676065.6875</v>
      </c>
      <c r="D40" s="89">
        <f>Model!K131</f>
        <v>1738918.1507812501</v>
      </c>
      <c r="E40" s="89">
        <f>Model!N131</f>
        <v>1404377.581435547</v>
      </c>
      <c r="F40" s="89">
        <f>Model!Q131</f>
        <v>1057291.74073938</v>
      </c>
      <c r="G40" s="89">
        <f>Model!T131</f>
        <v>697190.18101710675</v>
      </c>
      <c r="H40" s="89">
        <f>Model!W131</f>
        <v>323584.81280524825</v>
      </c>
      <c r="I40" s="89">
        <f>Model!Z131</f>
        <v>0</v>
      </c>
      <c r="J40" s="89">
        <f>Model!AC131</f>
        <v>0</v>
      </c>
      <c r="K40" s="89">
        <f>Model!AF131</f>
        <v>0</v>
      </c>
      <c r="L40" s="89">
        <f>Model!AI131</f>
        <v>0</v>
      </c>
      <c r="M40" s="89">
        <f>Model!AL131</f>
        <v>0</v>
      </c>
      <c r="N40" s="89">
        <f>Model!AO131</f>
        <v>0</v>
      </c>
      <c r="O40" s="89">
        <f>Model!AR131</f>
        <v>0</v>
      </c>
      <c r="P40" s="89">
        <f>Model!AU131</f>
        <v>0</v>
      </c>
      <c r="Q40" s="89">
        <f>Model!AX131</f>
        <v>0</v>
      </c>
      <c r="R40" s="89">
        <f>Model!BA131</f>
        <v>0</v>
      </c>
      <c r="S40" s="89">
        <f>Model!BD131</f>
        <v>0</v>
      </c>
      <c r="T40" s="89">
        <f>Model!BG131</f>
        <v>0</v>
      </c>
      <c r="U40" s="89">
        <f>Model!BJ131</f>
        <v>0</v>
      </c>
      <c r="V40" s="89">
        <f>Model!BM131</f>
        <v>0</v>
      </c>
      <c r="W40" s="89">
        <f>Model!BP131</f>
        <v>0</v>
      </c>
      <c r="X40" s="89">
        <f>Model!BS131</f>
        <v>0</v>
      </c>
      <c r="Y40" s="89">
        <f>Model!BV131</f>
        <v>0</v>
      </c>
      <c r="Z40" s="89">
        <f>Model!BY131</f>
        <v>0</v>
      </c>
      <c r="AA40" s="89">
        <f>Model!CB131</f>
        <v>0</v>
      </c>
      <c r="AB40" s="89">
        <f>Model!CE131</f>
        <v>0</v>
      </c>
      <c r="AC40" s="89">
        <f>Model!CH131</f>
        <v>0</v>
      </c>
      <c r="AD40" s="89">
        <f>Model!CK131</f>
        <v>0</v>
      </c>
      <c r="AE40" s="89">
        <f>Model!CN131</f>
        <v>0</v>
      </c>
      <c r="AF40" s="89">
        <f>Model!CQ131</f>
        <v>0</v>
      </c>
      <c r="AG40" s="89">
        <f>Model!CT131</f>
        <v>0</v>
      </c>
      <c r="AH40" s="89">
        <f>Model!CW131</f>
        <v>0</v>
      </c>
      <c r="AI40" s="89">
        <f>Model!CZ131</f>
        <v>0</v>
      </c>
      <c r="AJ40" s="89">
        <f>Model!DC131</f>
        <v>0</v>
      </c>
      <c r="AK40" s="89">
        <f>Model!DF131</f>
        <v>0</v>
      </c>
    </row>
    <row r="41" spans="1:37" ht="15" customHeight="1" x14ac:dyDescent="0.25">
      <c r="A41" s="13" t="s">
        <v>43</v>
      </c>
      <c r="B41" s="89">
        <f>Model!C136+Model!D136+Model!E136</f>
        <v>0</v>
      </c>
      <c r="C41" s="89">
        <f>Model!F136+Model!G136+Model!H136</f>
        <v>0</v>
      </c>
      <c r="D41" s="89">
        <f>Model!I136+Model!J136+Model!K136</f>
        <v>0</v>
      </c>
      <c r="E41" s="89">
        <f>Model!L136+Model!M136+Model!N136</f>
        <v>0</v>
      </c>
      <c r="F41" s="89">
        <f ca="1">Model!O136+Model!P136+Model!Q136</f>
        <v>-250000</v>
      </c>
      <c r="G41" s="89">
        <f>Model!R136+Model!S136+Model!T136</f>
        <v>0</v>
      </c>
      <c r="H41" s="89">
        <f>Model!U136+Model!V136+Model!W136</f>
        <v>0</v>
      </c>
      <c r="I41" s="89">
        <f>Model!X136+Model!Y136+Model!Z136</f>
        <v>0</v>
      </c>
      <c r="J41" s="89">
        <f ca="1">Model!AA136+Model!AB136+Model!AC136</f>
        <v>-250000</v>
      </c>
      <c r="K41" s="89">
        <f>Model!AD136+Model!AE136+Model!AF136</f>
        <v>0</v>
      </c>
      <c r="L41" s="89">
        <f>Model!AG136+Model!AH136+Model!AI136</f>
        <v>0</v>
      </c>
      <c r="M41" s="89">
        <f>Model!AJ136+Model!AK136+Model!AL136</f>
        <v>0</v>
      </c>
      <c r="N41" s="89">
        <f ca="1">Model!AM136+Model!AN136+Model!AO136</f>
        <v>-250000</v>
      </c>
      <c r="O41" s="89">
        <f>Model!AP136+Model!AQ136+Model!AR136</f>
        <v>0</v>
      </c>
      <c r="P41" s="89">
        <f>Model!AS136+Model!AT136+Model!AU136</f>
        <v>0</v>
      </c>
      <c r="Q41" s="89">
        <f>Model!AV136+Model!AW136+Model!AX136</f>
        <v>0</v>
      </c>
      <c r="R41" s="89">
        <f ca="1">Model!AY136+Model!AZ136+Model!BA136</f>
        <v>-250000</v>
      </c>
      <c r="S41" s="89">
        <f>Model!BB136+Model!BC136+Model!BD136</f>
        <v>0</v>
      </c>
      <c r="T41" s="89">
        <f>Model!BE136+Model!BF136+Model!BG136</f>
        <v>0</v>
      </c>
      <c r="U41" s="89">
        <f>Model!BH136+Model!BI136+Model!BJ136</f>
        <v>0</v>
      </c>
      <c r="V41" s="89">
        <f ca="1">Model!BK136+Model!BL136+Model!BM136</f>
        <v>0</v>
      </c>
      <c r="W41" s="89">
        <f>Model!BN136+Model!BO136+Model!BP136</f>
        <v>0</v>
      </c>
      <c r="X41" s="89">
        <f>Model!BQ136+Model!BR136+Model!BS136</f>
        <v>0</v>
      </c>
      <c r="Y41" s="89">
        <f>Model!BT136+Model!BU136+Model!BV136</f>
        <v>0</v>
      </c>
      <c r="Z41" s="89">
        <f ca="1">Model!BW136+Model!BX136+Model!BY136</f>
        <v>0</v>
      </c>
      <c r="AA41" s="89">
        <f>Model!BZ136+Model!CA136+Model!CB136</f>
        <v>0</v>
      </c>
      <c r="AB41" s="89">
        <f>Model!CC136+Model!CD136+Model!CE136</f>
        <v>0</v>
      </c>
      <c r="AC41" s="89">
        <f>Model!CF136+Model!CG136+Model!CH136</f>
        <v>0</v>
      </c>
      <c r="AD41" s="89">
        <f ca="1">Model!CI136+Model!CJ136+Model!CK136</f>
        <v>0</v>
      </c>
      <c r="AE41" s="89">
        <f>Model!CL136+Model!CM136+Model!CN136</f>
        <v>0</v>
      </c>
      <c r="AF41" s="89">
        <f>Model!CO136+Model!CP136+Model!CQ136</f>
        <v>0</v>
      </c>
      <c r="AG41" s="89">
        <f>Model!CR136+Model!CS136+Model!CT136</f>
        <v>0</v>
      </c>
      <c r="AH41" s="89">
        <f>Model!CU136+Model!CV136+Model!CW136</f>
        <v>0</v>
      </c>
      <c r="AI41" s="89">
        <f>Model!CX136+Model!CY136+Model!CZ136</f>
        <v>0</v>
      </c>
      <c r="AJ41" s="89">
        <f>Model!DA136+Model!DB136+Model!DC136</f>
        <v>0</v>
      </c>
      <c r="AK41" s="89">
        <f>Model!DD136+Model!DE136+Model!DF136</f>
        <v>0</v>
      </c>
    </row>
    <row r="42" spans="1:37" ht="15" customHeight="1" x14ac:dyDescent="0.25">
      <c r="A42" s="13" t="s">
        <v>44</v>
      </c>
      <c r="B42" s="89">
        <f>Model!C137+Model!D137+Model!E137</f>
        <v>0</v>
      </c>
      <c r="C42" s="89">
        <f>Model!H137</f>
        <v>1000000</v>
      </c>
      <c r="D42" s="89">
        <f>Model!K137</f>
        <v>1000000</v>
      </c>
      <c r="E42" s="89">
        <f>Model!N137</f>
        <v>1000000</v>
      </c>
      <c r="F42" s="89">
        <f ca="1">Model!Q137</f>
        <v>750000</v>
      </c>
      <c r="G42" s="89">
        <f ca="1">Model!T137</f>
        <v>750000</v>
      </c>
      <c r="H42" s="89">
        <f ca="1">Model!W137</f>
        <v>750000</v>
      </c>
      <c r="I42" s="89">
        <f ca="1">Model!Z137</f>
        <v>750000</v>
      </c>
      <c r="J42" s="89">
        <f ca="1">Model!AC137</f>
        <v>500000</v>
      </c>
      <c r="K42" s="89">
        <f ca="1">Model!AF137</f>
        <v>500000</v>
      </c>
      <c r="L42" s="89">
        <f ca="1">Model!AI137</f>
        <v>500000</v>
      </c>
      <c r="M42" s="89">
        <f ca="1">Model!AL137</f>
        <v>500000</v>
      </c>
      <c r="N42" s="89">
        <f ca="1">Model!AO137</f>
        <v>250000</v>
      </c>
      <c r="O42" s="89">
        <f ca="1">Model!AR137</f>
        <v>250000</v>
      </c>
      <c r="P42" s="89">
        <f ca="1">Model!AU137</f>
        <v>250000</v>
      </c>
      <c r="Q42" s="89">
        <f ca="1">Model!AX137</f>
        <v>250000</v>
      </c>
      <c r="R42" s="89">
        <f ca="1">Model!BA137</f>
        <v>0</v>
      </c>
      <c r="S42" s="89">
        <f ca="1">Model!BD137</f>
        <v>0</v>
      </c>
      <c r="T42" s="89">
        <f ca="1">Model!BG137</f>
        <v>0</v>
      </c>
      <c r="U42" s="89">
        <f ca="1">Model!BJ137</f>
        <v>0</v>
      </c>
      <c r="V42" s="89">
        <f ca="1">Model!BM137</f>
        <v>0</v>
      </c>
      <c r="W42" s="89">
        <f ca="1">Model!BP137</f>
        <v>0</v>
      </c>
      <c r="X42" s="89">
        <f ca="1">Model!BS137</f>
        <v>0</v>
      </c>
      <c r="Y42" s="89">
        <f ca="1">Model!BV137</f>
        <v>0</v>
      </c>
      <c r="Z42" s="89">
        <f ca="1">Model!BY137</f>
        <v>0</v>
      </c>
      <c r="AA42" s="89">
        <f ca="1">Model!CB137</f>
        <v>0</v>
      </c>
      <c r="AB42" s="89">
        <f ca="1">Model!CE137</f>
        <v>0</v>
      </c>
      <c r="AC42" s="89">
        <f ca="1">Model!CH137</f>
        <v>0</v>
      </c>
      <c r="AD42" s="89">
        <f ca="1">Model!CK137</f>
        <v>0</v>
      </c>
      <c r="AE42" s="89">
        <f ca="1">Model!CN137</f>
        <v>0</v>
      </c>
      <c r="AF42" s="89">
        <f ca="1">Model!CQ137</f>
        <v>0</v>
      </c>
      <c r="AG42" s="89">
        <f ca="1">Model!CT137</f>
        <v>0</v>
      </c>
      <c r="AH42" s="89">
        <f ca="1">Model!CW137</f>
        <v>0</v>
      </c>
      <c r="AI42" s="89">
        <f ca="1">Model!CZ137</f>
        <v>0</v>
      </c>
      <c r="AJ42" s="89">
        <f ca="1">Model!DC137</f>
        <v>0</v>
      </c>
      <c r="AK42" s="89">
        <f ca="1">Model!DF137</f>
        <v>0</v>
      </c>
    </row>
    <row r="43" spans="1:37" ht="15" customHeight="1" x14ac:dyDescent="0.25">
      <c r="A43" s="13" t="s">
        <v>45</v>
      </c>
      <c r="B43" s="89">
        <f>Model!C184+Model!D184+Model!E184</f>
        <v>0</v>
      </c>
      <c r="C43" s="89">
        <f>Model!F184+Model!G184+Model!H184</f>
        <v>0</v>
      </c>
      <c r="D43" s="89">
        <f>Model!I184+Model!J184+Model!K184</f>
        <v>0</v>
      </c>
      <c r="E43" s="89">
        <f>Model!L184+Model!M184+Model!N184</f>
        <v>0</v>
      </c>
      <c r="F43" s="89">
        <f>Model!O184+Model!P184+Model!Q184</f>
        <v>0</v>
      </c>
      <c r="G43" s="89">
        <f>Model!R184+Model!S184+Model!T184</f>
        <v>0</v>
      </c>
      <c r="H43" s="89">
        <f>Model!U184+Model!V184+Model!W184</f>
        <v>0</v>
      </c>
      <c r="I43" s="89">
        <f>Model!X184+Model!Y184+Model!Z184</f>
        <v>0</v>
      </c>
      <c r="J43" s="89">
        <f>Model!AA184+Model!AB184+Model!AC184</f>
        <v>0</v>
      </c>
      <c r="K43" s="89">
        <f>Model!AD184+Model!AE184+Model!AF184</f>
        <v>0</v>
      </c>
      <c r="L43" s="89">
        <f>Model!AG184+Model!AH184+Model!AI184</f>
        <v>0</v>
      </c>
      <c r="M43" s="89">
        <f>Model!AJ184+Model!AK184+Model!AL184</f>
        <v>0</v>
      </c>
      <c r="N43" s="89">
        <f>Model!AM184+Model!AN184+Model!AO184</f>
        <v>0</v>
      </c>
      <c r="O43" s="89">
        <f>Model!AP184+Model!AQ184+Model!AR184</f>
        <v>0</v>
      </c>
      <c r="P43" s="89">
        <f>Model!AS184+Model!AT184+Model!AU184</f>
        <v>0</v>
      </c>
      <c r="Q43" s="89">
        <f>Model!AV184+Model!AW184+Model!AX184</f>
        <v>0</v>
      </c>
      <c r="R43" s="89">
        <f>Model!AY184+Model!AZ184+Model!BA184</f>
        <v>0</v>
      </c>
      <c r="S43" s="89">
        <f>Model!BB184+Model!BC184+Model!BD184</f>
        <v>0</v>
      </c>
      <c r="T43" s="89">
        <f>Model!BE184+Model!BF184+Model!BG184</f>
        <v>0</v>
      </c>
      <c r="U43" s="89">
        <f>Model!BH184+Model!BI184+Model!BJ184</f>
        <v>0</v>
      </c>
      <c r="V43" s="89">
        <f>Model!BK184+Model!BL184+Model!BM184</f>
        <v>0</v>
      </c>
      <c r="W43" s="89">
        <f>Model!BN184+Model!BO184+Model!BP184</f>
        <v>0</v>
      </c>
      <c r="X43" s="89">
        <f>Model!BQ184+Model!BR184+Model!BS184</f>
        <v>0</v>
      </c>
      <c r="Y43" s="89">
        <f>Model!BT184+Model!BU184+Model!BV184</f>
        <v>0</v>
      </c>
      <c r="Z43" s="89">
        <f>Model!BW184+Model!BX184+Model!BY184</f>
        <v>0</v>
      </c>
      <c r="AA43" s="89">
        <f>Model!BZ184+Model!CA184+Model!CB184</f>
        <v>0</v>
      </c>
      <c r="AB43" s="89">
        <f>Model!CC184+Model!CD184+Model!CE184</f>
        <v>0</v>
      </c>
      <c r="AC43" s="89">
        <f>Model!CF184+Model!CG184+Model!CH184</f>
        <v>0</v>
      </c>
      <c r="AD43" s="89">
        <f>Model!CI184+Model!CJ184+Model!CK184</f>
        <v>0</v>
      </c>
      <c r="AE43" s="89">
        <f>Model!CL184+Model!CM184+Model!CN184</f>
        <v>0</v>
      </c>
      <c r="AF43" s="89">
        <f>Model!CO184+Model!CP184+Model!CQ184</f>
        <v>0</v>
      </c>
      <c r="AG43" s="89">
        <f>Model!CR184+Model!CS184+Model!CT184</f>
        <v>0</v>
      </c>
      <c r="AH43" s="89">
        <f>Model!CU184+Model!CV184+Model!CW184</f>
        <v>0</v>
      </c>
      <c r="AI43" s="89">
        <f>Model!CX184+Model!CY184+Model!CZ184</f>
        <v>0</v>
      </c>
      <c r="AJ43" s="89">
        <f>Model!DA184+Model!DB184+Model!DC184</f>
        <v>0</v>
      </c>
      <c r="AK43" s="89">
        <f>Model!DD184+Model!DE184+Model!DF184</f>
        <v>0</v>
      </c>
    </row>
    <row r="44" spans="1:37" ht="15" customHeight="1" x14ac:dyDescent="0.25">
      <c r="A44" s="13" t="s">
        <v>46</v>
      </c>
      <c r="B44" s="89">
        <f>Model!C144+Model!D144+Model!E144</f>
        <v>0</v>
      </c>
      <c r="C44" s="89">
        <f>Model!H144+Model!H149+Model!H154+Model!H159</f>
        <v>1738378.1968749999</v>
      </c>
      <c r="D44" s="89">
        <f>Model!K144+Model!K149+Model!K154+Model!K159</f>
        <v>2142433.6580078127</v>
      </c>
      <c r="E44" s="89">
        <f>Model!N144+Model!N149+Model!N154+Model!N159</f>
        <v>2378399.9201831054</v>
      </c>
      <c r="F44" s="89">
        <f>Model!Q156</f>
        <v>69194.323095703119</v>
      </c>
      <c r="G44" s="89">
        <f>Model!T156</f>
        <v>21164.110211791987</v>
      </c>
      <c r="H44" s="89">
        <f>Model!W156</f>
        <v>21957.764344734187</v>
      </c>
      <c r="I44" s="89">
        <f>Model!Z156</f>
        <v>22781.180507661717</v>
      </c>
      <c r="J44" s="89">
        <f>Model!AC156</f>
        <v>23635.474776699033</v>
      </c>
      <c r="K44" s="89">
        <f>Model!AF156</f>
        <v>24521.805080825245</v>
      </c>
      <c r="L44" s="89">
        <f>Model!AI156</f>
        <v>25441.372771356189</v>
      </c>
      <c r="M44" s="89">
        <f>Model!AL156</f>
        <v>26395.424250282045</v>
      </c>
      <c r="N44" s="89">
        <f>Model!AO156</f>
        <v>27385.252659667622</v>
      </c>
      <c r="O44" s="89">
        <f>Model!AR156</f>
        <v>28412.199634405155</v>
      </c>
      <c r="P44" s="89">
        <f>Model!AU156</f>
        <v>29477.657120695352</v>
      </c>
      <c r="Q44" s="89">
        <f>Model!AX156</f>
        <v>30583.069262721427</v>
      </c>
      <c r="R44" s="89">
        <f>Model!BA156</f>
        <v>31729.934360073479</v>
      </c>
      <c r="S44" s="89">
        <f>Model!BD156</f>
        <v>32919.806898576237</v>
      </c>
      <c r="T44" s="89">
        <f>Model!BG156</f>
        <v>24810.375907272846</v>
      </c>
      <c r="U44" s="89">
        <f>Model!BJ156</f>
        <v>23052.015003795575</v>
      </c>
      <c r="V44" s="89">
        <f>Model!BM156</f>
        <v>21227.71556643791</v>
      </c>
      <c r="W44" s="89">
        <f>Model!BP156</f>
        <v>19335.004900179334</v>
      </c>
      <c r="X44" s="89">
        <f>Model!BS156</f>
        <v>17371.317583936059</v>
      </c>
      <c r="Y44" s="89">
        <f>Model!BV156</f>
        <v>15223.629493333659</v>
      </c>
      <c r="Z44" s="89">
        <f>Model!BY156</f>
        <v>12995.51559933367</v>
      </c>
      <c r="AA44" s="89">
        <f>Model!CB156</f>
        <v>10683.847434308684</v>
      </c>
      <c r="AB44" s="89">
        <f>Model!CE156</f>
        <v>8285.4917130952581</v>
      </c>
      <c r="AC44" s="89">
        <f>Model!CH156</f>
        <v>5545.0851523363308</v>
      </c>
      <c r="AD44" s="89">
        <f>Model!CK156</f>
        <v>2701.9508455489436</v>
      </c>
      <c r="AE44" s="89">
        <f>Model!CN156</f>
        <v>0</v>
      </c>
      <c r="AF44" s="89">
        <f>Model!CQ156</f>
        <v>0</v>
      </c>
      <c r="AG44" s="89">
        <f>Model!CT156</f>
        <v>0</v>
      </c>
      <c r="AH44" s="89">
        <f>Model!CW156</f>
        <v>0</v>
      </c>
      <c r="AI44" s="89">
        <f>Model!CZ156</f>
        <v>0</v>
      </c>
      <c r="AJ44" s="89">
        <f>Model!DC156</f>
        <v>0</v>
      </c>
      <c r="AK44" s="89">
        <f>Model!DF156</f>
        <v>0</v>
      </c>
    </row>
    <row r="45" spans="1:37" ht="15" customHeight="1" x14ac:dyDescent="0.25">
      <c r="A45" s="302"/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  <c r="Z45" s="302"/>
      <c r="AA45" s="302"/>
      <c r="AB45" s="302"/>
      <c r="AC45" s="302"/>
      <c r="AD45" s="302"/>
      <c r="AE45" s="302"/>
      <c r="AF45" s="302"/>
      <c r="AG45" s="302"/>
      <c r="AH45" s="302"/>
      <c r="AI45" s="302"/>
      <c r="AJ45" s="302"/>
      <c r="AK45" s="302"/>
    </row>
    <row r="46" spans="1:37" ht="15" customHeight="1" x14ac:dyDescent="0.25">
      <c r="A46" s="13" t="s">
        <v>47</v>
      </c>
      <c r="B46" s="89">
        <f>Model!C170+Model!D170+Model!E170</f>
        <v>0</v>
      </c>
      <c r="C46" s="89">
        <f>Model!H170</f>
        <v>20879271.912436187</v>
      </c>
      <c r="D46" s="89">
        <f>Model!K170</f>
        <v>54117067.973172709</v>
      </c>
      <c r="E46" s="89">
        <f>Model!N170</f>
        <v>90239873.755658567</v>
      </c>
      <c r="F46" s="89">
        <f>Model!Q170</f>
        <v>72635646.38755329</v>
      </c>
      <c r="G46" s="89">
        <f>Model!T170</f>
        <v>96517203.05507499</v>
      </c>
      <c r="H46" s="89">
        <f>Model!W170</f>
        <v>76187589.600928992</v>
      </c>
      <c r="I46" s="89">
        <f>Model!Z170</f>
        <v>56473335.557831988</v>
      </c>
      <c r="J46" s="89">
        <f>Model!AC170</f>
        <v>39330314.060103998</v>
      </c>
      <c r="K46" s="89">
        <f>Model!AF170</f>
        <v>67115910.942615986</v>
      </c>
      <c r="L46" s="89">
        <f>Model!AI170</f>
        <v>56684810.890850991</v>
      </c>
      <c r="M46" s="89">
        <f>Model!AL170</f>
        <v>46152166.879777998</v>
      </c>
      <c r="N46" s="89">
        <f>Model!AO170</f>
        <v>35942217.821294002</v>
      </c>
      <c r="O46" s="89">
        <f>Model!AR170</f>
        <v>26981928.712532006</v>
      </c>
      <c r="P46" s="89">
        <f>Model!AU170</f>
        <v>18775979.790616009</v>
      </c>
      <c r="Q46" s="89">
        <f>Model!AX170</f>
        <v>13258584.501624003</v>
      </c>
      <c r="R46" s="89">
        <f>Model!BA170</f>
        <v>8360541.8875440042</v>
      </c>
      <c r="S46" s="89">
        <f>Model!BD170</f>
        <v>4384004.5383200068</v>
      </c>
      <c r="T46" s="89">
        <f>Model!BG170</f>
        <v>1431490.5866800072</v>
      </c>
      <c r="U46" s="89">
        <f>Model!BJ170</f>
        <v>0</v>
      </c>
      <c r="V46" s="89">
        <f>Model!BM170</f>
        <v>0</v>
      </c>
      <c r="W46" s="89">
        <f>Model!BP170</f>
        <v>0</v>
      </c>
      <c r="X46" s="89">
        <f>Model!BS170</f>
        <v>0</v>
      </c>
      <c r="Y46" s="89">
        <f>Model!BV170</f>
        <v>0</v>
      </c>
      <c r="Z46" s="89">
        <f>Model!BY170</f>
        <v>0</v>
      </c>
      <c r="AA46" s="89">
        <f>Model!CB170</f>
        <v>0</v>
      </c>
      <c r="AB46" s="89">
        <f>Model!CE170</f>
        <v>0</v>
      </c>
      <c r="AC46" s="89">
        <f>Model!CH170</f>
        <v>0</v>
      </c>
      <c r="AD46" s="89">
        <f>Model!CK170</f>
        <v>0</v>
      </c>
      <c r="AE46" s="89">
        <f>Model!CN170</f>
        <v>0</v>
      </c>
      <c r="AF46" s="89">
        <f>Model!CQ170</f>
        <v>0</v>
      </c>
      <c r="AG46" s="89">
        <f>Model!CT170</f>
        <v>0</v>
      </c>
      <c r="AH46" s="89">
        <f>Model!CW170</f>
        <v>0</v>
      </c>
      <c r="AI46" s="89">
        <f>Model!CZ170</f>
        <v>0</v>
      </c>
      <c r="AJ46" s="89">
        <f>Model!DC170</f>
        <v>0</v>
      </c>
      <c r="AK46" s="89">
        <f>Model!DF170</f>
        <v>0</v>
      </c>
    </row>
    <row r="47" spans="1:37" ht="15" customHeight="1" x14ac:dyDescent="0.25">
      <c r="A47" s="302"/>
      <c r="B47" s="302"/>
      <c r="C47" s="302"/>
      <c r="D47" s="302"/>
      <c r="E47" s="302"/>
      <c r="F47" s="302"/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</row>
    <row r="48" spans="1:37" ht="15" customHeight="1" x14ac:dyDescent="0.25">
      <c r="A48" s="77" t="s">
        <v>48</v>
      </c>
      <c r="B48" s="78">
        <f>Model!C177+Model!D177+Model!E177</f>
        <v>0</v>
      </c>
      <c r="C48" s="78">
        <f ca="1">Model!H177</f>
        <v>1381294.7825085251</v>
      </c>
      <c r="D48" s="78">
        <f ca="1">Model!K177</f>
        <v>2203840.6312722745</v>
      </c>
      <c r="E48" s="78">
        <f ca="1">Model!N177</f>
        <v>3444104.7650715336</v>
      </c>
      <c r="F48" s="78">
        <f ca="1">Model!Q177</f>
        <v>4210619.6647059908</v>
      </c>
      <c r="G48" s="78">
        <f ca="1">Model!T177</f>
        <v>4765720.211298299</v>
      </c>
      <c r="H48" s="78">
        <f ca="1">Model!W177</f>
        <v>5208414.144697166</v>
      </c>
      <c r="I48" s="78">
        <f ca="1">Model!Z177</f>
        <v>5363619.0220795162</v>
      </c>
      <c r="J48" s="78">
        <f ca="1">Model!AC177</f>
        <v>5475203.2905823663</v>
      </c>
      <c r="K48" s="78">
        <f ca="1">Model!AF177</f>
        <v>4912373.1482411632</v>
      </c>
      <c r="L48" s="78">
        <f ca="1">Model!AI177</f>
        <v>5224526.3159518549</v>
      </c>
      <c r="M48" s="78">
        <f ca="1">Model!AL177</f>
        <v>5954045.5459064264</v>
      </c>
      <c r="N48" s="78">
        <f ca="1">Model!AO177</f>
        <v>6070410.1011554012</v>
      </c>
      <c r="O48" s="78">
        <f ca="1">Model!AR177</f>
        <v>6200857.1511752903</v>
      </c>
      <c r="P48" s="78">
        <f ca="1">Model!AU177</f>
        <v>6928845.486548678</v>
      </c>
      <c r="Q48" s="78">
        <f ca="1">Model!AX177</f>
        <v>6911625.6243969165</v>
      </c>
      <c r="R48" s="78">
        <f ca="1">Model!BA177</f>
        <v>6984699.012245154</v>
      </c>
      <c r="S48" s="78">
        <f ca="1">Model!BD177</f>
        <v>7083154.2563982476</v>
      </c>
      <c r="T48" s="78">
        <f ca="1">Model!BG177</f>
        <v>7356078.7005513413</v>
      </c>
      <c r="U48" s="78">
        <f ca="1">Model!BJ177</f>
        <v>7725014.3788914876</v>
      </c>
      <c r="V48" s="78">
        <f ca="1">Model!BM177</f>
        <v>7740281.0004389407</v>
      </c>
      <c r="W48" s="78">
        <f ca="1">Model!BP177</f>
        <v>7870674.5004173424</v>
      </c>
      <c r="X48" s="78">
        <f ca="1">Model!BS177</f>
        <v>8282213.1503957445</v>
      </c>
      <c r="Y48" s="78">
        <f ca="1">Model!BV177</f>
        <v>8504282.6003741454</v>
      </c>
      <c r="Z48" s="78">
        <f ca="1">Model!BY177</f>
        <v>8861645.3003525455</v>
      </c>
      <c r="AA48" s="78">
        <f ca="1">Model!CB177</f>
        <v>8784316.1863305159</v>
      </c>
      <c r="AB48" s="78">
        <f ca="1">Model!CE177</f>
        <v>8913861.4232143387</v>
      </c>
      <c r="AC48" s="78">
        <f ca="1">Model!CH177</f>
        <v>8799032.3091923092</v>
      </c>
      <c r="AD48" s="78">
        <f ca="1">Model!CK177</f>
        <v>8783379.1451702788</v>
      </c>
      <c r="AE48" s="78">
        <f ca="1">Model!CN177</f>
        <v>8776136.7908678055</v>
      </c>
      <c r="AF48" s="78">
        <f ca="1">Model!CQ177</f>
        <v>8443838.7365653329</v>
      </c>
      <c r="AG48" s="78">
        <f ca="1">Model!CT177</f>
        <v>8111540.6822628602</v>
      </c>
      <c r="AH48" s="78">
        <f ca="1">Model!CW177</f>
        <v>7625847.2320624385</v>
      </c>
      <c r="AI48" s="78">
        <f ca="1">Model!CZ177</f>
        <v>6572156.5138580101</v>
      </c>
      <c r="AJ48" s="78">
        <f ca="1">Model!DC177</f>
        <v>5140616.8456535824</v>
      </c>
      <c r="AK48" s="78">
        <f ca="1">Model!DF177</f>
        <v>3490990.6774491537</v>
      </c>
    </row>
    <row r="49" spans="1:37" ht="15" customHeight="1" x14ac:dyDescent="0.25">
      <c r="A49" s="77" t="s">
        <v>49</v>
      </c>
      <c r="B49" s="78">
        <f>Model!C185+Model!D185+Model!E185</f>
        <v>0</v>
      </c>
      <c r="C49" s="78">
        <f>Model!H185</f>
        <v>19673.716666666733</v>
      </c>
      <c r="D49" s="78">
        <f>Model!K185</f>
        <v>-84586.148333333243</v>
      </c>
      <c r="E49" s="78">
        <f>Model!N185</f>
        <v>-599262.67333333322</v>
      </c>
      <c r="F49" s="78">
        <f ca="1">Model!Q185</f>
        <v>-1316417.9071333334</v>
      </c>
      <c r="G49" s="78">
        <f ca="1">Model!T185</f>
        <v>-1803508.7464333333</v>
      </c>
      <c r="H49" s="78">
        <f ca="1">Model!W185</f>
        <v>-2267384.7613333333</v>
      </c>
      <c r="I49" s="78">
        <f ca="1">Model!Z185</f>
        <v>-2483147.8091187784</v>
      </c>
      <c r="J49" s="78">
        <f ca="1">Model!AC185</f>
        <v>-2483113.1676187785</v>
      </c>
      <c r="K49" s="78">
        <f ca="1">Model!AF185</f>
        <v>-2121101.1487287786</v>
      </c>
      <c r="L49" s="78">
        <f ca="1">Model!AI185</f>
        <v>-1881727.2893387787</v>
      </c>
      <c r="M49" s="78">
        <f ca="1">Model!AL185</f>
        <v>-1652740.2139487786</v>
      </c>
      <c r="N49" s="78">
        <f ca="1">Model!AO185</f>
        <v>-1726848.8350587785</v>
      </c>
      <c r="O49" s="78">
        <f ca="1">Model!AR185</f>
        <v>-1694506.7495509787</v>
      </c>
      <c r="P49" s="78">
        <f ca="1">Model!AU185</f>
        <v>-1784721.8510431785</v>
      </c>
      <c r="Q49" s="78">
        <f ca="1">Model!AX185</f>
        <v>-1842627.7035353784</v>
      </c>
      <c r="R49" s="78">
        <f ca="1">Model!BA185</f>
        <v>-2217648.3245275784</v>
      </c>
      <c r="S49" s="78">
        <f ca="1">Model!BD185</f>
        <v>-2351512.5743196225</v>
      </c>
      <c r="T49" s="78">
        <f ca="1">Model!BG185</f>
        <v>-2489248.2686116667</v>
      </c>
      <c r="U49" s="78">
        <f ca="1">Model!BJ185</f>
        <v>-2630855.4019037108</v>
      </c>
      <c r="V49" s="78">
        <f ca="1">Model!BM185</f>
        <v>-2652006.195195755</v>
      </c>
      <c r="W49" s="78">
        <f ca="1">Model!BP185</f>
        <v>-2910659.5085836393</v>
      </c>
      <c r="X49" s="78">
        <f ca="1">Model!BS185</f>
        <v>-3117799.3019715236</v>
      </c>
      <c r="Y49" s="78">
        <f ca="1">Model!BV185</f>
        <v>-3308690.6153594078</v>
      </c>
      <c r="Z49" s="78">
        <f ca="1">Model!BY185</f>
        <v>-3499581.9287472921</v>
      </c>
      <c r="AA49" s="78">
        <f ca="1">Model!CB185</f>
        <v>-3695646.308402935</v>
      </c>
      <c r="AB49" s="78">
        <f ca="1">Model!CE185</f>
        <v>-3882973.6880585779</v>
      </c>
      <c r="AC49" s="78">
        <f ca="1">Model!CH185</f>
        <v>-4070301.0677142208</v>
      </c>
      <c r="AD49" s="78">
        <f ca="1">Model!CK185</f>
        <v>-4251020.4207633846</v>
      </c>
      <c r="AE49" s="78">
        <f ca="1">Model!CN185</f>
        <v>-4046540.32801214</v>
      </c>
      <c r="AF49" s="78">
        <f ca="1">Model!CQ185</f>
        <v>-3842060.2352608955</v>
      </c>
      <c r="AG49" s="78">
        <f ca="1">Model!CT185</f>
        <v>-3637580.1425096509</v>
      </c>
      <c r="AH49" s="78">
        <f ca="1">Model!CW185</f>
        <v>-3427374.5696337167</v>
      </c>
      <c r="AI49" s="78">
        <f ca="1">Model!CZ185</f>
        <v>-3020418.3942366713</v>
      </c>
      <c r="AJ49" s="78">
        <f ca="1">Model!DC185</f>
        <v>-2596015.3699032189</v>
      </c>
      <c r="AK49" s="78">
        <f ca="1">Model!DF185</f>
        <v>-2171612.3455697666</v>
      </c>
    </row>
    <row r="50" spans="1:37" ht="15" customHeight="1" x14ac:dyDescent="0.25">
      <c r="A50" s="77" t="s">
        <v>50</v>
      </c>
      <c r="B50" s="78">
        <f>Model!C189+Model!D189+Model!E189</f>
        <v>0</v>
      </c>
      <c r="C50" s="78">
        <f>Model!F189+Model!G189+Model!H189</f>
        <v>0</v>
      </c>
      <c r="D50" s="78">
        <f>Model!I189+Model!J189+Model!K189</f>
        <v>0</v>
      </c>
      <c r="E50" s="78">
        <f>Model!L189+Model!M189+Model!N189</f>
        <v>0</v>
      </c>
      <c r="F50" s="78">
        <f ca="1">Model!O189+Model!P189+Model!Q189</f>
        <v>-591393.92752146022</v>
      </c>
      <c r="G50" s="78">
        <f>Model!R189+Model!S189+Model!T189</f>
        <v>0</v>
      </c>
      <c r="H50" s="78">
        <f>Model!U189+Model!V189+Model!W189</f>
        <v>0</v>
      </c>
      <c r="I50" s="78">
        <f>Model!X189+Model!Y189+Model!Z189</f>
        <v>0</v>
      </c>
      <c r="J50" s="78">
        <f ca="1">Model!AA189+Model!AB189+Model!AC189</f>
        <v>-534479.50935239531</v>
      </c>
      <c r="K50" s="78">
        <f>Model!AD189+Model!AE189+Model!AF189</f>
        <v>0</v>
      </c>
      <c r="L50" s="78">
        <f>Model!AG189+Model!AH189+Model!AI189</f>
        <v>0</v>
      </c>
      <c r="M50" s="78">
        <f>Model!AJ189+Model!AK189+Model!AL189</f>
        <v>0</v>
      </c>
      <c r="N50" s="78">
        <f ca="1">Model!AM189+Model!AN189+Model!AO189</f>
        <v>-501250.23569907347</v>
      </c>
      <c r="O50" s="78">
        <f>Model!AP189+Model!AQ189+Model!AR189</f>
        <v>0</v>
      </c>
      <c r="P50" s="78">
        <f>Model!AS189+Model!AT189+Model!AU189</f>
        <v>0</v>
      </c>
      <c r="Q50" s="78">
        <f>Model!AV189+Model!AW189+Model!AX189</f>
        <v>0</v>
      </c>
      <c r="R50" s="78">
        <f ca="1">Model!AY189+Model!AZ189+Model!BA189</f>
        <v>-305307.77667116839</v>
      </c>
      <c r="S50" s="78">
        <f>Model!BB189+Model!BC189+Model!BD189</f>
        <v>0</v>
      </c>
      <c r="T50" s="78">
        <f>Model!BE189+Model!BF189+Model!BG189</f>
        <v>0</v>
      </c>
      <c r="U50" s="78">
        <f>Model!BH189+Model!BI189+Model!BJ189</f>
        <v>0</v>
      </c>
      <c r="V50" s="78">
        <f ca="1">Model!BK189+Model!BL189+Model!BM189</f>
        <v>-82548.316837871462</v>
      </c>
      <c r="W50" s="78">
        <f>Model!BN189+Model!BO189+Model!BP189</f>
        <v>0</v>
      </c>
      <c r="X50" s="78">
        <f>Model!BQ189+Model!BR189+Model!BS189</f>
        <v>0</v>
      </c>
      <c r="Y50" s="78">
        <f>Model!BT189+Model!BU189+Model!BV189</f>
        <v>0</v>
      </c>
      <c r="Z50" s="78">
        <f ca="1">Model!BW189+Model!BX189+Model!BY189</f>
        <v>-30429.902408087146</v>
      </c>
      <c r="AA50" s="78">
        <f>Model!BZ189+Model!CA189+Model!CB189</f>
        <v>0</v>
      </c>
      <c r="AB50" s="78">
        <f>Model!CC189+Model!CD189+Model!CE189</f>
        <v>0</v>
      </c>
      <c r="AC50" s="78">
        <f>Model!CF189+Model!CG189+Model!CH189</f>
        <v>0</v>
      </c>
      <c r="AD50" s="78">
        <f ca="1">Model!CI189+Model!CJ189+Model!CK189</f>
        <v>0</v>
      </c>
      <c r="AE50" s="78">
        <f ca="1">Model!CL189+Model!CM189+Model!CN189</f>
        <v>0</v>
      </c>
      <c r="AF50" s="78">
        <f ca="1">Model!CO189+Model!CP189+Model!CQ189</f>
        <v>0</v>
      </c>
      <c r="AG50" s="78">
        <f ca="1">Model!CR189+Model!CS189+Model!CT189</f>
        <v>0</v>
      </c>
      <c r="AH50" s="78">
        <f ca="1">Model!CU189+Model!CV189+Model!CW189</f>
        <v>0</v>
      </c>
      <c r="AI50" s="78">
        <f ca="1">Model!CX189+Model!CY189+Model!CZ189</f>
        <v>0</v>
      </c>
      <c r="AJ50" s="78">
        <f ca="1">Model!DA189+Model!DB189+Model!DC189</f>
        <v>0</v>
      </c>
      <c r="AK50" s="78">
        <f ca="1">Model!DD189+Model!DE189+Model!DF189</f>
        <v>0</v>
      </c>
    </row>
    <row r="51" spans="1:37" ht="15" customHeight="1" x14ac:dyDescent="0.25">
      <c r="A51" s="79" t="s">
        <v>51</v>
      </c>
      <c r="B51" s="80">
        <f>Model!C190+Model!D190+Model!E190</f>
        <v>0</v>
      </c>
      <c r="C51" s="80">
        <f ca="1">Model!H190</f>
        <v>1400968.4991751919</v>
      </c>
      <c r="D51" s="80">
        <f ca="1">Model!K190</f>
        <v>2119254.4829389411</v>
      </c>
      <c r="E51" s="80">
        <f ca="1">Model!N190</f>
        <v>2844842.0917382007</v>
      </c>
      <c r="F51" s="80">
        <f ca="1">Model!Q190</f>
        <v>2302807.8300511977</v>
      </c>
      <c r="G51" s="80">
        <f ca="1">Model!T190</f>
        <v>2962211.464864966</v>
      </c>
      <c r="H51" s="80">
        <f ca="1">Model!W190</f>
        <v>2941029.3833638332</v>
      </c>
      <c r="I51" s="80">
        <f ca="1">Model!Z190</f>
        <v>2880471.2129607382</v>
      </c>
      <c r="J51" s="80">
        <f ca="1">Model!AC190</f>
        <v>2457610.6136111924</v>
      </c>
      <c r="K51" s="80">
        <f ca="1">Model!AF190</f>
        <v>2791271.9995123846</v>
      </c>
      <c r="L51" s="80">
        <f ca="1">Model!AI190</f>
        <v>3342799.0266130762</v>
      </c>
      <c r="M51" s="80">
        <f ca="1">Model!AL190</f>
        <v>4301305.3319576476</v>
      </c>
      <c r="N51" s="80">
        <f ca="1">Model!AO190</f>
        <v>3842311.0303975493</v>
      </c>
      <c r="O51" s="80">
        <f ca="1">Model!AR190</f>
        <v>4506350.4016243117</v>
      </c>
      <c r="P51" s="80">
        <f ca="1">Model!AU190</f>
        <v>5144123.6355054993</v>
      </c>
      <c r="Q51" s="80">
        <f ca="1">Model!AX190</f>
        <v>5068997.9208615385</v>
      </c>
      <c r="R51" s="80">
        <f ca="1">Model!BA190</f>
        <v>4461742.9110464072</v>
      </c>
      <c r="S51" s="80">
        <f ca="1">Model!BD190</f>
        <v>4731641.6820786251</v>
      </c>
      <c r="T51" s="80">
        <f ca="1">Model!BG190</f>
        <v>4866830.4319396745</v>
      </c>
      <c r="U51" s="80">
        <f ca="1">Model!BJ190</f>
        <v>5094158.9769877763</v>
      </c>
      <c r="V51" s="80">
        <f ca="1">Model!BM190</f>
        <v>5005726.4884053143</v>
      </c>
      <c r="W51" s="80">
        <f ca="1">Model!BP190</f>
        <v>4960014.9918337027</v>
      </c>
      <c r="X51" s="80">
        <f ca="1">Model!BS190</f>
        <v>5164413.8484242205</v>
      </c>
      <c r="Y51" s="80">
        <f ca="1">Model!BV190</f>
        <v>5195591.9850147367</v>
      </c>
      <c r="Z51" s="80">
        <f ca="1">Model!BY190</f>
        <v>5331633.4691971671</v>
      </c>
      <c r="AA51" s="80">
        <f ca="1">Model!CB190</f>
        <v>5088669.8779275818</v>
      </c>
      <c r="AB51" s="80">
        <f ca="1">Model!CE190</f>
        <v>5030887.7351557612</v>
      </c>
      <c r="AC51" s="80">
        <f ca="1">Model!CH190</f>
        <v>4728731.2414780883</v>
      </c>
      <c r="AD51" s="80">
        <f ca="1">Model!CK190</f>
        <v>4532358.7244068943</v>
      </c>
      <c r="AE51" s="80">
        <f ca="1">Model!CN190</f>
        <v>4729596.462855665</v>
      </c>
      <c r="AF51" s="80">
        <f ca="1">Model!CQ190</f>
        <v>4601778.5013044383</v>
      </c>
      <c r="AG51" s="80">
        <f ca="1">Model!CT190</f>
        <v>4473960.5397532098</v>
      </c>
      <c r="AH51" s="80">
        <f ca="1">Model!CW190</f>
        <v>4198472.6624287218</v>
      </c>
      <c r="AI51" s="80">
        <f ca="1">Model!CZ190</f>
        <v>3551738.1196213383</v>
      </c>
      <c r="AJ51" s="80">
        <f ca="1">Model!DC190</f>
        <v>2544601.475750363</v>
      </c>
      <c r="AK51" s="80">
        <f ca="1">Model!DF190</f>
        <v>1319378.3318793871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C3A51"/>
  </sheetPr>
  <dimension ref="A1:CT113"/>
  <sheetViews>
    <sheetView zoomScale="85" zoomScaleNormal="85" workbookViewId="0">
      <selection activeCell="G38" sqref="G38"/>
    </sheetView>
  </sheetViews>
  <sheetFormatPr defaultColWidth="8.7109375" defaultRowHeight="15" x14ac:dyDescent="0.25"/>
  <cols>
    <col min="1" max="1" width="38" customWidth="1"/>
    <col min="2" max="99" width="13" customWidth="1"/>
  </cols>
  <sheetData>
    <row r="1" spans="1:98" ht="17.25" customHeight="1" x14ac:dyDescent="0.3">
      <c r="A1" s="90" t="s">
        <v>229</v>
      </c>
    </row>
    <row r="2" spans="1:98" ht="15" customHeight="1" x14ac:dyDescent="0.25">
      <c r="A2" s="91" t="s">
        <v>230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</row>
    <row r="3" spans="1:98" ht="15" customHeight="1" x14ac:dyDescent="0.25">
      <c r="A3" s="93" t="s">
        <v>53</v>
      </c>
      <c r="C3" s="93">
        <v>-2</v>
      </c>
      <c r="D3" s="93">
        <v>-1</v>
      </c>
      <c r="E3" s="93">
        <v>0</v>
      </c>
      <c r="F3" s="93">
        <v>1</v>
      </c>
      <c r="G3" s="93">
        <v>2</v>
      </c>
      <c r="H3" s="93">
        <v>3</v>
      </c>
      <c r="I3" s="93">
        <v>4</v>
      </c>
      <c r="J3" s="93">
        <v>5</v>
      </c>
      <c r="K3" s="93">
        <v>6</v>
      </c>
      <c r="L3" s="93">
        <v>7</v>
      </c>
      <c r="M3" s="93">
        <v>8</v>
      </c>
      <c r="N3" s="93">
        <v>9</v>
      </c>
      <c r="O3" s="93">
        <v>10</v>
      </c>
      <c r="P3" s="93">
        <v>11</v>
      </c>
      <c r="Q3" s="93">
        <v>12</v>
      </c>
      <c r="R3" s="93">
        <v>13</v>
      </c>
      <c r="S3" s="93">
        <v>14</v>
      </c>
      <c r="T3" s="93">
        <v>15</v>
      </c>
      <c r="U3" s="93">
        <v>16</v>
      </c>
      <c r="V3" s="93">
        <v>17</v>
      </c>
      <c r="W3" s="93">
        <v>18</v>
      </c>
      <c r="X3" s="93">
        <v>19</v>
      </c>
      <c r="Y3" s="93">
        <v>20</v>
      </c>
      <c r="Z3" s="93">
        <v>21</v>
      </c>
      <c r="AA3" s="93">
        <v>22</v>
      </c>
      <c r="AB3" s="93">
        <v>23</v>
      </c>
      <c r="AC3" s="93">
        <v>24</v>
      </c>
      <c r="AD3" s="93">
        <v>25</v>
      </c>
      <c r="AE3" s="93">
        <v>26</v>
      </c>
      <c r="AF3" s="93">
        <v>27</v>
      </c>
      <c r="AG3" s="93">
        <v>28</v>
      </c>
      <c r="AH3" s="93">
        <v>29</v>
      </c>
      <c r="AI3" s="93">
        <v>30</v>
      </c>
      <c r="AJ3" s="93">
        <v>31</v>
      </c>
      <c r="AK3" s="93">
        <v>32</v>
      </c>
      <c r="AL3" s="93">
        <v>33</v>
      </c>
      <c r="AM3" s="93">
        <v>34</v>
      </c>
      <c r="AN3" s="93">
        <v>35</v>
      </c>
      <c r="AO3" s="93">
        <v>36</v>
      </c>
      <c r="AP3" s="93">
        <v>37</v>
      </c>
      <c r="AQ3" s="93">
        <v>38</v>
      </c>
      <c r="AR3" s="93">
        <v>39</v>
      </c>
      <c r="AS3" s="93">
        <v>40</v>
      </c>
      <c r="AT3" s="93">
        <v>41</v>
      </c>
      <c r="AU3" s="93">
        <v>42</v>
      </c>
      <c r="AV3" s="93">
        <v>43</v>
      </c>
      <c r="AW3" s="93">
        <v>44</v>
      </c>
      <c r="AX3" s="93">
        <v>45</v>
      </c>
      <c r="AY3" s="93">
        <v>46</v>
      </c>
      <c r="AZ3" s="93">
        <v>47</v>
      </c>
      <c r="BA3" s="93">
        <v>48</v>
      </c>
      <c r="BB3" s="93">
        <v>49</v>
      </c>
      <c r="BC3" s="93">
        <v>50</v>
      </c>
      <c r="BD3" s="93">
        <v>51</v>
      </c>
      <c r="BE3" s="93">
        <v>52</v>
      </c>
      <c r="BF3" s="93">
        <v>53</v>
      </c>
      <c r="BG3" s="93">
        <v>54</v>
      </c>
      <c r="BH3" s="93">
        <v>55</v>
      </c>
      <c r="BI3" s="93">
        <v>56</v>
      </c>
      <c r="BJ3" s="93">
        <v>57</v>
      </c>
      <c r="BK3" s="93">
        <v>58</v>
      </c>
      <c r="BL3" s="93">
        <v>59</v>
      </c>
      <c r="BM3" s="93">
        <v>60</v>
      </c>
      <c r="BN3" s="93">
        <v>61</v>
      </c>
      <c r="BO3" s="93">
        <v>62</v>
      </c>
      <c r="BP3" s="93">
        <v>63</v>
      </c>
      <c r="BQ3" s="93">
        <v>64</v>
      </c>
      <c r="BR3" s="93">
        <v>65</v>
      </c>
      <c r="BS3" s="93">
        <v>66</v>
      </c>
      <c r="BT3" s="93">
        <v>67</v>
      </c>
      <c r="BU3" s="93">
        <v>68</v>
      </c>
      <c r="BV3" s="93">
        <v>69</v>
      </c>
      <c r="BW3" s="93">
        <v>70</v>
      </c>
      <c r="BX3" s="93">
        <v>71</v>
      </c>
      <c r="BY3" s="93">
        <v>72</v>
      </c>
      <c r="BZ3" s="93">
        <v>73</v>
      </c>
      <c r="CA3" s="93">
        <v>74</v>
      </c>
      <c r="CB3" s="93">
        <v>75</v>
      </c>
      <c r="CC3" s="93">
        <v>76</v>
      </c>
      <c r="CD3" s="93">
        <v>77</v>
      </c>
      <c r="CE3" s="93">
        <v>78</v>
      </c>
      <c r="CF3" s="93">
        <v>79</v>
      </c>
      <c r="CG3" s="93">
        <v>80</v>
      </c>
      <c r="CH3" s="93">
        <v>81</v>
      </c>
      <c r="CI3" s="93">
        <v>82</v>
      </c>
      <c r="CJ3" s="93">
        <v>83</v>
      </c>
      <c r="CK3" s="93">
        <v>84</v>
      </c>
      <c r="CL3" s="93">
        <v>85</v>
      </c>
      <c r="CM3" s="93">
        <v>86</v>
      </c>
      <c r="CN3" s="93">
        <v>87</v>
      </c>
      <c r="CO3" s="93">
        <v>88</v>
      </c>
      <c r="CP3" s="93">
        <v>89</v>
      </c>
      <c r="CQ3" s="93">
        <v>90</v>
      </c>
      <c r="CR3" s="93">
        <v>91</v>
      </c>
      <c r="CS3" s="93">
        <v>92</v>
      </c>
      <c r="CT3" s="93">
        <v>93</v>
      </c>
    </row>
    <row r="7" spans="1:98" ht="15" customHeight="1" x14ac:dyDescent="0.25">
      <c r="A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</row>
    <row r="8" spans="1:98" ht="15" customHeight="1" x14ac:dyDescent="0.25">
      <c r="A8" s="94" t="s">
        <v>11</v>
      </c>
      <c r="C8" s="95">
        <v>1453786.74</v>
      </c>
      <c r="D8" s="95">
        <v>3022518.89</v>
      </c>
      <c r="E8" s="95">
        <v>2672216.16</v>
      </c>
      <c r="F8" s="95">
        <v>3692357.9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</row>
    <row r="9" spans="1:98" ht="15" customHeight="1" x14ac:dyDescent="0.25">
      <c r="A9" s="96" t="s">
        <v>56</v>
      </c>
      <c r="C9" s="95">
        <v>116363.3</v>
      </c>
      <c r="D9" s="95">
        <v>138801.51999999999</v>
      </c>
      <c r="E9" s="95">
        <v>219366.88</v>
      </c>
      <c r="F9" s="95">
        <v>212079.14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</row>
    <row r="10" spans="1:98" ht="15" customHeight="1" x14ac:dyDescent="0.25">
      <c r="A10" s="94" t="s">
        <v>57</v>
      </c>
      <c r="C10" s="95">
        <v>0</v>
      </c>
      <c r="D10" s="95">
        <v>0</v>
      </c>
      <c r="E10" s="95">
        <v>0</v>
      </c>
      <c r="F10" s="95">
        <v>0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</row>
    <row r="11" spans="1:98" ht="15" customHeight="1" x14ac:dyDescent="0.25">
      <c r="A11" s="94" t="s">
        <v>58</v>
      </c>
      <c r="C11" s="95">
        <v>95370.25</v>
      </c>
      <c r="D11" s="95">
        <v>173282.89</v>
      </c>
      <c r="E11" s="95">
        <v>50438.85</v>
      </c>
      <c r="F11" s="95">
        <v>167518.85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</row>
    <row r="12" spans="1:98" ht="15" customHeight="1" x14ac:dyDescent="0.25">
      <c r="A12" s="94" t="s">
        <v>59</v>
      </c>
      <c r="C12" s="95">
        <v>0</v>
      </c>
      <c r="D12" s="95">
        <v>0</v>
      </c>
      <c r="E12" s="95">
        <v>0</v>
      </c>
      <c r="F12" s="95">
        <v>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</row>
    <row r="13" spans="1:98" ht="15" customHeight="1" x14ac:dyDescent="0.25">
      <c r="A13" s="97" t="s">
        <v>231</v>
      </c>
      <c r="C13" s="95">
        <v>-1233067.43</v>
      </c>
      <c r="D13" s="95">
        <v>-3073522.36</v>
      </c>
      <c r="E13" s="95">
        <v>-2078031.64</v>
      </c>
      <c r="F13" s="95">
        <v>-3244999.65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</row>
    <row r="14" spans="1:98" ht="15" customHeight="1" x14ac:dyDescent="0.25">
      <c r="A14" s="98" t="s">
        <v>232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</row>
    <row r="15" spans="1:98" ht="15" customHeight="1" x14ac:dyDescent="0.25">
      <c r="A15" s="94" t="s">
        <v>61</v>
      </c>
      <c r="C15" s="95">
        <v>0</v>
      </c>
      <c r="D15" s="95">
        <v>0</v>
      </c>
      <c r="E15" s="95">
        <v>0</v>
      </c>
      <c r="F15" s="95">
        <v>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</row>
    <row r="16" spans="1:98" ht="15" customHeight="1" x14ac:dyDescent="0.25">
      <c r="A16" s="94" t="s">
        <v>62</v>
      </c>
      <c r="C16" s="95">
        <v>-1966.5</v>
      </c>
      <c r="D16" s="95">
        <v>0</v>
      </c>
      <c r="E16" s="95">
        <v>0</v>
      </c>
      <c r="F16" s="95">
        <v>0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</row>
    <row r="17" spans="1:98" ht="15" customHeight="1" x14ac:dyDescent="0.25">
      <c r="A17" s="99" t="s">
        <v>233</v>
      </c>
      <c r="C17" s="100">
        <f t="shared" ref="C17:AH17" si="0">C8+C13+C14+C15+C16</f>
        <v>218752.81000000006</v>
      </c>
      <c r="D17" s="100">
        <f t="shared" si="0"/>
        <v>-51003.469999999739</v>
      </c>
      <c r="E17" s="100">
        <f t="shared" si="0"/>
        <v>594184.52000000025</v>
      </c>
      <c r="F17" s="100">
        <f t="shared" si="0"/>
        <v>447358.25</v>
      </c>
      <c r="G17" s="100">
        <f t="shared" si="0"/>
        <v>0</v>
      </c>
      <c r="H17" s="100">
        <f t="shared" si="0"/>
        <v>0</v>
      </c>
      <c r="I17" s="100">
        <f t="shared" si="0"/>
        <v>0</v>
      </c>
      <c r="J17" s="100">
        <f t="shared" si="0"/>
        <v>0</v>
      </c>
      <c r="K17" s="100">
        <f t="shared" si="0"/>
        <v>0</v>
      </c>
      <c r="L17" s="100">
        <f t="shared" si="0"/>
        <v>0</v>
      </c>
      <c r="M17" s="100">
        <f t="shared" si="0"/>
        <v>0</v>
      </c>
      <c r="N17" s="100">
        <f t="shared" si="0"/>
        <v>0</v>
      </c>
      <c r="O17" s="100">
        <f t="shared" si="0"/>
        <v>0</v>
      </c>
      <c r="P17" s="100">
        <f t="shared" si="0"/>
        <v>0</v>
      </c>
      <c r="Q17" s="100">
        <f t="shared" si="0"/>
        <v>0</v>
      </c>
      <c r="R17" s="100">
        <f t="shared" si="0"/>
        <v>0</v>
      </c>
      <c r="S17" s="100">
        <f t="shared" si="0"/>
        <v>0</v>
      </c>
      <c r="T17" s="100">
        <f t="shared" si="0"/>
        <v>0</v>
      </c>
      <c r="U17" s="100">
        <f t="shared" si="0"/>
        <v>0</v>
      </c>
      <c r="V17" s="100">
        <f t="shared" si="0"/>
        <v>0</v>
      </c>
      <c r="W17" s="100">
        <f t="shared" si="0"/>
        <v>0</v>
      </c>
      <c r="X17" s="100">
        <f t="shared" si="0"/>
        <v>0</v>
      </c>
      <c r="Y17" s="100">
        <f t="shared" si="0"/>
        <v>0</v>
      </c>
      <c r="Z17" s="100">
        <f t="shared" si="0"/>
        <v>0</v>
      </c>
      <c r="AA17" s="100">
        <f t="shared" si="0"/>
        <v>0</v>
      </c>
      <c r="AB17" s="100">
        <f t="shared" si="0"/>
        <v>0</v>
      </c>
      <c r="AC17" s="100">
        <f t="shared" si="0"/>
        <v>0</v>
      </c>
      <c r="AD17" s="100">
        <f t="shared" si="0"/>
        <v>0</v>
      </c>
      <c r="AE17" s="100">
        <f t="shared" si="0"/>
        <v>0</v>
      </c>
      <c r="AF17" s="100">
        <f t="shared" si="0"/>
        <v>0</v>
      </c>
      <c r="AG17" s="100">
        <f t="shared" si="0"/>
        <v>0</v>
      </c>
      <c r="AH17" s="100">
        <f t="shared" si="0"/>
        <v>0</v>
      </c>
      <c r="AI17" s="100">
        <f t="shared" ref="AI17:BN17" si="1">AI8+AI13+AI14+AI15+AI16</f>
        <v>0</v>
      </c>
      <c r="AJ17" s="100">
        <f t="shared" si="1"/>
        <v>0</v>
      </c>
      <c r="AK17" s="100">
        <f t="shared" si="1"/>
        <v>0</v>
      </c>
      <c r="AL17" s="100">
        <f t="shared" si="1"/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  <c r="AP17" s="100">
        <f t="shared" si="1"/>
        <v>0</v>
      </c>
      <c r="AQ17" s="100">
        <f t="shared" si="1"/>
        <v>0</v>
      </c>
      <c r="AR17" s="100">
        <f t="shared" si="1"/>
        <v>0</v>
      </c>
      <c r="AS17" s="100">
        <f t="shared" si="1"/>
        <v>0</v>
      </c>
      <c r="AT17" s="100">
        <f t="shared" si="1"/>
        <v>0</v>
      </c>
      <c r="AU17" s="100">
        <f t="shared" si="1"/>
        <v>0</v>
      </c>
      <c r="AV17" s="100">
        <f t="shared" si="1"/>
        <v>0</v>
      </c>
      <c r="AW17" s="100">
        <f t="shared" si="1"/>
        <v>0</v>
      </c>
      <c r="AX17" s="100">
        <f t="shared" si="1"/>
        <v>0</v>
      </c>
      <c r="AY17" s="100">
        <f t="shared" si="1"/>
        <v>0</v>
      </c>
      <c r="AZ17" s="100">
        <f t="shared" si="1"/>
        <v>0</v>
      </c>
      <c r="BA17" s="100">
        <f t="shared" si="1"/>
        <v>0</v>
      </c>
      <c r="BB17" s="100">
        <f t="shared" si="1"/>
        <v>0</v>
      </c>
      <c r="BC17" s="100">
        <f t="shared" si="1"/>
        <v>0</v>
      </c>
      <c r="BD17" s="100">
        <f t="shared" si="1"/>
        <v>0</v>
      </c>
      <c r="BE17" s="100">
        <f t="shared" si="1"/>
        <v>0</v>
      </c>
      <c r="BF17" s="100">
        <f t="shared" si="1"/>
        <v>0</v>
      </c>
      <c r="BG17" s="100">
        <f t="shared" si="1"/>
        <v>0</v>
      </c>
      <c r="BH17" s="100">
        <f t="shared" si="1"/>
        <v>0</v>
      </c>
      <c r="BI17" s="100">
        <f t="shared" si="1"/>
        <v>0</v>
      </c>
      <c r="BJ17" s="100">
        <f t="shared" si="1"/>
        <v>0</v>
      </c>
      <c r="BK17" s="100">
        <f t="shared" si="1"/>
        <v>0</v>
      </c>
      <c r="BL17" s="100">
        <f t="shared" si="1"/>
        <v>0</v>
      </c>
      <c r="BM17" s="100">
        <f t="shared" si="1"/>
        <v>0</v>
      </c>
      <c r="BN17" s="100">
        <f t="shared" si="1"/>
        <v>0</v>
      </c>
      <c r="BO17" s="100">
        <f t="shared" ref="BO17:CT17" si="2">BO8+BO13+BO14+BO15+BO16</f>
        <v>0</v>
      </c>
      <c r="BP17" s="100">
        <f t="shared" si="2"/>
        <v>0</v>
      </c>
      <c r="BQ17" s="100">
        <f t="shared" si="2"/>
        <v>0</v>
      </c>
      <c r="BR17" s="100">
        <f t="shared" si="2"/>
        <v>0</v>
      </c>
      <c r="BS17" s="100">
        <f t="shared" si="2"/>
        <v>0</v>
      </c>
      <c r="BT17" s="100">
        <f t="shared" si="2"/>
        <v>0</v>
      </c>
      <c r="BU17" s="100">
        <f t="shared" si="2"/>
        <v>0</v>
      </c>
      <c r="BV17" s="100">
        <f t="shared" si="2"/>
        <v>0</v>
      </c>
      <c r="BW17" s="100">
        <f t="shared" si="2"/>
        <v>0</v>
      </c>
      <c r="BX17" s="100">
        <f t="shared" si="2"/>
        <v>0</v>
      </c>
      <c r="BY17" s="100">
        <f t="shared" si="2"/>
        <v>0</v>
      </c>
      <c r="BZ17" s="100">
        <f t="shared" si="2"/>
        <v>0</v>
      </c>
      <c r="CA17" s="100">
        <f t="shared" si="2"/>
        <v>0</v>
      </c>
      <c r="CB17" s="100">
        <f t="shared" si="2"/>
        <v>0</v>
      </c>
      <c r="CC17" s="100">
        <f t="shared" si="2"/>
        <v>0</v>
      </c>
      <c r="CD17" s="100">
        <f t="shared" si="2"/>
        <v>0</v>
      </c>
      <c r="CE17" s="100">
        <f t="shared" si="2"/>
        <v>0</v>
      </c>
      <c r="CF17" s="100">
        <f t="shared" si="2"/>
        <v>0</v>
      </c>
      <c r="CG17" s="100">
        <f t="shared" si="2"/>
        <v>0</v>
      </c>
      <c r="CH17" s="100">
        <f t="shared" si="2"/>
        <v>0</v>
      </c>
      <c r="CI17" s="100">
        <f t="shared" si="2"/>
        <v>0</v>
      </c>
      <c r="CJ17" s="100">
        <f t="shared" si="2"/>
        <v>0</v>
      </c>
      <c r="CK17" s="100">
        <f t="shared" si="2"/>
        <v>0</v>
      </c>
      <c r="CL17" s="100">
        <f t="shared" si="2"/>
        <v>0</v>
      </c>
      <c r="CM17" s="100">
        <f t="shared" si="2"/>
        <v>0</v>
      </c>
      <c r="CN17" s="100">
        <f t="shared" si="2"/>
        <v>0</v>
      </c>
      <c r="CO17" s="100">
        <f t="shared" si="2"/>
        <v>0</v>
      </c>
      <c r="CP17" s="100">
        <f t="shared" si="2"/>
        <v>0</v>
      </c>
      <c r="CQ17" s="100">
        <f t="shared" si="2"/>
        <v>0</v>
      </c>
      <c r="CR17" s="100">
        <f t="shared" si="2"/>
        <v>0</v>
      </c>
      <c r="CS17" s="100">
        <f t="shared" si="2"/>
        <v>0</v>
      </c>
      <c r="CT17" s="100">
        <f t="shared" si="2"/>
        <v>0</v>
      </c>
    </row>
    <row r="18" spans="1:98" ht="15" customHeight="1" x14ac:dyDescent="0.25">
      <c r="A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</row>
    <row r="19" spans="1:98" ht="15" customHeight="1" x14ac:dyDescent="0.25">
      <c r="A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</row>
    <row r="20" spans="1:98" ht="15" customHeight="1" x14ac:dyDescent="0.25">
      <c r="A20" s="94" t="s">
        <v>63</v>
      </c>
      <c r="C20" s="95">
        <v>-144550.9</v>
      </c>
      <c r="D20" s="95">
        <v>-150672.84</v>
      </c>
      <c r="E20" s="95">
        <v>-178867.86</v>
      </c>
      <c r="F20" s="95">
        <v>-187693.63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</row>
    <row r="21" spans="1:98" ht="15" customHeight="1" x14ac:dyDescent="0.25">
      <c r="A21" s="94" t="s">
        <v>64</v>
      </c>
      <c r="C21" s="95">
        <v>-7450.37</v>
      </c>
      <c r="D21" s="95">
        <v>-10567.2</v>
      </c>
      <c r="E21" s="95">
        <v>-17033.3</v>
      </c>
      <c r="F21" s="95">
        <v>-14599.57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</row>
    <row r="22" spans="1:98" ht="15" customHeight="1" x14ac:dyDescent="0.25">
      <c r="A22" s="94" t="s">
        <v>65</v>
      </c>
      <c r="C22" s="95"/>
      <c r="D22" s="95"/>
      <c r="E22" s="95"/>
      <c r="F22" s="95">
        <v>0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</row>
    <row r="23" spans="1:98" ht="15" customHeight="1" x14ac:dyDescent="0.25">
      <c r="A23" s="94" t="s">
        <v>66</v>
      </c>
      <c r="C23" s="95">
        <v>-9482.9699999999993</v>
      </c>
      <c r="D23" s="95">
        <v>-10343.290000000001</v>
      </c>
      <c r="E23" s="95">
        <v>-3729.48</v>
      </c>
      <c r="F23" s="95">
        <v>-3206.79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</row>
    <row r="24" spans="1:98" ht="15" customHeight="1" x14ac:dyDescent="0.25">
      <c r="A24" s="94" t="s">
        <v>67</v>
      </c>
      <c r="C24" s="95">
        <v>-2542.4699999999998</v>
      </c>
      <c r="D24" s="95">
        <v>-1618.75</v>
      </c>
      <c r="E24" s="95">
        <v>3406.77</v>
      </c>
      <c r="F24" s="95">
        <v>2575.42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</row>
    <row r="25" spans="1:98" ht="15" customHeight="1" x14ac:dyDescent="0.25">
      <c r="A25" s="94" t="s">
        <v>68</v>
      </c>
      <c r="C25" s="95">
        <v>-195</v>
      </c>
      <c r="D25" s="95">
        <v>-200</v>
      </c>
      <c r="E25" s="95">
        <v>0</v>
      </c>
      <c r="F25" s="95">
        <v>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</row>
    <row r="26" spans="1:98" ht="15" customHeight="1" x14ac:dyDescent="0.25">
      <c r="A26" s="94" t="s">
        <v>69</v>
      </c>
      <c r="C26" s="95">
        <v>-33002.28</v>
      </c>
      <c r="D26" s="95">
        <v>-29166.66</v>
      </c>
      <c r="E26" s="95">
        <v>-41666.660000000003</v>
      </c>
      <c r="F26" s="95">
        <v>-29166.66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</row>
    <row r="27" spans="1:98" ht="15" customHeight="1" x14ac:dyDescent="0.25">
      <c r="A27" s="94" t="s">
        <v>70</v>
      </c>
      <c r="C27" s="95">
        <v>0</v>
      </c>
      <c r="D27" s="95">
        <v>0</v>
      </c>
      <c r="E27" s="95">
        <v>0</v>
      </c>
      <c r="F27" s="95">
        <v>251304.48</v>
      </c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</row>
    <row r="28" spans="1:98" ht="15" customHeight="1" x14ac:dyDescent="0.25">
      <c r="A28" s="94" t="s">
        <v>71</v>
      </c>
      <c r="C28" s="95">
        <v>-10400</v>
      </c>
      <c r="D28" s="95">
        <v>-10400</v>
      </c>
      <c r="E28" s="95">
        <v>-400</v>
      </c>
      <c r="F28" s="95">
        <v>-10400</v>
      </c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</row>
    <row r="29" spans="1:98" ht="15" customHeight="1" x14ac:dyDescent="0.25">
      <c r="A29" s="94" t="s">
        <v>72</v>
      </c>
      <c r="C29" s="95">
        <v>-1988</v>
      </c>
      <c r="D29" s="95">
        <v>-955.32</v>
      </c>
      <c r="E29" s="95">
        <v>-9130.61</v>
      </c>
      <c r="F29" s="95">
        <v>-1028.8900000000001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</row>
    <row r="30" spans="1:98" ht="15" customHeight="1" x14ac:dyDescent="0.25">
      <c r="A30" s="94" t="s">
        <v>73</v>
      </c>
      <c r="C30" s="95">
        <v>0</v>
      </c>
      <c r="D30" s="95">
        <v>0</v>
      </c>
      <c r="E30" s="95">
        <v>-1077.3800000000001</v>
      </c>
      <c r="F30" s="95">
        <v>-211.28</v>
      </c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</row>
    <row r="31" spans="1:98" ht="15" customHeight="1" x14ac:dyDescent="0.25">
      <c r="A31" s="96" t="s">
        <v>74</v>
      </c>
      <c r="C31" s="95">
        <v>-79</v>
      </c>
      <c r="D31" s="95">
        <v>0</v>
      </c>
      <c r="E31" s="95">
        <v>0</v>
      </c>
      <c r="F31" s="95">
        <v>0</v>
      </c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</row>
    <row r="32" spans="1:98" ht="15" customHeight="1" x14ac:dyDescent="0.25">
      <c r="A32" s="94" t="s">
        <v>75</v>
      </c>
      <c r="C32" s="95">
        <v>-3405.64</v>
      </c>
      <c r="D32" s="95">
        <v>-5015.38</v>
      </c>
      <c r="E32" s="95">
        <v>-7481.39</v>
      </c>
      <c r="F32" s="95">
        <v>-5111.12</v>
      </c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</row>
    <row r="33" spans="1:98" ht="15" customHeight="1" x14ac:dyDescent="0.25">
      <c r="A33" s="94" t="s">
        <v>76</v>
      </c>
      <c r="C33" s="95">
        <v>0</v>
      </c>
      <c r="D33" s="95">
        <v>-1766.48</v>
      </c>
      <c r="E33" s="95">
        <v>-441.62</v>
      </c>
      <c r="F33" s="95">
        <v>-441.62</v>
      </c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</row>
    <row r="34" spans="1:98" ht="15" customHeight="1" x14ac:dyDescent="0.25">
      <c r="A34" s="94" t="s">
        <v>77</v>
      </c>
      <c r="C34" s="95">
        <v>-681.77</v>
      </c>
      <c r="D34" s="95">
        <v>-600.14</v>
      </c>
      <c r="E34" s="95">
        <v>-2121.9499999999998</v>
      </c>
      <c r="F34" s="95">
        <v>-840.49</v>
      </c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</row>
    <row r="35" spans="1:98" ht="15" customHeight="1" x14ac:dyDescent="0.25">
      <c r="A35" s="94" t="s">
        <v>78</v>
      </c>
      <c r="C35" s="95">
        <v>-2187.5</v>
      </c>
      <c r="D35" s="95">
        <v>0</v>
      </c>
      <c r="E35" s="95">
        <v>-1625</v>
      </c>
      <c r="F35" s="95">
        <v>0</v>
      </c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</row>
    <row r="36" spans="1:98" ht="15" customHeight="1" x14ac:dyDescent="0.25">
      <c r="A36" s="94" t="s">
        <v>79</v>
      </c>
      <c r="C36" s="95">
        <v>0</v>
      </c>
      <c r="D36" s="95">
        <v>-12349</v>
      </c>
      <c r="E36" s="95">
        <v>-5400</v>
      </c>
      <c r="F36" s="95">
        <v>-4377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</row>
    <row r="37" spans="1:98" ht="15" customHeight="1" x14ac:dyDescent="0.25">
      <c r="A37" s="94" t="s">
        <v>80</v>
      </c>
      <c r="C37" s="95">
        <v>0</v>
      </c>
      <c r="D37" s="95">
        <v>0</v>
      </c>
      <c r="E37" s="95">
        <v>-750.4</v>
      </c>
      <c r="F37" s="95">
        <v>0</v>
      </c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</row>
    <row r="38" spans="1:98" ht="15" customHeight="1" x14ac:dyDescent="0.25">
      <c r="A38" s="94" t="s">
        <v>81</v>
      </c>
      <c r="C38" s="95">
        <v>-1474.63</v>
      </c>
      <c r="D38" s="95">
        <v>-1449.33</v>
      </c>
      <c r="E38" s="95">
        <v>-2328.7600000000002</v>
      </c>
      <c r="F38" s="95">
        <v>-2249.56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</row>
    <row r="39" spans="1:98" ht="15" customHeight="1" x14ac:dyDescent="0.25">
      <c r="A39" s="94" t="s">
        <v>82</v>
      </c>
      <c r="C39" s="95">
        <v>-1417.61</v>
      </c>
      <c r="D39" s="95">
        <v>-2730.36</v>
      </c>
      <c r="E39" s="95">
        <v>-1818.05</v>
      </c>
      <c r="F39" s="95">
        <v>-3307.74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</row>
    <row r="40" spans="1:98" ht="15" customHeight="1" x14ac:dyDescent="0.25">
      <c r="A40" s="94" t="s">
        <v>83</v>
      </c>
      <c r="C40" s="95">
        <v>0</v>
      </c>
      <c r="D40" s="95">
        <v>0</v>
      </c>
      <c r="E40" s="95">
        <v>-41990</v>
      </c>
      <c r="F40" s="95">
        <v>-42500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</row>
    <row r="41" spans="1:98" ht="15" customHeight="1" x14ac:dyDescent="0.25">
      <c r="A41" s="94" t="s">
        <v>84</v>
      </c>
      <c r="C41" s="95">
        <v>-165</v>
      </c>
      <c r="D41" s="95">
        <v>0</v>
      </c>
      <c r="E41" s="95">
        <v>0</v>
      </c>
      <c r="F41" s="95">
        <v>-165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</row>
    <row r="42" spans="1:98" ht="15" customHeight="1" x14ac:dyDescent="0.25">
      <c r="A42" s="94" t="s">
        <v>85</v>
      </c>
      <c r="C42" s="95">
        <v>0</v>
      </c>
      <c r="D42" s="95">
        <v>0</v>
      </c>
      <c r="E42" s="95">
        <v>0</v>
      </c>
      <c r="F42" s="95">
        <v>-1036.49</v>
      </c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</row>
    <row r="43" spans="1:98" ht="15" customHeight="1" x14ac:dyDescent="0.25">
      <c r="A43" s="94" t="s">
        <v>86</v>
      </c>
      <c r="C43" s="95">
        <v>-550</v>
      </c>
      <c r="D43" s="95">
        <v>-550</v>
      </c>
      <c r="E43" s="95">
        <v>-550</v>
      </c>
      <c r="F43" s="95">
        <v>-600</v>
      </c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</row>
    <row r="44" spans="1:98" ht="15" customHeight="1" x14ac:dyDescent="0.25">
      <c r="A44" s="96" t="s">
        <v>87</v>
      </c>
      <c r="C44" s="101">
        <v>-19223.75</v>
      </c>
      <c r="D44" s="101">
        <v>-13381.97</v>
      </c>
      <c r="E44" s="101">
        <v>-20308.689999999999</v>
      </c>
      <c r="F44" s="101">
        <v>-16948.759999999998</v>
      </c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</row>
    <row r="45" spans="1:98" ht="15" customHeight="1" x14ac:dyDescent="0.25">
      <c r="A45" s="96" t="s">
        <v>88</v>
      </c>
      <c r="C45" s="101">
        <v>-1909.98</v>
      </c>
      <c r="D45" s="101">
        <v>-190.1</v>
      </c>
      <c r="E45" s="101">
        <v>-2166.92</v>
      </c>
      <c r="F45" s="101">
        <v>-1816.95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</row>
    <row r="46" spans="1:98" ht="15" customHeight="1" x14ac:dyDescent="0.25">
      <c r="A46" s="96" t="s">
        <v>89</v>
      </c>
      <c r="C46" s="101">
        <v>-320</v>
      </c>
      <c r="D46" s="101">
        <v>-160</v>
      </c>
      <c r="E46" s="101">
        <v>0</v>
      </c>
      <c r="F46" s="101">
        <v>0</v>
      </c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</row>
    <row r="47" spans="1:98" ht="15" customHeight="1" x14ac:dyDescent="0.25">
      <c r="A47" s="96" t="s">
        <v>90</v>
      </c>
      <c r="C47" s="101">
        <v>-17660.72</v>
      </c>
      <c r="D47" s="101">
        <v>-5799</v>
      </c>
      <c r="E47" s="101">
        <v>-3432.18</v>
      </c>
      <c r="F47" s="101">
        <v>0</v>
      </c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</row>
    <row r="48" spans="1:98" ht="15" customHeight="1" x14ac:dyDescent="0.25">
      <c r="A48" s="96" t="s">
        <v>91</v>
      </c>
      <c r="C48" s="95">
        <v>-304</v>
      </c>
      <c r="D48" s="95">
        <v>-644.80999999999995</v>
      </c>
      <c r="E48" s="95">
        <v>-304</v>
      </c>
      <c r="F48" s="95">
        <v>0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</row>
    <row r="49" spans="1:98" ht="15" customHeight="1" x14ac:dyDescent="0.25">
      <c r="A49" s="96" t="s">
        <v>92</v>
      </c>
      <c r="C49" s="95">
        <v>0</v>
      </c>
      <c r="D49" s="95">
        <v>-75</v>
      </c>
      <c r="E49" s="95">
        <v>-5</v>
      </c>
      <c r="F49" s="95">
        <v>0</v>
      </c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  <c r="CS49" s="95"/>
      <c r="CT49" s="95"/>
    </row>
    <row r="50" spans="1:98" ht="15" customHeight="1" x14ac:dyDescent="0.25">
      <c r="A50" s="96" t="s">
        <v>93</v>
      </c>
      <c r="C50" s="95">
        <v>0</v>
      </c>
      <c r="D50" s="95">
        <v>-63</v>
      </c>
      <c r="E50" s="95">
        <v>0</v>
      </c>
      <c r="F50" s="95">
        <v>0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  <c r="CS50" s="95"/>
      <c r="CT50" s="95"/>
    </row>
    <row r="51" spans="1:98" ht="18" customHeight="1" x14ac:dyDescent="0.25">
      <c r="A51" s="97" t="s">
        <v>94</v>
      </c>
      <c r="B51" s="335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</row>
    <row r="52" spans="1:98" ht="15" customHeight="1" x14ac:dyDescent="0.25">
      <c r="A52" s="103" t="s">
        <v>95</v>
      </c>
      <c r="C52" s="95">
        <v>0</v>
      </c>
      <c r="D52" s="95">
        <v>0</v>
      </c>
      <c r="E52" s="95">
        <v>-11105.35</v>
      </c>
      <c r="F52" s="95"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</row>
    <row r="53" spans="1:98" ht="15" customHeight="1" x14ac:dyDescent="0.25">
      <c r="A53" s="103" t="s">
        <v>234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</row>
    <row r="54" spans="1:98" ht="15" customHeight="1" x14ac:dyDescent="0.25">
      <c r="A54" s="99" t="s">
        <v>27</v>
      </c>
      <c r="C54" s="104">
        <f t="shared" ref="C54:AH54" si="3">SUM(C19:C52)</f>
        <v>-258991.59</v>
      </c>
      <c r="D54" s="104">
        <f t="shared" si="3"/>
        <v>-258698.63000000003</v>
      </c>
      <c r="E54" s="104">
        <f t="shared" si="3"/>
        <v>-350327.83</v>
      </c>
      <c r="F54" s="104">
        <f t="shared" si="3"/>
        <v>-71821.649999999994</v>
      </c>
      <c r="G54" s="104">
        <f t="shared" si="3"/>
        <v>0</v>
      </c>
      <c r="H54" s="104">
        <f t="shared" si="3"/>
        <v>0</v>
      </c>
      <c r="I54" s="104">
        <f t="shared" si="3"/>
        <v>0</v>
      </c>
      <c r="J54" s="104">
        <f t="shared" si="3"/>
        <v>0</v>
      </c>
      <c r="K54" s="104">
        <f t="shared" si="3"/>
        <v>0</v>
      </c>
      <c r="L54" s="104">
        <f t="shared" si="3"/>
        <v>0</v>
      </c>
      <c r="M54" s="104">
        <f t="shared" si="3"/>
        <v>0</v>
      </c>
      <c r="N54" s="104">
        <f t="shared" si="3"/>
        <v>0</v>
      </c>
      <c r="O54" s="104">
        <f t="shared" si="3"/>
        <v>0</v>
      </c>
      <c r="P54" s="104">
        <f t="shared" si="3"/>
        <v>0</v>
      </c>
      <c r="Q54" s="104">
        <f t="shared" si="3"/>
        <v>0</v>
      </c>
      <c r="R54" s="104">
        <f t="shared" si="3"/>
        <v>0</v>
      </c>
      <c r="S54" s="104">
        <f t="shared" si="3"/>
        <v>0</v>
      </c>
      <c r="T54" s="104">
        <f t="shared" si="3"/>
        <v>0</v>
      </c>
      <c r="U54" s="104">
        <f t="shared" si="3"/>
        <v>0</v>
      </c>
      <c r="V54" s="104">
        <f t="shared" si="3"/>
        <v>0</v>
      </c>
      <c r="W54" s="104">
        <f t="shared" si="3"/>
        <v>0</v>
      </c>
      <c r="X54" s="104">
        <f t="shared" si="3"/>
        <v>0</v>
      </c>
      <c r="Y54" s="104">
        <f t="shared" si="3"/>
        <v>0</v>
      </c>
      <c r="Z54" s="104">
        <f t="shared" si="3"/>
        <v>0</v>
      </c>
      <c r="AA54" s="104">
        <f t="shared" si="3"/>
        <v>0</v>
      </c>
      <c r="AB54" s="104">
        <f t="shared" si="3"/>
        <v>0</v>
      </c>
      <c r="AC54" s="104">
        <f t="shared" si="3"/>
        <v>0</v>
      </c>
      <c r="AD54" s="104">
        <f t="shared" si="3"/>
        <v>0</v>
      </c>
      <c r="AE54" s="104">
        <f t="shared" si="3"/>
        <v>0</v>
      </c>
      <c r="AF54" s="104">
        <f t="shared" si="3"/>
        <v>0</v>
      </c>
      <c r="AG54" s="104">
        <f t="shared" si="3"/>
        <v>0</v>
      </c>
      <c r="AH54" s="104">
        <f t="shared" si="3"/>
        <v>0</v>
      </c>
      <c r="AI54" s="104">
        <f t="shared" ref="AI54:BN54" si="4">SUM(AI19:AI52)</f>
        <v>0</v>
      </c>
      <c r="AJ54" s="104">
        <f t="shared" si="4"/>
        <v>0</v>
      </c>
      <c r="AK54" s="104">
        <f t="shared" si="4"/>
        <v>0</v>
      </c>
      <c r="AL54" s="104">
        <f t="shared" si="4"/>
        <v>0</v>
      </c>
      <c r="AM54" s="104">
        <f t="shared" si="4"/>
        <v>0</v>
      </c>
      <c r="AN54" s="104">
        <f t="shared" si="4"/>
        <v>0</v>
      </c>
      <c r="AO54" s="104">
        <f t="shared" si="4"/>
        <v>0</v>
      </c>
      <c r="AP54" s="104">
        <f t="shared" si="4"/>
        <v>0</v>
      </c>
      <c r="AQ54" s="104">
        <f t="shared" si="4"/>
        <v>0</v>
      </c>
      <c r="AR54" s="104">
        <f t="shared" si="4"/>
        <v>0</v>
      </c>
      <c r="AS54" s="104">
        <f t="shared" si="4"/>
        <v>0</v>
      </c>
      <c r="AT54" s="104">
        <f t="shared" si="4"/>
        <v>0</v>
      </c>
      <c r="AU54" s="104">
        <f t="shared" si="4"/>
        <v>0</v>
      </c>
      <c r="AV54" s="104">
        <f t="shared" si="4"/>
        <v>0</v>
      </c>
      <c r="AW54" s="104">
        <f t="shared" si="4"/>
        <v>0</v>
      </c>
      <c r="AX54" s="104">
        <f t="shared" si="4"/>
        <v>0</v>
      </c>
      <c r="AY54" s="104">
        <f t="shared" si="4"/>
        <v>0</v>
      </c>
      <c r="AZ54" s="104">
        <f t="shared" si="4"/>
        <v>0</v>
      </c>
      <c r="BA54" s="104">
        <f t="shared" si="4"/>
        <v>0</v>
      </c>
      <c r="BB54" s="104">
        <f t="shared" si="4"/>
        <v>0</v>
      </c>
      <c r="BC54" s="104">
        <f t="shared" si="4"/>
        <v>0</v>
      </c>
      <c r="BD54" s="104">
        <f t="shared" si="4"/>
        <v>0</v>
      </c>
      <c r="BE54" s="104">
        <f t="shared" si="4"/>
        <v>0</v>
      </c>
      <c r="BF54" s="104">
        <f t="shared" si="4"/>
        <v>0</v>
      </c>
      <c r="BG54" s="104">
        <f t="shared" si="4"/>
        <v>0</v>
      </c>
      <c r="BH54" s="104">
        <f t="shared" si="4"/>
        <v>0</v>
      </c>
      <c r="BI54" s="104">
        <f t="shared" si="4"/>
        <v>0</v>
      </c>
      <c r="BJ54" s="104">
        <f t="shared" si="4"/>
        <v>0</v>
      </c>
      <c r="BK54" s="104">
        <f t="shared" si="4"/>
        <v>0</v>
      </c>
      <c r="BL54" s="104">
        <f t="shared" si="4"/>
        <v>0</v>
      </c>
      <c r="BM54" s="104">
        <f t="shared" si="4"/>
        <v>0</v>
      </c>
      <c r="BN54" s="104">
        <f t="shared" si="4"/>
        <v>0</v>
      </c>
      <c r="BO54" s="104">
        <f t="shared" ref="BO54:CT54" si="5">SUM(BO19:BO52)</f>
        <v>0</v>
      </c>
      <c r="BP54" s="104">
        <f t="shared" si="5"/>
        <v>0</v>
      </c>
      <c r="BQ54" s="104">
        <f t="shared" si="5"/>
        <v>0</v>
      </c>
      <c r="BR54" s="104">
        <f t="shared" si="5"/>
        <v>0</v>
      </c>
      <c r="BS54" s="104">
        <f t="shared" si="5"/>
        <v>0</v>
      </c>
      <c r="BT54" s="104">
        <f t="shared" si="5"/>
        <v>0</v>
      </c>
      <c r="BU54" s="104">
        <f t="shared" si="5"/>
        <v>0</v>
      </c>
      <c r="BV54" s="104">
        <f t="shared" si="5"/>
        <v>0</v>
      </c>
      <c r="BW54" s="104">
        <f t="shared" si="5"/>
        <v>0</v>
      </c>
      <c r="BX54" s="104">
        <f t="shared" si="5"/>
        <v>0</v>
      </c>
      <c r="BY54" s="104">
        <f t="shared" si="5"/>
        <v>0</v>
      </c>
      <c r="BZ54" s="104">
        <f t="shared" si="5"/>
        <v>0</v>
      </c>
      <c r="CA54" s="104">
        <f t="shared" si="5"/>
        <v>0</v>
      </c>
      <c r="CB54" s="104">
        <f t="shared" si="5"/>
        <v>0</v>
      </c>
      <c r="CC54" s="104">
        <f t="shared" si="5"/>
        <v>0</v>
      </c>
      <c r="CD54" s="104">
        <f t="shared" si="5"/>
        <v>0</v>
      </c>
      <c r="CE54" s="104">
        <f t="shared" si="5"/>
        <v>0</v>
      </c>
      <c r="CF54" s="104">
        <f t="shared" si="5"/>
        <v>0</v>
      </c>
      <c r="CG54" s="104">
        <f t="shared" si="5"/>
        <v>0</v>
      </c>
      <c r="CH54" s="104">
        <f t="shared" si="5"/>
        <v>0</v>
      </c>
      <c r="CI54" s="104">
        <f t="shared" si="5"/>
        <v>0</v>
      </c>
      <c r="CJ54" s="104">
        <f t="shared" si="5"/>
        <v>0</v>
      </c>
      <c r="CK54" s="104">
        <f t="shared" si="5"/>
        <v>0</v>
      </c>
      <c r="CL54" s="104">
        <f t="shared" si="5"/>
        <v>0</v>
      </c>
      <c r="CM54" s="104">
        <f t="shared" si="5"/>
        <v>0</v>
      </c>
      <c r="CN54" s="104">
        <f t="shared" si="5"/>
        <v>0</v>
      </c>
      <c r="CO54" s="104">
        <f t="shared" si="5"/>
        <v>0</v>
      </c>
      <c r="CP54" s="104">
        <f t="shared" si="5"/>
        <v>0</v>
      </c>
      <c r="CQ54" s="104">
        <f t="shared" si="5"/>
        <v>0</v>
      </c>
      <c r="CR54" s="104">
        <f t="shared" si="5"/>
        <v>0</v>
      </c>
      <c r="CS54" s="104">
        <f t="shared" si="5"/>
        <v>0</v>
      </c>
      <c r="CT54" s="104">
        <f t="shared" si="5"/>
        <v>0</v>
      </c>
    </row>
    <row r="55" spans="1:98" ht="15" customHeight="1" x14ac:dyDescent="0.25">
      <c r="A55" s="94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  <c r="CS55" s="95"/>
      <c r="CT55" s="95"/>
    </row>
    <row r="56" spans="1:98" ht="15" customHeight="1" x14ac:dyDescent="0.25">
      <c r="A56" s="97" t="s">
        <v>28</v>
      </c>
      <c r="C56" s="105">
        <f t="shared" ref="C56:AH56" si="6">C17+C54</f>
        <v>-40238.779999999941</v>
      </c>
      <c r="D56" s="105">
        <f t="shared" si="6"/>
        <v>-309702.09999999974</v>
      </c>
      <c r="E56" s="105">
        <f t="shared" si="6"/>
        <v>243856.69000000024</v>
      </c>
      <c r="F56" s="105">
        <f t="shared" si="6"/>
        <v>375536.6</v>
      </c>
      <c r="G56" s="105">
        <f t="shared" si="6"/>
        <v>0</v>
      </c>
      <c r="H56" s="105">
        <f t="shared" si="6"/>
        <v>0</v>
      </c>
      <c r="I56" s="105">
        <f t="shared" si="6"/>
        <v>0</v>
      </c>
      <c r="J56" s="105">
        <f t="shared" si="6"/>
        <v>0</v>
      </c>
      <c r="K56" s="105">
        <f t="shared" si="6"/>
        <v>0</v>
      </c>
      <c r="L56" s="105">
        <f t="shared" si="6"/>
        <v>0</v>
      </c>
      <c r="M56" s="105">
        <f t="shared" si="6"/>
        <v>0</v>
      </c>
      <c r="N56" s="105">
        <f t="shared" si="6"/>
        <v>0</v>
      </c>
      <c r="O56" s="105">
        <f t="shared" si="6"/>
        <v>0</v>
      </c>
      <c r="P56" s="105">
        <f t="shared" si="6"/>
        <v>0</v>
      </c>
      <c r="Q56" s="105">
        <f t="shared" si="6"/>
        <v>0</v>
      </c>
      <c r="R56" s="105">
        <f t="shared" si="6"/>
        <v>0</v>
      </c>
      <c r="S56" s="105">
        <f t="shared" si="6"/>
        <v>0</v>
      </c>
      <c r="T56" s="105">
        <f t="shared" si="6"/>
        <v>0</v>
      </c>
      <c r="U56" s="105">
        <f t="shared" si="6"/>
        <v>0</v>
      </c>
      <c r="V56" s="105">
        <f t="shared" si="6"/>
        <v>0</v>
      </c>
      <c r="W56" s="105">
        <f t="shared" si="6"/>
        <v>0</v>
      </c>
      <c r="X56" s="105">
        <f t="shared" si="6"/>
        <v>0</v>
      </c>
      <c r="Y56" s="105">
        <f t="shared" si="6"/>
        <v>0</v>
      </c>
      <c r="Z56" s="105">
        <f t="shared" si="6"/>
        <v>0</v>
      </c>
      <c r="AA56" s="105">
        <f t="shared" si="6"/>
        <v>0</v>
      </c>
      <c r="AB56" s="105">
        <f t="shared" si="6"/>
        <v>0</v>
      </c>
      <c r="AC56" s="105">
        <f t="shared" si="6"/>
        <v>0</v>
      </c>
      <c r="AD56" s="105">
        <f t="shared" si="6"/>
        <v>0</v>
      </c>
      <c r="AE56" s="105">
        <f t="shared" si="6"/>
        <v>0</v>
      </c>
      <c r="AF56" s="105">
        <f t="shared" si="6"/>
        <v>0</v>
      </c>
      <c r="AG56" s="105">
        <f t="shared" si="6"/>
        <v>0</v>
      </c>
      <c r="AH56" s="105">
        <f t="shared" si="6"/>
        <v>0</v>
      </c>
      <c r="AI56" s="105">
        <f t="shared" ref="AI56:BN56" si="7">AI17+AI54</f>
        <v>0</v>
      </c>
      <c r="AJ56" s="105">
        <f t="shared" si="7"/>
        <v>0</v>
      </c>
      <c r="AK56" s="105">
        <f t="shared" si="7"/>
        <v>0</v>
      </c>
      <c r="AL56" s="105">
        <f t="shared" si="7"/>
        <v>0</v>
      </c>
      <c r="AM56" s="105">
        <f t="shared" si="7"/>
        <v>0</v>
      </c>
      <c r="AN56" s="105">
        <f t="shared" si="7"/>
        <v>0</v>
      </c>
      <c r="AO56" s="105">
        <f t="shared" si="7"/>
        <v>0</v>
      </c>
      <c r="AP56" s="105">
        <f t="shared" si="7"/>
        <v>0</v>
      </c>
      <c r="AQ56" s="105">
        <f t="shared" si="7"/>
        <v>0</v>
      </c>
      <c r="AR56" s="105">
        <f t="shared" si="7"/>
        <v>0</v>
      </c>
      <c r="AS56" s="105">
        <f t="shared" si="7"/>
        <v>0</v>
      </c>
      <c r="AT56" s="105">
        <f t="shared" si="7"/>
        <v>0</v>
      </c>
      <c r="AU56" s="105">
        <f t="shared" si="7"/>
        <v>0</v>
      </c>
      <c r="AV56" s="105">
        <f t="shared" si="7"/>
        <v>0</v>
      </c>
      <c r="AW56" s="105">
        <f t="shared" si="7"/>
        <v>0</v>
      </c>
      <c r="AX56" s="105">
        <f t="shared" si="7"/>
        <v>0</v>
      </c>
      <c r="AY56" s="105">
        <f t="shared" si="7"/>
        <v>0</v>
      </c>
      <c r="AZ56" s="105">
        <f t="shared" si="7"/>
        <v>0</v>
      </c>
      <c r="BA56" s="105">
        <f t="shared" si="7"/>
        <v>0</v>
      </c>
      <c r="BB56" s="105">
        <f t="shared" si="7"/>
        <v>0</v>
      </c>
      <c r="BC56" s="105">
        <f t="shared" si="7"/>
        <v>0</v>
      </c>
      <c r="BD56" s="105">
        <f t="shared" si="7"/>
        <v>0</v>
      </c>
      <c r="BE56" s="105">
        <f t="shared" si="7"/>
        <v>0</v>
      </c>
      <c r="BF56" s="105">
        <f t="shared" si="7"/>
        <v>0</v>
      </c>
      <c r="BG56" s="105">
        <f t="shared" si="7"/>
        <v>0</v>
      </c>
      <c r="BH56" s="105">
        <f t="shared" si="7"/>
        <v>0</v>
      </c>
      <c r="BI56" s="105">
        <f t="shared" si="7"/>
        <v>0</v>
      </c>
      <c r="BJ56" s="105">
        <f t="shared" si="7"/>
        <v>0</v>
      </c>
      <c r="BK56" s="105">
        <f t="shared" si="7"/>
        <v>0</v>
      </c>
      <c r="BL56" s="105">
        <f t="shared" si="7"/>
        <v>0</v>
      </c>
      <c r="BM56" s="105">
        <f t="shared" si="7"/>
        <v>0</v>
      </c>
      <c r="BN56" s="105">
        <f t="shared" si="7"/>
        <v>0</v>
      </c>
      <c r="BO56" s="105">
        <f t="shared" ref="BO56:CT56" si="8">BO17+BO54</f>
        <v>0</v>
      </c>
      <c r="BP56" s="105">
        <f t="shared" si="8"/>
        <v>0</v>
      </c>
      <c r="BQ56" s="105">
        <f t="shared" si="8"/>
        <v>0</v>
      </c>
      <c r="BR56" s="105">
        <f t="shared" si="8"/>
        <v>0</v>
      </c>
      <c r="BS56" s="105">
        <f t="shared" si="8"/>
        <v>0</v>
      </c>
      <c r="BT56" s="105">
        <f t="shared" si="8"/>
        <v>0</v>
      </c>
      <c r="BU56" s="105">
        <f t="shared" si="8"/>
        <v>0</v>
      </c>
      <c r="BV56" s="105">
        <f t="shared" si="8"/>
        <v>0</v>
      </c>
      <c r="BW56" s="105">
        <f t="shared" si="8"/>
        <v>0</v>
      </c>
      <c r="BX56" s="105">
        <f t="shared" si="8"/>
        <v>0</v>
      </c>
      <c r="BY56" s="105">
        <f t="shared" si="8"/>
        <v>0</v>
      </c>
      <c r="BZ56" s="105">
        <f t="shared" si="8"/>
        <v>0</v>
      </c>
      <c r="CA56" s="105">
        <f t="shared" si="8"/>
        <v>0</v>
      </c>
      <c r="CB56" s="105">
        <f t="shared" si="8"/>
        <v>0</v>
      </c>
      <c r="CC56" s="105">
        <f t="shared" si="8"/>
        <v>0</v>
      </c>
      <c r="CD56" s="105">
        <f t="shared" si="8"/>
        <v>0</v>
      </c>
      <c r="CE56" s="105">
        <f t="shared" si="8"/>
        <v>0</v>
      </c>
      <c r="CF56" s="105">
        <f t="shared" si="8"/>
        <v>0</v>
      </c>
      <c r="CG56" s="105">
        <f t="shared" si="8"/>
        <v>0</v>
      </c>
      <c r="CH56" s="105">
        <f t="shared" si="8"/>
        <v>0</v>
      </c>
      <c r="CI56" s="105">
        <f t="shared" si="8"/>
        <v>0</v>
      </c>
      <c r="CJ56" s="105">
        <f t="shared" si="8"/>
        <v>0</v>
      </c>
      <c r="CK56" s="105">
        <f t="shared" si="8"/>
        <v>0</v>
      </c>
      <c r="CL56" s="105">
        <f t="shared" si="8"/>
        <v>0</v>
      </c>
      <c r="CM56" s="105">
        <f t="shared" si="8"/>
        <v>0</v>
      </c>
      <c r="CN56" s="105">
        <f t="shared" si="8"/>
        <v>0</v>
      </c>
      <c r="CO56" s="105">
        <f t="shared" si="8"/>
        <v>0</v>
      </c>
      <c r="CP56" s="105">
        <f t="shared" si="8"/>
        <v>0</v>
      </c>
      <c r="CQ56" s="105">
        <f t="shared" si="8"/>
        <v>0</v>
      </c>
      <c r="CR56" s="105">
        <f t="shared" si="8"/>
        <v>0</v>
      </c>
      <c r="CS56" s="105">
        <f t="shared" si="8"/>
        <v>0</v>
      </c>
      <c r="CT56" s="105">
        <f t="shared" si="8"/>
        <v>0</v>
      </c>
    </row>
    <row r="57" spans="1:98" ht="15" customHeight="1" x14ac:dyDescent="0.25">
      <c r="A57" s="94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  <c r="CS57" s="95"/>
      <c r="CT57" s="95"/>
    </row>
    <row r="58" spans="1:98" ht="15" customHeight="1" x14ac:dyDescent="0.25">
      <c r="A58" s="94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  <c r="CS58" s="95"/>
      <c r="CT58" s="95"/>
    </row>
    <row r="59" spans="1:98" ht="15" customHeight="1" x14ac:dyDescent="0.25">
      <c r="A59" s="94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  <c r="CS59" s="95"/>
      <c r="CT59" s="95"/>
    </row>
    <row r="60" spans="1:98" ht="15" customHeight="1" x14ac:dyDescent="0.25">
      <c r="A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</row>
    <row r="61" spans="1:98" ht="15" customHeight="1" x14ac:dyDescent="0.25">
      <c r="A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5"/>
    </row>
    <row r="62" spans="1:98" ht="15" customHeight="1" x14ac:dyDescent="0.25">
      <c r="A62" s="94" t="s">
        <v>97</v>
      </c>
      <c r="C62" s="95">
        <v>833.33</v>
      </c>
      <c r="D62" s="95">
        <v>833.33</v>
      </c>
      <c r="E62" s="95">
        <v>833.33</v>
      </c>
      <c r="F62" s="95">
        <v>833.33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  <c r="CS62" s="95"/>
      <c r="CT62" s="95"/>
    </row>
    <row r="63" spans="1:98" ht="15" customHeight="1" x14ac:dyDescent="0.25">
      <c r="A63" s="94" t="s">
        <v>98</v>
      </c>
      <c r="C63" s="95">
        <v>23906.25</v>
      </c>
      <c r="D63" s="95">
        <v>23906.25</v>
      </c>
      <c r="E63" s="95">
        <v>23906.25</v>
      </c>
      <c r="F63" s="95">
        <v>23906.25</v>
      </c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</row>
    <row r="64" spans="1:98" ht="15" customHeight="1" x14ac:dyDescent="0.25">
      <c r="A64" s="94" t="s">
        <v>99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  <c r="CS64" s="95"/>
      <c r="CT64" s="95"/>
    </row>
    <row r="65" spans="1:98" ht="15" customHeight="1" x14ac:dyDescent="0.25">
      <c r="A65" s="94" t="s">
        <v>100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  <c r="CS65" s="95"/>
      <c r="CT65" s="95"/>
    </row>
    <row r="66" spans="1:98" ht="15" customHeight="1" x14ac:dyDescent="0.25">
      <c r="A66" s="94" t="s">
        <v>101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  <c r="CS66" s="95"/>
      <c r="CT66" s="95"/>
    </row>
    <row r="67" spans="1:98" ht="15" customHeight="1" x14ac:dyDescent="0.25">
      <c r="A67" s="94" t="s">
        <v>102</v>
      </c>
      <c r="C67" s="95">
        <v>9375</v>
      </c>
      <c r="D67" s="95">
        <v>9375</v>
      </c>
      <c r="E67" s="95">
        <v>9375</v>
      </c>
      <c r="F67" s="95">
        <v>9375</v>
      </c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  <c r="CS67" s="95"/>
      <c r="CT67" s="95"/>
    </row>
    <row r="68" spans="1:98" ht="15" customHeight="1" x14ac:dyDescent="0.25">
      <c r="A68" s="94" t="s">
        <v>103</v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  <c r="CS68" s="95"/>
      <c r="CT68" s="95"/>
    </row>
    <row r="69" spans="1:98" ht="15" customHeight="1" x14ac:dyDescent="0.25">
      <c r="A69" s="94" t="s">
        <v>104</v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</row>
    <row r="70" spans="1:98" ht="15" customHeight="1" x14ac:dyDescent="0.25">
      <c r="A70" s="94" t="s">
        <v>105</v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</row>
    <row r="71" spans="1:98" ht="15" customHeight="1" x14ac:dyDescent="0.25">
      <c r="A71" s="94" t="s">
        <v>106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  <c r="CS71" s="95"/>
      <c r="CT71" s="95"/>
    </row>
    <row r="72" spans="1:98" ht="15" customHeight="1" x14ac:dyDescent="0.25">
      <c r="A72" s="94" t="s">
        <v>107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</row>
    <row r="73" spans="1:98" ht="15" customHeight="1" x14ac:dyDescent="0.25">
      <c r="A73" s="94" t="s">
        <v>108</v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  <c r="CS73" s="95"/>
      <c r="CT73" s="95"/>
    </row>
    <row r="74" spans="1:98" ht="15" customHeight="1" x14ac:dyDescent="0.25">
      <c r="A74" s="94" t="s">
        <v>109</v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</row>
    <row r="75" spans="1:98" ht="15" customHeight="1" x14ac:dyDescent="0.25">
      <c r="A75" s="94" t="s">
        <v>110</v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</row>
    <row r="76" spans="1:98" ht="15" customHeight="1" x14ac:dyDescent="0.25">
      <c r="A76" s="94" t="s">
        <v>111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</row>
    <row r="77" spans="1:98" ht="15" customHeight="1" x14ac:dyDescent="0.25">
      <c r="A77" s="94" t="s">
        <v>112</v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  <c r="CS77" s="95"/>
      <c r="CT77" s="95"/>
    </row>
    <row r="78" spans="1:98" ht="15" customHeight="1" x14ac:dyDescent="0.25">
      <c r="A78" s="94" t="s">
        <v>113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  <c r="CS78" s="95"/>
      <c r="CT78" s="95"/>
    </row>
    <row r="79" spans="1:98" ht="15" customHeight="1" x14ac:dyDescent="0.25">
      <c r="A79" s="99" t="s">
        <v>114</v>
      </c>
      <c r="C79" s="100">
        <f t="shared" ref="C79:AH79" si="9">SUM(C61:C77)</f>
        <v>34114.58</v>
      </c>
      <c r="D79" s="100">
        <f t="shared" si="9"/>
        <v>34114.58</v>
      </c>
      <c r="E79" s="100">
        <f t="shared" si="9"/>
        <v>34114.58</v>
      </c>
      <c r="F79" s="100">
        <f t="shared" si="9"/>
        <v>34114.58</v>
      </c>
      <c r="G79" s="100">
        <f t="shared" si="9"/>
        <v>0</v>
      </c>
      <c r="H79" s="100">
        <f t="shared" si="9"/>
        <v>0</v>
      </c>
      <c r="I79" s="100">
        <f t="shared" si="9"/>
        <v>0</v>
      </c>
      <c r="J79" s="100">
        <f t="shared" si="9"/>
        <v>0</v>
      </c>
      <c r="K79" s="100">
        <f t="shared" si="9"/>
        <v>0</v>
      </c>
      <c r="L79" s="100">
        <f t="shared" si="9"/>
        <v>0</v>
      </c>
      <c r="M79" s="100">
        <f t="shared" si="9"/>
        <v>0</v>
      </c>
      <c r="N79" s="100">
        <f t="shared" si="9"/>
        <v>0</v>
      </c>
      <c r="O79" s="100">
        <f t="shared" si="9"/>
        <v>0</v>
      </c>
      <c r="P79" s="100">
        <f t="shared" si="9"/>
        <v>0</v>
      </c>
      <c r="Q79" s="100">
        <f t="shared" si="9"/>
        <v>0</v>
      </c>
      <c r="R79" s="100">
        <f t="shared" si="9"/>
        <v>0</v>
      </c>
      <c r="S79" s="100">
        <f t="shared" si="9"/>
        <v>0</v>
      </c>
      <c r="T79" s="100">
        <f t="shared" si="9"/>
        <v>0</v>
      </c>
      <c r="U79" s="100">
        <f t="shared" si="9"/>
        <v>0</v>
      </c>
      <c r="V79" s="100">
        <f t="shared" si="9"/>
        <v>0</v>
      </c>
      <c r="W79" s="100">
        <f t="shared" si="9"/>
        <v>0</v>
      </c>
      <c r="X79" s="100">
        <f t="shared" si="9"/>
        <v>0</v>
      </c>
      <c r="Y79" s="100">
        <f t="shared" si="9"/>
        <v>0</v>
      </c>
      <c r="Z79" s="100">
        <f t="shared" si="9"/>
        <v>0</v>
      </c>
      <c r="AA79" s="100">
        <f t="shared" si="9"/>
        <v>0</v>
      </c>
      <c r="AB79" s="100">
        <f t="shared" si="9"/>
        <v>0</v>
      </c>
      <c r="AC79" s="100">
        <f t="shared" si="9"/>
        <v>0</v>
      </c>
      <c r="AD79" s="100">
        <f t="shared" si="9"/>
        <v>0</v>
      </c>
      <c r="AE79" s="100">
        <f t="shared" si="9"/>
        <v>0</v>
      </c>
      <c r="AF79" s="100">
        <f t="shared" si="9"/>
        <v>0</v>
      </c>
      <c r="AG79" s="100">
        <f t="shared" si="9"/>
        <v>0</v>
      </c>
      <c r="AH79" s="100">
        <f t="shared" si="9"/>
        <v>0</v>
      </c>
      <c r="AI79" s="100">
        <f t="shared" ref="AI79:BN79" si="10">SUM(AI61:AI77)</f>
        <v>0</v>
      </c>
      <c r="AJ79" s="100">
        <f t="shared" si="10"/>
        <v>0</v>
      </c>
      <c r="AK79" s="100">
        <f t="shared" si="10"/>
        <v>0</v>
      </c>
      <c r="AL79" s="100">
        <f t="shared" si="10"/>
        <v>0</v>
      </c>
      <c r="AM79" s="100">
        <f t="shared" si="10"/>
        <v>0</v>
      </c>
      <c r="AN79" s="100">
        <f t="shared" si="10"/>
        <v>0</v>
      </c>
      <c r="AO79" s="100">
        <f t="shared" si="10"/>
        <v>0</v>
      </c>
      <c r="AP79" s="100">
        <f t="shared" si="10"/>
        <v>0</v>
      </c>
      <c r="AQ79" s="100">
        <f t="shared" si="10"/>
        <v>0</v>
      </c>
      <c r="AR79" s="100">
        <f t="shared" si="10"/>
        <v>0</v>
      </c>
      <c r="AS79" s="100">
        <f t="shared" si="10"/>
        <v>0</v>
      </c>
      <c r="AT79" s="100">
        <f t="shared" si="10"/>
        <v>0</v>
      </c>
      <c r="AU79" s="100">
        <f t="shared" si="10"/>
        <v>0</v>
      </c>
      <c r="AV79" s="100">
        <f t="shared" si="10"/>
        <v>0</v>
      </c>
      <c r="AW79" s="100">
        <f t="shared" si="10"/>
        <v>0</v>
      </c>
      <c r="AX79" s="100">
        <f t="shared" si="10"/>
        <v>0</v>
      </c>
      <c r="AY79" s="100">
        <f t="shared" si="10"/>
        <v>0</v>
      </c>
      <c r="AZ79" s="100">
        <f t="shared" si="10"/>
        <v>0</v>
      </c>
      <c r="BA79" s="100">
        <f t="shared" si="10"/>
        <v>0</v>
      </c>
      <c r="BB79" s="100">
        <f t="shared" si="10"/>
        <v>0</v>
      </c>
      <c r="BC79" s="100">
        <f t="shared" si="10"/>
        <v>0</v>
      </c>
      <c r="BD79" s="100">
        <f t="shared" si="10"/>
        <v>0</v>
      </c>
      <c r="BE79" s="100">
        <f t="shared" si="10"/>
        <v>0</v>
      </c>
      <c r="BF79" s="100">
        <f t="shared" si="10"/>
        <v>0</v>
      </c>
      <c r="BG79" s="100">
        <f t="shared" si="10"/>
        <v>0</v>
      </c>
      <c r="BH79" s="100">
        <f t="shared" si="10"/>
        <v>0</v>
      </c>
      <c r="BI79" s="100">
        <f t="shared" si="10"/>
        <v>0</v>
      </c>
      <c r="BJ79" s="100">
        <f t="shared" si="10"/>
        <v>0</v>
      </c>
      <c r="BK79" s="100">
        <f t="shared" si="10"/>
        <v>0</v>
      </c>
      <c r="BL79" s="100">
        <f t="shared" si="10"/>
        <v>0</v>
      </c>
      <c r="BM79" s="100">
        <f t="shared" si="10"/>
        <v>0</v>
      </c>
      <c r="BN79" s="100">
        <f t="shared" si="10"/>
        <v>0</v>
      </c>
      <c r="BO79" s="100">
        <f t="shared" ref="BO79:CT79" si="11">SUM(BO61:BO77)</f>
        <v>0</v>
      </c>
      <c r="BP79" s="100">
        <f t="shared" si="11"/>
        <v>0</v>
      </c>
      <c r="BQ79" s="100">
        <f t="shared" si="11"/>
        <v>0</v>
      </c>
      <c r="BR79" s="100">
        <f t="shared" si="11"/>
        <v>0</v>
      </c>
      <c r="BS79" s="100">
        <f t="shared" si="11"/>
        <v>0</v>
      </c>
      <c r="BT79" s="100">
        <f t="shared" si="11"/>
        <v>0</v>
      </c>
      <c r="BU79" s="100">
        <f t="shared" si="11"/>
        <v>0</v>
      </c>
      <c r="BV79" s="100">
        <f t="shared" si="11"/>
        <v>0</v>
      </c>
      <c r="BW79" s="100">
        <f t="shared" si="11"/>
        <v>0</v>
      </c>
      <c r="BX79" s="100">
        <f t="shared" si="11"/>
        <v>0</v>
      </c>
      <c r="BY79" s="100">
        <f t="shared" si="11"/>
        <v>0</v>
      </c>
      <c r="BZ79" s="100">
        <f t="shared" si="11"/>
        <v>0</v>
      </c>
      <c r="CA79" s="100">
        <f t="shared" si="11"/>
        <v>0</v>
      </c>
      <c r="CB79" s="100">
        <f t="shared" si="11"/>
        <v>0</v>
      </c>
      <c r="CC79" s="100">
        <f t="shared" si="11"/>
        <v>0</v>
      </c>
      <c r="CD79" s="100">
        <f t="shared" si="11"/>
        <v>0</v>
      </c>
      <c r="CE79" s="100">
        <f t="shared" si="11"/>
        <v>0</v>
      </c>
      <c r="CF79" s="100">
        <f t="shared" si="11"/>
        <v>0</v>
      </c>
      <c r="CG79" s="100">
        <f t="shared" si="11"/>
        <v>0</v>
      </c>
      <c r="CH79" s="100">
        <f t="shared" si="11"/>
        <v>0</v>
      </c>
      <c r="CI79" s="100">
        <f t="shared" si="11"/>
        <v>0</v>
      </c>
      <c r="CJ79" s="100">
        <f t="shared" si="11"/>
        <v>0</v>
      </c>
      <c r="CK79" s="100">
        <f t="shared" si="11"/>
        <v>0</v>
      </c>
      <c r="CL79" s="100">
        <f t="shared" si="11"/>
        <v>0</v>
      </c>
      <c r="CM79" s="100">
        <f t="shared" si="11"/>
        <v>0</v>
      </c>
      <c r="CN79" s="100">
        <f t="shared" si="11"/>
        <v>0</v>
      </c>
      <c r="CO79" s="100">
        <f t="shared" si="11"/>
        <v>0</v>
      </c>
      <c r="CP79" s="100">
        <f t="shared" si="11"/>
        <v>0</v>
      </c>
      <c r="CQ79" s="100">
        <f t="shared" si="11"/>
        <v>0</v>
      </c>
      <c r="CR79" s="100">
        <f t="shared" si="11"/>
        <v>0</v>
      </c>
      <c r="CS79" s="100">
        <f t="shared" si="11"/>
        <v>0</v>
      </c>
      <c r="CT79" s="100">
        <f t="shared" si="11"/>
        <v>0</v>
      </c>
    </row>
    <row r="80" spans="1:98" ht="15" customHeight="1" x14ac:dyDescent="0.25">
      <c r="A80" s="94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  <c r="CS80" s="95"/>
      <c r="CT80" s="95"/>
    </row>
    <row r="81" spans="1:98" ht="15" customHeight="1" x14ac:dyDescent="0.25">
      <c r="A81" s="94" t="s">
        <v>63</v>
      </c>
      <c r="C81" s="95">
        <v>-54421</v>
      </c>
      <c r="D81" s="95">
        <v>-54166.68</v>
      </c>
      <c r="E81" s="95">
        <v>-54166.68</v>
      </c>
      <c r="F81" s="95">
        <v>-54166.68</v>
      </c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  <c r="CS81" s="95"/>
      <c r="CT81" s="95"/>
    </row>
    <row r="82" spans="1:98" ht="15" customHeight="1" x14ac:dyDescent="0.25">
      <c r="A82" s="94" t="s">
        <v>64</v>
      </c>
      <c r="C82" s="95">
        <v>-5302</v>
      </c>
      <c r="D82" s="95">
        <v>-4279.79</v>
      </c>
      <c r="E82" s="95">
        <v>-4145.97</v>
      </c>
      <c r="F82" s="95">
        <v>-4145.96</v>
      </c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</row>
    <row r="83" spans="1:98" ht="15" customHeight="1" x14ac:dyDescent="0.25">
      <c r="A83" s="94" t="s">
        <v>66</v>
      </c>
      <c r="C83" s="95">
        <v>-12137.77</v>
      </c>
      <c r="D83" s="95">
        <v>-12137.78</v>
      </c>
      <c r="E83" s="95">
        <v>-12137.78</v>
      </c>
      <c r="F83" s="95">
        <v>-12137.78</v>
      </c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</row>
    <row r="84" spans="1:98" ht="15" customHeight="1" x14ac:dyDescent="0.25">
      <c r="A84" s="94" t="s">
        <v>67</v>
      </c>
      <c r="C84" s="95">
        <v>-475.76</v>
      </c>
      <c r="D84" s="95">
        <v>-475.76</v>
      </c>
      <c r="E84" s="95">
        <v>-475.76</v>
      </c>
      <c r="F84" s="95">
        <v>-475.76</v>
      </c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  <c r="CS84" s="95"/>
      <c r="CT84" s="95"/>
    </row>
    <row r="85" spans="1:98" ht="15" customHeight="1" x14ac:dyDescent="0.25">
      <c r="A85" s="94" t="s">
        <v>68</v>
      </c>
      <c r="C85" s="95">
        <v>-2200.12</v>
      </c>
      <c r="D85" s="95">
        <v>-2200.12</v>
      </c>
      <c r="E85" s="95">
        <v>-2200.12</v>
      </c>
      <c r="F85" s="95">
        <v>-2200.12</v>
      </c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</row>
    <row r="86" spans="1:98" ht="15" customHeight="1" x14ac:dyDescent="0.25">
      <c r="A86" s="94" t="s">
        <v>71</v>
      </c>
      <c r="C86" s="95">
        <v>-8848.65</v>
      </c>
      <c r="D86" s="95">
        <v>-8817.6299999999992</v>
      </c>
      <c r="E86" s="95">
        <v>-3775.91</v>
      </c>
      <c r="F86" s="95">
        <v>-8731.1200000000008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</row>
    <row r="87" spans="1:98" ht="15" customHeight="1" x14ac:dyDescent="0.25">
      <c r="A87" s="94" t="s">
        <v>72</v>
      </c>
      <c r="C87" s="95">
        <v>-1722.9</v>
      </c>
      <c r="D87" s="95">
        <v>0</v>
      </c>
      <c r="E87" s="95">
        <v>-28.51</v>
      </c>
      <c r="F87" s="95">
        <v>0</v>
      </c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  <c r="CS87" s="95"/>
      <c r="CT87" s="95"/>
    </row>
    <row r="88" spans="1:98" ht="15" customHeight="1" x14ac:dyDescent="0.25">
      <c r="A88" s="94" t="s">
        <v>75</v>
      </c>
      <c r="C88" s="95">
        <v>-246.85</v>
      </c>
      <c r="D88" s="95">
        <v>0</v>
      </c>
      <c r="E88" s="95">
        <v>-4246.7299999999996</v>
      </c>
      <c r="F88" s="95">
        <v>-3123.87</v>
      </c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  <c r="CS88" s="95"/>
      <c r="CT88" s="95"/>
    </row>
    <row r="89" spans="1:98" ht="15" customHeight="1" x14ac:dyDescent="0.25">
      <c r="A89" s="94" t="s">
        <v>115</v>
      </c>
      <c r="C89" s="95">
        <v>0</v>
      </c>
      <c r="D89" s="95">
        <v>0</v>
      </c>
      <c r="E89" s="95">
        <v>-870</v>
      </c>
      <c r="F89" s="95">
        <v>0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  <c r="CS89" s="95"/>
      <c r="CT89" s="95"/>
    </row>
    <row r="90" spans="1:98" ht="15" customHeight="1" x14ac:dyDescent="0.25">
      <c r="A90" s="96" t="s">
        <v>116</v>
      </c>
      <c r="C90" s="101">
        <v>-245</v>
      </c>
      <c r="D90" s="101">
        <v>-245</v>
      </c>
      <c r="E90" s="101">
        <v>-245</v>
      </c>
      <c r="F90" s="101">
        <v>-245</v>
      </c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</row>
    <row r="91" spans="1:98" ht="15" customHeight="1" x14ac:dyDescent="0.25">
      <c r="A91" s="96" t="s">
        <v>117</v>
      </c>
      <c r="C91" s="101">
        <v>-986.57</v>
      </c>
      <c r="D91" s="101">
        <v>-1254.6099999999999</v>
      </c>
      <c r="E91" s="101">
        <v>-1297.31</v>
      </c>
      <c r="F91" s="101">
        <v>-48.78</v>
      </c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</row>
    <row r="92" spans="1:98" ht="15" customHeight="1" x14ac:dyDescent="0.25">
      <c r="A92" s="96" t="s">
        <v>118</v>
      </c>
      <c r="C92" s="101">
        <v>-588.66</v>
      </c>
      <c r="D92" s="101">
        <v>-22.94</v>
      </c>
      <c r="E92" s="101">
        <v>-487.3</v>
      </c>
      <c r="F92" s="101">
        <v>-399.98</v>
      </c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</row>
    <row r="93" spans="1:98" ht="15" customHeight="1" x14ac:dyDescent="0.25">
      <c r="A93" s="96" t="s">
        <v>119</v>
      </c>
      <c r="C93" s="101">
        <v>0</v>
      </c>
      <c r="D93" s="101">
        <v>-92.75</v>
      </c>
      <c r="E93" s="101">
        <v>-57.46</v>
      </c>
      <c r="F93" s="101">
        <v>0</v>
      </c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</row>
    <row r="94" spans="1:98" ht="15" customHeight="1" x14ac:dyDescent="0.25">
      <c r="A94" s="96" t="s">
        <v>77</v>
      </c>
      <c r="C94" s="101">
        <v>-640.88</v>
      </c>
      <c r="D94" s="101">
        <v>-872.64</v>
      </c>
      <c r="E94" s="101">
        <v>-1175.78</v>
      </c>
      <c r="F94" s="101">
        <v>-471.38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</row>
    <row r="95" spans="1:98" ht="15" customHeight="1" x14ac:dyDescent="0.25">
      <c r="A95" s="96" t="s">
        <v>78</v>
      </c>
      <c r="C95" s="101">
        <v>0</v>
      </c>
      <c r="D95" s="101">
        <v>0</v>
      </c>
      <c r="E95" s="101">
        <v>-38050.5</v>
      </c>
      <c r="F95" s="101">
        <v>0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</row>
    <row r="96" spans="1:98" ht="15" customHeight="1" x14ac:dyDescent="0.25">
      <c r="A96" s="94" t="s">
        <v>79</v>
      </c>
      <c r="C96" s="95">
        <v>-4097.78</v>
      </c>
      <c r="D96" s="95">
        <v>-1950.2</v>
      </c>
      <c r="E96" s="95">
        <v>-1978.2</v>
      </c>
      <c r="F96" s="95">
        <v>-1970.2</v>
      </c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95"/>
    </row>
    <row r="97" spans="1:98" ht="15" customHeight="1" x14ac:dyDescent="0.25">
      <c r="A97" s="94" t="s">
        <v>80</v>
      </c>
      <c r="C97" s="95">
        <v>-28038</v>
      </c>
      <c r="D97" s="95">
        <v>-29387.5</v>
      </c>
      <c r="E97" s="95">
        <v>-28083</v>
      </c>
      <c r="F97" s="95">
        <v>-28083</v>
      </c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95"/>
    </row>
    <row r="98" spans="1:98" ht="15" customHeight="1" x14ac:dyDescent="0.25">
      <c r="A98" s="96" t="s">
        <v>120</v>
      </c>
      <c r="C98" s="101">
        <v>-268</v>
      </c>
      <c r="D98" s="101">
        <v>-2088.75</v>
      </c>
      <c r="E98" s="101">
        <v>-2401.75</v>
      </c>
      <c r="F98" s="101">
        <v>-4209.5</v>
      </c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</row>
    <row r="99" spans="1:98" ht="15" customHeight="1" x14ac:dyDescent="0.25">
      <c r="A99" s="96" t="s">
        <v>121</v>
      </c>
      <c r="C99" s="101">
        <v>-341.83</v>
      </c>
      <c r="D99" s="101">
        <v>-728</v>
      </c>
      <c r="E99" s="101">
        <v>-15256.75</v>
      </c>
      <c r="F99" s="101">
        <v>-1033.4100000000001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</row>
    <row r="100" spans="1:98" ht="15" customHeight="1" x14ac:dyDescent="0.25">
      <c r="A100" s="103" t="s">
        <v>122</v>
      </c>
      <c r="C100" s="101">
        <v>-1905.31</v>
      </c>
      <c r="D100" s="101">
        <v>-1905.31</v>
      </c>
      <c r="E100" s="101">
        <v>-1905.31</v>
      </c>
      <c r="F100" s="101">
        <v>-1905.31</v>
      </c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</row>
    <row r="101" spans="1:98" ht="15" customHeight="1" x14ac:dyDescent="0.25">
      <c r="A101" s="103" t="s">
        <v>123</v>
      </c>
      <c r="C101" s="101">
        <v>-2100</v>
      </c>
      <c r="D101" s="101">
        <v>-2100</v>
      </c>
      <c r="E101" s="101">
        <v>-2100</v>
      </c>
      <c r="F101" s="101">
        <v>-2100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</row>
    <row r="102" spans="1:98" ht="15" customHeight="1" x14ac:dyDescent="0.25">
      <c r="A102" s="103" t="s">
        <v>83</v>
      </c>
      <c r="C102" s="101">
        <v>-66666.66</v>
      </c>
      <c r="D102" s="101">
        <v>-66666.66</v>
      </c>
      <c r="E102" s="101">
        <v>-66666.66</v>
      </c>
      <c r="F102" s="101">
        <v>-66666.66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</row>
    <row r="103" spans="1:98" ht="15" customHeight="1" x14ac:dyDescent="0.25">
      <c r="A103" s="94" t="s">
        <v>91</v>
      </c>
      <c r="C103" s="95">
        <v>-4731.96</v>
      </c>
      <c r="D103" s="95">
        <v>-5</v>
      </c>
      <c r="E103" s="95">
        <v>-5</v>
      </c>
      <c r="F103" s="95">
        <v>-5</v>
      </c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  <c r="CS103" s="95"/>
      <c r="CT103" s="95"/>
    </row>
    <row r="104" spans="1:98" ht="15" customHeight="1" x14ac:dyDescent="0.25">
      <c r="A104" s="94" t="s">
        <v>92</v>
      </c>
      <c r="C104" s="95">
        <v>-658.14</v>
      </c>
      <c r="D104" s="95">
        <v>-310</v>
      </c>
      <c r="E104" s="95">
        <v>-371.74</v>
      </c>
      <c r="F104" s="95">
        <v>-857.33</v>
      </c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  <c r="CS104" s="95"/>
      <c r="CT104" s="95"/>
    </row>
    <row r="105" spans="1:98" ht="15" customHeight="1" x14ac:dyDescent="0.25">
      <c r="A105" s="94" t="s">
        <v>124</v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  <c r="CS105" s="95"/>
      <c r="CT105" s="95"/>
    </row>
    <row r="106" spans="1:98" ht="15" customHeight="1" x14ac:dyDescent="0.25">
      <c r="A106" s="94" t="s">
        <v>125</v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  <c r="CS106" s="95"/>
      <c r="CT106" s="95"/>
    </row>
    <row r="107" spans="1:98" ht="15" customHeight="1" x14ac:dyDescent="0.25">
      <c r="A107" s="94" t="s">
        <v>126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  <c r="CS107" s="95"/>
      <c r="CT107" s="95"/>
    </row>
    <row r="108" spans="1:98" ht="15" customHeight="1" x14ac:dyDescent="0.25">
      <c r="A108" s="94" t="s">
        <v>127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  <c r="CS108" s="95"/>
      <c r="CT108" s="95"/>
    </row>
    <row r="109" spans="1:98" ht="15" customHeight="1" x14ac:dyDescent="0.25">
      <c r="A109" s="94" t="s">
        <v>128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  <c r="CS109" s="95"/>
      <c r="CT109" s="95"/>
    </row>
    <row r="110" spans="1:98" ht="15" customHeight="1" x14ac:dyDescent="0.25">
      <c r="A110" s="99" t="s">
        <v>129</v>
      </c>
      <c r="C110" s="104">
        <f t="shared" ref="C110:AH110" si="12">SUM(C80:C108)</f>
        <v>-196623.84</v>
      </c>
      <c r="D110" s="104">
        <f t="shared" si="12"/>
        <v>-189707.12</v>
      </c>
      <c r="E110" s="104">
        <f t="shared" si="12"/>
        <v>-242129.22</v>
      </c>
      <c r="F110" s="104">
        <f t="shared" si="12"/>
        <v>-192976.83999999997</v>
      </c>
      <c r="G110" s="104">
        <f t="shared" si="12"/>
        <v>0</v>
      </c>
      <c r="H110" s="104">
        <f t="shared" si="12"/>
        <v>0</v>
      </c>
      <c r="I110" s="104">
        <f t="shared" si="12"/>
        <v>0</v>
      </c>
      <c r="J110" s="104">
        <f t="shared" si="12"/>
        <v>0</v>
      </c>
      <c r="K110" s="104">
        <f t="shared" si="12"/>
        <v>0</v>
      </c>
      <c r="L110" s="104">
        <f t="shared" si="12"/>
        <v>0</v>
      </c>
      <c r="M110" s="104">
        <f t="shared" si="12"/>
        <v>0</v>
      </c>
      <c r="N110" s="104">
        <f t="shared" si="12"/>
        <v>0</v>
      </c>
      <c r="O110" s="104">
        <f t="shared" si="12"/>
        <v>0</v>
      </c>
      <c r="P110" s="104">
        <f t="shared" si="12"/>
        <v>0</v>
      </c>
      <c r="Q110" s="104">
        <f t="shared" si="12"/>
        <v>0</v>
      </c>
      <c r="R110" s="104">
        <f t="shared" si="12"/>
        <v>0</v>
      </c>
      <c r="S110" s="104">
        <f t="shared" si="12"/>
        <v>0</v>
      </c>
      <c r="T110" s="104">
        <f t="shared" si="12"/>
        <v>0</v>
      </c>
      <c r="U110" s="104">
        <f t="shared" si="12"/>
        <v>0</v>
      </c>
      <c r="V110" s="104">
        <f t="shared" si="12"/>
        <v>0</v>
      </c>
      <c r="W110" s="104">
        <f t="shared" si="12"/>
        <v>0</v>
      </c>
      <c r="X110" s="104">
        <f t="shared" si="12"/>
        <v>0</v>
      </c>
      <c r="Y110" s="104">
        <f t="shared" si="12"/>
        <v>0</v>
      </c>
      <c r="Z110" s="104">
        <f t="shared" si="12"/>
        <v>0</v>
      </c>
      <c r="AA110" s="104">
        <f t="shared" si="12"/>
        <v>0</v>
      </c>
      <c r="AB110" s="104">
        <f t="shared" si="12"/>
        <v>0</v>
      </c>
      <c r="AC110" s="104">
        <f t="shared" si="12"/>
        <v>0</v>
      </c>
      <c r="AD110" s="104">
        <f t="shared" si="12"/>
        <v>0</v>
      </c>
      <c r="AE110" s="104">
        <f t="shared" si="12"/>
        <v>0</v>
      </c>
      <c r="AF110" s="104">
        <f t="shared" si="12"/>
        <v>0</v>
      </c>
      <c r="AG110" s="104">
        <f t="shared" si="12"/>
        <v>0</v>
      </c>
      <c r="AH110" s="104">
        <f t="shared" si="12"/>
        <v>0</v>
      </c>
      <c r="AI110" s="104">
        <f t="shared" ref="AI110:BN110" si="13">SUM(AI80:AI108)</f>
        <v>0</v>
      </c>
      <c r="AJ110" s="104">
        <f t="shared" si="13"/>
        <v>0</v>
      </c>
      <c r="AK110" s="104">
        <f t="shared" si="13"/>
        <v>0</v>
      </c>
      <c r="AL110" s="104">
        <f t="shared" si="13"/>
        <v>0</v>
      </c>
      <c r="AM110" s="104">
        <f t="shared" si="13"/>
        <v>0</v>
      </c>
      <c r="AN110" s="104">
        <f t="shared" si="13"/>
        <v>0</v>
      </c>
      <c r="AO110" s="104">
        <f t="shared" si="13"/>
        <v>0</v>
      </c>
      <c r="AP110" s="104">
        <f t="shared" si="13"/>
        <v>0</v>
      </c>
      <c r="AQ110" s="104">
        <f t="shared" si="13"/>
        <v>0</v>
      </c>
      <c r="AR110" s="104">
        <f t="shared" si="13"/>
        <v>0</v>
      </c>
      <c r="AS110" s="104">
        <f t="shared" si="13"/>
        <v>0</v>
      </c>
      <c r="AT110" s="104">
        <f t="shared" si="13"/>
        <v>0</v>
      </c>
      <c r="AU110" s="104">
        <f t="shared" si="13"/>
        <v>0</v>
      </c>
      <c r="AV110" s="104">
        <f t="shared" si="13"/>
        <v>0</v>
      </c>
      <c r="AW110" s="104">
        <f t="shared" si="13"/>
        <v>0</v>
      </c>
      <c r="AX110" s="104">
        <f t="shared" si="13"/>
        <v>0</v>
      </c>
      <c r="AY110" s="104">
        <f t="shared" si="13"/>
        <v>0</v>
      </c>
      <c r="AZ110" s="104">
        <f t="shared" si="13"/>
        <v>0</v>
      </c>
      <c r="BA110" s="104">
        <f t="shared" si="13"/>
        <v>0</v>
      </c>
      <c r="BB110" s="104">
        <f t="shared" si="13"/>
        <v>0</v>
      </c>
      <c r="BC110" s="104">
        <f t="shared" si="13"/>
        <v>0</v>
      </c>
      <c r="BD110" s="104">
        <f t="shared" si="13"/>
        <v>0</v>
      </c>
      <c r="BE110" s="104">
        <f t="shared" si="13"/>
        <v>0</v>
      </c>
      <c r="BF110" s="104">
        <f t="shared" si="13"/>
        <v>0</v>
      </c>
      <c r="BG110" s="104">
        <f t="shared" si="13"/>
        <v>0</v>
      </c>
      <c r="BH110" s="104">
        <f t="shared" si="13"/>
        <v>0</v>
      </c>
      <c r="BI110" s="104">
        <f t="shared" si="13"/>
        <v>0</v>
      </c>
      <c r="BJ110" s="104">
        <f t="shared" si="13"/>
        <v>0</v>
      </c>
      <c r="BK110" s="104">
        <f t="shared" si="13"/>
        <v>0</v>
      </c>
      <c r="BL110" s="104">
        <f t="shared" si="13"/>
        <v>0</v>
      </c>
      <c r="BM110" s="104">
        <f t="shared" si="13"/>
        <v>0</v>
      </c>
      <c r="BN110" s="104">
        <f t="shared" si="13"/>
        <v>0</v>
      </c>
      <c r="BO110" s="104">
        <f t="shared" ref="BO110:CT110" si="14">SUM(BO80:BO108)</f>
        <v>0</v>
      </c>
      <c r="BP110" s="104">
        <f t="shared" si="14"/>
        <v>0</v>
      </c>
      <c r="BQ110" s="104">
        <f t="shared" si="14"/>
        <v>0</v>
      </c>
      <c r="BR110" s="104">
        <f t="shared" si="14"/>
        <v>0</v>
      </c>
      <c r="BS110" s="104">
        <f t="shared" si="14"/>
        <v>0</v>
      </c>
      <c r="BT110" s="104">
        <f t="shared" si="14"/>
        <v>0</v>
      </c>
      <c r="BU110" s="104">
        <f t="shared" si="14"/>
        <v>0</v>
      </c>
      <c r="BV110" s="104">
        <f t="shared" si="14"/>
        <v>0</v>
      </c>
      <c r="BW110" s="104">
        <f t="shared" si="14"/>
        <v>0</v>
      </c>
      <c r="BX110" s="104">
        <f t="shared" si="14"/>
        <v>0</v>
      </c>
      <c r="BY110" s="104">
        <f t="shared" si="14"/>
        <v>0</v>
      </c>
      <c r="BZ110" s="104">
        <f t="shared" si="14"/>
        <v>0</v>
      </c>
      <c r="CA110" s="104">
        <f t="shared" si="14"/>
        <v>0</v>
      </c>
      <c r="CB110" s="104">
        <f t="shared" si="14"/>
        <v>0</v>
      </c>
      <c r="CC110" s="104">
        <f t="shared" si="14"/>
        <v>0</v>
      </c>
      <c r="CD110" s="104">
        <f t="shared" si="14"/>
        <v>0</v>
      </c>
      <c r="CE110" s="104">
        <f t="shared" si="14"/>
        <v>0</v>
      </c>
      <c r="CF110" s="104">
        <f t="shared" si="14"/>
        <v>0</v>
      </c>
      <c r="CG110" s="104">
        <f t="shared" si="14"/>
        <v>0</v>
      </c>
      <c r="CH110" s="104">
        <f t="shared" si="14"/>
        <v>0</v>
      </c>
      <c r="CI110" s="104">
        <f t="shared" si="14"/>
        <v>0</v>
      </c>
      <c r="CJ110" s="104">
        <f t="shared" si="14"/>
        <v>0</v>
      </c>
      <c r="CK110" s="104">
        <f t="shared" si="14"/>
        <v>0</v>
      </c>
      <c r="CL110" s="104">
        <f t="shared" si="14"/>
        <v>0</v>
      </c>
      <c r="CM110" s="104">
        <f t="shared" si="14"/>
        <v>0</v>
      </c>
      <c r="CN110" s="104">
        <f t="shared" si="14"/>
        <v>0</v>
      </c>
      <c r="CO110" s="104">
        <f t="shared" si="14"/>
        <v>0</v>
      </c>
      <c r="CP110" s="104">
        <f t="shared" si="14"/>
        <v>0</v>
      </c>
      <c r="CQ110" s="104">
        <f t="shared" si="14"/>
        <v>0</v>
      </c>
      <c r="CR110" s="104">
        <f t="shared" si="14"/>
        <v>0</v>
      </c>
      <c r="CS110" s="104">
        <f t="shared" si="14"/>
        <v>0</v>
      </c>
      <c r="CT110" s="104">
        <f t="shared" si="14"/>
        <v>0</v>
      </c>
    </row>
    <row r="111" spans="1:98" ht="15" customHeight="1" x14ac:dyDescent="0.25">
      <c r="A111" s="97"/>
      <c r="C111" s="336"/>
      <c r="D111" s="336"/>
      <c r="E111" s="336"/>
      <c r="F111" s="336"/>
      <c r="G111" s="336"/>
      <c r="H111" s="336"/>
      <c r="I111" s="336"/>
      <c r="J111" s="336"/>
      <c r="K111" s="336"/>
      <c r="L111" s="336"/>
      <c r="M111" s="336"/>
      <c r="N111" s="336"/>
      <c r="O111" s="336"/>
      <c r="P111" s="336"/>
      <c r="Q111" s="336"/>
      <c r="R111" s="336"/>
      <c r="S111" s="336"/>
      <c r="T111" s="336"/>
      <c r="U111" s="336"/>
      <c r="V111" s="336"/>
      <c r="W111" s="336"/>
      <c r="X111" s="336"/>
      <c r="Y111" s="336"/>
      <c r="Z111" s="336"/>
      <c r="AA111" s="336"/>
      <c r="AB111" s="336"/>
      <c r="AC111" s="336"/>
      <c r="AD111" s="336"/>
      <c r="AE111" s="336"/>
      <c r="AF111" s="336"/>
      <c r="AG111" s="336"/>
      <c r="AH111" s="336"/>
      <c r="AI111" s="336"/>
      <c r="AJ111" s="336"/>
      <c r="AK111" s="336"/>
      <c r="AL111" s="336"/>
      <c r="AM111" s="336"/>
      <c r="AN111" s="336"/>
      <c r="AO111" s="336"/>
      <c r="AP111" s="336"/>
      <c r="AQ111" s="336"/>
      <c r="AR111" s="336"/>
      <c r="AS111" s="336"/>
      <c r="AT111" s="336"/>
      <c r="AU111" s="336"/>
      <c r="AV111" s="336"/>
      <c r="AW111" s="336"/>
      <c r="AX111" s="336"/>
      <c r="AY111" s="336"/>
      <c r="AZ111" s="336"/>
      <c r="BA111" s="336"/>
      <c r="BB111" s="336"/>
      <c r="BC111" s="336"/>
      <c r="BD111" s="336"/>
      <c r="BE111" s="336"/>
      <c r="BF111" s="336"/>
      <c r="BG111" s="336"/>
      <c r="BH111" s="336"/>
      <c r="BI111" s="336"/>
      <c r="BJ111" s="336"/>
      <c r="BK111" s="336"/>
      <c r="BL111" s="336"/>
      <c r="BM111" s="336"/>
      <c r="BN111" s="336"/>
      <c r="BO111" s="336"/>
      <c r="BP111" s="336"/>
      <c r="BQ111" s="336"/>
      <c r="BR111" s="336"/>
      <c r="BS111" s="336"/>
      <c r="BT111" s="336"/>
      <c r="BU111" s="336"/>
      <c r="BV111" s="336"/>
      <c r="BW111" s="336"/>
      <c r="BX111" s="336"/>
      <c r="BY111" s="336"/>
      <c r="BZ111" s="336"/>
      <c r="CA111" s="336"/>
      <c r="CB111" s="336"/>
      <c r="CC111" s="336"/>
      <c r="CD111" s="336"/>
      <c r="CE111" s="336"/>
      <c r="CF111" s="336"/>
      <c r="CG111" s="336"/>
      <c r="CH111" s="336"/>
      <c r="CI111" s="336"/>
      <c r="CJ111" s="336"/>
      <c r="CK111" s="336"/>
      <c r="CL111" s="336"/>
      <c r="CM111" s="336"/>
      <c r="CN111" s="336"/>
      <c r="CO111" s="336"/>
      <c r="CP111" s="336"/>
      <c r="CQ111" s="336"/>
      <c r="CR111" s="336"/>
      <c r="CS111" s="336"/>
      <c r="CT111" s="336"/>
    </row>
    <row r="112" spans="1:98" ht="15" customHeight="1" x14ac:dyDescent="0.25">
      <c r="A112" s="97" t="s">
        <v>32</v>
      </c>
      <c r="C112" s="105">
        <f t="shared" ref="C112:AH112" si="15">C79+C110</f>
        <v>-162509.26</v>
      </c>
      <c r="D112" s="105">
        <f t="shared" si="15"/>
        <v>-155592.53999999998</v>
      </c>
      <c r="E112" s="105">
        <f t="shared" si="15"/>
        <v>-208014.64</v>
      </c>
      <c r="F112" s="105">
        <f t="shared" si="15"/>
        <v>-158862.25999999995</v>
      </c>
      <c r="G112" s="105">
        <f t="shared" si="15"/>
        <v>0</v>
      </c>
      <c r="H112" s="105">
        <f t="shared" si="15"/>
        <v>0</v>
      </c>
      <c r="I112" s="105">
        <f t="shared" si="15"/>
        <v>0</v>
      </c>
      <c r="J112" s="105">
        <f t="shared" si="15"/>
        <v>0</v>
      </c>
      <c r="K112" s="105">
        <f t="shared" si="15"/>
        <v>0</v>
      </c>
      <c r="L112" s="105">
        <f t="shared" si="15"/>
        <v>0</v>
      </c>
      <c r="M112" s="105">
        <f t="shared" si="15"/>
        <v>0</v>
      </c>
      <c r="N112" s="105">
        <f t="shared" si="15"/>
        <v>0</v>
      </c>
      <c r="O112" s="105">
        <f t="shared" si="15"/>
        <v>0</v>
      </c>
      <c r="P112" s="105">
        <f t="shared" si="15"/>
        <v>0</v>
      </c>
      <c r="Q112" s="105">
        <f t="shared" si="15"/>
        <v>0</v>
      </c>
      <c r="R112" s="105">
        <f t="shared" si="15"/>
        <v>0</v>
      </c>
      <c r="S112" s="105">
        <f t="shared" si="15"/>
        <v>0</v>
      </c>
      <c r="T112" s="105">
        <f t="shared" si="15"/>
        <v>0</v>
      </c>
      <c r="U112" s="105">
        <f t="shared" si="15"/>
        <v>0</v>
      </c>
      <c r="V112" s="105">
        <f t="shared" si="15"/>
        <v>0</v>
      </c>
      <c r="W112" s="105">
        <f t="shared" si="15"/>
        <v>0</v>
      </c>
      <c r="X112" s="105">
        <f t="shared" si="15"/>
        <v>0</v>
      </c>
      <c r="Y112" s="105">
        <f t="shared" si="15"/>
        <v>0</v>
      </c>
      <c r="Z112" s="105">
        <f t="shared" si="15"/>
        <v>0</v>
      </c>
      <c r="AA112" s="105">
        <f t="shared" si="15"/>
        <v>0</v>
      </c>
      <c r="AB112" s="105">
        <f t="shared" si="15"/>
        <v>0</v>
      </c>
      <c r="AC112" s="105">
        <f t="shared" si="15"/>
        <v>0</v>
      </c>
      <c r="AD112" s="105">
        <f t="shared" si="15"/>
        <v>0</v>
      </c>
      <c r="AE112" s="105">
        <f t="shared" si="15"/>
        <v>0</v>
      </c>
      <c r="AF112" s="105">
        <f t="shared" si="15"/>
        <v>0</v>
      </c>
      <c r="AG112" s="105">
        <f t="shared" si="15"/>
        <v>0</v>
      </c>
      <c r="AH112" s="105">
        <f t="shared" si="15"/>
        <v>0</v>
      </c>
      <c r="AI112" s="105">
        <f t="shared" ref="AI112:BN112" si="16">AI79+AI110</f>
        <v>0</v>
      </c>
      <c r="AJ112" s="105">
        <f t="shared" si="16"/>
        <v>0</v>
      </c>
      <c r="AK112" s="105">
        <f t="shared" si="16"/>
        <v>0</v>
      </c>
      <c r="AL112" s="105">
        <f t="shared" si="16"/>
        <v>0</v>
      </c>
      <c r="AM112" s="105">
        <f t="shared" si="16"/>
        <v>0</v>
      </c>
      <c r="AN112" s="105">
        <f t="shared" si="16"/>
        <v>0</v>
      </c>
      <c r="AO112" s="105">
        <f t="shared" si="16"/>
        <v>0</v>
      </c>
      <c r="AP112" s="105">
        <f t="shared" si="16"/>
        <v>0</v>
      </c>
      <c r="AQ112" s="105">
        <f t="shared" si="16"/>
        <v>0</v>
      </c>
      <c r="AR112" s="105">
        <f t="shared" si="16"/>
        <v>0</v>
      </c>
      <c r="AS112" s="105">
        <f t="shared" si="16"/>
        <v>0</v>
      </c>
      <c r="AT112" s="105">
        <f t="shared" si="16"/>
        <v>0</v>
      </c>
      <c r="AU112" s="105">
        <f t="shared" si="16"/>
        <v>0</v>
      </c>
      <c r="AV112" s="105">
        <f t="shared" si="16"/>
        <v>0</v>
      </c>
      <c r="AW112" s="105">
        <f t="shared" si="16"/>
        <v>0</v>
      </c>
      <c r="AX112" s="105">
        <f t="shared" si="16"/>
        <v>0</v>
      </c>
      <c r="AY112" s="105">
        <f t="shared" si="16"/>
        <v>0</v>
      </c>
      <c r="AZ112" s="105">
        <f t="shared" si="16"/>
        <v>0</v>
      </c>
      <c r="BA112" s="105">
        <f t="shared" si="16"/>
        <v>0</v>
      </c>
      <c r="BB112" s="105">
        <f t="shared" si="16"/>
        <v>0</v>
      </c>
      <c r="BC112" s="105">
        <f t="shared" si="16"/>
        <v>0</v>
      </c>
      <c r="BD112" s="105">
        <f t="shared" si="16"/>
        <v>0</v>
      </c>
      <c r="BE112" s="105">
        <f t="shared" si="16"/>
        <v>0</v>
      </c>
      <c r="BF112" s="105">
        <f t="shared" si="16"/>
        <v>0</v>
      </c>
      <c r="BG112" s="105">
        <f t="shared" si="16"/>
        <v>0</v>
      </c>
      <c r="BH112" s="105">
        <f t="shared" si="16"/>
        <v>0</v>
      </c>
      <c r="BI112" s="105">
        <f t="shared" si="16"/>
        <v>0</v>
      </c>
      <c r="BJ112" s="105">
        <f t="shared" si="16"/>
        <v>0</v>
      </c>
      <c r="BK112" s="105">
        <f t="shared" si="16"/>
        <v>0</v>
      </c>
      <c r="BL112" s="105">
        <f t="shared" si="16"/>
        <v>0</v>
      </c>
      <c r="BM112" s="105">
        <f t="shared" si="16"/>
        <v>0</v>
      </c>
      <c r="BN112" s="105">
        <f t="shared" si="16"/>
        <v>0</v>
      </c>
      <c r="BO112" s="105">
        <f t="shared" ref="BO112:CT112" si="17">BO79+BO110</f>
        <v>0</v>
      </c>
      <c r="BP112" s="105">
        <f t="shared" si="17"/>
        <v>0</v>
      </c>
      <c r="BQ112" s="105">
        <f t="shared" si="17"/>
        <v>0</v>
      </c>
      <c r="BR112" s="105">
        <f t="shared" si="17"/>
        <v>0</v>
      </c>
      <c r="BS112" s="105">
        <f t="shared" si="17"/>
        <v>0</v>
      </c>
      <c r="BT112" s="105">
        <f t="shared" si="17"/>
        <v>0</v>
      </c>
      <c r="BU112" s="105">
        <f t="shared" si="17"/>
        <v>0</v>
      </c>
      <c r="BV112" s="105">
        <f t="shared" si="17"/>
        <v>0</v>
      </c>
      <c r="BW112" s="105">
        <f t="shared" si="17"/>
        <v>0</v>
      </c>
      <c r="BX112" s="105">
        <f t="shared" si="17"/>
        <v>0</v>
      </c>
      <c r="BY112" s="105">
        <f t="shared" si="17"/>
        <v>0</v>
      </c>
      <c r="BZ112" s="105">
        <f t="shared" si="17"/>
        <v>0</v>
      </c>
      <c r="CA112" s="105">
        <f t="shared" si="17"/>
        <v>0</v>
      </c>
      <c r="CB112" s="105">
        <f t="shared" si="17"/>
        <v>0</v>
      </c>
      <c r="CC112" s="105">
        <f t="shared" si="17"/>
        <v>0</v>
      </c>
      <c r="CD112" s="105">
        <f t="shared" si="17"/>
        <v>0</v>
      </c>
      <c r="CE112" s="105">
        <f t="shared" si="17"/>
        <v>0</v>
      </c>
      <c r="CF112" s="105">
        <f t="shared" si="17"/>
        <v>0</v>
      </c>
      <c r="CG112" s="105">
        <f t="shared" si="17"/>
        <v>0</v>
      </c>
      <c r="CH112" s="105">
        <f t="shared" si="17"/>
        <v>0</v>
      </c>
      <c r="CI112" s="105">
        <f t="shared" si="17"/>
        <v>0</v>
      </c>
      <c r="CJ112" s="105">
        <f t="shared" si="17"/>
        <v>0</v>
      </c>
      <c r="CK112" s="105">
        <f t="shared" si="17"/>
        <v>0</v>
      </c>
      <c r="CL112" s="105">
        <f t="shared" si="17"/>
        <v>0</v>
      </c>
      <c r="CM112" s="105">
        <f t="shared" si="17"/>
        <v>0</v>
      </c>
      <c r="CN112" s="105">
        <f t="shared" si="17"/>
        <v>0</v>
      </c>
      <c r="CO112" s="105">
        <f t="shared" si="17"/>
        <v>0</v>
      </c>
      <c r="CP112" s="105">
        <f t="shared" si="17"/>
        <v>0</v>
      </c>
      <c r="CQ112" s="105">
        <f t="shared" si="17"/>
        <v>0</v>
      </c>
      <c r="CR112" s="105">
        <f t="shared" si="17"/>
        <v>0</v>
      </c>
      <c r="CS112" s="105">
        <f t="shared" si="17"/>
        <v>0</v>
      </c>
      <c r="CT112" s="105">
        <f t="shared" si="17"/>
        <v>0</v>
      </c>
    </row>
    <row r="113" spans="3:98" ht="15" customHeight="1" x14ac:dyDescent="0.25">
      <c r="C113" s="336"/>
      <c r="D113" s="336"/>
      <c r="E113" s="336"/>
      <c r="F113" s="336"/>
      <c r="G113" s="336"/>
      <c r="H113" s="336"/>
      <c r="I113" s="336"/>
      <c r="J113" s="336"/>
      <c r="K113" s="336"/>
      <c r="L113" s="336"/>
      <c r="M113" s="336"/>
      <c r="N113" s="336"/>
      <c r="O113" s="336"/>
      <c r="P113" s="336"/>
      <c r="Q113" s="336"/>
      <c r="R113" s="336"/>
      <c r="S113" s="336"/>
      <c r="T113" s="336"/>
      <c r="U113" s="336"/>
      <c r="V113" s="336"/>
      <c r="W113" s="336"/>
      <c r="X113" s="336"/>
      <c r="Y113" s="336"/>
      <c r="Z113" s="336"/>
      <c r="AA113" s="336"/>
      <c r="AB113" s="336"/>
      <c r="AC113" s="336"/>
      <c r="AD113" s="336"/>
      <c r="AE113" s="336"/>
      <c r="AF113" s="336"/>
      <c r="AG113" s="336"/>
      <c r="AH113" s="336"/>
      <c r="AI113" s="336"/>
      <c r="AJ113" s="336"/>
      <c r="AK113" s="336"/>
      <c r="AL113" s="336"/>
      <c r="AM113" s="336"/>
      <c r="AN113" s="336"/>
      <c r="AO113" s="336"/>
      <c r="AP113" s="336"/>
      <c r="AQ113" s="336"/>
      <c r="AR113" s="336"/>
      <c r="AS113" s="336"/>
      <c r="AT113" s="336"/>
      <c r="AU113" s="336"/>
      <c r="AV113" s="336"/>
      <c r="AW113" s="336"/>
      <c r="AX113" s="336"/>
      <c r="AY113" s="336"/>
      <c r="AZ113" s="336"/>
      <c r="BA113" s="336"/>
      <c r="BB113" s="336"/>
      <c r="BC113" s="336"/>
      <c r="BD113" s="336"/>
      <c r="BE113" s="336"/>
      <c r="BF113" s="336"/>
      <c r="BG113" s="336"/>
      <c r="BH113" s="336"/>
      <c r="BI113" s="336"/>
      <c r="BJ113" s="336"/>
      <c r="BK113" s="336"/>
      <c r="BL113" s="336"/>
      <c r="BM113" s="336"/>
      <c r="BN113" s="336"/>
      <c r="BO113" s="336"/>
      <c r="BP113" s="336"/>
      <c r="BQ113" s="336"/>
      <c r="BR113" s="336"/>
      <c r="BS113" s="336"/>
      <c r="BT113" s="336"/>
      <c r="BU113" s="336"/>
      <c r="BV113" s="336"/>
      <c r="BW113" s="336"/>
      <c r="BX113" s="336"/>
      <c r="BY113" s="336"/>
      <c r="BZ113" s="336"/>
      <c r="CA113" s="336"/>
      <c r="CB113" s="336"/>
      <c r="CC113" s="336"/>
      <c r="CD113" s="336"/>
      <c r="CE113" s="336"/>
      <c r="CF113" s="336"/>
      <c r="CG113" s="336"/>
      <c r="CH113" s="336"/>
      <c r="CI113" s="336"/>
      <c r="CJ113" s="336"/>
      <c r="CK113" s="336"/>
      <c r="CL113" s="336"/>
      <c r="CM113" s="336"/>
      <c r="CN113" s="336"/>
      <c r="CO113" s="336"/>
      <c r="CP113" s="336"/>
      <c r="CQ113" s="336"/>
      <c r="CR113" s="336"/>
      <c r="CS113" s="336"/>
      <c r="CT113" s="336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B1833"/>
  </sheetPr>
  <dimension ref="A1:AZ108"/>
  <sheetViews>
    <sheetView zoomScale="85" zoomScaleNormal="85" workbookViewId="0">
      <selection activeCell="AY106" sqref="AY106"/>
    </sheetView>
  </sheetViews>
  <sheetFormatPr defaultColWidth="8.7109375" defaultRowHeight="15" x14ac:dyDescent="0.25"/>
  <cols>
    <col min="1" max="1" width="38" customWidth="1"/>
    <col min="2" max="52" width="12.42578125" customWidth="1"/>
  </cols>
  <sheetData>
    <row r="1" spans="1:52" ht="17.25" customHeight="1" x14ac:dyDescent="0.3">
      <c r="A1" s="90" t="s">
        <v>235</v>
      </c>
    </row>
    <row r="2" spans="1:52" ht="15" customHeight="1" x14ac:dyDescent="0.25">
      <c r="A2" s="91" t="s">
        <v>236</v>
      </c>
    </row>
    <row r="4" spans="1:52" ht="15" customHeight="1" x14ac:dyDescent="0.25">
      <c r="B4" s="357" t="s">
        <v>237</v>
      </c>
      <c r="C4" s="358"/>
      <c r="D4" s="358"/>
      <c r="E4" s="358"/>
      <c r="F4" s="357" t="s">
        <v>238</v>
      </c>
      <c r="G4" s="358"/>
      <c r="H4" s="358"/>
      <c r="I4" s="358"/>
      <c r="J4" s="357" t="s">
        <v>239</v>
      </c>
      <c r="K4" s="358"/>
      <c r="L4" s="358"/>
      <c r="M4" s="358"/>
      <c r="N4" s="357" t="s">
        <v>240</v>
      </c>
      <c r="O4" s="358"/>
      <c r="P4" s="358"/>
      <c r="Q4" s="358"/>
      <c r="R4" s="357" t="s">
        <v>241</v>
      </c>
      <c r="S4" s="358"/>
      <c r="T4" s="358"/>
      <c r="U4" s="358"/>
      <c r="V4" s="357" t="s">
        <v>242</v>
      </c>
      <c r="W4" s="358"/>
      <c r="X4" s="358"/>
      <c r="Y4" s="358"/>
      <c r="Z4" s="357" t="s">
        <v>243</v>
      </c>
      <c r="AA4" s="358"/>
      <c r="AB4" s="358"/>
      <c r="AC4" s="358"/>
      <c r="AD4" s="357" t="s">
        <v>244</v>
      </c>
      <c r="AE4" s="358"/>
      <c r="AF4" s="358"/>
      <c r="AG4" s="358"/>
      <c r="AH4" s="357" t="s">
        <v>245</v>
      </c>
      <c r="AI4" s="358"/>
      <c r="AJ4" s="358"/>
      <c r="AK4" s="358"/>
      <c r="AL4" s="357" t="s">
        <v>246</v>
      </c>
      <c r="AM4" s="358"/>
      <c r="AN4" s="358"/>
      <c r="AO4" s="358"/>
      <c r="AP4" s="357" t="s">
        <v>247</v>
      </c>
      <c r="AQ4" s="358"/>
      <c r="AR4" s="358"/>
      <c r="AS4" s="358"/>
      <c r="AT4" s="357" t="s">
        <v>248</v>
      </c>
      <c r="AU4" s="358"/>
      <c r="AV4" s="358"/>
      <c r="AW4" s="358"/>
      <c r="AX4" s="359" t="s">
        <v>249</v>
      </c>
      <c r="AY4" s="358"/>
      <c r="AZ4" s="358"/>
    </row>
    <row r="5" spans="1:52" ht="15" customHeight="1" x14ac:dyDescent="0.25">
      <c r="A5" s="106" t="s">
        <v>250</v>
      </c>
      <c r="B5" s="106" t="s">
        <v>251</v>
      </c>
      <c r="C5" s="106" t="s">
        <v>252</v>
      </c>
      <c r="D5" s="106" t="s">
        <v>253</v>
      </c>
      <c r="E5" s="106" t="s">
        <v>254</v>
      </c>
      <c r="F5" s="106" t="s">
        <v>251</v>
      </c>
      <c r="G5" s="106" t="s">
        <v>252</v>
      </c>
      <c r="H5" s="106" t="s">
        <v>253</v>
      </c>
      <c r="I5" s="106" t="s">
        <v>254</v>
      </c>
      <c r="J5" s="106" t="s">
        <v>251</v>
      </c>
      <c r="K5" s="106" t="s">
        <v>252</v>
      </c>
      <c r="L5" s="106" t="s">
        <v>253</v>
      </c>
      <c r="M5" s="106" t="s">
        <v>254</v>
      </c>
      <c r="N5" s="106" t="s">
        <v>251</v>
      </c>
      <c r="O5" s="106" t="s">
        <v>252</v>
      </c>
      <c r="P5" s="106" t="s">
        <v>253</v>
      </c>
      <c r="Q5" s="106" t="s">
        <v>254</v>
      </c>
      <c r="R5" s="106" t="s">
        <v>251</v>
      </c>
      <c r="S5" s="106" t="s">
        <v>252</v>
      </c>
      <c r="T5" s="106" t="s">
        <v>253</v>
      </c>
      <c r="U5" s="106" t="s">
        <v>254</v>
      </c>
      <c r="V5" s="106" t="s">
        <v>251</v>
      </c>
      <c r="W5" s="106" t="s">
        <v>252</v>
      </c>
      <c r="X5" s="106" t="s">
        <v>253</v>
      </c>
      <c r="Y5" s="106" t="s">
        <v>254</v>
      </c>
      <c r="Z5" s="106" t="s">
        <v>251</v>
      </c>
      <c r="AA5" s="106" t="s">
        <v>252</v>
      </c>
      <c r="AB5" s="106" t="s">
        <v>253</v>
      </c>
      <c r="AC5" s="106" t="s">
        <v>254</v>
      </c>
      <c r="AD5" s="106" t="s">
        <v>251</v>
      </c>
      <c r="AE5" s="106" t="s">
        <v>252</v>
      </c>
      <c r="AF5" s="106" t="s">
        <v>253</v>
      </c>
      <c r="AG5" s="106" t="s">
        <v>254</v>
      </c>
      <c r="AH5" s="106" t="s">
        <v>251</v>
      </c>
      <c r="AI5" s="106" t="s">
        <v>252</v>
      </c>
      <c r="AJ5" s="106" t="s">
        <v>253</v>
      </c>
      <c r="AK5" s="106" t="s">
        <v>254</v>
      </c>
      <c r="AL5" s="106" t="s">
        <v>251</v>
      </c>
      <c r="AM5" s="106" t="s">
        <v>252</v>
      </c>
      <c r="AN5" s="106" t="s">
        <v>253</v>
      </c>
      <c r="AO5" s="106" t="s">
        <v>254</v>
      </c>
      <c r="AP5" s="106" t="s">
        <v>251</v>
      </c>
      <c r="AQ5" s="106" t="s">
        <v>252</v>
      </c>
      <c r="AR5" s="106" t="s">
        <v>253</v>
      </c>
      <c r="AS5" s="106" t="s">
        <v>254</v>
      </c>
      <c r="AT5" s="106" t="s">
        <v>251</v>
      </c>
      <c r="AU5" s="106" t="s">
        <v>252</v>
      </c>
      <c r="AV5" s="106" t="s">
        <v>253</v>
      </c>
      <c r="AW5" s="106" t="s">
        <v>254</v>
      </c>
      <c r="AX5" s="107" t="s">
        <v>255</v>
      </c>
      <c r="AY5" s="107" t="s">
        <v>256</v>
      </c>
      <c r="AZ5" s="107" t="s">
        <v>257</v>
      </c>
    </row>
    <row r="6" spans="1:52" ht="15" customHeight="1" x14ac:dyDescent="0.25">
      <c r="A6" s="108" t="s">
        <v>11</v>
      </c>
      <c r="B6" s="109">
        <f>'Original Budget'!C8</f>
        <v>1453786.74</v>
      </c>
      <c r="C6" s="109">
        <f>IF(ISBLANK(Actuals!C8),"",Actuals!C8)</f>
        <v>1453786.74</v>
      </c>
      <c r="D6" s="110">
        <f>IF(ISBLANK(Actuals!C8),"",'Original Budget'!C8-Actuals!C8)</f>
        <v>0</v>
      </c>
      <c r="E6" s="110">
        <f>IFERROR(IF(ISBLANK(Actuals!C8),"",('Original Budget'!C8-Actuals!C8)/ABS('Original Budget'!C8)),"")</f>
        <v>0</v>
      </c>
      <c r="F6" s="109">
        <f>'Original Budget'!D8</f>
        <v>3022518.89</v>
      </c>
      <c r="G6" s="109">
        <f>IF(ISBLANK(Actuals!D8),"",Actuals!D8)</f>
        <v>3022518.89</v>
      </c>
      <c r="H6" s="110">
        <f>IF(ISBLANK(Actuals!D8),"",'Original Budget'!D8-Actuals!D8)</f>
        <v>0</v>
      </c>
      <c r="I6" s="110">
        <f>IFERROR(IF(ISBLANK(Actuals!D8),"",('Original Budget'!D8-Actuals!D8)/ABS('Original Budget'!D8)),"")</f>
        <v>0</v>
      </c>
      <c r="J6" s="109">
        <f>'Original Budget'!E8</f>
        <v>2672216.16</v>
      </c>
      <c r="K6" s="109">
        <f>IF(ISBLANK(Actuals!E8),"",Actuals!E8)</f>
        <v>2672216.16</v>
      </c>
      <c r="L6" s="110">
        <f>IF(ISBLANK(Actuals!E8),"",'Original Budget'!E8-Actuals!E8)</f>
        <v>0</v>
      </c>
      <c r="M6" s="110">
        <f>IFERROR(IF(ISBLANK(Actuals!E8),"",('Original Budget'!E8-Actuals!E8)/ABS('Original Budget'!E8)),"")</f>
        <v>0</v>
      </c>
      <c r="N6" s="109">
        <f>'Original Budget'!F8</f>
        <v>4454367.6502882903</v>
      </c>
      <c r="O6" s="109">
        <f>IF(ISBLANK(Actuals!F8),"",Actuals!F8)</f>
        <v>3692357.9</v>
      </c>
      <c r="P6" s="110">
        <f>IF(ISBLANK(Actuals!F8),"",'Original Budget'!F8-Actuals!F8)</f>
        <v>762009.75028829044</v>
      </c>
      <c r="Q6" s="110">
        <f>IFERROR(IF(ISBLANK(Actuals!F8),"",('Original Budget'!F8-Actuals!F8)/ABS('Original Budget'!F8)),"")</f>
        <v>0.17107024164001652</v>
      </c>
      <c r="R6" s="109">
        <f>'Original Budget'!G8</f>
        <v>4647327.0009306697</v>
      </c>
      <c r="S6" s="109" t="str">
        <f>IF(ISBLANK(Actuals!G8),"",Actuals!G8)</f>
        <v/>
      </c>
      <c r="T6" s="110" t="str">
        <f>IF(ISBLANK(Actuals!G8),"",'Original Budget'!G8-Actuals!G8)</f>
        <v/>
      </c>
      <c r="U6" s="110" t="str">
        <f>IFERROR(IF(ISBLANK(Actuals!G8),"",('Original Budget'!G8-Actuals!G8)/ABS('Original Budget'!G8)),"")</f>
        <v/>
      </c>
      <c r="V6" s="109">
        <f>'Original Budget'!H8</f>
        <v>4783559.04804755</v>
      </c>
      <c r="W6" s="109" t="str">
        <f>IF(ISBLANK(Actuals!H8),"",Actuals!H8)</f>
        <v/>
      </c>
      <c r="X6" s="110" t="str">
        <f>IF(ISBLANK(Actuals!H8),"",'Original Budget'!H8-Actuals!H8)</f>
        <v/>
      </c>
      <c r="Y6" s="110" t="str">
        <f>IFERROR(IF(ISBLANK(Actuals!H8),"",('Original Budget'!H8-Actuals!H8)/ABS('Original Budget'!H8)),"")</f>
        <v/>
      </c>
      <c r="Z6" s="109">
        <f>'Original Budget'!I8</f>
        <v>5733416.5938398698</v>
      </c>
      <c r="AA6" s="109" t="str">
        <f>IF(ISBLANK(Actuals!I8),"",Actuals!I8)</f>
        <v/>
      </c>
      <c r="AB6" s="110" t="str">
        <f>IF(ISBLANK(Actuals!I8),"",'Original Budget'!I8-Actuals!I8)</f>
        <v/>
      </c>
      <c r="AC6" s="110" t="str">
        <f>IFERROR(IF(ISBLANK(Actuals!I8),"",('Original Budget'!I8-Actuals!I8)/ABS('Original Budget'!I8)),"")</f>
        <v/>
      </c>
      <c r="AD6" s="109">
        <f>'Original Budget'!J8</f>
        <v>5892911.4458942898</v>
      </c>
      <c r="AE6" s="109" t="str">
        <f>IF(ISBLANK(Actuals!J8),"",Actuals!J8)</f>
        <v/>
      </c>
      <c r="AF6" s="110" t="str">
        <f>IF(ISBLANK(Actuals!J8),"",'Original Budget'!J8-Actuals!J8)</f>
        <v/>
      </c>
      <c r="AG6" s="110" t="str">
        <f>IFERROR(IF(ISBLANK(Actuals!J8),"",('Original Budget'!J8-Actuals!J8)/ABS('Original Budget'!J8)),"")</f>
        <v/>
      </c>
      <c r="AH6" s="109">
        <f>'Original Budget'!K8</f>
        <v>5985551.5079940297</v>
      </c>
      <c r="AI6" s="109" t="str">
        <f>IF(ISBLANK(Actuals!K8),"",Actuals!K8)</f>
        <v/>
      </c>
      <c r="AJ6" s="110" t="str">
        <f>IF(ISBLANK(Actuals!K8),"",'Original Budget'!K8-Actuals!K8)</f>
        <v/>
      </c>
      <c r="AK6" s="110" t="str">
        <f>IFERROR(IF(ISBLANK(Actuals!K8),"",('Original Budget'!K8-Actuals!K8)/ABS('Original Budget'!K8)),"")</f>
        <v/>
      </c>
      <c r="AL6" s="109">
        <f>'Original Budget'!L8</f>
        <v>6624695.0930872401</v>
      </c>
      <c r="AM6" s="109" t="str">
        <f>IF(ISBLANK(Actuals!L8),"",Actuals!L8)</f>
        <v/>
      </c>
      <c r="AN6" s="110" t="str">
        <f>IF(ISBLANK(Actuals!L8),"",'Original Budget'!L8-Actuals!L8)</f>
        <v/>
      </c>
      <c r="AO6" s="110" t="str">
        <f>IFERROR(IF(ISBLANK(Actuals!L8),"",('Original Budget'!L8-Actuals!L8)/ABS('Original Budget'!L8)),"")</f>
        <v/>
      </c>
      <c r="AP6" s="109">
        <f>'Original Budget'!M8</f>
        <v>7264827.1133561702</v>
      </c>
      <c r="AQ6" s="109" t="str">
        <f>IF(ISBLANK(Actuals!M8),"",Actuals!M8)</f>
        <v/>
      </c>
      <c r="AR6" s="110" t="str">
        <f>IF(ISBLANK(Actuals!M8),"",'Original Budget'!M8-Actuals!M8)</f>
        <v/>
      </c>
      <c r="AS6" s="110" t="str">
        <f>IFERROR(IF(ISBLANK(Actuals!M8),"",('Original Budget'!M8-Actuals!M8)/ABS('Original Budget'!M8)),"")</f>
        <v/>
      </c>
      <c r="AT6" s="109">
        <f>'Original Budget'!N8</f>
        <v>6982817.0374313602</v>
      </c>
      <c r="AU6" s="109" t="str">
        <f>IF(ISBLANK(Actuals!N8),"",Actuals!N8)</f>
        <v/>
      </c>
      <c r="AV6" s="110" t="str">
        <f>IF(ISBLANK(Actuals!N8),"",'Original Budget'!N8-Actuals!N8)</f>
        <v/>
      </c>
      <c r="AW6" s="110" t="str">
        <f>IFERROR(IF(ISBLANK(Actuals!N8),"",('Original Budget'!N8-Actuals!N8)/ABS('Original Budget'!N8)),"")</f>
        <v/>
      </c>
      <c r="AX6" s="111">
        <f>SUMPRODUCT((Actuals!C8:N8&lt;&gt;"")*('Original Budget'!C8:N8))</f>
        <v>11602889.44028829</v>
      </c>
      <c r="AY6" s="111">
        <f>SUM(Actuals!C8:N8)</f>
        <v>10840879.689999999</v>
      </c>
      <c r="AZ6" s="112">
        <f t="shared" ref="AZ6:AZ37" si="0">AX6-AY6</f>
        <v>762009.7502882909</v>
      </c>
    </row>
    <row r="7" spans="1:52" ht="15" customHeight="1" x14ac:dyDescent="0.25">
      <c r="A7" s="108" t="s">
        <v>56</v>
      </c>
      <c r="B7" s="109">
        <f>'Original Budget'!C9</f>
        <v>116363.3</v>
      </c>
      <c r="C7" s="109">
        <f>IF(ISBLANK(Actuals!C9),"",Actuals!C9)</f>
        <v>116363.3</v>
      </c>
      <c r="D7" s="110">
        <f>IF(ISBLANK(Actuals!C9),"",'Original Budget'!C9-Actuals!C9)</f>
        <v>0</v>
      </c>
      <c r="E7" s="110">
        <f>IFERROR(IF(ISBLANK(Actuals!C9),"",('Original Budget'!C9-Actuals!C9)/ABS('Original Budget'!C9)),"")</f>
        <v>0</v>
      </c>
      <c r="F7" s="109">
        <f>'Original Budget'!D9</f>
        <v>138801.51999999999</v>
      </c>
      <c r="G7" s="109">
        <f>IF(ISBLANK(Actuals!D9),"",Actuals!D9)</f>
        <v>138801.51999999999</v>
      </c>
      <c r="H7" s="110">
        <f>IF(ISBLANK(Actuals!D9),"",'Original Budget'!D9-Actuals!D9)</f>
        <v>0</v>
      </c>
      <c r="I7" s="110">
        <f>IFERROR(IF(ISBLANK(Actuals!D9),"",('Original Budget'!D9-Actuals!D9)/ABS('Original Budget'!D9)),"")</f>
        <v>0</v>
      </c>
      <c r="J7" s="109">
        <f>'Original Budget'!E9</f>
        <v>219366.88</v>
      </c>
      <c r="K7" s="109">
        <f>IF(ISBLANK(Actuals!E9),"",Actuals!E9)</f>
        <v>219366.88</v>
      </c>
      <c r="L7" s="110">
        <f>IF(ISBLANK(Actuals!E9),"",'Original Budget'!E9-Actuals!E9)</f>
        <v>0</v>
      </c>
      <c r="M7" s="110">
        <f>IFERROR(IF(ISBLANK(Actuals!E9),"",('Original Budget'!E9-Actuals!E9)/ABS('Original Budget'!E9)),"")</f>
        <v>0</v>
      </c>
      <c r="N7" s="109">
        <f>'Original Budget'!F9</f>
        <v>267934.87995748903</v>
      </c>
      <c r="O7" s="109">
        <f>IF(ISBLANK(Actuals!F9),"",Actuals!F9)</f>
        <v>212079.14</v>
      </c>
      <c r="P7" s="110">
        <f>IF(ISBLANK(Actuals!F9),"",'Original Budget'!F9-Actuals!F9)</f>
        <v>55855.739957489015</v>
      </c>
      <c r="Q7" s="110">
        <f>IFERROR(IF(ISBLANK(Actuals!F9),"",('Original Budget'!F9-Actuals!F9)/ABS('Original Budget'!F9)),"")</f>
        <v>0.20846759468700446</v>
      </c>
      <c r="R7" s="109">
        <f>'Original Budget'!G9</f>
        <v>267934.87995748903</v>
      </c>
      <c r="S7" s="109" t="str">
        <f>IF(ISBLANK(Actuals!G9),"",Actuals!G9)</f>
        <v/>
      </c>
      <c r="T7" s="110" t="str">
        <f>IF(ISBLANK(Actuals!G9),"",'Original Budget'!G9-Actuals!G9)</f>
        <v/>
      </c>
      <c r="U7" s="110" t="str">
        <f>IFERROR(IF(ISBLANK(Actuals!G9),"",('Original Budget'!G9-Actuals!G9)/ABS('Original Budget'!G9)),"")</f>
        <v/>
      </c>
      <c r="V7" s="109">
        <f>'Original Budget'!H9</f>
        <v>267934.87995748903</v>
      </c>
      <c r="W7" s="109" t="str">
        <f>IF(ISBLANK(Actuals!H9),"",Actuals!H9)</f>
        <v/>
      </c>
      <c r="X7" s="110" t="str">
        <f>IF(ISBLANK(Actuals!H9),"",'Original Budget'!H9-Actuals!H9)</f>
        <v/>
      </c>
      <c r="Y7" s="110" t="str">
        <f>IFERROR(IF(ISBLANK(Actuals!H9),"",('Original Budget'!H9-Actuals!H9)/ABS('Original Budget'!H9)),"")</f>
        <v/>
      </c>
      <c r="Z7" s="109">
        <f>'Original Budget'!I9</f>
        <v>361542.001995889</v>
      </c>
      <c r="AA7" s="109" t="str">
        <f>IF(ISBLANK(Actuals!I9),"",Actuals!I9)</f>
        <v/>
      </c>
      <c r="AB7" s="110" t="str">
        <f>IF(ISBLANK(Actuals!I9),"",'Original Budget'!I9-Actuals!I9)</f>
        <v/>
      </c>
      <c r="AC7" s="110" t="str">
        <f>IFERROR(IF(ISBLANK(Actuals!I9),"",('Original Budget'!I9-Actuals!I9)/ABS('Original Budget'!I9)),"")</f>
        <v/>
      </c>
      <c r="AD7" s="109">
        <f>'Original Budget'!J9</f>
        <v>361542.001995889</v>
      </c>
      <c r="AE7" s="109" t="str">
        <f>IF(ISBLANK(Actuals!J9),"",Actuals!J9)</f>
        <v/>
      </c>
      <c r="AF7" s="110" t="str">
        <f>IF(ISBLANK(Actuals!J9),"",'Original Budget'!J9-Actuals!J9)</f>
        <v/>
      </c>
      <c r="AG7" s="110" t="str">
        <f>IFERROR(IF(ISBLANK(Actuals!J9),"",('Original Budget'!J9-Actuals!J9)/ABS('Original Budget'!J9)),"")</f>
        <v/>
      </c>
      <c r="AH7" s="109">
        <f>'Original Budget'!K9</f>
        <v>361542.001995889</v>
      </c>
      <c r="AI7" s="109" t="str">
        <f>IF(ISBLANK(Actuals!K9),"",Actuals!K9)</f>
        <v/>
      </c>
      <c r="AJ7" s="110" t="str">
        <f>IF(ISBLANK(Actuals!K9),"",'Original Budget'!K9-Actuals!K9)</f>
        <v/>
      </c>
      <c r="AK7" s="110" t="str">
        <f>IFERROR(IF(ISBLANK(Actuals!K9),"",('Original Budget'!K9-Actuals!K9)/ABS('Original Budget'!K9)),"")</f>
        <v/>
      </c>
      <c r="AL7" s="109">
        <f>'Original Budget'!L9</f>
        <v>442929.46088908002</v>
      </c>
      <c r="AM7" s="109" t="str">
        <f>IF(ISBLANK(Actuals!L9),"",Actuals!L9)</f>
        <v/>
      </c>
      <c r="AN7" s="110" t="str">
        <f>IF(ISBLANK(Actuals!L9),"",'Original Budget'!L9-Actuals!L9)</f>
        <v/>
      </c>
      <c r="AO7" s="110" t="str">
        <f>IFERROR(IF(ISBLANK(Actuals!L9),"",('Original Budget'!L9-Actuals!L9)/ABS('Original Budget'!L9)),"")</f>
        <v/>
      </c>
      <c r="AP7" s="109">
        <f>'Original Budget'!M9</f>
        <v>525344.50860475702</v>
      </c>
      <c r="AQ7" s="109" t="str">
        <f>IF(ISBLANK(Actuals!M9),"",Actuals!M9)</f>
        <v/>
      </c>
      <c r="AR7" s="110" t="str">
        <f>IF(ISBLANK(Actuals!M9),"",'Original Budget'!M9-Actuals!M9)</f>
        <v/>
      </c>
      <c r="AS7" s="110" t="str">
        <f>IFERROR(IF(ISBLANK(Actuals!M9),"",('Original Budget'!M9-Actuals!M9)/ABS('Original Budget'!M9)),"")</f>
        <v/>
      </c>
      <c r="AT7" s="109">
        <f>'Original Budget'!N9</f>
        <v>442616.79048053903</v>
      </c>
      <c r="AU7" s="109" t="str">
        <f>IF(ISBLANK(Actuals!N9),"",Actuals!N9)</f>
        <v/>
      </c>
      <c r="AV7" s="110" t="str">
        <f>IF(ISBLANK(Actuals!N9),"",'Original Budget'!N9-Actuals!N9)</f>
        <v/>
      </c>
      <c r="AW7" s="110" t="str">
        <f>IFERROR(IF(ISBLANK(Actuals!N9),"",('Original Budget'!N9-Actuals!N9)/ABS('Original Budget'!N9)),"")</f>
        <v/>
      </c>
      <c r="AX7" s="111">
        <f>SUMPRODUCT((Actuals!C9:N9&lt;&gt;"")*('Original Budget'!C9:N9))</f>
        <v>742466.57995748904</v>
      </c>
      <c r="AY7" s="111">
        <f>SUM(Actuals!C9:N9)</f>
        <v>686610.84000000008</v>
      </c>
      <c r="AZ7" s="112">
        <f t="shared" si="0"/>
        <v>55855.739957488957</v>
      </c>
    </row>
    <row r="8" spans="1:52" ht="15" customHeight="1" x14ac:dyDescent="0.25">
      <c r="A8" s="108" t="s">
        <v>57</v>
      </c>
      <c r="B8" s="109">
        <f>'Original Budget'!C10</f>
        <v>0</v>
      </c>
      <c r="C8" s="109">
        <f>IF(ISBLANK(Actuals!C10),"",Actuals!C10)</f>
        <v>0</v>
      </c>
      <c r="D8" s="110">
        <f>IF(ISBLANK(Actuals!C10),"",'Original Budget'!C10-Actuals!C10)</f>
        <v>0</v>
      </c>
      <c r="E8" s="110" t="str">
        <f>IFERROR(IF(ISBLANK(Actuals!C10),"",('Original Budget'!C10-Actuals!C10)/ABS('Original Budget'!C10)),"")</f>
        <v/>
      </c>
      <c r="F8" s="109">
        <f>'Original Budget'!D10</f>
        <v>0</v>
      </c>
      <c r="G8" s="109">
        <f>IF(ISBLANK(Actuals!D10),"",Actuals!D10)</f>
        <v>0</v>
      </c>
      <c r="H8" s="110">
        <f>IF(ISBLANK(Actuals!D10),"",'Original Budget'!D10-Actuals!D10)</f>
        <v>0</v>
      </c>
      <c r="I8" s="110" t="str">
        <f>IFERROR(IF(ISBLANK(Actuals!D10),"",('Original Budget'!D10-Actuals!D10)/ABS('Original Budget'!D10)),"")</f>
        <v/>
      </c>
      <c r="J8" s="109">
        <f>'Original Budget'!E10</f>
        <v>0</v>
      </c>
      <c r="K8" s="109">
        <f>IF(ISBLANK(Actuals!E10),"",Actuals!E10)</f>
        <v>0</v>
      </c>
      <c r="L8" s="110">
        <f>IF(ISBLANK(Actuals!E10),"",'Original Budget'!E10-Actuals!E10)</f>
        <v>0</v>
      </c>
      <c r="M8" s="110" t="str">
        <f>IFERROR(IF(ISBLANK(Actuals!E10),"",('Original Budget'!E10-Actuals!E10)/ABS('Original Budget'!E10)),"")</f>
        <v/>
      </c>
      <c r="N8" s="109">
        <f>'Original Budget'!F10</f>
        <v>0</v>
      </c>
      <c r="O8" s="109">
        <f>IF(ISBLANK(Actuals!F10),"",Actuals!F10)</f>
        <v>0</v>
      </c>
      <c r="P8" s="110">
        <f>IF(ISBLANK(Actuals!F10),"",'Original Budget'!F10-Actuals!F10)</f>
        <v>0</v>
      </c>
      <c r="Q8" s="110" t="str">
        <f>IFERROR(IF(ISBLANK(Actuals!F10),"",('Original Budget'!F10-Actuals!F10)/ABS('Original Budget'!F10)),"")</f>
        <v/>
      </c>
      <c r="R8" s="109">
        <f>'Original Budget'!G10</f>
        <v>0</v>
      </c>
      <c r="S8" s="109" t="str">
        <f>IF(ISBLANK(Actuals!G10),"",Actuals!G10)</f>
        <v/>
      </c>
      <c r="T8" s="110" t="str">
        <f>IF(ISBLANK(Actuals!G10),"",'Original Budget'!G10-Actuals!G10)</f>
        <v/>
      </c>
      <c r="U8" s="110" t="str">
        <f>IFERROR(IF(ISBLANK(Actuals!G10),"",('Original Budget'!G10-Actuals!G10)/ABS('Original Budget'!G10)),"")</f>
        <v/>
      </c>
      <c r="V8" s="109">
        <f>'Original Budget'!H10</f>
        <v>0</v>
      </c>
      <c r="W8" s="109" t="str">
        <f>IF(ISBLANK(Actuals!H10),"",Actuals!H10)</f>
        <v/>
      </c>
      <c r="X8" s="110" t="str">
        <f>IF(ISBLANK(Actuals!H10),"",'Original Budget'!H10-Actuals!H10)</f>
        <v/>
      </c>
      <c r="Y8" s="110" t="str">
        <f>IFERROR(IF(ISBLANK(Actuals!H10),"",('Original Budget'!H10-Actuals!H10)/ABS('Original Budget'!H10)),"")</f>
        <v/>
      </c>
      <c r="Z8" s="109">
        <f>'Original Budget'!I10</f>
        <v>0</v>
      </c>
      <c r="AA8" s="109" t="str">
        <f>IF(ISBLANK(Actuals!I10),"",Actuals!I10)</f>
        <v/>
      </c>
      <c r="AB8" s="110" t="str">
        <f>IF(ISBLANK(Actuals!I10),"",'Original Budget'!I10-Actuals!I10)</f>
        <v/>
      </c>
      <c r="AC8" s="110" t="str">
        <f>IFERROR(IF(ISBLANK(Actuals!I10),"",('Original Budget'!I10-Actuals!I10)/ABS('Original Budget'!I10)),"")</f>
        <v/>
      </c>
      <c r="AD8" s="109">
        <f>'Original Budget'!J10</f>
        <v>0</v>
      </c>
      <c r="AE8" s="109" t="str">
        <f>IF(ISBLANK(Actuals!J10),"",Actuals!J10)</f>
        <v/>
      </c>
      <c r="AF8" s="110" t="str">
        <f>IF(ISBLANK(Actuals!J10),"",'Original Budget'!J10-Actuals!J10)</f>
        <v/>
      </c>
      <c r="AG8" s="110" t="str">
        <f>IFERROR(IF(ISBLANK(Actuals!J10),"",('Original Budget'!J10-Actuals!J10)/ABS('Original Budget'!J10)),"")</f>
        <v/>
      </c>
      <c r="AH8" s="109">
        <f>'Original Budget'!K10</f>
        <v>0</v>
      </c>
      <c r="AI8" s="109" t="str">
        <f>IF(ISBLANK(Actuals!K10),"",Actuals!K10)</f>
        <v/>
      </c>
      <c r="AJ8" s="110" t="str">
        <f>IF(ISBLANK(Actuals!K10),"",'Original Budget'!K10-Actuals!K10)</f>
        <v/>
      </c>
      <c r="AK8" s="110" t="str">
        <f>IFERROR(IF(ISBLANK(Actuals!K10),"",('Original Budget'!K10-Actuals!K10)/ABS('Original Budget'!K10)),"")</f>
        <v/>
      </c>
      <c r="AL8" s="109">
        <f>'Original Budget'!L10</f>
        <v>0</v>
      </c>
      <c r="AM8" s="109" t="str">
        <f>IF(ISBLANK(Actuals!L10),"",Actuals!L10)</f>
        <v/>
      </c>
      <c r="AN8" s="110" t="str">
        <f>IF(ISBLANK(Actuals!L10),"",'Original Budget'!L10-Actuals!L10)</f>
        <v/>
      </c>
      <c r="AO8" s="110" t="str">
        <f>IFERROR(IF(ISBLANK(Actuals!L10),"",('Original Budget'!L10-Actuals!L10)/ABS('Original Budget'!L10)),"")</f>
        <v/>
      </c>
      <c r="AP8" s="109">
        <f>'Original Budget'!M10</f>
        <v>0</v>
      </c>
      <c r="AQ8" s="109" t="str">
        <f>IF(ISBLANK(Actuals!M10),"",Actuals!M10)</f>
        <v/>
      </c>
      <c r="AR8" s="110" t="str">
        <f>IF(ISBLANK(Actuals!M10),"",'Original Budget'!M10-Actuals!M10)</f>
        <v/>
      </c>
      <c r="AS8" s="110" t="str">
        <f>IFERROR(IF(ISBLANK(Actuals!M10),"",('Original Budget'!M10-Actuals!M10)/ABS('Original Budget'!M10)),"")</f>
        <v/>
      </c>
      <c r="AT8" s="109">
        <f>'Original Budget'!N10</f>
        <v>0</v>
      </c>
      <c r="AU8" s="109" t="str">
        <f>IF(ISBLANK(Actuals!N10),"",Actuals!N10)</f>
        <v/>
      </c>
      <c r="AV8" s="110" t="str">
        <f>IF(ISBLANK(Actuals!N10),"",'Original Budget'!N10-Actuals!N10)</f>
        <v/>
      </c>
      <c r="AW8" s="110" t="str">
        <f>IFERROR(IF(ISBLANK(Actuals!N10),"",('Original Budget'!N10-Actuals!N10)/ABS('Original Budget'!N10)),"")</f>
        <v/>
      </c>
      <c r="AX8" s="111">
        <f>SUMPRODUCT((Actuals!C10:N10&lt;&gt;"")*('Original Budget'!C10:N10))</f>
        <v>0</v>
      </c>
      <c r="AY8" s="111">
        <f>SUM(Actuals!C10:N10)</f>
        <v>0</v>
      </c>
      <c r="AZ8" s="112">
        <f t="shared" si="0"/>
        <v>0</v>
      </c>
    </row>
    <row r="9" spans="1:52" ht="15" customHeight="1" x14ac:dyDescent="0.25">
      <c r="A9" s="108" t="s">
        <v>258</v>
      </c>
      <c r="B9" s="109">
        <f>'Original Budget'!C11</f>
        <v>95370.25</v>
      </c>
      <c r="C9" s="109">
        <f>IF(ISBLANK(Actuals!C11),"",Actuals!C11)</f>
        <v>95370.25</v>
      </c>
      <c r="D9" s="110">
        <f>IF(ISBLANK(Actuals!C11),"",'Original Budget'!C11-Actuals!C11)</f>
        <v>0</v>
      </c>
      <c r="E9" s="110">
        <f>IFERROR(IF(ISBLANK(Actuals!C11),"",('Original Budget'!C11-Actuals!C11)/ABS('Original Budget'!C11)),"")</f>
        <v>0</v>
      </c>
      <c r="F9" s="109">
        <f>'Original Budget'!D11</f>
        <v>173282.89</v>
      </c>
      <c r="G9" s="109">
        <f>IF(ISBLANK(Actuals!D11),"",Actuals!D11)</f>
        <v>173282.89</v>
      </c>
      <c r="H9" s="110">
        <f>IF(ISBLANK(Actuals!D11),"",'Original Budget'!D11-Actuals!D11)</f>
        <v>0</v>
      </c>
      <c r="I9" s="110">
        <f>IFERROR(IF(ISBLANK(Actuals!D11),"",('Original Budget'!D11-Actuals!D11)/ABS('Original Budget'!D11)),"")</f>
        <v>0</v>
      </c>
      <c r="J9" s="109">
        <f>'Original Budget'!E11</f>
        <v>50438.85</v>
      </c>
      <c r="K9" s="109">
        <f>IF(ISBLANK(Actuals!E11),"",Actuals!E11)</f>
        <v>50438.85</v>
      </c>
      <c r="L9" s="110">
        <f>IF(ISBLANK(Actuals!E11),"",'Original Budget'!E11-Actuals!E11)</f>
        <v>0</v>
      </c>
      <c r="M9" s="110">
        <f>IFERROR(IF(ISBLANK(Actuals!E11),"",('Original Budget'!E11-Actuals!E11)/ABS('Original Budget'!E11)),"")</f>
        <v>0</v>
      </c>
      <c r="N9" s="109">
        <f>'Original Budget'!F11</f>
        <v>200950.18629677399</v>
      </c>
      <c r="O9" s="109">
        <f>IF(ISBLANK(Actuals!F11),"",Actuals!F11)</f>
        <v>167518.85</v>
      </c>
      <c r="P9" s="110">
        <f>IF(ISBLANK(Actuals!F11),"",'Original Budget'!F11-Actuals!F11)</f>
        <v>33431.336296773981</v>
      </c>
      <c r="Q9" s="110">
        <f>IFERROR(IF(ISBLANK(Actuals!F11),"",('Original Budget'!F11-Actuals!F11)/ABS('Original Budget'!F11)),"")</f>
        <v>0.16636628665474734</v>
      </c>
      <c r="R9" s="109">
        <f>'Original Budget'!G11</f>
        <v>200950.18629677399</v>
      </c>
      <c r="S9" s="109" t="str">
        <f>IF(ISBLANK(Actuals!G11),"",Actuals!G11)</f>
        <v/>
      </c>
      <c r="T9" s="110" t="str">
        <f>IF(ISBLANK(Actuals!G11),"",'Original Budget'!G11-Actuals!G11)</f>
        <v/>
      </c>
      <c r="U9" s="110" t="str">
        <f>IFERROR(IF(ISBLANK(Actuals!G11),"",('Original Budget'!G11-Actuals!G11)/ABS('Original Budget'!G11)),"")</f>
        <v/>
      </c>
      <c r="V9" s="109">
        <f>'Original Budget'!H11</f>
        <v>200950.18629677399</v>
      </c>
      <c r="W9" s="109" t="str">
        <f>IF(ISBLANK(Actuals!H11),"",Actuals!H11)</f>
        <v/>
      </c>
      <c r="X9" s="110" t="str">
        <f>IF(ISBLANK(Actuals!H11),"",'Original Budget'!H11-Actuals!H11)</f>
        <v/>
      </c>
      <c r="Y9" s="110" t="str">
        <f>IFERROR(IF(ISBLANK(Actuals!H11),"",('Original Budget'!H11-Actuals!H11)/ABS('Original Budget'!H11)),"")</f>
        <v/>
      </c>
      <c r="Z9" s="109">
        <f>'Original Budget'!I11</f>
        <v>271155.18765869399</v>
      </c>
      <c r="AA9" s="109" t="str">
        <f>IF(ISBLANK(Actuals!I11),"",Actuals!I11)</f>
        <v/>
      </c>
      <c r="AB9" s="110" t="str">
        <f>IF(ISBLANK(Actuals!I11),"",'Original Budget'!I11-Actuals!I11)</f>
        <v/>
      </c>
      <c r="AC9" s="110" t="str">
        <f>IFERROR(IF(ISBLANK(Actuals!I11),"",('Original Budget'!I11-Actuals!I11)/ABS('Original Budget'!I11)),"")</f>
        <v/>
      </c>
      <c r="AD9" s="109">
        <f>'Original Budget'!J11</f>
        <v>271155.18765869399</v>
      </c>
      <c r="AE9" s="109" t="str">
        <f>IF(ISBLANK(Actuals!J11),"",Actuals!J11)</f>
        <v/>
      </c>
      <c r="AF9" s="110" t="str">
        <f>IF(ISBLANK(Actuals!J11),"",'Original Budget'!J11-Actuals!J11)</f>
        <v/>
      </c>
      <c r="AG9" s="110" t="str">
        <f>IFERROR(IF(ISBLANK(Actuals!J11),"",('Original Budget'!J11-Actuals!J11)/ABS('Original Budget'!J11)),"")</f>
        <v/>
      </c>
      <c r="AH9" s="109">
        <f>'Original Budget'!K11</f>
        <v>271155.18765869399</v>
      </c>
      <c r="AI9" s="109" t="str">
        <f>IF(ISBLANK(Actuals!K11),"",Actuals!K11)</f>
        <v/>
      </c>
      <c r="AJ9" s="110" t="str">
        <f>IF(ISBLANK(Actuals!K11),"",'Original Budget'!K11-Actuals!K11)</f>
        <v/>
      </c>
      <c r="AK9" s="110" t="str">
        <f>IFERROR(IF(ISBLANK(Actuals!K11),"",('Original Budget'!K11-Actuals!K11)/ABS('Original Budget'!K11)),"")</f>
        <v/>
      </c>
      <c r="AL9" s="109">
        <f>'Original Budget'!L11</f>
        <v>332195.48606778099</v>
      </c>
      <c r="AM9" s="109" t="str">
        <f>IF(ISBLANK(Actuals!L11),"",Actuals!L11)</f>
        <v/>
      </c>
      <c r="AN9" s="110" t="str">
        <f>IF(ISBLANK(Actuals!L11),"",'Original Budget'!L11-Actuals!L11)</f>
        <v/>
      </c>
      <c r="AO9" s="110" t="str">
        <f>IFERROR(IF(ISBLANK(Actuals!L11),"",('Original Budget'!L11-Actuals!L11)/ABS('Original Budget'!L11)),"")</f>
        <v/>
      </c>
      <c r="AP9" s="109">
        <f>'Original Budget'!M11</f>
        <v>394006.47235948901</v>
      </c>
      <c r="AQ9" s="109" t="str">
        <f>IF(ISBLANK(Actuals!M11),"",Actuals!M11)</f>
        <v/>
      </c>
      <c r="AR9" s="110" t="str">
        <f>IF(ISBLANK(Actuals!M11),"",'Original Budget'!M11-Actuals!M11)</f>
        <v/>
      </c>
      <c r="AS9" s="110" t="str">
        <f>IFERROR(IF(ISBLANK(Actuals!M11),"",('Original Budget'!M11-Actuals!M11)/ABS('Original Budget'!M11)),"")</f>
        <v/>
      </c>
      <c r="AT9" s="109">
        <f>'Original Budget'!N11</f>
        <v>331960.98439761403</v>
      </c>
      <c r="AU9" s="109" t="str">
        <f>IF(ISBLANK(Actuals!N11),"",Actuals!N11)</f>
        <v/>
      </c>
      <c r="AV9" s="110" t="str">
        <f>IF(ISBLANK(Actuals!N11),"",'Original Budget'!N11-Actuals!N11)</f>
        <v/>
      </c>
      <c r="AW9" s="110" t="str">
        <f>IFERROR(IF(ISBLANK(Actuals!N11),"",('Original Budget'!N11-Actuals!N11)/ABS('Original Budget'!N11)),"")</f>
        <v/>
      </c>
      <c r="AX9" s="111">
        <f>SUMPRODUCT((Actuals!C11:N11&lt;&gt;"")*('Original Budget'!C11:N11))</f>
        <v>520042.17629677395</v>
      </c>
      <c r="AY9" s="111">
        <f>SUM(Actuals!C11:N11)</f>
        <v>486610.83999999997</v>
      </c>
      <c r="AZ9" s="112">
        <f t="shared" si="0"/>
        <v>33431.336296773981</v>
      </c>
    </row>
    <row r="10" spans="1:52" ht="15" customHeight="1" x14ac:dyDescent="0.25">
      <c r="A10" s="108" t="s">
        <v>59</v>
      </c>
      <c r="B10" s="109">
        <f>'Original Budget'!C12</f>
        <v>0</v>
      </c>
      <c r="C10" s="109">
        <f>IF(ISBLANK(Actuals!C12),"",Actuals!C12)</f>
        <v>0</v>
      </c>
      <c r="D10" s="110">
        <f>IF(ISBLANK(Actuals!C12),"",'Original Budget'!C12-Actuals!C12)</f>
        <v>0</v>
      </c>
      <c r="E10" s="110" t="str">
        <f>IFERROR(IF(ISBLANK(Actuals!C12),"",('Original Budget'!C12-Actuals!C12)/ABS('Original Budget'!C12)),"")</f>
        <v/>
      </c>
      <c r="F10" s="109">
        <f>'Original Budget'!D12</f>
        <v>0</v>
      </c>
      <c r="G10" s="109">
        <f>IF(ISBLANK(Actuals!D12),"",Actuals!D12)</f>
        <v>0</v>
      </c>
      <c r="H10" s="110">
        <f>IF(ISBLANK(Actuals!D12),"",'Original Budget'!D12-Actuals!D12)</f>
        <v>0</v>
      </c>
      <c r="I10" s="110" t="str">
        <f>IFERROR(IF(ISBLANK(Actuals!D12),"",('Original Budget'!D12-Actuals!D12)/ABS('Original Budget'!D12)),"")</f>
        <v/>
      </c>
      <c r="J10" s="109">
        <f>'Original Budget'!E12</f>
        <v>0</v>
      </c>
      <c r="K10" s="109">
        <f>IF(ISBLANK(Actuals!E12),"",Actuals!E12)</f>
        <v>0</v>
      </c>
      <c r="L10" s="110">
        <f>IF(ISBLANK(Actuals!E12),"",'Original Budget'!E12-Actuals!E12)</f>
        <v>0</v>
      </c>
      <c r="M10" s="110" t="str">
        <f>IFERROR(IF(ISBLANK(Actuals!E12),"",('Original Budget'!E12-Actuals!E12)/ABS('Original Budget'!E12)),"")</f>
        <v/>
      </c>
      <c r="N10" s="109">
        <f>'Original Budget'!F12</f>
        <v>0</v>
      </c>
      <c r="O10" s="109">
        <f>IF(ISBLANK(Actuals!F12),"",Actuals!F12)</f>
        <v>0</v>
      </c>
      <c r="P10" s="110">
        <f>IF(ISBLANK(Actuals!F12),"",'Original Budget'!F12-Actuals!F12)</f>
        <v>0</v>
      </c>
      <c r="Q10" s="110" t="str">
        <f>IFERROR(IF(ISBLANK(Actuals!F12),"",('Original Budget'!F12-Actuals!F12)/ABS('Original Budget'!F12)),"")</f>
        <v/>
      </c>
      <c r="R10" s="109">
        <f>'Original Budget'!G12</f>
        <v>0</v>
      </c>
      <c r="S10" s="109" t="str">
        <f>IF(ISBLANK(Actuals!G12),"",Actuals!G12)</f>
        <v/>
      </c>
      <c r="T10" s="110" t="str">
        <f>IF(ISBLANK(Actuals!G12),"",'Original Budget'!G12-Actuals!G12)</f>
        <v/>
      </c>
      <c r="U10" s="110" t="str">
        <f>IFERROR(IF(ISBLANK(Actuals!G12),"",('Original Budget'!G12-Actuals!G12)/ABS('Original Budget'!G12)),"")</f>
        <v/>
      </c>
      <c r="V10" s="109">
        <f>'Original Budget'!H12</f>
        <v>0</v>
      </c>
      <c r="W10" s="109" t="str">
        <f>IF(ISBLANK(Actuals!H12),"",Actuals!H12)</f>
        <v/>
      </c>
      <c r="X10" s="110" t="str">
        <f>IF(ISBLANK(Actuals!H12),"",'Original Budget'!H12-Actuals!H12)</f>
        <v/>
      </c>
      <c r="Y10" s="110" t="str">
        <f>IFERROR(IF(ISBLANK(Actuals!H12),"",('Original Budget'!H12-Actuals!H12)/ABS('Original Budget'!H12)),"")</f>
        <v/>
      </c>
      <c r="Z10" s="109">
        <f>'Original Budget'!I12</f>
        <v>0</v>
      </c>
      <c r="AA10" s="109" t="str">
        <f>IF(ISBLANK(Actuals!I12),"",Actuals!I12)</f>
        <v/>
      </c>
      <c r="AB10" s="110" t="str">
        <f>IF(ISBLANK(Actuals!I12),"",'Original Budget'!I12-Actuals!I12)</f>
        <v/>
      </c>
      <c r="AC10" s="110" t="str">
        <f>IFERROR(IF(ISBLANK(Actuals!I12),"",('Original Budget'!I12-Actuals!I12)/ABS('Original Budget'!I12)),"")</f>
        <v/>
      </c>
      <c r="AD10" s="109">
        <f>'Original Budget'!J12</f>
        <v>0</v>
      </c>
      <c r="AE10" s="109" t="str">
        <f>IF(ISBLANK(Actuals!J12),"",Actuals!J12)</f>
        <v/>
      </c>
      <c r="AF10" s="110" t="str">
        <f>IF(ISBLANK(Actuals!J12),"",'Original Budget'!J12-Actuals!J12)</f>
        <v/>
      </c>
      <c r="AG10" s="110" t="str">
        <f>IFERROR(IF(ISBLANK(Actuals!J12),"",('Original Budget'!J12-Actuals!J12)/ABS('Original Budget'!J12)),"")</f>
        <v/>
      </c>
      <c r="AH10" s="109">
        <f>'Original Budget'!K12</f>
        <v>0</v>
      </c>
      <c r="AI10" s="109" t="str">
        <f>IF(ISBLANK(Actuals!K12),"",Actuals!K12)</f>
        <v/>
      </c>
      <c r="AJ10" s="110" t="str">
        <f>IF(ISBLANK(Actuals!K12),"",'Original Budget'!K12-Actuals!K12)</f>
        <v/>
      </c>
      <c r="AK10" s="110" t="str">
        <f>IFERROR(IF(ISBLANK(Actuals!K12),"",('Original Budget'!K12-Actuals!K12)/ABS('Original Budget'!K12)),"")</f>
        <v/>
      </c>
      <c r="AL10" s="109">
        <f>'Original Budget'!L12</f>
        <v>0</v>
      </c>
      <c r="AM10" s="109" t="str">
        <f>IF(ISBLANK(Actuals!L12),"",Actuals!L12)</f>
        <v/>
      </c>
      <c r="AN10" s="110" t="str">
        <f>IF(ISBLANK(Actuals!L12),"",'Original Budget'!L12-Actuals!L12)</f>
        <v/>
      </c>
      <c r="AO10" s="110" t="str">
        <f>IFERROR(IF(ISBLANK(Actuals!L12),"",('Original Budget'!L12-Actuals!L12)/ABS('Original Budget'!L12)),"")</f>
        <v/>
      </c>
      <c r="AP10" s="109">
        <f>'Original Budget'!M12</f>
        <v>0</v>
      </c>
      <c r="AQ10" s="109" t="str">
        <f>IF(ISBLANK(Actuals!M12),"",Actuals!M12)</f>
        <v/>
      </c>
      <c r="AR10" s="110" t="str">
        <f>IF(ISBLANK(Actuals!M12),"",'Original Budget'!M12-Actuals!M12)</f>
        <v/>
      </c>
      <c r="AS10" s="110" t="str">
        <f>IFERROR(IF(ISBLANK(Actuals!M12),"",('Original Budget'!M12-Actuals!M12)/ABS('Original Budget'!M12)),"")</f>
        <v/>
      </c>
      <c r="AT10" s="109">
        <f>'Original Budget'!N12</f>
        <v>0</v>
      </c>
      <c r="AU10" s="109" t="str">
        <f>IF(ISBLANK(Actuals!N12),"",Actuals!N12)</f>
        <v/>
      </c>
      <c r="AV10" s="110" t="str">
        <f>IF(ISBLANK(Actuals!N12),"",'Original Budget'!N12-Actuals!N12)</f>
        <v/>
      </c>
      <c r="AW10" s="110" t="str">
        <f>IFERROR(IF(ISBLANK(Actuals!N12),"",('Original Budget'!N12-Actuals!N12)/ABS('Original Budget'!N12)),"")</f>
        <v/>
      </c>
      <c r="AX10" s="111">
        <f>SUMPRODUCT((Actuals!C12:N12&lt;&gt;"")*('Original Budget'!C12:N12))</f>
        <v>0</v>
      </c>
      <c r="AY10" s="111">
        <f>SUM(Actuals!C12:N12)</f>
        <v>0</v>
      </c>
      <c r="AZ10" s="112">
        <f t="shared" si="0"/>
        <v>0</v>
      </c>
    </row>
    <row r="11" spans="1:52" ht="15" customHeight="1" x14ac:dyDescent="0.25">
      <c r="A11" s="108" t="s">
        <v>231</v>
      </c>
      <c r="B11" s="109">
        <f>'Original Budget'!C13</f>
        <v>-1233067.43</v>
      </c>
      <c r="C11" s="109">
        <f>IF(ISBLANK(Actuals!C13),"",Actuals!C13)</f>
        <v>-1233067.43</v>
      </c>
      <c r="D11" s="110">
        <f>IF(ISBLANK(Actuals!C13),"",'Original Budget'!C13-Actuals!C13)</f>
        <v>0</v>
      </c>
      <c r="E11" s="110">
        <f>IFERROR(IF(ISBLANK(Actuals!C13),"",('Original Budget'!C13-Actuals!C13)/ABS('Original Budget'!C13)),"")</f>
        <v>0</v>
      </c>
      <c r="F11" s="109">
        <f>'Original Budget'!D13</f>
        <v>-3073522.36</v>
      </c>
      <c r="G11" s="109">
        <f>IF(ISBLANK(Actuals!D13),"",Actuals!D13)</f>
        <v>-3073522.36</v>
      </c>
      <c r="H11" s="110">
        <f>IF(ISBLANK(Actuals!D13),"",'Original Budget'!D13-Actuals!D13)</f>
        <v>0</v>
      </c>
      <c r="I11" s="110">
        <f>IFERROR(IF(ISBLANK(Actuals!D13),"",('Original Budget'!D13-Actuals!D13)/ABS('Original Budget'!D13)),"")</f>
        <v>0</v>
      </c>
      <c r="J11" s="109">
        <f>'Original Budget'!E13</f>
        <v>-2078031.64</v>
      </c>
      <c r="K11" s="109">
        <f>IF(ISBLANK(Actuals!E13),"",Actuals!E13)</f>
        <v>-2078031.64</v>
      </c>
      <c r="L11" s="110">
        <f>IF(ISBLANK(Actuals!E13),"",'Original Budget'!E13-Actuals!E13)</f>
        <v>0</v>
      </c>
      <c r="M11" s="110">
        <f>IFERROR(IF(ISBLANK(Actuals!E13),"",('Original Budget'!E13-Actuals!E13)/ABS('Original Budget'!E13)),"")</f>
        <v>0</v>
      </c>
      <c r="N11" s="109">
        <f>'Original Budget'!F13</f>
        <v>-3985482.5840340201</v>
      </c>
      <c r="O11" s="109">
        <f>IF(ISBLANK(Actuals!F13),"",Actuals!F13)</f>
        <v>-3244999.65</v>
      </c>
      <c r="P11" s="110">
        <f>IF(ISBLANK(Actuals!F13),"",'Original Budget'!F13-Actuals!F13)</f>
        <v>-740482.93403402017</v>
      </c>
      <c r="Q11" s="110">
        <f>IFERROR(IF(ISBLANK(Actuals!F13),"",('Original Budget'!F13-Actuals!F13)/ABS('Original Budget'!F13)),"")</f>
        <v>-0.18579504951305525</v>
      </c>
      <c r="R11" s="109">
        <f>'Original Budget'!G13</f>
        <v>-4178441.9346764102</v>
      </c>
      <c r="S11" s="109" t="str">
        <f>IF(ISBLANK(Actuals!G13),"",Actuals!G13)</f>
        <v/>
      </c>
      <c r="T11" s="110" t="str">
        <f>IF(ISBLANK(Actuals!G13),"",'Original Budget'!G13-Actuals!G13)</f>
        <v/>
      </c>
      <c r="U11" s="110" t="str">
        <f>IFERROR(IF(ISBLANK(Actuals!G13),"",('Original Budget'!G13-Actuals!G13)/ABS('Original Budget'!G13)),"")</f>
        <v/>
      </c>
      <c r="V11" s="109">
        <f>'Original Budget'!H13</f>
        <v>-4314673.98179329</v>
      </c>
      <c r="W11" s="109" t="str">
        <f>IF(ISBLANK(Actuals!H13),"",Actuals!H13)</f>
        <v/>
      </c>
      <c r="X11" s="110" t="str">
        <f>IF(ISBLANK(Actuals!H13),"",'Original Budget'!H13-Actuals!H13)</f>
        <v/>
      </c>
      <c r="Y11" s="110" t="str">
        <f>IFERROR(IF(ISBLANK(Actuals!H13),"",('Original Budget'!H13-Actuals!H13)/ABS('Original Budget'!H13)),"")</f>
        <v/>
      </c>
      <c r="Z11" s="109">
        <f>'Original Budget'!I13</f>
        <v>-5100719.4041852904</v>
      </c>
      <c r="AA11" s="109" t="str">
        <f>IF(ISBLANK(Actuals!I13),"",Actuals!I13)</f>
        <v/>
      </c>
      <c r="AB11" s="110" t="str">
        <f>IF(ISBLANK(Actuals!I13),"",'Original Budget'!I13-Actuals!I13)</f>
        <v/>
      </c>
      <c r="AC11" s="110" t="str">
        <f>IFERROR(IF(ISBLANK(Actuals!I13),"",('Original Budget'!I13-Actuals!I13)/ABS('Original Budget'!I13)),"")</f>
        <v/>
      </c>
      <c r="AD11" s="109">
        <f>'Original Budget'!J13</f>
        <v>-5260214.2562397104</v>
      </c>
      <c r="AE11" s="109" t="str">
        <f>IF(ISBLANK(Actuals!J13),"",Actuals!J13)</f>
        <v/>
      </c>
      <c r="AF11" s="110" t="str">
        <f>IF(ISBLANK(Actuals!J13),"",'Original Budget'!J13-Actuals!J13)</f>
        <v/>
      </c>
      <c r="AG11" s="110" t="str">
        <f>IFERROR(IF(ISBLANK(Actuals!J13),"",('Original Budget'!J13-Actuals!J13)/ABS('Original Budget'!J13)),"")</f>
        <v/>
      </c>
      <c r="AH11" s="109">
        <f>'Original Budget'!K13</f>
        <v>-5352854.3183394503</v>
      </c>
      <c r="AI11" s="109" t="str">
        <f>IF(ISBLANK(Actuals!K13),"",Actuals!K13)</f>
        <v/>
      </c>
      <c r="AJ11" s="110" t="str">
        <f>IF(ISBLANK(Actuals!K13),"",'Original Budget'!K13-Actuals!K13)</f>
        <v/>
      </c>
      <c r="AK11" s="110" t="str">
        <f>IFERROR(IF(ISBLANK(Actuals!K13),"",('Original Budget'!K13-Actuals!K13)/ABS('Original Budget'!K13)),"")</f>
        <v/>
      </c>
      <c r="AL11" s="109">
        <f>'Original Budget'!L13</f>
        <v>-5849570.1461303802</v>
      </c>
      <c r="AM11" s="109" t="str">
        <f>IF(ISBLANK(Actuals!L13),"",Actuals!L13)</f>
        <v/>
      </c>
      <c r="AN11" s="110" t="str">
        <f>IF(ISBLANK(Actuals!L13),"",'Original Budget'!L13-Actuals!L13)</f>
        <v/>
      </c>
      <c r="AO11" s="110" t="str">
        <f>IFERROR(IF(ISBLANK(Actuals!L13),"",('Original Budget'!L13-Actuals!L13)/ABS('Original Budget'!L13)),"")</f>
        <v/>
      </c>
      <c r="AP11" s="109">
        <f>'Original Budget'!M13</f>
        <v>-6345476.1323919296</v>
      </c>
      <c r="AQ11" s="109" t="str">
        <f>IF(ISBLANK(Actuals!M13),"",Actuals!M13)</f>
        <v/>
      </c>
      <c r="AR11" s="110" t="str">
        <f>IF(ISBLANK(Actuals!M13),"",'Original Budget'!M13-Actuals!M13)</f>
        <v/>
      </c>
      <c r="AS11" s="110" t="str">
        <f>IFERROR(IF(ISBLANK(Actuals!M13),"",('Original Budget'!M13-Actuals!M13)/ABS('Original Budget'!M13)),"")</f>
        <v/>
      </c>
      <c r="AT11" s="109">
        <f>'Original Budget'!N13</f>
        <v>-6208239.2625532104</v>
      </c>
      <c r="AU11" s="109" t="str">
        <f>IF(ISBLANK(Actuals!N13),"",Actuals!N13)</f>
        <v/>
      </c>
      <c r="AV11" s="110" t="str">
        <f>IF(ISBLANK(Actuals!N13),"",'Original Budget'!N13-Actuals!N13)</f>
        <v/>
      </c>
      <c r="AW11" s="110" t="str">
        <f>IFERROR(IF(ISBLANK(Actuals!N13),"",('Original Budget'!N13-Actuals!N13)/ABS('Original Budget'!N13)),"")</f>
        <v/>
      </c>
      <c r="AX11" s="111">
        <f>SUMPRODUCT((Actuals!C13:N13&lt;&gt;"")*('Original Budget'!C13:N13))</f>
        <v>-10370104.01403402</v>
      </c>
      <c r="AY11" s="111">
        <f>SUM(Actuals!C13:N13)</f>
        <v>-9629621.0800000001</v>
      </c>
      <c r="AZ11" s="112">
        <f t="shared" si="0"/>
        <v>-740482.93403401971</v>
      </c>
    </row>
    <row r="12" spans="1:52" ht="15" customHeight="1" x14ac:dyDescent="0.25">
      <c r="A12" s="108" t="s">
        <v>232</v>
      </c>
      <c r="B12" s="109">
        <f>'Original Budget'!C14</f>
        <v>0</v>
      </c>
      <c r="C12" s="109" t="str">
        <f>IF(ISBLANK(Actuals!C14),"",Actuals!C14)</f>
        <v/>
      </c>
      <c r="D12" s="110" t="str">
        <f>IF(ISBLANK(Actuals!C14),"",'Original Budget'!C14-Actuals!C14)</f>
        <v/>
      </c>
      <c r="E12" s="110" t="str">
        <f>IFERROR(IF(ISBLANK(Actuals!C14),"",('Original Budget'!C14-Actuals!C14)/ABS('Original Budget'!C14)),"")</f>
        <v/>
      </c>
      <c r="F12" s="109">
        <f>'Original Budget'!D14</f>
        <v>0</v>
      </c>
      <c r="G12" s="109" t="str">
        <f>IF(ISBLANK(Actuals!D14),"",Actuals!D14)</f>
        <v/>
      </c>
      <c r="H12" s="110" t="str">
        <f>IF(ISBLANK(Actuals!D14),"",'Original Budget'!D14-Actuals!D14)</f>
        <v/>
      </c>
      <c r="I12" s="110" t="str">
        <f>IFERROR(IF(ISBLANK(Actuals!D14),"",('Original Budget'!D14-Actuals!D14)/ABS('Original Budget'!D14)),"")</f>
        <v/>
      </c>
      <c r="J12" s="109">
        <f>'Original Budget'!E14</f>
        <v>0</v>
      </c>
      <c r="K12" s="109" t="str">
        <f>IF(ISBLANK(Actuals!E14),"",Actuals!E14)</f>
        <v/>
      </c>
      <c r="L12" s="110" t="str">
        <f>IF(ISBLANK(Actuals!E14),"",'Original Budget'!E14-Actuals!E14)</f>
        <v/>
      </c>
      <c r="M12" s="110" t="str">
        <f>IFERROR(IF(ISBLANK(Actuals!E14),"",('Original Budget'!E14-Actuals!E14)/ABS('Original Budget'!E14)),"")</f>
        <v/>
      </c>
      <c r="N12" s="109">
        <f>'Original Budget'!F14</f>
        <v>0</v>
      </c>
      <c r="O12" s="109" t="str">
        <f>IF(ISBLANK(Actuals!F14),"",Actuals!F14)</f>
        <v/>
      </c>
      <c r="P12" s="110" t="str">
        <f>IF(ISBLANK(Actuals!F14),"",'Original Budget'!F14-Actuals!F14)</f>
        <v/>
      </c>
      <c r="Q12" s="110" t="str">
        <f>IFERROR(IF(ISBLANK(Actuals!F14),"",('Original Budget'!F14-Actuals!F14)/ABS('Original Budget'!F14)),"")</f>
        <v/>
      </c>
      <c r="R12" s="109">
        <f>'Original Budget'!G14</f>
        <v>0</v>
      </c>
      <c r="S12" s="109" t="str">
        <f>IF(ISBLANK(Actuals!G14),"",Actuals!G14)</f>
        <v/>
      </c>
      <c r="T12" s="110" t="str">
        <f>IF(ISBLANK(Actuals!G14),"",'Original Budget'!G14-Actuals!G14)</f>
        <v/>
      </c>
      <c r="U12" s="110" t="str">
        <f>IFERROR(IF(ISBLANK(Actuals!G14),"",('Original Budget'!G14-Actuals!G14)/ABS('Original Budget'!G14)),"")</f>
        <v/>
      </c>
      <c r="V12" s="109">
        <f>'Original Budget'!H14</f>
        <v>0</v>
      </c>
      <c r="W12" s="109" t="str">
        <f>IF(ISBLANK(Actuals!H14),"",Actuals!H14)</f>
        <v/>
      </c>
      <c r="X12" s="110" t="str">
        <f>IF(ISBLANK(Actuals!H14),"",'Original Budget'!H14-Actuals!H14)</f>
        <v/>
      </c>
      <c r="Y12" s="110" t="str">
        <f>IFERROR(IF(ISBLANK(Actuals!H14),"",('Original Budget'!H14-Actuals!H14)/ABS('Original Budget'!H14)),"")</f>
        <v/>
      </c>
      <c r="Z12" s="109">
        <f>'Original Budget'!I14</f>
        <v>0</v>
      </c>
      <c r="AA12" s="109" t="str">
        <f>IF(ISBLANK(Actuals!I14),"",Actuals!I14)</f>
        <v/>
      </c>
      <c r="AB12" s="110" t="str">
        <f>IF(ISBLANK(Actuals!I14),"",'Original Budget'!I14-Actuals!I14)</f>
        <v/>
      </c>
      <c r="AC12" s="110" t="str">
        <f>IFERROR(IF(ISBLANK(Actuals!I14),"",('Original Budget'!I14-Actuals!I14)/ABS('Original Budget'!I14)),"")</f>
        <v/>
      </c>
      <c r="AD12" s="109">
        <f>'Original Budget'!J14</f>
        <v>0</v>
      </c>
      <c r="AE12" s="109" t="str">
        <f>IF(ISBLANK(Actuals!J14),"",Actuals!J14)</f>
        <v/>
      </c>
      <c r="AF12" s="110" t="str">
        <f>IF(ISBLANK(Actuals!J14),"",'Original Budget'!J14-Actuals!J14)</f>
        <v/>
      </c>
      <c r="AG12" s="110" t="str">
        <f>IFERROR(IF(ISBLANK(Actuals!J14),"",('Original Budget'!J14-Actuals!J14)/ABS('Original Budget'!J14)),"")</f>
        <v/>
      </c>
      <c r="AH12" s="109">
        <f>'Original Budget'!K14</f>
        <v>0</v>
      </c>
      <c r="AI12" s="109" t="str">
        <f>IF(ISBLANK(Actuals!K14),"",Actuals!K14)</f>
        <v/>
      </c>
      <c r="AJ12" s="110" t="str">
        <f>IF(ISBLANK(Actuals!K14),"",'Original Budget'!K14-Actuals!K14)</f>
        <v/>
      </c>
      <c r="AK12" s="110" t="str">
        <f>IFERROR(IF(ISBLANK(Actuals!K14),"",('Original Budget'!K14-Actuals!K14)/ABS('Original Budget'!K14)),"")</f>
        <v/>
      </c>
      <c r="AL12" s="109">
        <f>'Original Budget'!L14</f>
        <v>0</v>
      </c>
      <c r="AM12" s="109" t="str">
        <f>IF(ISBLANK(Actuals!L14),"",Actuals!L14)</f>
        <v/>
      </c>
      <c r="AN12" s="110" t="str">
        <f>IF(ISBLANK(Actuals!L14),"",'Original Budget'!L14-Actuals!L14)</f>
        <v/>
      </c>
      <c r="AO12" s="110" t="str">
        <f>IFERROR(IF(ISBLANK(Actuals!L14),"",('Original Budget'!L14-Actuals!L14)/ABS('Original Budget'!L14)),"")</f>
        <v/>
      </c>
      <c r="AP12" s="109">
        <f>'Original Budget'!M14</f>
        <v>0</v>
      </c>
      <c r="AQ12" s="109" t="str">
        <f>IF(ISBLANK(Actuals!M14),"",Actuals!M14)</f>
        <v/>
      </c>
      <c r="AR12" s="110" t="str">
        <f>IF(ISBLANK(Actuals!M14),"",'Original Budget'!M14-Actuals!M14)</f>
        <v/>
      </c>
      <c r="AS12" s="110" t="str">
        <f>IFERROR(IF(ISBLANK(Actuals!M14),"",('Original Budget'!M14-Actuals!M14)/ABS('Original Budget'!M14)),"")</f>
        <v/>
      </c>
      <c r="AT12" s="109">
        <f>'Original Budget'!N14</f>
        <v>0</v>
      </c>
      <c r="AU12" s="109" t="str">
        <f>IF(ISBLANK(Actuals!N14),"",Actuals!N14)</f>
        <v/>
      </c>
      <c r="AV12" s="110" t="str">
        <f>IF(ISBLANK(Actuals!N14),"",'Original Budget'!N14-Actuals!N14)</f>
        <v/>
      </c>
      <c r="AW12" s="110" t="str">
        <f>IFERROR(IF(ISBLANK(Actuals!N14),"",('Original Budget'!N14-Actuals!N14)/ABS('Original Budget'!N14)),"")</f>
        <v/>
      </c>
      <c r="AX12" s="111">
        <f>SUMPRODUCT((Actuals!C14:N14&lt;&gt;"")*('Original Budget'!C14:N14))</f>
        <v>0</v>
      </c>
      <c r="AY12" s="111">
        <f>SUM(Actuals!C14:N14)</f>
        <v>0</v>
      </c>
      <c r="AZ12" s="112">
        <f t="shared" si="0"/>
        <v>0</v>
      </c>
    </row>
    <row r="13" spans="1:52" ht="15" customHeight="1" x14ac:dyDescent="0.25">
      <c r="A13" s="108" t="s">
        <v>61</v>
      </c>
      <c r="B13" s="109">
        <f>'Original Budget'!C15</f>
        <v>0</v>
      </c>
      <c r="C13" s="109">
        <f>IF(ISBLANK(Actuals!C15),"",Actuals!C15)</f>
        <v>0</v>
      </c>
      <c r="D13" s="110">
        <f>IF(ISBLANK(Actuals!C15),"",'Original Budget'!C15-Actuals!C15)</f>
        <v>0</v>
      </c>
      <c r="E13" s="110" t="str">
        <f>IFERROR(IF(ISBLANK(Actuals!C15),"",('Original Budget'!C15-Actuals!C15)/ABS('Original Budget'!C15)),"")</f>
        <v/>
      </c>
      <c r="F13" s="109">
        <f>'Original Budget'!D15</f>
        <v>0</v>
      </c>
      <c r="G13" s="109">
        <f>IF(ISBLANK(Actuals!D15),"",Actuals!D15)</f>
        <v>0</v>
      </c>
      <c r="H13" s="110">
        <f>IF(ISBLANK(Actuals!D15),"",'Original Budget'!D15-Actuals!D15)</f>
        <v>0</v>
      </c>
      <c r="I13" s="110" t="str">
        <f>IFERROR(IF(ISBLANK(Actuals!D15),"",('Original Budget'!D15-Actuals!D15)/ABS('Original Budget'!D15)),"")</f>
        <v/>
      </c>
      <c r="J13" s="109">
        <f>'Original Budget'!E15</f>
        <v>0</v>
      </c>
      <c r="K13" s="109">
        <f>IF(ISBLANK(Actuals!E15),"",Actuals!E15)</f>
        <v>0</v>
      </c>
      <c r="L13" s="110">
        <f>IF(ISBLANK(Actuals!E15),"",'Original Budget'!E15-Actuals!E15)</f>
        <v>0</v>
      </c>
      <c r="M13" s="110" t="str">
        <f>IFERROR(IF(ISBLANK(Actuals!E15),"",('Original Budget'!E15-Actuals!E15)/ABS('Original Budget'!E15)),"")</f>
        <v/>
      </c>
      <c r="N13" s="109">
        <f>'Original Budget'!F15</f>
        <v>0</v>
      </c>
      <c r="O13" s="109">
        <f>IF(ISBLANK(Actuals!F15),"",Actuals!F15)</f>
        <v>0</v>
      </c>
      <c r="P13" s="110">
        <f>IF(ISBLANK(Actuals!F15),"",'Original Budget'!F15-Actuals!F15)</f>
        <v>0</v>
      </c>
      <c r="Q13" s="110" t="str">
        <f>IFERROR(IF(ISBLANK(Actuals!F15),"",('Original Budget'!F15-Actuals!F15)/ABS('Original Budget'!F15)),"")</f>
        <v/>
      </c>
      <c r="R13" s="109">
        <f>'Original Budget'!G15</f>
        <v>0</v>
      </c>
      <c r="S13" s="109" t="str">
        <f>IF(ISBLANK(Actuals!G15),"",Actuals!G15)</f>
        <v/>
      </c>
      <c r="T13" s="110" t="str">
        <f>IF(ISBLANK(Actuals!G15),"",'Original Budget'!G15-Actuals!G15)</f>
        <v/>
      </c>
      <c r="U13" s="110" t="str">
        <f>IFERROR(IF(ISBLANK(Actuals!G15),"",('Original Budget'!G15-Actuals!G15)/ABS('Original Budget'!G15)),"")</f>
        <v/>
      </c>
      <c r="V13" s="109">
        <f>'Original Budget'!H15</f>
        <v>0</v>
      </c>
      <c r="W13" s="109" t="str">
        <f>IF(ISBLANK(Actuals!H15),"",Actuals!H15)</f>
        <v/>
      </c>
      <c r="X13" s="110" t="str">
        <f>IF(ISBLANK(Actuals!H15),"",'Original Budget'!H15-Actuals!H15)</f>
        <v/>
      </c>
      <c r="Y13" s="110" t="str">
        <f>IFERROR(IF(ISBLANK(Actuals!H15),"",('Original Budget'!H15-Actuals!H15)/ABS('Original Budget'!H15)),"")</f>
        <v/>
      </c>
      <c r="Z13" s="109">
        <f>'Original Budget'!I15</f>
        <v>644526.72</v>
      </c>
      <c r="AA13" s="109" t="str">
        <f>IF(ISBLANK(Actuals!I15),"",Actuals!I15)</f>
        <v/>
      </c>
      <c r="AB13" s="110" t="str">
        <f>IF(ISBLANK(Actuals!I15),"",'Original Budget'!I15-Actuals!I15)</f>
        <v/>
      </c>
      <c r="AC13" s="110" t="str">
        <f>IFERROR(IF(ISBLANK(Actuals!I15),"",('Original Budget'!I15-Actuals!I15)/ABS('Original Budget'!I15)),"")</f>
        <v/>
      </c>
      <c r="AD13" s="109">
        <f>'Original Budget'!J15</f>
        <v>0</v>
      </c>
      <c r="AE13" s="109" t="str">
        <f>IF(ISBLANK(Actuals!J15),"",Actuals!J15)</f>
        <v/>
      </c>
      <c r="AF13" s="110" t="str">
        <f>IF(ISBLANK(Actuals!J15),"",'Original Budget'!J15-Actuals!J15)</f>
        <v/>
      </c>
      <c r="AG13" s="110" t="str">
        <f>IFERROR(IF(ISBLANK(Actuals!J15),"",('Original Budget'!J15-Actuals!J15)/ABS('Original Budget'!J15)),"")</f>
        <v/>
      </c>
      <c r="AH13" s="109">
        <f>'Original Budget'!K15</f>
        <v>0</v>
      </c>
      <c r="AI13" s="109" t="str">
        <f>IF(ISBLANK(Actuals!K15),"",Actuals!K15)</f>
        <v/>
      </c>
      <c r="AJ13" s="110" t="str">
        <f>IF(ISBLANK(Actuals!K15),"",'Original Budget'!K15-Actuals!K15)</f>
        <v/>
      </c>
      <c r="AK13" s="110" t="str">
        <f>IFERROR(IF(ISBLANK(Actuals!K15),"",('Original Budget'!K15-Actuals!K15)/ABS('Original Budget'!K15)),"")</f>
        <v/>
      </c>
      <c r="AL13" s="109">
        <f>'Original Budget'!L15</f>
        <v>442059.82500000001</v>
      </c>
      <c r="AM13" s="109" t="str">
        <f>IF(ISBLANK(Actuals!L15),"",Actuals!L15)</f>
        <v/>
      </c>
      <c r="AN13" s="110" t="str">
        <f>IF(ISBLANK(Actuals!L15),"",'Original Budget'!L15-Actuals!L15)</f>
        <v/>
      </c>
      <c r="AO13" s="110" t="str">
        <f>IFERROR(IF(ISBLANK(Actuals!L15),"",('Original Budget'!L15-Actuals!L15)/ABS('Original Budget'!L15)),"")</f>
        <v/>
      </c>
      <c r="AP13" s="109">
        <f>'Original Budget'!M15</f>
        <v>318951.07500000001</v>
      </c>
      <c r="AQ13" s="109" t="str">
        <f>IF(ISBLANK(Actuals!M15),"",Actuals!M15)</f>
        <v/>
      </c>
      <c r="AR13" s="110" t="str">
        <f>IF(ISBLANK(Actuals!M15),"",'Original Budget'!M15-Actuals!M15)</f>
        <v/>
      </c>
      <c r="AS13" s="110" t="str">
        <f>IFERROR(IF(ISBLANK(Actuals!M15),"",('Original Budget'!M15-Actuals!M15)/ABS('Original Budget'!M15)),"")</f>
        <v/>
      </c>
      <c r="AT13" s="109">
        <f>'Original Budget'!N15</f>
        <v>0</v>
      </c>
      <c r="AU13" s="109" t="str">
        <f>IF(ISBLANK(Actuals!N15),"",Actuals!N15)</f>
        <v/>
      </c>
      <c r="AV13" s="110" t="str">
        <f>IF(ISBLANK(Actuals!N15),"",'Original Budget'!N15-Actuals!N15)</f>
        <v/>
      </c>
      <c r="AW13" s="110" t="str">
        <f>IFERROR(IF(ISBLANK(Actuals!N15),"",('Original Budget'!N15-Actuals!N15)/ABS('Original Budget'!N15)),"")</f>
        <v/>
      </c>
      <c r="AX13" s="111">
        <f>SUMPRODUCT((Actuals!C15:N15&lt;&gt;"")*('Original Budget'!C15:N15))</f>
        <v>0</v>
      </c>
      <c r="AY13" s="111">
        <f>SUM(Actuals!C15:N15)</f>
        <v>0</v>
      </c>
      <c r="AZ13" s="112">
        <f t="shared" si="0"/>
        <v>0</v>
      </c>
    </row>
    <row r="14" spans="1:52" ht="15" customHeight="1" x14ac:dyDescent="0.25">
      <c r="A14" s="108" t="s">
        <v>62</v>
      </c>
      <c r="B14" s="109">
        <f>'Original Budget'!C16</f>
        <v>-1966.5</v>
      </c>
      <c r="C14" s="109">
        <f>IF(ISBLANK(Actuals!C16),"",Actuals!C16)</f>
        <v>-1966.5</v>
      </c>
      <c r="D14" s="110">
        <f>IF(ISBLANK(Actuals!C16),"",'Original Budget'!C16-Actuals!C16)</f>
        <v>0</v>
      </c>
      <c r="E14" s="110">
        <f>IFERROR(IF(ISBLANK(Actuals!C16),"",('Original Budget'!C16-Actuals!C16)/ABS('Original Budget'!C16)),"")</f>
        <v>0</v>
      </c>
      <c r="F14" s="109">
        <f>'Original Budget'!D16</f>
        <v>0</v>
      </c>
      <c r="G14" s="109">
        <f>IF(ISBLANK(Actuals!D16),"",Actuals!D16)</f>
        <v>0</v>
      </c>
      <c r="H14" s="110">
        <f>IF(ISBLANK(Actuals!D16),"",'Original Budget'!D16-Actuals!D16)</f>
        <v>0</v>
      </c>
      <c r="I14" s="110" t="str">
        <f>IFERROR(IF(ISBLANK(Actuals!D16),"",('Original Budget'!D16-Actuals!D16)/ABS('Original Budget'!D16)),"")</f>
        <v/>
      </c>
      <c r="J14" s="109">
        <f>'Original Budget'!E16</f>
        <v>0</v>
      </c>
      <c r="K14" s="109">
        <f>IF(ISBLANK(Actuals!E16),"",Actuals!E16)</f>
        <v>0</v>
      </c>
      <c r="L14" s="110">
        <f>IF(ISBLANK(Actuals!E16),"",'Original Budget'!E16-Actuals!E16)</f>
        <v>0</v>
      </c>
      <c r="M14" s="110" t="str">
        <f>IFERROR(IF(ISBLANK(Actuals!E16),"",('Original Budget'!E16-Actuals!E16)/ABS('Original Budget'!E16)),"")</f>
        <v/>
      </c>
      <c r="N14" s="109">
        <f>'Original Budget'!F16</f>
        <v>0</v>
      </c>
      <c r="O14" s="109">
        <f>IF(ISBLANK(Actuals!F16),"",Actuals!F16)</f>
        <v>0</v>
      </c>
      <c r="P14" s="110">
        <f>IF(ISBLANK(Actuals!F16),"",'Original Budget'!F16-Actuals!F16)</f>
        <v>0</v>
      </c>
      <c r="Q14" s="110" t="str">
        <f>IFERROR(IF(ISBLANK(Actuals!F16),"",('Original Budget'!F16-Actuals!F16)/ABS('Original Budget'!F16)),"")</f>
        <v/>
      </c>
      <c r="R14" s="109">
        <f>'Original Budget'!G16</f>
        <v>0</v>
      </c>
      <c r="S14" s="109" t="str">
        <f>IF(ISBLANK(Actuals!G16),"",Actuals!G16)</f>
        <v/>
      </c>
      <c r="T14" s="110" t="str">
        <f>IF(ISBLANK(Actuals!G16),"",'Original Budget'!G16-Actuals!G16)</f>
        <v/>
      </c>
      <c r="U14" s="110" t="str">
        <f>IFERROR(IF(ISBLANK(Actuals!G16),"",('Original Budget'!G16-Actuals!G16)/ABS('Original Budget'!G16)),"")</f>
        <v/>
      </c>
      <c r="V14" s="109">
        <f>'Original Budget'!H16</f>
        <v>0</v>
      </c>
      <c r="W14" s="109" t="str">
        <f>IF(ISBLANK(Actuals!H16),"",Actuals!H16)</f>
        <v/>
      </c>
      <c r="X14" s="110" t="str">
        <f>IF(ISBLANK(Actuals!H16),"",'Original Budget'!H16-Actuals!H16)</f>
        <v/>
      </c>
      <c r="Y14" s="110" t="str">
        <f>IFERROR(IF(ISBLANK(Actuals!H16),"",('Original Budget'!H16-Actuals!H16)/ABS('Original Budget'!H16)),"")</f>
        <v/>
      </c>
      <c r="Z14" s="109">
        <f>'Original Budget'!I16</f>
        <v>-317966.51520000002</v>
      </c>
      <c r="AA14" s="109" t="str">
        <f>IF(ISBLANK(Actuals!I16),"",Actuals!I16)</f>
        <v/>
      </c>
      <c r="AB14" s="110" t="str">
        <f>IF(ISBLANK(Actuals!I16),"",'Original Budget'!I16-Actuals!I16)</f>
        <v/>
      </c>
      <c r="AC14" s="110" t="str">
        <f>IFERROR(IF(ISBLANK(Actuals!I16),"",('Original Budget'!I16-Actuals!I16)/ABS('Original Budget'!I16)),"")</f>
        <v/>
      </c>
      <c r="AD14" s="109">
        <f>'Original Budget'!J16</f>
        <v>0</v>
      </c>
      <c r="AE14" s="109" t="str">
        <f>IF(ISBLANK(Actuals!J16),"",Actuals!J16)</f>
        <v/>
      </c>
      <c r="AF14" s="110" t="str">
        <f>IF(ISBLANK(Actuals!J16),"",'Original Budget'!J16-Actuals!J16)</f>
        <v/>
      </c>
      <c r="AG14" s="110" t="str">
        <f>IFERROR(IF(ISBLANK(Actuals!J16),"",('Original Budget'!J16-Actuals!J16)/ABS('Original Budget'!J16)),"")</f>
        <v/>
      </c>
      <c r="AH14" s="109">
        <f>'Original Budget'!K16</f>
        <v>0</v>
      </c>
      <c r="AI14" s="109" t="str">
        <f>IF(ISBLANK(Actuals!K16),"",Actuals!K16)</f>
        <v/>
      </c>
      <c r="AJ14" s="110" t="str">
        <f>IF(ISBLANK(Actuals!K16),"",'Original Budget'!K16-Actuals!K16)</f>
        <v/>
      </c>
      <c r="AK14" s="110" t="str">
        <f>IFERROR(IF(ISBLANK(Actuals!K16),"",('Original Budget'!K16-Actuals!K16)/ABS('Original Budget'!K16)),"")</f>
        <v/>
      </c>
      <c r="AL14" s="109">
        <f>'Original Budget'!L16</f>
        <v>-218082.84700000001</v>
      </c>
      <c r="AM14" s="109" t="str">
        <f>IF(ISBLANK(Actuals!L16),"",Actuals!L16)</f>
        <v/>
      </c>
      <c r="AN14" s="110" t="str">
        <f>IF(ISBLANK(Actuals!L16),"",'Original Budget'!L16-Actuals!L16)</f>
        <v/>
      </c>
      <c r="AO14" s="110" t="str">
        <f>IFERROR(IF(ISBLANK(Actuals!L16),"",('Original Budget'!L16-Actuals!L16)/ABS('Original Budget'!L16)),"")</f>
        <v/>
      </c>
      <c r="AP14" s="109">
        <f>'Original Budget'!M16</f>
        <v>-157349.19699999999</v>
      </c>
      <c r="AQ14" s="109" t="str">
        <f>IF(ISBLANK(Actuals!M16),"",Actuals!M16)</f>
        <v/>
      </c>
      <c r="AR14" s="110" t="str">
        <f>IF(ISBLANK(Actuals!M16),"",'Original Budget'!M16-Actuals!M16)</f>
        <v/>
      </c>
      <c r="AS14" s="110" t="str">
        <f>IFERROR(IF(ISBLANK(Actuals!M16),"",('Original Budget'!M16-Actuals!M16)/ABS('Original Budget'!M16)),"")</f>
        <v/>
      </c>
      <c r="AT14" s="109">
        <f>'Original Budget'!N16</f>
        <v>0</v>
      </c>
      <c r="AU14" s="109" t="str">
        <f>IF(ISBLANK(Actuals!N16),"",Actuals!N16)</f>
        <v/>
      </c>
      <c r="AV14" s="110" t="str">
        <f>IF(ISBLANK(Actuals!N16),"",'Original Budget'!N16-Actuals!N16)</f>
        <v/>
      </c>
      <c r="AW14" s="110" t="str">
        <f>IFERROR(IF(ISBLANK(Actuals!N16),"",('Original Budget'!N16-Actuals!N16)/ABS('Original Budget'!N16)),"")</f>
        <v/>
      </c>
      <c r="AX14" s="111">
        <f>SUMPRODUCT((Actuals!C16:N16&lt;&gt;"")*('Original Budget'!C16:N16))</f>
        <v>-1966.5</v>
      </c>
      <c r="AY14" s="111">
        <f>SUM(Actuals!C16:N16)</f>
        <v>-1966.5</v>
      </c>
      <c r="AZ14" s="112">
        <f t="shared" si="0"/>
        <v>0</v>
      </c>
    </row>
    <row r="15" spans="1:52" ht="15" customHeight="1" x14ac:dyDescent="0.25">
      <c r="A15" s="108" t="s">
        <v>63</v>
      </c>
      <c r="B15" s="109">
        <f>'Original Budget'!C20</f>
        <v>-144550.9</v>
      </c>
      <c r="C15" s="109">
        <f>IF(ISBLANK(Actuals!C20),"",Actuals!C20)</f>
        <v>-144550.9</v>
      </c>
      <c r="D15" s="110">
        <f>IF(ISBLANK(Actuals!C20),"",'Original Budget'!C20-Actuals!C20)</f>
        <v>0</v>
      </c>
      <c r="E15" s="110">
        <f>IFERROR(IF(ISBLANK(Actuals!C20),"",('Original Budget'!C20-Actuals!C20)/ABS('Original Budget'!C20)),"")</f>
        <v>0</v>
      </c>
      <c r="F15" s="109">
        <f>'Original Budget'!D20</f>
        <v>-150672.84</v>
      </c>
      <c r="G15" s="109">
        <f>IF(ISBLANK(Actuals!D20),"",Actuals!D20)</f>
        <v>-150672.84</v>
      </c>
      <c r="H15" s="110">
        <f>IF(ISBLANK(Actuals!D20),"",'Original Budget'!D20-Actuals!D20)</f>
        <v>0</v>
      </c>
      <c r="I15" s="110">
        <f>IFERROR(IF(ISBLANK(Actuals!D20),"",('Original Budget'!D20-Actuals!D20)/ABS('Original Budget'!D20)),"")</f>
        <v>0</v>
      </c>
      <c r="J15" s="109">
        <f>'Original Budget'!E20</f>
        <v>-178867.86</v>
      </c>
      <c r="K15" s="109">
        <f>IF(ISBLANK(Actuals!E20),"",Actuals!E20)</f>
        <v>-178867.86</v>
      </c>
      <c r="L15" s="110">
        <f>IF(ISBLANK(Actuals!E20),"",'Original Budget'!E20-Actuals!E20)</f>
        <v>0</v>
      </c>
      <c r="M15" s="110">
        <f>IFERROR(IF(ISBLANK(Actuals!E20),"",('Original Budget'!E20-Actuals!E20)/ABS('Original Budget'!E20)),"")</f>
        <v>0</v>
      </c>
      <c r="N15" s="109">
        <f>'Original Budget'!F20</f>
        <v>-164791.66666666701</v>
      </c>
      <c r="O15" s="109">
        <f>IF(ISBLANK(Actuals!F20),"",Actuals!F20)</f>
        <v>-187693.63</v>
      </c>
      <c r="P15" s="110">
        <f>IF(ISBLANK(Actuals!F20),"",'Original Budget'!F20-Actuals!F20)</f>
        <v>22901.963333332998</v>
      </c>
      <c r="Q15" s="110">
        <f>IFERROR(IF(ISBLANK(Actuals!F20),"",('Original Budget'!F20-Actuals!F20)/ABS('Original Budget'!F20)),"")</f>
        <v>0.13897525158027582</v>
      </c>
      <c r="R15" s="109">
        <f>'Original Budget'!G20</f>
        <v>-189375</v>
      </c>
      <c r="S15" s="109" t="str">
        <f>IF(ISBLANK(Actuals!G20),"",Actuals!G20)</f>
        <v/>
      </c>
      <c r="T15" s="110" t="str">
        <f>IF(ISBLANK(Actuals!G20),"",'Original Budget'!G20-Actuals!G20)</f>
        <v/>
      </c>
      <c r="U15" s="110" t="str">
        <f>IFERROR(IF(ISBLANK(Actuals!G20),"",('Original Budget'!G20-Actuals!G20)/ABS('Original Budget'!G20)),"")</f>
        <v/>
      </c>
      <c r="V15" s="109">
        <f>'Original Budget'!H20</f>
        <v>-214375</v>
      </c>
      <c r="W15" s="109" t="str">
        <f>IF(ISBLANK(Actuals!H20),"",Actuals!H20)</f>
        <v/>
      </c>
      <c r="X15" s="110" t="str">
        <f>IF(ISBLANK(Actuals!H20),"",'Original Budget'!H20-Actuals!H20)</f>
        <v/>
      </c>
      <c r="Y15" s="110" t="str">
        <f>IFERROR(IF(ISBLANK(Actuals!H20),"",('Original Budget'!H20-Actuals!H20)/ABS('Original Budget'!H20)),"")</f>
        <v/>
      </c>
      <c r="Z15" s="109">
        <f>'Original Budget'!I20</f>
        <v>-225208.33333333299</v>
      </c>
      <c r="AA15" s="109" t="str">
        <f>IF(ISBLANK(Actuals!I20),"",Actuals!I20)</f>
        <v/>
      </c>
      <c r="AB15" s="110" t="str">
        <f>IF(ISBLANK(Actuals!I20),"",'Original Budget'!I20-Actuals!I20)</f>
        <v/>
      </c>
      <c r="AC15" s="110" t="str">
        <f>IFERROR(IF(ISBLANK(Actuals!I20),"",('Original Budget'!I20-Actuals!I20)/ABS('Original Budget'!I20)),"")</f>
        <v/>
      </c>
      <c r="AD15" s="109">
        <f>'Original Budget'!J20</f>
        <v>-225208.33333333299</v>
      </c>
      <c r="AE15" s="109" t="str">
        <f>IF(ISBLANK(Actuals!J20),"",Actuals!J20)</f>
        <v/>
      </c>
      <c r="AF15" s="110" t="str">
        <f>IF(ISBLANK(Actuals!J20),"",'Original Budget'!J20-Actuals!J20)</f>
        <v/>
      </c>
      <c r="AG15" s="110" t="str">
        <f>IFERROR(IF(ISBLANK(Actuals!J20),"",('Original Budget'!J20-Actuals!J20)/ABS('Original Budget'!J20)),"")</f>
        <v/>
      </c>
      <c r="AH15" s="109">
        <f>'Original Budget'!K20</f>
        <v>-225208.33333333299</v>
      </c>
      <c r="AI15" s="109" t="str">
        <f>IF(ISBLANK(Actuals!K20),"",Actuals!K20)</f>
        <v/>
      </c>
      <c r="AJ15" s="110" t="str">
        <f>IF(ISBLANK(Actuals!K20),"",'Original Budget'!K20-Actuals!K20)</f>
        <v/>
      </c>
      <c r="AK15" s="110" t="str">
        <f>IFERROR(IF(ISBLANK(Actuals!K20),"",('Original Budget'!K20-Actuals!K20)/ABS('Original Budget'!K20)),"")</f>
        <v/>
      </c>
      <c r="AL15" s="109">
        <f>'Original Budget'!L20</f>
        <v>-246041.66666666701</v>
      </c>
      <c r="AM15" s="109" t="str">
        <f>IF(ISBLANK(Actuals!L20),"",Actuals!L20)</f>
        <v/>
      </c>
      <c r="AN15" s="110" t="str">
        <f>IF(ISBLANK(Actuals!L20),"",'Original Budget'!L20-Actuals!L20)</f>
        <v/>
      </c>
      <c r="AO15" s="110" t="str">
        <f>IFERROR(IF(ISBLANK(Actuals!L20),"",('Original Budget'!L20-Actuals!L20)/ABS('Original Budget'!L20)),"")</f>
        <v/>
      </c>
      <c r="AP15" s="109">
        <f>'Original Budget'!M20</f>
        <v>-276041.66666666698</v>
      </c>
      <c r="AQ15" s="109" t="str">
        <f>IF(ISBLANK(Actuals!M20),"",Actuals!M20)</f>
        <v/>
      </c>
      <c r="AR15" s="110" t="str">
        <f>IF(ISBLANK(Actuals!M20),"",'Original Budget'!M20-Actuals!M20)</f>
        <v/>
      </c>
      <c r="AS15" s="110" t="str">
        <f>IFERROR(IF(ISBLANK(Actuals!M20),"",('Original Budget'!M20-Actuals!M20)/ABS('Original Budget'!M20)),"")</f>
        <v/>
      </c>
      <c r="AT15" s="109">
        <f>'Original Budget'!N20</f>
        <v>-276041.66666666698</v>
      </c>
      <c r="AU15" s="109" t="str">
        <f>IF(ISBLANK(Actuals!N20),"",Actuals!N20)</f>
        <v/>
      </c>
      <c r="AV15" s="110" t="str">
        <f>IF(ISBLANK(Actuals!N20),"",'Original Budget'!N20-Actuals!N20)</f>
        <v/>
      </c>
      <c r="AW15" s="110" t="str">
        <f>IFERROR(IF(ISBLANK(Actuals!N20),"",('Original Budget'!N20-Actuals!N20)/ABS('Original Budget'!N20)),"")</f>
        <v/>
      </c>
      <c r="AX15" s="111">
        <f>SUMPRODUCT((Actuals!C20:N20&lt;&gt;"")*('Original Budget'!C20:N20))</f>
        <v>-638883.26666666695</v>
      </c>
      <c r="AY15" s="111">
        <f>SUM(Actuals!C20:N20)</f>
        <v>-661785.23</v>
      </c>
      <c r="AZ15" s="112">
        <f t="shared" si="0"/>
        <v>22901.963333333028</v>
      </c>
    </row>
    <row r="16" spans="1:52" ht="15" customHeight="1" x14ac:dyDescent="0.25">
      <c r="A16" s="108" t="s">
        <v>64</v>
      </c>
      <c r="B16" s="109">
        <f>'Original Budget'!C21</f>
        <v>-7450.37</v>
      </c>
      <c r="C16" s="109">
        <f>IF(ISBLANK(Actuals!C21),"",Actuals!C21)</f>
        <v>-7450.37</v>
      </c>
      <c r="D16" s="110">
        <f>IF(ISBLANK(Actuals!C21),"",'Original Budget'!C21-Actuals!C21)</f>
        <v>0</v>
      </c>
      <c r="E16" s="110">
        <f>IFERROR(IF(ISBLANK(Actuals!C21),"",('Original Budget'!C21-Actuals!C21)/ABS('Original Budget'!C21)),"")</f>
        <v>0</v>
      </c>
      <c r="F16" s="109">
        <f>'Original Budget'!D21</f>
        <v>-10567.2</v>
      </c>
      <c r="G16" s="109">
        <f>IF(ISBLANK(Actuals!D21),"",Actuals!D21)</f>
        <v>-10567.2</v>
      </c>
      <c r="H16" s="110">
        <f>IF(ISBLANK(Actuals!D21),"",'Original Budget'!D21-Actuals!D21)</f>
        <v>0</v>
      </c>
      <c r="I16" s="110">
        <f>IFERROR(IF(ISBLANK(Actuals!D21),"",('Original Budget'!D21-Actuals!D21)/ABS('Original Budget'!D21)),"")</f>
        <v>0</v>
      </c>
      <c r="J16" s="109">
        <f>'Original Budget'!E21</f>
        <v>-17033.3</v>
      </c>
      <c r="K16" s="109">
        <f>IF(ISBLANK(Actuals!E21),"",Actuals!E21)</f>
        <v>-17033.3</v>
      </c>
      <c r="L16" s="110">
        <f>IF(ISBLANK(Actuals!E21),"",'Original Budget'!E21-Actuals!E21)</f>
        <v>0</v>
      </c>
      <c r="M16" s="110">
        <f>IFERROR(IF(ISBLANK(Actuals!E21),"",('Original Budget'!E21-Actuals!E21)/ABS('Original Budget'!E21)),"")</f>
        <v>0</v>
      </c>
      <c r="N16" s="109">
        <f>'Original Budget'!F21</f>
        <v>-15327.083333333299</v>
      </c>
      <c r="O16" s="109">
        <f>IF(ISBLANK(Actuals!F21),"",Actuals!F21)</f>
        <v>-14599.57</v>
      </c>
      <c r="P16" s="110">
        <f>IF(ISBLANK(Actuals!F21),"",'Original Budget'!F21-Actuals!F21)</f>
        <v>-727.51333333329967</v>
      </c>
      <c r="Q16" s="110">
        <f>IFERROR(IF(ISBLANK(Actuals!F21),"",('Original Budget'!F21-Actuals!F21)/ABS('Original Budget'!F21)),"")</f>
        <v>-4.746586924017733E-2</v>
      </c>
      <c r="R16" s="109">
        <f>'Original Budget'!G21</f>
        <v>-17047.916666666701</v>
      </c>
      <c r="S16" s="109" t="str">
        <f>IF(ISBLANK(Actuals!G21),"",Actuals!G21)</f>
        <v/>
      </c>
      <c r="T16" s="110" t="str">
        <f>IF(ISBLANK(Actuals!G21),"",'Original Budget'!G21-Actuals!G21)</f>
        <v/>
      </c>
      <c r="U16" s="110" t="str">
        <f>IFERROR(IF(ISBLANK(Actuals!G21),"",('Original Budget'!G21-Actuals!G21)/ABS('Original Budget'!G21)),"")</f>
        <v/>
      </c>
      <c r="V16" s="109">
        <f>'Original Budget'!H21</f>
        <v>-18797.916666666701</v>
      </c>
      <c r="W16" s="109" t="str">
        <f>IF(ISBLANK(Actuals!H21),"",Actuals!H21)</f>
        <v/>
      </c>
      <c r="X16" s="110" t="str">
        <f>IF(ISBLANK(Actuals!H21),"",'Original Budget'!H21-Actuals!H21)</f>
        <v/>
      </c>
      <c r="Y16" s="110" t="str">
        <f>IFERROR(IF(ISBLANK(Actuals!H21),"",('Original Budget'!H21-Actuals!H21)/ABS('Original Budget'!H21)),"")</f>
        <v/>
      </c>
      <c r="Z16" s="109">
        <f>'Original Budget'!I21</f>
        <v>-19556.25</v>
      </c>
      <c r="AA16" s="109" t="str">
        <f>IF(ISBLANK(Actuals!I21),"",Actuals!I21)</f>
        <v/>
      </c>
      <c r="AB16" s="110" t="str">
        <f>IF(ISBLANK(Actuals!I21),"",'Original Budget'!I21-Actuals!I21)</f>
        <v/>
      </c>
      <c r="AC16" s="110" t="str">
        <f>IFERROR(IF(ISBLANK(Actuals!I21),"",('Original Budget'!I21-Actuals!I21)/ABS('Original Budget'!I21)),"")</f>
        <v/>
      </c>
      <c r="AD16" s="109">
        <f>'Original Budget'!J21</f>
        <v>-19556.25</v>
      </c>
      <c r="AE16" s="109" t="str">
        <f>IF(ISBLANK(Actuals!J21),"",Actuals!J21)</f>
        <v/>
      </c>
      <c r="AF16" s="110" t="str">
        <f>IF(ISBLANK(Actuals!J21),"",'Original Budget'!J21-Actuals!J21)</f>
        <v/>
      </c>
      <c r="AG16" s="110" t="str">
        <f>IFERROR(IF(ISBLANK(Actuals!J21),"",('Original Budget'!J21-Actuals!J21)/ABS('Original Budget'!J21)),"")</f>
        <v/>
      </c>
      <c r="AH16" s="109">
        <f>'Original Budget'!K21</f>
        <v>-19556.25</v>
      </c>
      <c r="AI16" s="109" t="str">
        <f>IF(ISBLANK(Actuals!K21),"",Actuals!K21)</f>
        <v/>
      </c>
      <c r="AJ16" s="110" t="str">
        <f>IF(ISBLANK(Actuals!K21),"",'Original Budget'!K21-Actuals!K21)</f>
        <v/>
      </c>
      <c r="AK16" s="110" t="str">
        <f>IFERROR(IF(ISBLANK(Actuals!K21),"",('Original Budget'!K21-Actuals!K21)/ABS('Original Budget'!K21)),"")</f>
        <v/>
      </c>
      <c r="AL16" s="109">
        <f>'Original Budget'!L21</f>
        <v>-21014.583333333299</v>
      </c>
      <c r="AM16" s="109" t="str">
        <f>IF(ISBLANK(Actuals!L21),"",Actuals!L21)</f>
        <v/>
      </c>
      <c r="AN16" s="110" t="str">
        <f>IF(ISBLANK(Actuals!L21),"",'Original Budget'!L21-Actuals!L21)</f>
        <v/>
      </c>
      <c r="AO16" s="110" t="str">
        <f>IFERROR(IF(ISBLANK(Actuals!L21),"",('Original Budget'!L21-Actuals!L21)/ABS('Original Budget'!L21)),"")</f>
        <v/>
      </c>
      <c r="AP16" s="109">
        <f>'Original Budget'!M21</f>
        <v>-23114.583333333299</v>
      </c>
      <c r="AQ16" s="109" t="str">
        <f>IF(ISBLANK(Actuals!M21),"",Actuals!M21)</f>
        <v/>
      </c>
      <c r="AR16" s="110" t="str">
        <f>IF(ISBLANK(Actuals!M21),"",'Original Budget'!M21-Actuals!M21)</f>
        <v/>
      </c>
      <c r="AS16" s="110" t="str">
        <f>IFERROR(IF(ISBLANK(Actuals!M21),"",('Original Budget'!M21-Actuals!M21)/ABS('Original Budget'!M21)),"")</f>
        <v/>
      </c>
      <c r="AT16" s="109">
        <f>'Original Budget'!N21</f>
        <v>-23114.583333333299</v>
      </c>
      <c r="AU16" s="109" t="str">
        <f>IF(ISBLANK(Actuals!N21),"",Actuals!N21)</f>
        <v/>
      </c>
      <c r="AV16" s="110" t="str">
        <f>IF(ISBLANK(Actuals!N21),"",'Original Budget'!N21-Actuals!N21)</f>
        <v/>
      </c>
      <c r="AW16" s="110" t="str">
        <f>IFERROR(IF(ISBLANK(Actuals!N21),"",('Original Budget'!N21-Actuals!N21)/ABS('Original Budget'!N21)),"")</f>
        <v/>
      </c>
      <c r="AX16" s="111">
        <f>SUMPRODUCT((Actuals!C21:N21&lt;&gt;"")*('Original Budget'!C21:N21))</f>
        <v>-50377.953333333295</v>
      </c>
      <c r="AY16" s="111">
        <f>SUM(Actuals!C21:N21)</f>
        <v>-49650.439999999995</v>
      </c>
      <c r="AZ16" s="112">
        <f t="shared" si="0"/>
        <v>-727.51333333329967</v>
      </c>
    </row>
    <row r="17" spans="1:52" ht="15" customHeight="1" x14ac:dyDescent="0.25">
      <c r="A17" s="108" t="s">
        <v>65</v>
      </c>
      <c r="B17" s="109">
        <f>'Original Budget'!C22</f>
        <v>0</v>
      </c>
      <c r="C17" s="109" t="str">
        <f>IF(ISBLANK(Actuals!C22),"",Actuals!C22)</f>
        <v/>
      </c>
      <c r="D17" s="110" t="str">
        <f>IF(ISBLANK(Actuals!C22),"",'Original Budget'!C22-Actuals!C22)</f>
        <v/>
      </c>
      <c r="E17" s="110" t="str">
        <f>IFERROR(IF(ISBLANK(Actuals!C22),"",('Original Budget'!C22-Actuals!C22)/ABS('Original Budget'!C22)),"")</f>
        <v/>
      </c>
      <c r="F17" s="109">
        <f>'Original Budget'!D22</f>
        <v>0</v>
      </c>
      <c r="G17" s="109" t="str">
        <f>IF(ISBLANK(Actuals!D22),"",Actuals!D22)</f>
        <v/>
      </c>
      <c r="H17" s="110" t="str">
        <f>IF(ISBLANK(Actuals!D22),"",'Original Budget'!D22-Actuals!D22)</f>
        <v/>
      </c>
      <c r="I17" s="110" t="str">
        <f>IFERROR(IF(ISBLANK(Actuals!D22),"",('Original Budget'!D22-Actuals!D22)/ABS('Original Budget'!D22)),"")</f>
        <v/>
      </c>
      <c r="J17" s="109">
        <f>'Original Budget'!E22</f>
        <v>0</v>
      </c>
      <c r="K17" s="109" t="str">
        <f>IF(ISBLANK(Actuals!E22),"",Actuals!E22)</f>
        <v/>
      </c>
      <c r="L17" s="110" t="str">
        <f>IF(ISBLANK(Actuals!E22),"",'Original Budget'!E22-Actuals!E22)</f>
        <v/>
      </c>
      <c r="M17" s="110" t="str">
        <f>IFERROR(IF(ISBLANK(Actuals!E22),"",('Original Budget'!E22-Actuals!E22)/ABS('Original Budget'!E22)),"")</f>
        <v/>
      </c>
      <c r="N17" s="109">
        <f>'Original Budget'!F22</f>
        <v>-103833.33333333299</v>
      </c>
      <c r="O17" s="109">
        <f>IF(ISBLANK(Actuals!F22),"",Actuals!F22)</f>
        <v>0</v>
      </c>
      <c r="P17" s="110">
        <f>IF(ISBLANK(Actuals!F22),"",'Original Budget'!F22-Actuals!F22)</f>
        <v>-103833.33333333299</v>
      </c>
      <c r="Q17" s="110">
        <f>IFERROR(IF(ISBLANK(Actuals!F22),"",('Original Budget'!F22-Actuals!F22)/ABS('Original Budget'!F22)),"")</f>
        <v>-1</v>
      </c>
      <c r="R17" s="109">
        <f>'Original Budget'!G22</f>
        <v>-103833.33333333299</v>
      </c>
      <c r="S17" s="109" t="str">
        <f>IF(ISBLANK(Actuals!G22),"",Actuals!G22)</f>
        <v/>
      </c>
      <c r="T17" s="110" t="str">
        <f>IF(ISBLANK(Actuals!G22),"",'Original Budget'!G22-Actuals!G22)</f>
        <v/>
      </c>
      <c r="U17" s="110" t="str">
        <f>IFERROR(IF(ISBLANK(Actuals!G22),"",('Original Budget'!G22-Actuals!G22)/ABS('Original Budget'!G22)),"")</f>
        <v/>
      </c>
      <c r="V17" s="109">
        <f>'Original Budget'!H22</f>
        <v>-103833.33333333299</v>
      </c>
      <c r="W17" s="109" t="str">
        <f>IF(ISBLANK(Actuals!H22),"",Actuals!H22)</f>
        <v/>
      </c>
      <c r="X17" s="110" t="str">
        <f>IF(ISBLANK(Actuals!H22),"",'Original Budget'!H22-Actuals!H22)</f>
        <v/>
      </c>
      <c r="Y17" s="110" t="str">
        <f>IFERROR(IF(ISBLANK(Actuals!H22),"",('Original Budget'!H22-Actuals!H22)/ABS('Original Budget'!H22)),"")</f>
        <v/>
      </c>
      <c r="Z17" s="109">
        <f>'Original Budget'!I22</f>
        <v>-103833.33333333299</v>
      </c>
      <c r="AA17" s="109" t="str">
        <f>IF(ISBLANK(Actuals!I22),"",Actuals!I22)</f>
        <v/>
      </c>
      <c r="AB17" s="110" t="str">
        <f>IF(ISBLANK(Actuals!I22),"",'Original Budget'!I22-Actuals!I22)</f>
        <v/>
      </c>
      <c r="AC17" s="110" t="str">
        <f>IFERROR(IF(ISBLANK(Actuals!I22),"",('Original Budget'!I22-Actuals!I22)/ABS('Original Budget'!I22)),"")</f>
        <v/>
      </c>
      <c r="AD17" s="109">
        <f>'Original Budget'!J22</f>
        <v>-103833.33333333299</v>
      </c>
      <c r="AE17" s="109" t="str">
        <f>IF(ISBLANK(Actuals!J22),"",Actuals!J22)</f>
        <v/>
      </c>
      <c r="AF17" s="110" t="str">
        <f>IF(ISBLANK(Actuals!J22),"",'Original Budget'!J22-Actuals!J22)</f>
        <v/>
      </c>
      <c r="AG17" s="110" t="str">
        <f>IFERROR(IF(ISBLANK(Actuals!J22),"",('Original Budget'!J22-Actuals!J22)/ABS('Original Budget'!J22)),"")</f>
        <v/>
      </c>
      <c r="AH17" s="109">
        <f>'Original Budget'!K22</f>
        <v>-103833.33333333299</v>
      </c>
      <c r="AI17" s="109" t="str">
        <f>IF(ISBLANK(Actuals!K22),"",Actuals!K22)</f>
        <v/>
      </c>
      <c r="AJ17" s="110" t="str">
        <f>IF(ISBLANK(Actuals!K22),"",'Original Budget'!K22-Actuals!K22)</f>
        <v/>
      </c>
      <c r="AK17" s="110" t="str">
        <f>IFERROR(IF(ISBLANK(Actuals!K22),"",('Original Budget'!K22-Actuals!K22)/ABS('Original Budget'!K22)),"")</f>
        <v/>
      </c>
      <c r="AL17" s="109">
        <f>'Original Budget'!L22</f>
        <v>-103833.33333333299</v>
      </c>
      <c r="AM17" s="109" t="str">
        <f>IF(ISBLANK(Actuals!L22),"",Actuals!L22)</f>
        <v/>
      </c>
      <c r="AN17" s="110" t="str">
        <f>IF(ISBLANK(Actuals!L22),"",'Original Budget'!L22-Actuals!L22)</f>
        <v/>
      </c>
      <c r="AO17" s="110" t="str">
        <f>IFERROR(IF(ISBLANK(Actuals!L22),"",('Original Budget'!L22-Actuals!L22)/ABS('Original Budget'!L22)),"")</f>
        <v/>
      </c>
      <c r="AP17" s="109">
        <f>'Original Budget'!M22</f>
        <v>-103833.33333333299</v>
      </c>
      <c r="AQ17" s="109" t="str">
        <f>IF(ISBLANK(Actuals!M22),"",Actuals!M22)</f>
        <v/>
      </c>
      <c r="AR17" s="110" t="str">
        <f>IF(ISBLANK(Actuals!M22),"",'Original Budget'!M22-Actuals!M22)</f>
        <v/>
      </c>
      <c r="AS17" s="110" t="str">
        <f>IFERROR(IF(ISBLANK(Actuals!M22),"",('Original Budget'!M22-Actuals!M22)/ABS('Original Budget'!M22)),"")</f>
        <v/>
      </c>
      <c r="AT17" s="109">
        <f>'Original Budget'!N22</f>
        <v>-103833.33333333299</v>
      </c>
      <c r="AU17" s="109" t="str">
        <f>IF(ISBLANK(Actuals!N22),"",Actuals!N22)</f>
        <v/>
      </c>
      <c r="AV17" s="110" t="str">
        <f>IF(ISBLANK(Actuals!N22),"",'Original Budget'!N22-Actuals!N22)</f>
        <v/>
      </c>
      <c r="AW17" s="110" t="str">
        <f>IFERROR(IF(ISBLANK(Actuals!N22),"",('Original Budget'!N22-Actuals!N22)/ABS('Original Budget'!N22)),"")</f>
        <v/>
      </c>
      <c r="AX17" s="111">
        <f>SUMPRODUCT((Actuals!C22:N22&lt;&gt;"")*('Original Budget'!C22:N22))</f>
        <v>-103833.33333333299</v>
      </c>
      <c r="AY17" s="111">
        <f>SUM(Actuals!C22:N22)</f>
        <v>0</v>
      </c>
      <c r="AZ17" s="112">
        <f t="shared" si="0"/>
        <v>-103833.33333333299</v>
      </c>
    </row>
    <row r="18" spans="1:52" ht="15" customHeight="1" x14ac:dyDescent="0.25">
      <c r="A18" s="108" t="s">
        <v>66</v>
      </c>
      <c r="B18" s="109">
        <f>'Original Budget'!C23</f>
        <v>-9482.9699999999993</v>
      </c>
      <c r="C18" s="109">
        <f>IF(ISBLANK(Actuals!C23),"",Actuals!C23)</f>
        <v>-9482.9699999999993</v>
      </c>
      <c r="D18" s="110">
        <f>IF(ISBLANK(Actuals!C23),"",'Original Budget'!C23-Actuals!C23)</f>
        <v>0</v>
      </c>
      <c r="E18" s="110">
        <f>IFERROR(IF(ISBLANK(Actuals!C23),"",('Original Budget'!C23-Actuals!C23)/ABS('Original Budget'!C23)),"")</f>
        <v>0</v>
      </c>
      <c r="F18" s="109">
        <f>'Original Budget'!D23</f>
        <v>-10343.290000000001</v>
      </c>
      <c r="G18" s="109">
        <f>IF(ISBLANK(Actuals!D23),"",Actuals!D23)</f>
        <v>-10343.290000000001</v>
      </c>
      <c r="H18" s="110">
        <f>IF(ISBLANK(Actuals!D23),"",'Original Budget'!D23-Actuals!D23)</f>
        <v>0</v>
      </c>
      <c r="I18" s="110">
        <f>IFERROR(IF(ISBLANK(Actuals!D23),"",('Original Budget'!D23-Actuals!D23)/ABS('Original Budget'!D23)),"")</f>
        <v>0</v>
      </c>
      <c r="J18" s="109">
        <f>'Original Budget'!E23</f>
        <v>-3729.48</v>
      </c>
      <c r="K18" s="109">
        <f>IF(ISBLANK(Actuals!E23),"",Actuals!E23)</f>
        <v>-3729.48</v>
      </c>
      <c r="L18" s="110">
        <f>IF(ISBLANK(Actuals!E23),"",'Original Budget'!E23-Actuals!E23)</f>
        <v>0</v>
      </c>
      <c r="M18" s="110">
        <f>IFERROR(IF(ISBLANK(Actuals!E23),"",('Original Budget'!E23-Actuals!E23)/ABS('Original Budget'!E23)),"")</f>
        <v>0</v>
      </c>
      <c r="N18" s="109">
        <f>'Original Budget'!F23</f>
        <v>-10947.916666666701</v>
      </c>
      <c r="O18" s="109">
        <f>IF(ISBLANK(Actuals!F23),"",Actuals!F23)</f>
        <v>-3206.79</v>
      </c>
      <c r="P18" s="110">
        <f>IF(ISBLANK(Actuals!F23),"",'Original Budget'!F23-Actuals!F23)</f>
        <v>-7741.1266666667007</v>
      </c>
      <c r="Q18" s="110">
        <f>IFERROR(IF(ISBLANK(Actuals!F23),"",('Original Budget'!F23-Actuals!F23)/ABS('Original Budget'!F23)),"")</f>
        <v>-0.70708673644148523</v>
      </c>
      <c r="R18" s="109">
        <f>'Original Budget'!G23</f>
        <v>-12177.083333333299</v>
      </c>
      <c r="S18" s="109" t="str">
        <f>IF(ISBLANK(Actuals!G23),"",Actuals!G23)</f>
        <v/>
      </c>
      <c r="T18" s="110" t="str">
        <f>IF(ISBLANK(Actuals!G23),"",'Original Budget'!G23-Actuals!G23)</f>
        <v/>
      </c>
      <c r="U18" s="110" t="str">
        <f>IFERROR(IF(ISBLANK(Actuals!G23),"",('Original Budget'!G23-Actuals!G23)/ABS('Original Budget'!G23)),"")</f>
        <v/>
      </c>
      <c r="V18" s="109">
        <f>'Original Budget'!H23</f>
        <v>-13427.083333333299</v>
      </c>
      <c r="W18" s="109" t="str">
        <f>IF(ISBLANK(Actuals!H23),"",Actuals!H23)</f>
        <v/>
      </c>
      <c r="X18" s="110" t="str">
        <f>IF(ISBLANK(Actuals!H23),"",'Original Budget'!H23-Actuals!H23)</f>
        <v/>
      </c>
      <c r="Y18" s="110" t="str">
        <f>IFERROR(IF(ISBLANK(Actuals!H23),"",('Original Budget'!H23-Actuals!H23)/ABS('Original Budget'!H23)),"")</f>
        <v/>
      </c>
      <c r="Z18" s="109">
        <f>'Original Budget'!I23</f>
        <v>-13968.75</v>
      </c>
      <c r="AA18" s="109" t="str">
        <f>IF(ISBLANK(Actuals!I23),"",Actuals!I23)</f>
        <v/>
      </c>
      <c r="AB18" s="110" t="str">
        <f>IF(ISBLANK(Actuals!I23),"",'Original Budget'!I23-Actuals!I23)</f>
        <v/>
      </c>
      <c r="AC18" s="110" t="str">
        <f>IFERROR(IF(ISBLANK(Actuals!I23),"",('Original Budget'!I23-Actuals!I23)/ABS('Original Budget'!I23)),"")</f>
        <v/>
      </c>
      <c r="AD18" s="109">
        <f>'Original Budget'!J23</f>
        <v>-13968.75</v>
      </c>
      <c r="AE18" s="109" t="str">
        <f>IF(ISBLANK(Actuals!J23),"",Actuals!J23)</f>
        <v/>
      </c>
      <c r="AF18" s="110" t="str">
        <f>IF(ISBLANK(Actuals!J23),"",'Original Budget'!J23-Actuals!J23)</f>
        <v/>
      </c>
      <c r="AG18" s="110" t="str">
        <f>IFERROR(IF(ISBLANK(Actuals!J23),"",('Original Budget'!J23-Actuals!J23)/ABS('Original Budget'!J23)),"")</f>
        <v/>
      </c>
      <c r="AH18" s="109">
        <f>'Original Budget'!K23</f>
        <v>-13968.75</v>
      </c>
      <c r="AI18" s="109" t="str">
        <f>IF(ISBLANK(Actuals!K23),"",Actuals!K23)</f>
        <v/>
      </c>
      <c r="AJ18" s="110" t="str">
        <f>IF(ISBLANK(Actuals!K23),"",'Original Budget'!K23-Actuals!K23)</f>
        <v/>
      </c>
      <c r="AK18" s="110" t="str">
        <f>IFERROR(IF(ISBLANK(Actuals!K23),"",('Original Budget'!K23-Actuals!K23)/ABS('Original Budget'!K23)),"")</f>
        <v/>
      </c>
      <c r="AL18" s="109">
        <f>'Original Budget'!L23</f>
        <v>-15010.416666666701</v>
      </c>
      <c r="AM18" s="109" t="str">
        <f>IF(ISBLANK(Actuals!L23),"",Actuals!L23)</f>
        <v/>
      </c>
      <c r="AN18" s="110" t="str">
        <f>IF(ISBLANK(Actuals!L23),"",'Original Budget'!L23-Actuals!L23)</f>
        <v/>
      </c>
      <c r="AO18" s="110" t="str">
        <f>IFERROR(IF(ISBLANK(Actuals!L23),"",('Original Budget'!L23-Actuals!L23)/ABS('Original Budget'!L23)),"")</f>
        <v/>
      </c>
      <c r="AP18" s="109">
        <f>'Original Budget'!M23</f>
        <v>-16510.416666666701</v>
      </c>
      <c r="AQ18" s="109" t="str">
        <f>IF(ISBLANK(Actuals!M23),"",Actuals!M23)</f>
        <v/>
      </c>
      <c r="AR18" s="110" t="str">
        <f>IF(ISBLANK(Actuals!M23),"",'Original Budget'!M23-Actuals!M23)</f>
        <v/>
      </c>
      <c r="AS18" s="110" t="str">
        <f>IFERROR(IF(ISBLANK(Actuals!M23),"",('Original Budget'!M23-Actuals!M23)/ABS('Original Budget'!M23)),"")</f>
        <v/>
      </c>
      <c r="AT18" s="109">
        <f>'Original Budget'!N23</f>
        <v>-16510.416666666701</v>
      </c>
      <c r="AU18" s="109" t="str">
        <f>IF(ISBLANK(Actuals!N23),"",Actuals!N23)</f>
        <v/>
      </c>
      <c r="AV18" s="110" t="str">
        <f>IF(ISBLANK(Actuals!N23),"",'Original Budget'!N23-Actuals!N23)</f>
        <v/>
      </c>
      <c r="AW18" s="110" t="str">
        <f>IFERROR(IF(ISBLANK(Actuals!N23),"",('Original Budget'!N23-Actuals!N23)/ABS('Original Budget'!N23)),"")</f>
        <v/>
      </c>
      <c r="AX18" s="111">
        <f>SUMPRODUCT((Actuals!C23:N23&lt;&gt;"")*('Original Budget'!C23:N23))</f>
        <v>-34503.656666666706</v>
      </c>
      <c r="AY18" s="111">
        <f>SUM(Actuals!C23:N23)</f>
        <v>-26762.530000000002</v>
      </c>
      <c r="AZ18" s="112">
        <f t="shared" si="0"/>
        <v>-7741.1266666667034</v>
      </c>
    </row>
    <row r="19" spans="1:52" ht="15" customHeight="1" x14ac:dyDescent="0.25">
      <c r="A19" s="108" t="s">
        <v>67</v>
      </c>
      <c r="B19" s="109">
        <f>'Original Budget'!C24</f>
        <v>-2542.4699999999998</v>
      </c>
      <c r="C19" s="109">
        <f>IF(ISBLANK(Actuals!C24),"",Actuals!C24)</f>
        <v>-2542.4699999999998</v>
      </c>
      <c r="D19" s="110">
        <f>IF(ISBLANK(Actuals!C24),"",'Original Budget'!C24-Actuals!C24)</f>
        <v>0</v>
      </c>
      <c r="E19" s="110">
        <f>IFERROR(IF(ISBLANK(Actuals!C24),"",('Original Budget'!C24-Actuals!C24)/ABS('Original Budget'!C24)),"")</f>
        <v>0</v>
      </c>
      <c r="F19" s="109">
        <f>'Original Budget'!D24</f>
        <v>-1618.75</v>
      </c>
      <c r="G19" s="109">
        <f>IF(ISBLANK(Actuals!D24),"",Actuals!D24)</f>
        <v>-1618.75</v>
      </c>
      <c r="H19" s="110">
        <f>IF(ISBLANK(Actuals!D24),"",'Original Budget'!D24-Actuals!D24)</f>
        <v>0</v>
      </c>
      <c r="I19" s="110">
        <f>IFERROR(IF(ISBLANK(Actuals!D24),"",('Original Budget'!D24-Actuals!D24)/ABS('Original Budget'!D24)),"")</f>
        <v>0</v>
      </c>
      <c r="J19" s="109">
        <f>'Original Budget'!E24</f>
        <v>3406.77</v>
      </c>
      <c r="K19" s="109">
        <f>IF(ISBLANK(Actuals!E24),"",Actuals!E24)</f>
        <v>3406.77</v>
      </c>
      <c r="L19" s="110">
        <f>IF(ISBLANK(Actuals!E24),"",'Original Budget'!E24-Actuals!E24)</f>
        <v>0</v>
      </c>
      <c r="M19" s="110">
        <f>IFERROR(IF(ISBLANK(Actuals!E24),"",('Original Budget'!E24-Actuals!E24)/ABS('Original Budget'!E24)),"")</f>
        <v>0</v>
      </c>
      <c r="N19" s="109">
        <f>'Original Budget'!F24</f>
        <v>-4379.1666666666697</v>
      </c>
      <c r="O19" s="109">
        <f>IF(ISBLANK(Actuals!F24),"",Actuals!F24)</f>
        <v>2575.42</v>
      </c>
      <c r="P19" s="110">
        <f>IF(ISBLANK(Actuals!F24),"",'Original Budget'!F24-Actuals!F24)</f>
        <v>-6954.5866666666698</v>
      </c>
      <c r="Q19" s="110">
        <f>IFERROR(IF(ISBLANK(Actuals!F24),"",('Original Budget'!F24-Actuals!F24)/ABS('Original Budget'!F24)),"")</f>
        <v>-1.5881073263558512</v>
      </c>
      <c r="R19" s="109">
        <f>'Original Budget'!G24</f>
        <v>-4870.8333333333303</v>
      </c>
      <c r="S19" s="109" t="str">
        <f>IF(ISBLANK(Actuals!G24),"",Actuals!G24)</f>
        <v/>
      </c>
      <c r="T19" s="110" t="str">
        <f>IF(ISBLANK(Actuals!G24),"",'Original Budget'!G24-Actuals!G24)</f>
        <v/>
      </c>
      <c r="U19" s="110" t="str">
        <f>IFERROR(IF(ISBLANK(Actuals!G24),"",('Original Budget'!G24-Actuals!G24)/ABS('Original Budget'!G24)),"")</f>
        <v/>
      </c>
      <c r="V19" s="109">
        <f>'Original Budget'!H24</f>
        <v>-5370.8333333333303</v>
      </c>
      <c r="W19" s="109" t="str">
        <f>IF(ISBLANK(Actuals!H24),"",Actuals!H24)</f>
        <v/>
      </c>
      <c r="X19" s="110" t="str">
        <f>IF(ISBLANK(Actuals!H24),"",'Original Budget'!H24-Actuals!H24)</f>
        <v/>
      </c>
      <c r="Y19" s="110" t="str">
        <f>IFERROR(IF(ISBLANK(Actuals!H24),"",('Original Budget'!H24-Actuals!H24)/ABS('Original Budget'!H24)),"")</f>
        <v/>
      </c>
      <c r="Z19" s="109">
        <f>'Original Budget'!I24</f>
        <v>-5587.5</v>
      </c>
      <c r="AA19" s="109" t="str">
        <f>IF(ISBLANK(Actuals!I24),"",Actuals!I24)</f>
        <v/>
      </c>
      <c r="AB19" s="110" t="str">
        <f>IF(ISBLANK(Actuals!I24),"",'Original Budget'!I24-Actuals!I24)</f>
        <v/>
      </c>
      <c r="AC19" s="110" t="str">
        <f>IFERROR(IF(ISBLANK(Actuals!I24),"",('Original Budget'!I24-Actuals!I24)/ABS('Original Budget'!I24)),"")</f>
        <v/>
      </c>
      <c r="AD19" s="109">
        <f>'Original Budget'!J24</f>
        <v>-5587.5</v>
      </c>
      <c r="AE19" s="109" t="str">
        <f>IF(ISBLANK(Actuals!J24),"",Actuals!J24)</f>
        <v/>
      </c>
      <c r="AF19" s="110" t="str">
        <f>IF(ISBLANK(Actuals!J24),"",'Original Budget'!J24-Actuals!J24)</f>
        <v/>
      </c>
      <c r="AG19" s="110" t="str">
        <f>IFERROR(IF(ISBLANK(Actuals!J24),"",('Original Budget'!J24-Actuals!J24)/ABS('Original Budget'!J24)),"")</f>
        <v/>
      </c>
      <c r="AH19" s="109">
        <f>'Original Budget'!K24</f>
        <v>-5587.5</v>
      </c>
      <c r="AI19" s="109" t="str">
        <f>IF(ISBLANK(Actuals!K24),"",Actuals!K24)</f>
        <v/>
      </c>
      <c r="AJ19" s="110" t="str">
        <f>IF(ISBLANK(Actuals!K24),"",'Original Budget'!K24-Actuals!K24)</f>
        <v/>
      </c>
      <c r="AK19" s="110" t="str">
        <f>IFERROR(IF(ISBLANK(Actuals!K24),"",('Original Budget'!K24-Actuals!K24)/ABS('Original Budget'!K24)),"")</f>
        <v/>
      </c>
      <c r="AL19" s="109">
        <f>'Original Budget'!L24</f>
        <v>-6004.1666666666697</v>
      </c>
      <c r="AM19" s="109" t="str">
        <f>IF(ISBLANK(Actuals!L24),"",Actuals!L24)</f>
        <v/>
      </c>
      <c r="AN19" s="110" t="str">
        <f>IF(ISBLANK(Actuals!L24),"",'Original Budget'!L24-Actuals!L24)</f>
        <v/>
      </c>
      <c r="AO19" s="110" t="str">
        <f>IFERROR(IF(ISBLANK(Actuals!L24),"",('Original Budget'!L24-Actuals!L24)/ABS('Original Budget'!L24)),"")</f>
        <v/>
      </c>
      <c r="AP19" s="109">
        <f>'Original Budget'!M24</f>
        <v>-6604.1666666666597</v>
      </c>
      <c r="AQ19" s="109" t="str">
        <f>IF(ISBLANK(Actuals!M24),"",Actuals!M24)</f>
        <v/>
      </c>
      <c r="AR19" s="110" t="str">
        <f>IF(ISBLANK(Actuals!M24),"",'Original Budget'!M24-Actuals!M24)</f>
        <v/>
      </c>
      <c r="AS19" s="110" t="str">
        <f>IFERROR(IF(ISBLANK(Actuals!M24),"",('Original Budget'!M24-Actuals!M24)/ABS('Original Budget'!M24)),"")</f>
        <v/>
      </c>
      <c r="AT19" s="109">
        <f>'Original Budget'!N24</f>
        <v>-6604.1666666666597</v>
      </c>
      <c r="AU19" s="109" t="str">
        <f>IF(ISBLANK(Actuals!N24),"",Actuals!N24)</f>
        <v/>
      </c>
      <c r="AV19" s="110" t="str">
        <f>IF(ISBLANK(Actuals!N24),"",'Original Budget'!N24-Actuals!N24)</f>
        <v/>
      </c>
      <c r="AW19" s="110" t="str">
        <f>IFERROR(IF(ISBLANK(Actuals!N24),"",('Original Budget'!N24-Actuals!N24)/ABS('Original Budget'!N24)),"")</f>
        <v/>
      </c>
      <c r="AX19" s="111">
        <f>SUMPRODUCT((Actuals!C24:N24&lt;&gt;"")*('Original Budget'!C24:N24))</f>
        <v>-5133.6166666666686</v>
      </c>
      <c r="AY19" s="111">
        <f>SUM(Actuals!C24:N24)</f>
        <v>1820.9700000000007</v>
      </c>
      <c r="AZ19" s="112">
        <f t="shared" si="0"/>
        <v>-6954.5866666666698</v>
      </c>
    </row>
    <row r="20" spans="1:52" ht="15" customHeight="1" x14ac:dyDescent="0.25">
      <c r="A20" s="108" t="s">
        <v>68</v>
      </c>
      <c r="B20" s="109">
        <f>'Original Budget'!C25</f>
        <v>-195</v>
      </c>
      <c r="C20" s="109">
        <f>IF(ISBLANK(Actuals!C25),"",Actuals!C25)</f>
        <v>-195</v>
      </c>
      <c r="D20" s="110">
        <f>IF(ISBLANK(Actuals!C25),"",'Original Budget'!C25-Actuals!C25)</f>
        <v>0</v>
      </c>
      <c r="E20" s="110">
        <f>IFERROR(IF(ISBLANK(Actuals!C25),"",('Original Budget'!C25-Actuals!C25)/ABS('Original Budget'!C25)),"")</f>
        <v>0</v>
      </c>
      <c r="F20" s="109">
        <f>'Original Budget'!D25</f>
        <v>-200</v>
      </c>
      <c r="G20" s="109">
        <f>IF(ISBLANK(Actuals!D25),"",Actuals!D25)</f>
        <v>-200</v>
      </c>
      <c r="H20" s="110">
        <f>IF(ISBLANK(Actuals!D25),"",'Original Budget'!D25-Actuals!D25)</f>
        <v>0</v>
      </c>
      <c r="I20" s="110">
        <f>IFERROR(IF(ISBLANK(Actuals!D25),"",('Original Budget'!D25-Actuals!D25)/ABS('Original Budget'!D25)),"")</f>
        <v>0</v>
      </c>
      <c r="J20" s="109">
        <f>'Original Budget'!E25</f>
        <v>0</v>
      </c>
      <c r="K20" s="109">
        <f>IF(ISBLANK(Actuals!E25),"",Actuals!E25)</f>
        <v>0</v>
      </c>
      <c r="L20" s="110">
        <f>IF(ISBLANK(Actuals!E25),"",'Original Budget'!E25-Actuals!E25)</f>
        <v>0</v>
      </c>
      <c r="M20" s="110" t="str">
        <f>IFERROR(IF(ISBLANK(Actuals!E25),"",('Original Budget'!E25-Actuals!E25)/ABS('Original Budget'!E25)),"")</f>
        <v/>
      </c>
      <c r="N20" s="109">
        <f>'Original Budget'!F25</f>
        <v>-1094.7916666666699</v>
      </c>
      <c r="O20" s="109">
        <f>IF(ISBLANK(Actuals!F25),"",Actuals!F25)</f>
        <v>0</v>
      </c>
      <c r="P20" s="110">
        <f>IF(ISBLANK(Actuals!F25),"",'Original Budget'!F25-Actuals!F25)</f>
        <v>-1094.7916666666699</v>
      </c>
      <c r="Q20" s="110">
        <f>IFERROR(IF(ISBLANK(Actuals!F25),"",('Original Budget'!F25-Actuals!F25)/ABS('Original Budget'!F25)),"")</f>
        <v>-1</v>
      </c>
      <c r="R20" s="109">
        <f>'Original Budget'!G25</f>
        <v>-1217.7083333333301</v>
      </c>
      <c r="S20" s="109" t="str">
        <f>IF(ISBLANK(Actuals!G25),"",Actuals!G25)</f>
        <v/>
      </c>
      <c r="T20" s="110" t="str">
        <f>IF(ISBLANK(Actuals!G25),"",'Original Budget'!G25-Actuals!G25)</f>
        <v/>
      </c>
      <c r="U20" s="110" t="str">
        <f>IFERROR(IF(ISBLANK(Actuals!G25),"",('Original Budget'!G25-Actuals!G25)/ABS('Original Budget'!G25)),"")</f>
        <v/>
      </c>
      <c r="V20" s="109">
        <f>'Original Budget'!H25</f>
        <v>-1342.7083333333301</v>
      </c>
      <c r="W20" s="109" t="str">
        <f>IF(ISBLANK(Actuals!H25),"",Actuals!H25)</f>
        <v/>
      </c>
      <c r="X20" s="110" t="str">
        <f>IF(ISBLANK(Actuals!H25),"",'Original Budget'!H25-Actuals!H25)</f>
        <v/>
      </c>
      <c r="Y20" s="110" t="str">
        <f>IFERROR(IF(ISBLANK(Actuals!H25),"",('Original Budget'!H25-Actuals!H25)/ABS('Original Budget'!H25)),"")</f>
        <v/>
      </c>
      <c r="Z20" s="109">
        <f>'Original Budget'!I25</f>
        <v>-1396.875</v>
      </c>
      <c r="AA20" s="109" t="str">
        <f>IF(ISBLANK(Actuals!I25),"",Actuals!I25)</f>
        <v/>
      </c>
      <c r="AB20" s="110" t="str">
        <f>IF(ISBLANK(Actuals!I25),"",'Original Budget'!I25-Actuals!I25)</f>
        <v/>
      </c>
      <c r="AC20" s="110" t="str">
        <f>IFERROR(IF(ISBLANK(Actuals!I25),"",('Original Budget'!I25-Actuals!I25)/ABS('Original Budget'!I25)),"")</f>
        <v/>
      </c>
      <c r="AD20" s="109">
        <f>'Original Budget'!J25</f>
        <v>-1396.875</v>
      </c>
      <c r="AE20" s="109" t="str">
        <f>IF(ISBLANK(Actuals!J25),"",Actuals!J25)</f>
        <v/>
      </c>
      <c r="AF20" s="110" t="str">
        <f>IF(ISBLANK(Actuals!J25),"",'Original Budget'!J25-Actuals!J25)</f>
        <v/>
      </c>
      <c r="AG20" s="110" t="str">
        <f>IFERROR(IF(ISBLANK(Actuals!J25),"",('Original Budget'!J25-Actuals!J25)/ABS('Original Budget'!J25)),"")</f>
        <v/>
      </c>
      <c r="AH20" s="109">
        <f>'Original Budget'!K25</f>
        <v>-1396.875</v>
      </c>
      <c r="AI20" s="109" t="str">
        <f>IF(ISBLANK(Actuals!K25),"",Actuals!K25)</f>
        <v/>
      </c>
      <c r="AJ20" s="110" t="str">
        <f>IF(ISBLANK(Actuals!K25),"",'Original Budget'!K25-Actuals!K25)</f>
        <v/>
      </c>
      <c r="AK20" s="110" t="str">
        <f>IFERROR(IF(ISBLANK(Actuals!K25),"",('Original Budget'!K25-Actuals!K25)/ABS('Original Budget'!K25)),"")</f>
        <v/>
      </c>
      <c r="AL20" s="109">
        <f>'Original Budget'!L25</f>
        <v>-1501.0416666666699</v>
      </c>
      <c r="AM20" s="109" t="str">
        <f>IF(ISBLANK(Actuals!L25),"",Actuals!L25)</f>
        <v/>
      </c>
      <c r="AN20" s="110" t="str">
        <f>IF(ISBLANK(Actuals!L25),"",'Original Budget'!L25-Actuals!L25)</f>
        <v/>
      </c>
      <c r="AO20" s="110" t="str">
        <f>IFERROR(IF(ISBLANK(Actuals!L25),"",('Original Budget'!L25-Actuals!L25)/ABS('Original Budget'!L25)),"")</f>
        <v/>
      </c>
      <c r="AP20" s="109">
        <f>'Original Budget'!M25</f>
        <v>-1651.0416666666699</v>
      </c>
      <c r="AQ20" s="109" t="str">
        <f>IF(ISBLANK(Actuals!M25),"",Actuals!M25)</f>
        <v/>
      </c>
      <c r="AR20" s="110" t="str">
        <f>IF(ISBLANK(Actuals!M25),"",'Original Budget'!M25-Actuals!M25)</f>
        <v/>
      </c>
      <c r="AS20" s="110" t="str">
        <f>IFERROR(IF(ISBLANK(Actuals!M25),"",('Original Budget'!M25-Actuals!M25)/ABS('Original Budget'!M25)),"")</f>
        <v/>
      </c>
      <c r="AT20" s="109">
        <f>'Original Budget'!N25</f>
        <v>-1651.0416666666699</v>
      </c>
      <c r="AU20" s="109" t="str">
        <f>IF(ISBLANK(Actuals!N25),"",Actuals!N25)</f>
        <v/>
      </c>
      <c r="AV20" s="110" t="str">
        <f>IF(ISBLANK(Actuals!N25),"",'Original Budget'!N25-Actuals!N25)</f>
        <v/>
      </c>
      <c r="AW20" s="110" t="str">
        <f>IFERROR(IF(ISBLANK(Actuals!N25),"",('Original Budget'!N25-Actuals!N25)/ABS('Original Budget'!N25)),"")</f>
        <v/>
      </c>
      <c r="AX20" s="111">
        <f>SUMPRODUCT((Actuals!C25:N25&lt;&gt;"")*('Original Budget'!C25:N25))</f>
        <v>-1489.7916666666699</v>
      </c>
      <c r="AY20" s="111">
        <f>SUM(Actuals!C25:N25)</f>
        <v>-395</v>
      </c>
      <c r="AZ20" s="112">
        <f t="shared" si="0"/>
        <v>-1094.7916666666699</v>
      </c>
    </row>
    <row r="21" spans="1:52" ht="15" customHeight="1" x14ac:dyDescent="0.25">
      <c r="A21" s="108" t="s">
        <v>69</v>
      </c>
      <c r="B21" s="109">
        <f>'Original Budget'!C26</f>
        <v>-33002.28</v>
      </c>
      <c r="C21" s="109">
        <f>IF(ISBLANK(Actuals!C26),"",Actuals!C26)</f>
        <v>-33002.28</v>
      </c>
      <c r="D21" s="110">
        <f>IF(ISBLANK(Actuals!C26),"",'Original Budget'!C26-Actuals!C26)</f>
        <v>0</v>
      </c>
      <c r="E21" s="110">
        <f>IFERROR(IF(ISBLANK(Actuals!C26),"",('Original Budget'!C26-Actuals!C26)/ABS('Original Budget'!C26)),"")</f>
        <v>0</v>
      </c>
      <c r="F21" s="109">
        <f>'Original Budget'!D26</f>
        <v>-29166.66</v>
      </c>
      <c r="G21" s="109">
        <f>IF(ISBLANK(Actuals!D26),"",Actuals!D26)</f>
        <v>-29166.66</v>
      </c>
      <c r="H21" s="110">
        <f>IF(ISBLANK(Actuals!D26),"",'Original Budget'!D26-Actuals!D26)</f>
        <v>0</v>
      </c>
      <c r="I21" s="110">
        <f>IFERROR(IF(ISBLANK(Actuals!D26),"",('Original Budget'!D26-Actuals!D26)/ABS('Original Budget'!D26)),"")</f>
        <v>0</v>
      </c>
      <c r="J21" s="109">
        <f>'Original Budget'!E26</f>
        <v>-41666.660000000003</v>
      </c>
      <c r="K21" s="109">
        <f>IF(ISBLANK(Actuals!E26),"",Actuals!E26)</f>
        <v>-41666.660000000003</v>
      </c>
      <c r="L21" s="110">
        <f>IF(ISBLANK(Actuals!E26),"",'Original Budget'!E26-Actuals!E26)</f>
        <v>0</v>
      </c>
      <c r="M21" s="110">
        <f>IFERROR(IF(ISBLANK(Actuals!E26),"",('Original Budget'!E26-Actuals!E26)/ABS('Original Budget'!E26)),"")</f>
        <v>0</v>
      </c>
      <c r="N21" s="109">
        <f>'Original Budget'!F26</f>
        <v>-29166.66</v>
      </c>
      <c r="O21" s="109">
        <f>IF(ISBLANK(Actuals!F26),"",Actuals!F26)</f>
        <v>-29166.66</v>
      </c>
      <c r="P21" s="110">
        <f>IF(ISBLANK(Actuals!F26),"",'Original Budget'!F26-Actuals!F26)</f>
        <v>0</v>
      </c>
      <c r="Q21" s="110">
        <f>IFERROR(IF(ISBLANK(Actuals!F26),"",('Original Budget'!F26-Actuals!F26)/ABS('Original Budget'!F26)),"")</f>
        <v>0</v>
      </c>
      <c r="R21" s="109">
        <f>'Original Budget'!G26</f>
        <v>-29166.66</v>
      </c>
      <c r="S21" s="109" t="str">
        <f>IF(ISBLANK(Actuals!G26),"",Actuals!G26)</f>
        <v/>
      </c>
      <c r="T21" s="110" t="str">
        <f>IF(ISBLANK(Actuals!G26),"",'Original Budget'!G26-Actuals!G26)</f>
        <v/>
      </c>
      <c r="U21" s="110" t="str">
        <f>IFERROR(IF(ISBLANK(Actuals!G26),"",('Original Budget'!G26-Actuals!G26)/ABS('Original Budget'!G26)),"")</f>
        <v/>
      </c>
      <c r="V21" s="109">
        <f>'Original Budget'!H26</f>
        <v>-29166.66</v>
      </c>
      <c r="W21" s="109" t="str">
        <f>IF(ISBLANK(Actuals!H26),"",Actuals!H26)</f>
        <v/>
      </c>
      <c r="X21" s="110" t="str">
        <f>IF(ISBLANK(Actuals!H26),"",'Original Budget'!H26-Actuals!H26)</f>
        <v/>
      </c>
      <c r="Y21" s="110" t="str">
        <f>IFERROR(IF(ISBLANK(Actuals!H26),"",('Original Budget'!H26-Actuals!H26)/ABS('Original Budget'!H26)),"")</f>
        <v/>
      </c>
      <c r="Z21" s="109">
        <f>'Original Budget'!I26</f>
        <v>-29166.66</v>
      </c>
      <c r="AA21" s="109" t="str">
        <f>IF(ISBLANK(Actuals!I26),"",Actuals!I26)</f>
        <v/>
      </c>
      <c r="AB21" s="110" t="str">
        <f>IF(ISBLANK(Actuals!I26),"",'Original Budget'!I26-Actuals!I26)</f>
        <v/>
      </c>
      <c r="AC21" s="110" t="str">
        <f>IFERROR(IF(ISBLANK(Actuals!I26),"",('Original Budget'!I26-Actuals!I26)/ABS('Original Budget'!I26)),"")</f>
        <v/>
      </c>
      <c r="AD21" s="109">
        <f>'Original Budget'!J26</f>
        <v>-29166.66</v>
      </c>
      <c r="AE21" s="109" t="str">
        <f>IF(ISBLANK(Actuals!J26),"",Actuals!J26)</f>
        <v/>
      </c>
      <c r="AF21" s="110" t="str">
        <f>IF(ISBLANK(Actuals!J26),"",'Original Budget'!J26-Actuals!J26)</f>
        <v/>
      </c>
      <c r="AG21" s="110" t="str">
        <f>IFERROR(IF(ISBLANK(Actuals!J26),"",('Original Budget'!J26-Actuals!J26)/ABS('Original Budget'!J26)),"")</f>
        <v/>
      </c>
      <c r="AH21" s="109">
        <f>'Original Budget'!K26</f>
        <v>-29166.66</v>
      </c>
      <c r="AI21" s="109" t="str">
        <f>IF(ISBLANK(Actuals!K26),"",Actuals!K26)</f>
        <v/>
      </c>
      <c r="AJ21" s="110" t="str">
        <f>IF(ISBLANK(Actuals!K26),"",'Original Budget'!K26-Actuals!K26)</f>
        <v/>
      </c>
      <c r="AK21" s="110" t="str">
        <f>IFERROR(IF(ISBLANK(Actuals!K26),"",('Original Budget'!K26-Actuals!K26)/ABS('Original Budget'!K26)),"")</f>
        <v/>
      </c>
      <c r="AL21" s="109">
        <f>'Original Budget'!L26</f>
        <v>-29166.66</v>
      </c>
      <c r="AM21" s="109" t="str">
        <f>IF(ISBLANK(Actuals!L26),"",Actuals!L26)</f>
        <v/>
      </c>
      <c r="AN21" s="110" t="str">
        <f>IF(ISBLANK(Actuals!L26),"",'Original Budget'!L26-Actuals!L26)</f>
        <v/>
      </c>
      <c r="AO21" s="110" t="str">
        <f>IFERROR(IF(ISBLANK(Actuals!L26),"",('Original Budget'!L26-Actuals!L26)/ABS('Original Budget'!L26)),"")</f>
        <v/>
      </c>
      <c r="AP21" s="109">
        <f>'Original Budget'!M26</f>
        <v>-29166.66</v>
      </c>
      <c r="AQ21" s="109" t="str">
        <f>IF(ISBLANK(Actuals!M26),"",Actuals!M26)</f>
        <v/>
      </c>
      <c r="AR21" s="110" t="str">
        <f>IF(ISBLANK(Actuals!M26),"",'Original Budget'!M26-Actuals!M26)</f>
        <v/>
      </c>
      <c r="AS21" s="110" t="str">
        <f>IFERROR(IF(ISBLANK(Actuals!M26),"",('Original Budget'!M26-Actuals!M26)/ABS('Original Budget'!M26)),"")</f>
        <v/>
      </c>
      <c r="AT21" s="109">
        <f>'Original Budget'!N26</f>
        <v>-29166.66</v>
      </c>
      <c r="AU21" s="109" t="str">
        <f>IF(ISBLANK(Actuals!N26),"",Actuals!N26)</f>
        <v/>
      </c>
      <c r="AV21" s="110" t="str">
        <f>IF(ISBLANK(Actuals!N26),"",'Original Budget'!N26-Actuals!N26)</f>
        <v/>
      </c>
      <c r="AW21" s="110" t="str">
        <f>IFERROR(IF(ISBLANK(Actuals!N26),"",('Original Budget'!N26-Actuals!N26)/ABS('Original Budget'!N26)),"")</f>
        <v/>
      </c>
      <c r="AX21" s="111">
        <f>SUMPRODUCT((Actuals!C26:N26&lt;&gt;"")*('Original Budget'!C26:N26))</f>
        <v>-133002.26</v>
      </c>
      <c r="AY21" s="111">
        <f>SUM(Actuals!C26:N26)</f>
        <v>-133002.26</v>
      </c>
      <c r="AZ21" s="112">
        <f t="shared" si="0"/>
        <v>0</v>
      </c>
    </row>
    <row r="22" spans="1:52" ht="15" customHeight="1" x14ac:dyDescent="0.25">
      <c r="A22" s="108" t="s">
        <v>70</v>
      </c>
      <c r="B22" s="109">
        <f>'Original Budget'!C27</f>
        <v>0</v>
      </c>
      <c r="C22" s="109">
        <f>IF(ISBLANK(Actuals!C27),"",Actuals!C27)</f>
        <v>0</v>
      </c>
      <c r="D22" s="110">
        <f>IF(ISBLANK(Actuals!C27),"",'Original Budget'!C27-Actuals!C27)</f>
        <v>0</v>
      </c>
      <c r="E22" s="110" t="str">
        <f>IFERROR(IF(ISBLANK(Actuals!C27),"",('Original Budget'!C27-Actuals!C27)/ABS('Original Budget'!C27)),"")</f>
        <v/>
      </c>
      <c r="F22" s="109">
        <f>'Original Budget'!D27</f>
        <v>0</v>
      </c>
      <c r="G22" s="109">
        <f>IF(ISBLANK(Actuals!D27),"",Actuals!D27)</f>
        <v>0</v>
      </c>
      <c r="H22" s="110">
        <f>IF(ISBLANK(Actuals!D27),"",'Original Budget'!D27-Actuals!D27)</f>
        <v>0</v>
      </c>
      <c r="I22" s="110" t="str">
        <f>IFERROR(IF(ISBLANK(Actuals!D27),"",('Original Budget'!D27-Actuals!D27)/ABS('Original Budget'!D27)),"")</f>
        <v/>
      </c>
      <c r="J22" s="109">
        <f>'Original Budget'!E27</f>
        <v>0</v>
      </c>
      <c r="K22" s="109">
        <f>IF(ISBLANK(Actuals!E27),"",Actuals!E27)</f>
        <v>0</v>
      </c>
      <c r="L22" s="110">
        <f>IF(ISBLANK(Actuals!E27),"",'Original Budget'!E27-Actuals!E27)</f>
        <v>0</v>
      </c>
      <c r="M22" s="110" t="str">
        <f>IFERROR(IF(ISBLANK(Actuals!E27),"",('Original Budget'!E27-Actuals!E27)/ABS('Original Budget'!E27)),"")</f>
        <v/>
      </c>
      <c r="N22" s="109">
        <f>'Original Budget'!F27</f>
        <v>0</v>
      </c>
      <c r="O22" s="109">
        <f>IF(ISBLANK(Actuals!F27),"",Actuals!F27)</f>
        <v>251304.48</v>
      </c>
      <c r="P22" s="110">
        <f>IF(ISBLANK(Actuals!F27),"",'Original Budget'!F27-Actuals!F27)</f>
        <v>-251304.48</v>
      </c>
      <c r="Q22" s="110" t="str">
        <f>IFERROR(IF(ISBLANK(Actuals!F27),"",('Original Budget'!F27-Actuals!F27)/ABS('Original Budget'!F27)),"")</f>
        <v/>
      </c>
      <c r="R22" s="109">
        <f>'Original Budget'!G27</f>
        <v>0</v>
      </c>
      <c r="S22" s="109" t="str">
        <f>IF(ISBLANK(Actuals!G27),"",Actuals!G27)</f>
        <v/>
      </c>
      <c r="T22" s="110" t="str">
        <f>IF(ISBLANK(Actuals!G27),"",'Original Budget'!G27-Actuals!G27)</f>
        <v/>
      </c>
      <c r="U22" s="110" t="str">
        <f>IFERROR(IF(ISBLANK(Actuals!G27),"",('Original Budget'!G27-Actuals!G27)/ABS('Original Budget'!G27)),"")</f>
        <v/>
      </c>
      <c r="V22" s="109">
        <f>'Original Budget'!H27</f>
        <v>0</v>
      </c>
      <c r="W22" s="109" t="str">
        <f>IF(ISBLANK(Actuals!H27),"",Actuals!H27)</f>
        <v/>
      </c>
      <c r="X22" s="110" t="str">
        <f>IF(ISBLANK(Actuals!H27),"",'Original Budget'!H27-Actuals!H27)</f>
        <v/>
      </c>
      <c r="Y22" s="110" t="str">
        <f>IFERROR(IF(ISBLANK(Actuals!H27),"",('Original Budget'!H27-Actuals!H27)/ABS('Original Budget'!H27)),"")</f>
        <v/>
      </c>
      <c r="Z22" s="109">
        <f>'Original Budget'!I27</f>
        <v>0</v>
      </c>
      <c r="AA22" s="109" t="str">
        <f>IF(ISBLANK(Actuals!I27),"",Actuals!I27)</f>
        <v/>
      </c>
      <c r="AB22" s="110" t="str">
        <f>IF(ISBLANK(Actuals!I27),"",'Original Budget'!I27-Actuals!I27)</f>
        <v/>
      </c>
      <c r="AC22" s="110" t="str">
        <f>IFERROR(IF(ISBLANK(Actuals!I27),"",('Original Budget'!I27-Actuals!I27)/ABS('Original Budget'!I27)),"")</f>
        <v/>
      </c>
      <c r="AD22" s="109">
        <f>'Original Budget'!J27</f>
        <v>0</v>
      </c>
      <c r="AE22" s="109" t="str">
        <f>IF(ISBLANK(Actuals!J27),"",Actuals!J27)</f>
        <v/>
      </c>
      <c r="AF22" s="110" t="str">
        <f>IF(ISBLANK(Actuals!J27),"",'Original Budget'!J27-Actuals!J27)</f>
        <v/>
      </c>
      <c r="AG22" s="110" t="str">
        <f>IFERROR(IF(ISBLANK(Actuals!J27),"",('Original Budget'!J27-Actuals!J27)/ABS('Original Budget'!J27)),"")</f>
        <v/>
      </c>
      <c r="AH22" s="109">
        <f>'Original Budget'!K27</f>
        <v>0</v>
      </c>
      <c r="AI22" s="109" t="str">
        <f>IF(ISBLANK(Actuals!K27),"",Actuals!K27)</f>
        <v/>
      </c>
      <c r="AJ22" s="110" t="str">
        <f>IF(ISBLANK(Actuals!K27),"",'Original Budget'!K27-Actuals!K27)</f>
        <v/>
      </c>
      <c r="AK22" s="110" t="str">
        <f>IFERROR(IF(ISBLANK(Actuals!K27),"",('Original Budget'!K27-Actuals!K27)/ABS('Original Budget'!K27)),"")</f>
        <v/>
      </c>
      <c r="AL22" s="109">
        <f>'Original Budget'!L27</f>
        <v>0</v>
      </c>
      <c r="AM22" s="109" t="str">
        <f>IF(ISBLANK(Actuals!L27),"",Actuals!L27)</f>
        <v/>
      </c>
      <c r="AN22" s="110" t="str">
        <f>IF(ISBLANK(Actuals!L27),"",'Original Budget'!L27-Actuals!L27)</f>
        <v/>
      </c>
      <c r="AO22" s="110" t="str">
        <f>IFERROR(IF(ISBLANK(Actuals!L27),"",('Original Budget'!L27-Actuals!L27)/ABS('Original Budget'!L27)),"")</f>
        <v/>
      </c>
      <c r="AP22" s="109">
        <f>'Original Budget'!M27</f>
        <v>0</v>
      </c>
      <c r="AQ22" s="109" t="str">
        <f>IF(ISBLANK(Actuals!M27),"",Actuals!M27)</f>
        <v/>
      </c>
      <c r="AR22" s="110" t="str">
        <f>IF(ISBLANK(Actuals!M27),"",'Original Budget'!M27-Actuals!M27)</f>
        <v/>
      </c>
      <c r="AS22" s="110" t="str">
        <f>IFERROR(IF(ISBLANK(Actuals!M27),"",('Original Budget'!M27-Actuals!M27)/ABS('Original Budget'!M27)),"")</f>
        <v/>
      </c>
      <c r="AT22" s="109">
        <f>'Original Budget'!N27</f>
        <v>0</v>
      </c>
      <c r="AU22" s="109" t="str">
        <f>IF(ISBLANK(Actuals!N27),"",Actuals!N27)</f>
        <v/>
      </c>
      <c r="AV22" s="110" t="str">
        <f>IF(ISBLANK(Actuals!N27),"",'Original Budget'!N27-Actuals!N27)</f>
        <v/>
      </c>
      <c r="AW22" s="110" t="str">
        <f>IFERROR(IF(ISBLANK(Actuals!N27),"",('Original Budget'!N27-Actuals!N27)/ABS('Original Budget'!N27)),"")</f>
        <v/>
      </c>
      <c r="AX22" s="111">
        <f>SUMPRODUCT((Actuals!C27:N27&lt;&gt;"")*('Original Budget'!C27:N27))</f>
        <v>0</v>
      </c>
      <c r="AY22" s="111">
        <f>SUM(Actuals!C27:N27)</f>
        <v>251304.48</v>
      </c>
      <c r="AZ22" s="112">
        <f t="shared" si="0"/>
        <v>-251304.48</v>
      </c>
    </row>
    <row r="23" spans="1:52" ht="15" customHeight="1" x14ac:dyDescent="0.25">
      <c r="A23" s="108" t="s">
        <v>71</v>
      </c>
      <c r="B23" s="109">
        <f>'Original Budget'!C28</f>
        <v>-10400</v>
      </c>
      <c r="C23" s="109">
        <f>IF(ISBLANK(Actuals!C28),"",Actuals!C28)</f>
        <v>-10400</v>
      </c>
      <c r="D23" s="110">
        <f>IF(ISBLANK(Actuals!C28),"",'Original Budget'!C28-Actuals!C28)</f>
        <v>0</v>
      </c>
      <c r="E23" s="110">
        <f>IFERROR(IF(ISBLANK(Actuals!C28),"",('Original Budget'!C28-Actuals!C28)/ABS('Original Budget'!C28)),"")</f>
        <v>0</v>
      </c>
      <c r="F23" s="109">
        <f>'Original Budget'!D28</f>
        <v>-10400</v>
      </c>
      <c r="G23" s="109">
        <f>IF(ISBLANK(Actuals!D28),"",Actuals!D28)</f>
        <v>-10400</v>
      </c>
      <c r="H23" s="110">
        <f>IF(ISBLANK(Actuals!D28),"",'Original Budget'!D28-Actuals!D28)</f>
        <v>0</v>
      </c>
      <c r="I23" s="110">
        <f>IFERROR(IF(ISBLANK(Actuals!D28),"",('Original Budget'!D28-Actuals!D28)/ABS('Original Budget'!D28)),"")</f>
        <v>0</v>
      </c>
      <c r="J23" s="109">
        <f>'Original Budget'!E28</f>
        <v>-400</v>
      </c>
      <c r="K23" s="109">
        <f>IF(ISBLANK(Actuals!E28),"",Actuals!E28)</f>
        <v>-400</v>
      </c>
      <c r="L23" s="110">
        <f>IF(ISBLANK(Actuals!E28),"",'Original Budget'!E28-Actuals!E28)</f>
        <v>0</v>
      </c>
      <c r="M23" s="110">
        <f>IFERROR(IF(ISBLANK(Actuals!E28),"",('Original Budget'!E28-Actuals!E28)/ABS('Original Budget'!E28)),"")</f>
        <v>0</v>
      </c>
      <c r="N23" s="109">
        <f>'Original Budget'!F28</f>
        <v>-10400</v>
      </c>
      <c r="O23" s="109">
        <f>IF(ISBLANK(Actuals!F28),"",Actuals!F28)</f>
        <v>-10400</v>
      </c>
      <c r="P23" s="110">
        <f>IF(ISBLANK(Actuals!F28),"",'Original Budget'!F28-Actuals!F28)</f>
        <v>0</v>
      </c>
      <c r="Q23" s="110">
        <f>IFERROR(IF(ISBLANK(Actuals!F28),"",('Original Budget'!F28-Actuals!F28)/ABS('Original Budget'!F28)),"")</f>
        <v>0</v>
      </c>
      <c r="R23" s="109">
        <f>'Original Budget'!G28</f>
        <v>-10400</v>
      </c>
      <c r="S23" s="109" t="str">
        <f>IF(ISBLANK(Actuals!G28),"",Actuals!G28)</f>
        <v/>
      </c>
      <c r="T23" s="110" t="str">
        <f>IF(ISBLANK(Actuals!G28),"",'Original Budget'!G28-Actuals!G28)</f>
        <v/>
      </c>
      <c r="U23" s="110" t="str">
        <f>IFERROR(IF(ISBLANK(Actuals!G28),"",('Original Budget'!G28-Actuals!G28)/ABS('Original Budget'!G28)),"")</f>
        <v/>
      </c>
      <c r="V23" s="109">
        <f>'Original Budget'!H28</f>
        <v>-10400</v>
      </c>
      <c r="W23" s="109" t="str">
        <f>IF(ISBLANK(Actuals!H28),"",Actuals!H28)</f>
        <v/>
      </c>
      <c r="X23" s="110" t="str">
        <f>IF(ISBLANK(Actuals!H28),"",'Original Budget'!H28-Actuals!H28)</f>
        <v/>
      </c>
      <c r="Y23" s="110" t="str">
        <f>IFERROR(IF(ISBLANK(Actuals!H28),"",('Original Budget'!H28-Actuals!H28)/ABS('Original Budget'!H28)),"")</f>
        <v/>
      </c>
      <c r="Z23" s="109">
        <f>'Original Budget'!I28</f>
        <v>-10400</v>
      </c>
      <c r="AA23" s="109" t="str">
        <f>IF(ISBLANK(Actuals!I28),"",Actuals!I28)</f>
        <v/>
      </c>
      <c r="AB23" s="110" t="str">
        <f>IF(ISBLANK(Actuals!I28),"",'Original Budget'!I28-Actuals!I28)</f>
        <v/>
      </c>
      <c r="AC23" s="110" t="str">
        <f>IFERROR(IF(ISBLANK(Actuals!I28),"",('Original Budget'!I28-Actuals!I28)/ABS('Original Budget'!I28)),"")</f>
        <v/>
      </c>
      <c r="AD23" s="109">
        <f>'Original Budget'!J28</f>
        <v>-10400</v>
      </c>
      <c r="AE23" s="109" t="str">
        <f>IF(ISBLANK(Actuals!J28),"",Actuals!J28)</f>
        <v/>
      </c>
      <c r="AF23" s="110" t="str">
        <f>IF(ISBLANK(Actuals!J28),"",'Original Budget'!J28-Actuals!J28)</f>
        <v/>
      </c>
      <c r="AG23" s="110" t="str">
        <f>IFERROR(IF(ISBLANK(Actuals!J28),"",('Original Budget'!J28-Actuals!J28)/ABS('Original Budget'!J28)),"")</f>
        <v/>
      </c>
      <c r="AH23" s="109">
        <f>'Original Budget'!K28</f>
        <v>-10400</v>
      </c>
      <c r="AI23" s="109" t="str">
        <f>IF(ISBLANK(Actuals!K28),"",Actuals!K28)</f>
        <v/>
      </c>
      <c r="AJ23" s="110" t="str">
        <f>IF(ISBLANK(Actuals!K28),"",'Original Budget'!K28-Actuals!K28)</f>
        <v/>
      </c>
      <c r="AK23" s="110" t="str">
        <f>IFERROR(IF(ISBLANK(Actuals!K28),"",('Original Budget'!K28-Actuals!K28)/ABS('Original Budget'!K28)),"")</f>
        <v/>
      </c>
      <c r="AL23" s="109">
        <f>'Original Budget'!L28</f>
        <v>-10400</v>
      </c>
      <c r="AM23" s="109" t="str">
        <f>IF(ISBLANK(Actuals!L28),"",Actuals!L28)</f>
        <v/>
      </c>
      <c r="AN23" s="110" t="str">
        <f>IF(ISBLANK(Actuals!L28),"",'Original Budget'!L28-Actuals!L28)</f>
        <v/>
      </c>
      <c r="AO23" s="110" t="str">
        <f>IFERROR(IF(ISBLANK(Actuals!L28),"",('Original Budget'!L28-Actuals!L28)/ABS('Original Budget'!L28)),"")</f>
        <v/>
      </c>
      <c r="AP23" s="109">
        <f>'Original Budget'!M28</f>
        <v>-10400</v>
      </c>
      <c r="AQ23" s="109" t="str">
        <f>IF(ISBLANK(Actuals!M28),"",Actuals!M28)</f>
        <v/>
      </c>
      <c r="AR23" s="110" t="str">
        <f>IF(ISBLANK(Actuals!M28),"",'Original Budget'!M28-Actuals!M28)</f>
        <v/>
      </c>
      <c r="AS23" s="110" t="str">
        <f>IFERROR(IF(ISBLANK(Actuals!M28),"",('Original Budget'!M28-Actuals!M28)/ABS('Original Budget'!M28)),"")</f>
        <v/>
      </c>
      <c r="AT23" s="109">
        <f>'Original Budget'!N28</f>
        <v>-10400</v>
      </c>
      <c r="AU23" s="109" t="str">
        <f>IF(ISBLANK(Actuals!N28),"",Actuals!N28)</f>
        <v/>
      </c>
      <c r="AV23" s="110" t="str">
        <f>IF(ISBLANK(Actuals!N28),"",'Original Budget'!N28-Actuals!N28)</f>
        <v/>
      </c>
      <c r="AW23" s="110" t="str">
        <f>IFERROR(IF(ISBLANK(Actuals!N28),"",('Original Budget'!N28-Actuals!N28)/ABS('Original Budget'!N28)),"")</f>
        <v/>
      </c>
      <c r="AX23" s="111">
        <f>SUMPRODUCT((Actuals!C28:N28&lt;&gt;"")*('Original Budget'!C28:N28))</f>
        <v>-31600</v>
      </c>
      <c r="AY23" s="111">
        <f>SUM(Actuals!C28:N28)</f>
        <v>-31600</v>
      </c>
      <c r="AZ23" s="112">
        <f t="shared" si="0"/>
        <v>0</v>
      </c>
    </row>
    <row r="24" spans="1:52" ht="15" customHeight="1" x14ac:dyDescent="0.25">
      <c r="A24" s="108" t="s">
        <v>72</v>
      </c>
      <c r="B24" s="109">
        <f>'Original Budget'!C29</f>
        <v>-1988</v>
      </c>
      <c r="C24" s="109">
        <f>IF(ISBLANK(Actuals!C29),"",Actuals!C29)</f>
        <v>-1988</v>
      </c>
      <c r="D24" s="110">
        <f>IF(ISBLANK(Actuals!C29),"",'Original Budget'!C29-Actuals!C29)</f>
        <v>0</v>
      </c>
      <c r="E24" s="110">
        <f>IFERROR(IF(ISBLANK(Actuals!C29),"",('Original Budget'!C29-Actuals!C29)/ABS('Original Budget'!C29)),"")</f>
        <v>0</v>
      </c>
      <c r="F24" s="109">
        <f>'Original Budget'!D29</f>
        <v>-955.32</v>
      </c>
      <c r="G24" s="109">
        <f>IF(ISBLANK(Actuals!D29),"",Actuals!D29)</f>
        <v>-955.32</v>
      </c>
      <c r="H24" s="110">
        <f>IF(ISBLANK(Actuals!D29),"",'Original Budget'!D29-Actuals!D29)</f>
        <v>0</v>
      </c>
      <c r="I24" s="110">
        <f>IFERROR(IF(ISBLANK(Actuals!D29),"",('Original Budget'!D29-Actuals!D29)/ABS('Original Budget'!D29)),"")</f>
        <v>0</v>
      </c>
      <c r="J24" s="109">
        <f>'Original Budget'!E29</f>
        <v>-9130.61</v>
      </c>
      <c r="K24" s="109">
        <f>IF(ISBLANK(Actuals!E29),"",Actuals!E29)</f>
        <v>-9130.61</v>
      </c>
      <c r="L24" s="110">
        <f>IF(ISBLANK(Actuals!E29),"",'Original Budget'!E29-Actuals!E29)</f>
        <v>0</v>
      </c>
      <c r="M24" s="110">
        <f>IFERROR(IF(ISBLANK(Actuals!E29),"",('Original Budget'!E29-Actuals!E29)/ABS('Original Budget'!E29)),"")</f>
        <v>0</v>
      </c>
      <c r="N24" s="109">
        <f>'Original Budget'!F29</f>
        <v>-4024.64</v>
      </c>
      <c r="O24" s="109">
        <f>IF(ISBLANK(Actuals!F29),"",Actuals!F29)</f>
        <v>-1028.8900000000001</v>
      </c>
      <c r="P24" s="110">
        <f>IF(ISBLANK(Actuals!F29),"",'Original Budget'!F29-Actuals!F29)</f>
        <v>-2995.75</v>
      </c>
      <c r="Q24" s="110">
        <f>IFERROR(IF(ISBLANK(Actuals!F29),"",('Original Budget'!F29-Actuals!F29)/ABS('Original Budget'!F29)),"")</f>
        <v>-0.7443522898942514</v>
      </c>
      <c r="R24" s="109">
        <f>'Original Budget'!G29</f>
        <v>-4024.64</v>
      </c>
      <c r="S24" s="109" t="str">
        <f>IF(ISBLANK(Actuals!G29),"",Actuals!G29)</f>
        <v/>
      </c>
      <c r="T24" s="110" t="str">
        <f>IF(ISBLANK(Actuals!G29),"",'Original Budget'!G29-Actuals!G29)</f>
        <v/>
      </c>
      <c r="U24" s="110" t="str">
        <f>IFERROR(IF(ISBLANK(Actuals!G29),"",('Original Budget'!G29-Actuals!G29)/ABS('Original Budget'!G29)),"")</f>
        <v/>
      </c>
      <c r="V24" s="109">
        <f>'Original Budget'!H29</f>
        <v>-4024.64</v>
      </c>
      <c r="W24" s="109" t="str">
        <f>IF(ISBLANK(Actuals!H29),"",Actuals!H29)</f>
        <v/>
      </c>
      <c r="X24" s="110" t="str">
        <f>IF(ISBLANK(Actuals!H29),"",'Original Budget'!H29-Actuals!H29)</f>
        <v/>
      </c>
      <c r="Y24" s="110" t="str">
        <f>IFERROR(IF(ISBLANK(Actuals!H29),"",('Original Budget'!H29-Actuals!H29)/ABS('Original Budget'!H29)),"")</f>
        <v/>
      </c>
      <c r="Z24" s="109">
        <f>'Original Budget'!I29</f>
        <v>-4024.64</v>
      </c>
      <c r="AA24" s="109" t="str">
        <f>IF(ISBLANK(Actuals!I29),"",Actuals!I29)</f>
        <v/>
      </c>
      <c r="AB24" s="110" t="str">
        <f>IF(ISBLANK(Actuals!I29),"",'Original Budget'!I29-Actuals!I29)</f>
        <v/>
      </c>
      <c r="AC24" s="110" t="str">
        <f>IFERROR(IF(ISBLANK(Actuals!I29),"",('Original Budget'!I29-Actuals!I29)/ABS('Original Budget'!I29)),"")</f>
        <v/>
      </c>
      <c r="AD24" s="109">
        <f>'Original Budget'!J29</f>
        <v>-4024.64</v>
      </c>
      <c r="AE24" s="109" t="str">
        <f>IF(ISBLANK(Actuals!J29),"",Actuals!J29)</f>
        <v/>
      </c>
      <c r="AF24" s="110" t="str">
        <f>IF(ISBLANK(Actuals!J29),"",'Original Budget'!J29-Actuals!J29)</f>
        <v/>
      </c>
      <c r="AG24" s="110" t="str">
        <f>IFERROR(IF(ISBLANK(Actuals!J29),"",('Original Budget'!J29-Actuals!J29)/ABS('Original Budget'!J29)),"")</f>
        <v/>
      </c>
      <c r="AH24" s="109">
        <f>'Original Budget'!K29</f>
        <v>-4024.64</v>
      </c>
      <c r="AI24" s="109" t="str">
        <f>IF(ISBLANK(Actuals!K29),"",Actuals!K29)</f>
        <v/>
      </c>
      <c r="AJ24" s="110" t="str">
        <f>IF(ISBLANK(Actuals!K29),"",'Original Budget'!K29-Actuals!K29)</f>
        <v/>
      </c>
      <c r="AK24" s="110" t="str">
        <f>IFERROR(IF(ISBLANK(Actuals!K29),"",('Original Budget'!K29-Actuals!K29)/ABS('Original Budget'!K29)),"")</f>
        <v/>
      </c>
      <c r="AL24" s="109">
        <f>'Original Budget'!L29</f>
        <v>-4024.64</v>
      </c>
      <c r="AM24" s="109" t="str">
        <f>IF(ISBLANK(Actuals!L29),"",Actuals!L29)</f>
        <v/>
      </c>
      <c r="AN24" s="110" t="str">
        <f>IF(ISBLANK(Actuals!L29),"",'Original Budget'!L29-Actuals!L29)</f>
        <v/>
      </c>
      <c r="AO24" s="110" t="str">
        <f>IFERROR(IF(ISBLANK(Actuals!L29),"",('Original Budget'!L29-Actuals!L29)/ABS('Original Budget'!L29)),"")</f>
        <v/>
      </c>
      <c r="AP24" s="109">
        <f>'Original Budget'!M29</f>
        <v>-4024.64</v>
      </c>
      <c r="AQ24" s="109" t="str">
        <f>IF(ISBLANK(Actuals!M29),"",Actuals!M29)</f>
        <v/>
      </c>
      <c r="AR24" s="110" t="str">
        <f>IF(ISBLANK(Actuals!M29),"",'Original Budget'!M29-Actuals!M29)</f>
        <v/>
      </c>
      <c r="AS24" s="110" t="str">
        <f>IFERROR(IF(ISBLANK(Actuals!M29),"",('Original Budget'!M29-Actuals!M29)/ABS('Original Budget'!M29)),"")</f>
        <v/>
      </c>
      <c r="AT24" s="109">
        <f>'Original Budget'!N29</f>
        <v>-4024.64</v>
      </c>
      <c r="AU24" s="109" t="str">
        <f>IF(ISBLANK(Actuals!N29),"",Actuals!N29)</f>
        <v/>
      </c>
      <c r="AV24" s="110" t="str">
        <f>IF(ISBLANK(Actuals!N29),"",'Original Budget'!N29-Actuals!N29)</f>
        <v/>
      </c>
      <c r="AW24" s="110" t="str">
        <f>IFERROR(IF(ISBLANK(Actuals!N29),"",('Original Budget'!N29-Actuals!N29)/ABS('Original Budget'!N29)),"")</f>
        <v/>
      </c>
      <c r="AX24" s="111">
        <f>SUMPRODUCT((Actuals!C29:N29&lt;&gt;"")*('Original Budget'!C29:N29))</f>
        <v>-16098.57</v>
      </c>
      <c r="AY24" s="111">
        <f>SUM(Actuals!C29:N29)</f>
        <v>-13102.82</v>
      </c>
      <c r="AZ24" s="112">
        <f t="shared" si="0"/>
        <v>-2995.75</v>
      </c>
    </row>
    <row r="25" spans="1:52" ht="15" customHeight="1" x14ac:dyDescent="0.25">
      <c r="A25" s="108" t="s">
        <v>73</v>
      </c>
      <c r="B25" s="109">
        <f>'Original Budget'!C30</f>
        <v>0</v>
      </c>
      <c r="C25" s="109">
        <f>IF(ISBLANK(Actuals!C30),"",Actuals!C30)</f>
        <v>0</v>
      </c>
      <c r="D25" s="110">
        <f>IF(ISBLANK(Actuals!C30),"",'Original Budget'!C30-Actuals!C30)</f>
        <v>0</v>
      </c>
      <c r="E25" s="110" t="str">
        <f>IFERROR(IF(ISBLANK(Actuals!C30),"",('Original Budget'!C30-Actuals!C30)/ABS('Original Budget'!C30)),"")</f>
        <v/>
      </c>
      <c r="F25" s="109">
        <f>'Original Budget'!D30</f>
        <v>0</v>
      </c>
      <c r="G25" s="109">
        <f>IF(ISBLANK(Actuals!D30),"",Actuals!D30)</f>
        <v>0</v>
      </c>
      <c r="H25" s="110">
        <f>IF(ISBLANK(Actuals!D30),"",'Original Budget'!D30-Actuals!D30)</f>
        <v>0</v>
      </c>
      <c r="I25" s="110" t="str">
        <f>IFERROR(IF(ISBLANK(Actuals!D30),"",('Original Budget'!D30-Actuals!D30)/ABS('Original Budget'!D30)),"")</f>
        <v/>
      </c>
      <c r="J25" s="109">
        <f>'Original Budget'!E30</f>
        <v>-1077.3800000000001</v>
      </c>
      <c r="K25" s="109">
        <f>IF(ISBLANK(Actuals!E30),"",Actuals!E30)</f>
        <v>-1077.3800000000001</v>
      </c>
      <c r="L25" s="110">
        <f>IF(ISBLANK(Actuals!E30),"",'Original Budget'!E30-Actuals!E30)</f>
        <v>0</v>
      </c>
      <c r="M25" s="110">
        <f>IFERROR(IF(ISBLANK(Actuals!E30),"",('Original Budget'!E30-Actuals!E30)/ABS('Original Budget'!E30)),"")</f>
        <v>0</v>
      </c>
      <c r="N25" s="109">
        <f>'Original Budget'!F30</f>
        <v>-359.13</v>
      </c>
      <c r="O25" s="109">
        <f>IF(ISBLANK(Actuals!F30),"",Actuals!F30)</f>
        <v>-211.28</v>
      </c>
      <c r="P25" s="110">
        <f>IF(ISBLANK(Actuals!F30),"",'Original Budget'!F30-Actuals!F30)</f>
        <v>-147.85</v>
      </c>
      <c r="Q25" s="110">
        <f>IFERROR(IF(ISBLANK(Actuals!F30),"",('Original Budget'!F30-Actuals!F30)/ABS('Original Budget'!F30)),"")</f>
        <v>-0.41168936039874138</v>
      </c>
      <c r="R25" s="109">
        <f>'Original Budget'!G30</f>
        <v>-359.13</v>
      </c>
      <c r="S25" s="109" t="str">
        <f>IF(ISBLANK(Actuals!G30),"",Actuals!G30)</f>
        <v/>
      </c>
      <c r="T25" s="110" t="str">
        <f>IF(ISBLANK(Actuals!G30),"",'Original Budget'!G30-Actuals!G30)</f>
        <v/>
      </c>
      <c r="U25" s="110" t="str">
        <f>IFERROR(IF(ISBLANK(Actuals!G30),"",('Original Budget'!G30-Actuals!G30)/ABS('Original Budget'!G30)),"")</f>
        <v/>
      </c>
      <c r="V25" s="109">
        <f>'Original Budget'!H30</f>
        <v>-359.13</v>
      </c>
      <c r="W25" s="109" t="str">
        <f>IF(ISBLANK(Actuals!H30),"",Actuals!H30)</f>
        <v/>
      </c>
      <c r="X25" s="110" t="str">
        <f>IF(ISBLANK(Actuals!H30),"",'Original Budget'!H30-Actuals!H30)</f>
        <v/>
      </c>
      <c r="Y25" s="110" t="str">
        <f>IFERROR(IF(ISBLANK(Actuals!H30),"",('Original Budget'!H30-Actuals!H30)/ABS('Original Budget'!H30)),"")</f>
        <v/>
      </c>
      <c r="Z25" s="109">
        <f>'Original Budget'!I30</f>
        <v>-359.13</v>
      </c>
      <c r="AA25" s="109" t="str">
        <f>IF(ISBLANK(Actuals!I30),"",Actuals!I30)</f>
        <v/>
      </c>
      <c r="AB25" s="110" t="str">
        <f>IF(ISBLANK(Actuals!I30),"",'Original Budget'!I30-Actuals!I30)</f>
        <v/>
      </c>
      <c r="AC25" s="110" t="str">
        <f>IFERROR(IF(ISBLANK(Actuals!I30),"",('Original Budget'!I30-Actuals!I30)/ABS('Original Budget'!I30)),"")</f>
        <v/>
      </c>
      <c r="AD25" s="109">
        <f>'Original Budget'!J30</f>
        <v>-359.13</v>
      </c>
      <c r="AE25" s="109" t="str">
        <f>IF(ISBLANK(Actuals!J30),"",Actuals!J30)</f>
        <v/>
      </c>
      <c r="AF25" s="110" t="str">
        <f>IF(ISBLANK(Actuals!J30),"",'Original Budget'!J30-Actuals!J30)</f>
        <v/>
      </c>
      <c r="AG25" s="110" t="str">
        <f>IFERROR(IF(ISBLANK(Actuals!J30),"",('Original Budget'!J30-Actuals!J30)/ABS('Original Budget'!J30)),"")</f>
        <v/>
      </c>
      <c r="AH25" s="109">
        <f>'Original Budget'!K30</f>
        <v>-359.13</v>
      </c>
      <c r="AI25" s="109" t="str">
        <f>IF(ISBLANK(Actuals!K30),"",Actuals!K30)</f>
        <v/>
      </c>
      <c r="AJ25" s="110" t="str">
        <f>IF(ISBLANK(Actuals!K30),"",'Original Budget'!K30-Actuals!K30)</f>
        <v/>
      </c>
      <c r="AK25" s="110" t="str">
        <f>IFERROR(IF(ISBLANK(Actuals!K30),"",('Original Budget'!K30-Actuals!K30)/ABS('Original Budget'!K30)),"")</f>
        <v/>
      </c>
      <c r="AL25" s="109">
        <f>'Original Budget'!L30</f>
        <v>-359.13</v>
      </c>
      <c r="AM25" s="109" t="str">
        <f>IF(ISBLANK(Actuals!L30),"",Actuals!L30)</f>
        <v/>
      </c>
      <c r="AN25" s="110" t="str">
        <f>IF(ISBLANK(Actuals!L30),"",'Original Budget'!L30-Actuals!L30)</f>
        <v/>
      </c>
      <c r="AO25" s="110" t="str">
        <f>IFERROR(IF(ISBLANK(Actuals!L30),"",('Original Budget'!L30-Actuals!L30)/ABS('Original Budget'!L30)),"")</f>
        <v/>
      </c>
      <c r="AP25" s="109">
        <f>'Original Budget'!M30</f>
        <v>-359.13</v>
      </c>
      <c r="AQ25" s="109" t="str">
        <f>IF(ISBLANK(Actuals!M30),"",Actuals!M30)</f>
        <v/>
      </c>
      <c r="AR25" s="110" t="str">
        <f>IF(ISBLANK(Actuals!M30),"",'Original Budget'!M30-Actuals!M30)</f>
        <v/>
      </c>
      <c r="AS25" s="110" t="str">
        <f>IFERROR(IF(ISBLANK(Actuals!M30),"",('Original Budget'!M30-Actuals!M30)/ABS('Original Budget'!M30)),"")</f>
        <v/>
      </c>
      <c r="AT25" s="109">
        <f>'Original Budget'!N30</f>
        <v>-359.13</v>
      </c>
      <c r="AU25" s="109" t="str">
        <f>IF(ISBLANK(Actuals!N30),"",Actuals!N30)</f>
        <v/>
      </c>
      <c r="AV25" s="110" t="str">
        <f>IF(ISBLANK(Actuals!N30),"",'Original Budget'!N30-Actuals!N30)</f>
        <v/>
      </c>
      <c r="AW25" s="110" t="str">
        <f>IFERROR(IF(ISBLANK(Actuals!N30),"",('Original Budget'!N30-Actuals!N30)/ABS('Original Budget'!N30)),"")</f>
        <v/>
      </c>
      <c r="AX25" s="111">
        <f>SUMPRODUCT((Actuals!C30:N30&lt;&gt;"")*('Original Budget'!C30:N30))</f>
        <v>-1436.5100000000002</v>
      </c>
      <c r="AY25" s="111">
        <f>SUM(Actuals!C30:N30)</f>
        <v>-1288.6600000000001</v>
      </c>
      <c r="AZ25" s="112">
        <f t="shared" si="0"/>
        <v>-147.85000000000014</v>
      </c>
    </row>
    <row r="26" spans="1:52" ht="15" customHeight="1" x14ac:dyDescent="0.25">
      <c r="A26" s="108" t="s">
        <v>74</v>
      </c>
      <c r="B26" s="109">
        <f>'Original Budget'!C31</f>
        <v>-79</v>
      </c>
      <c r="C26" s="109">
        <f>IF(ISBLANK(Actuals!C31),"",Actuals!C31)</f>
        <v>-79</v>
      </c>
      <c r="D26" s="110">
        <f>IF(ISBLANK(Actuals!C31),"",'Original Budget'!C31-Actuals!C31)</f>
        <v>0</v>
      </c>
      <c r="E26" s="110">
        <f>IFERROR(IF(ISBLANK(Actuals!C31),"",('Original Budget'!C31-Actuals!C31)/ABS('Original Budget'!C31)),"")</f>
        <v>0</v>
      </c>
      <c r="F26" s="109">
        <f>'Original Budget'!D31</f>
        <v>0</v>
      </c>
      <c r="G26" s="109">
        <f>IF(ISBLANK(Actuals!D31),"",Actuals!D31)</f>
        <v>0</v>
      </c>
      <c r="H26" s="110">
        <f>IF(ISBLANK(Actuals!D31),"",'Original Budget'!D31-Actuals!D31)</f>
        <v>0</v>
      </c>
      <c r="I26" s="110" t="str">
        <f>IFERROR(IF(ISBLANK(Actuals!D31),"",('Original Budget'!D31-Actuals!D31)/ABS('Original Budget'!D31)),"")</f>
        <v/>
      </c>
      <c r="J26" s="109">
        <f>'Original Budget'!E31</f>
        <v>0</v>
      </c>
      <c r="K26" s="109">
        <f>IF(ISBLANK(Actuals!E31),"",Actuals!E31)</f>
        <v>0</v>
      </c>
      <c r="L26" s="110">
        <f>IF(ISBLANK(Actuals!E31),"",'Original Budget'!E31-Actuals!E31)</f>
        <v>0</v>
      </c>
      <c r="M26" s="110" t="str">
        <f>IFERROR(IF(ISBLANK(Actuals!E31),"",('Original Budget'!E31-Actuals!E31)/ABS('Original Budget'!E31)),"")</f>
        <v/>
      </c>
      <c r="N26" s="109">
        <f>'Original Budget'!F31</f>
        <v>-26.33</v>
      </c>
      <c r="O26" s="109">
        <f>IF(ISBLANK(Actuals!F31),"",Actuals!F31)</f>
        <v>0</v>
      </c>
      <c r="P26" s="110">
        <f>IF(ISBLANK(Actuals!F31),"",'Original Budget'!F31-Actuals!F31)</f>
        <v>-26.33</v>
      </c>
      <c r="Q26" s="110">
        <f>IFERROR(IF(ISBLANK(Actuals!F31),"",('Original Budget'!F31-Actuals!F31)/ABS('Original Budget'!F31)),"")</f>
        <v>-1</v>
      </c>
      <c r="R26" s="109">
        <f>'Original Budget'!G31</f>
        <v>-26.33</v>
      </c>
      <c r="S26" s="109" t="str">
        <f>IF(ISBLANK(Actuals!G31),"",Actuals!G31)</f>
        <v/>
      </c>
      <c r="T26" s="110" t="str">
        <f>IF(ISBLANK(Actuals!G31),"",'Original Budget'!G31-Actuals!G31)</f>
        <v/>
      </c>
      <c r="U26" s="110" t="str">
        <f>IFERROR(IF(ISBLANK(Actuals!G31),"",('Original Budget'!G31-Actuals!G31)/ABS('Original Budget'!G31)),"")</f>
        <v/>
      </c>
      <c r="V26" s="109">
        <f>'Original Budget'!H31</f>
        <v>-26.33</v>
      </c>
      <c r="W26" s="109" t="str">
        <f>IF(ISBLANK(Actuals!H31),"",Actuals!H31)</f>
        <v/>
      </c>
      <c r="X26" s="110" t="str">
        <f>IF(ISBLANK(Actuals!H31),"",'Original Budget'!H31-Actuals!H31)</f>
        <v/>
      </c>
      <c r="Y26" s="110" t="str">
        <f>IFERROR(IF(ISBLANK(Actuals!H31),"",('Original Budget'!H31-Actuals!H31)/ABS('Original Budget'!H31)),"")</f>
        <v/>
      </c>
      <c r="Z26" s="109">
        <f>'Original Budget'!I31</f>
        <v>-26.33</v>
      </c>
      <c r="AA26" s="109" t="str">
        <f>IF(ISBLANK(Actuals!I31),"",Actuals!I31)</f>
        <v/>
      </c>
      <c r="AB26" s="110" t="str">
        <f>IF(ISBLANK(Actuals!I31),"",'Original Budget'!I31-Actuals!I31)</f>
        <v/>
      </c>
      <c r="AC26" s="110" t="str">
        <f>IFERROR(IF(ISBLANK(Actuals!I31),"",('Original Budget'!I31-Actuals!I31)/ABS('Original Budget'!I31)),"")</f>
        <v/>
      </c>
      <c r="AD26" s="109">
        <f>'Original Budget'!J31</f>
        <v>-26.33</v>
      </c>
      <c r="AE26" s="109" t="str">
        <f>IF(ISBLANK(Actuals!J31),"",Actuals!J31)</f>
        <v/>
      </c>
      <c r="AF26" s="110" t="str">
        <f>IF(ISBLANK(Actuals!J31),"",'Original Budget'!J31-Actuals!J31)</f>
        <v/>
      </c>
      <c r="AG26" s="110" t="str">
        <f>IFERROR(IF(ISBLANK(Actuals!J31),"",('Original Budget'!J31-Actuals!J31)/ABS('Original Budget'!J31)),"")</f>
        <v/>
      </c>
      <c r="AH26" s="109">
        <f>'Original Budget'!K31</f>
        <v>-26.33</v>
      </c>
      <c r="AI26" s="109" t="str">
        <f>IF(ISBLANK(Actuals!K31),"",Actuals!K31)</f>
        <v/>
      </c>
      <c r="AJ26" s="110" t="str">
        <f>IF(ISBLANK(Actuals!K31),"",'Original Budget'!K31-Actuals!K31)</f>
        <v/>
      </c>
      <c r="AK26" s="110" t="str">
        <f>IFERROR(IF(ISBLANK(Actuals!K31),"",('Original Budget'!K31-Actuals!K31)/ABS('Original Budget'!K31)),"")</f>
        <v/>
      </c>
      <c r="AL26" s="109">
        <f>'Original Budget'!L31</f>
        <v>-26.33</v>
      </c>
      <c r="AM26" s="109" t="str">
        <f>IF(ISBLANK(Actuals!L31),"",Actuals!L31)</f>
        <v/>
      </c>
      <c r="AN26" s="110" t="str">
        <f>IF(ISBLANK(Actuals!L31),"",'Original Budget'!L31-Actuals!L31)</f>
        <v/>
      </c>
      <c r="AO26" s="110" t="str">
        <f>IFERROR(IF(ISBLANK(Actuals!L31),"",('Original Budget'!L31-Actuals!L31)/ABS('Original Budget'!L31)),"")</f>
        <v/>
      </c>
      <c r="AP26" s="109">
        <f>'Original Budget'!M31</f>
        <v>-26.33</v>
      </c>
      <c r="AQ26" s="109" t="str">
        <f>IF(ISBLANK(Actuals!M31),"",Actuals!M31)</f>
        <v/>
      </c>
      <c r="AR26" s="110" t="str">
        <f>IF(ISBLANK(Actuals!M31),"",'Original Budget'!M31-Actuals!M31)</f>
        <v/>
      </c>
      <c r="AS26" s="110" t="str">
        <f>IFERROR(IF(ISBLANK(Actuals!M31),"",('Original Budget'!M31-Actuals!M31)/ABS('Original Budget'!M31)),"")</f>
        <v/>
      </c>
      <c r="AT26" s="109">
        <f>'Original Budget'!N31</f>
        <v>-26.33</v>
      </c>
      <c r="AU26" s="109" t="str">
        <f>IF(ISBLANK(Actuals!N31),"",Actuals!N31)</f>
        <v/>
      </c>
      <c r="AV26" s="110" t="str">
        <f>IF(ISBLANK(Actuals!N31),"",'Original Budget'!N31-Actuals!N31)</f>
        <v/>
      </c>
      <c r="AW26" s="110" t="str">
        <f>IFERROR(IF(ISBLANK(Actuals!N31),"",('Original Budget'!N31-Actuals!N31)/ABS('Original Budget'!N31)),"")</f>
        <v/>
      </c>
      <c r="AX26" s="111">
        <f>SUMPRODUCT((Actuals!C31:N31&lt;&gt;"")*('Original Budget'!C31:N31))</f>
        <v>-105.33</v>
      </c>
      <c r="AY26" s="111">
        <f>SUM(Actuals!C31:N31)</f>
        <v>-79</v>
      </c>
      <c r="AZ26" s="112">
        <f t="shared" si="0"/>
        <v>-26.33</v>
      </c>
    </row>
    <row r="27" spans="1:52" ht="15" customHeight="1" x14ac:dyDescent="0.25">
      <c r="A27" s="108" t="s">
        <v>75</v>
      </c>
      <c r="B27" s="109">
        <f>'Original Budget'!C32</f>
        <v>-3405.64</v>
      </c>
      <c r="C27" s="109">
        <f>IF(ISBLANK(Actuals!C32),"",Actuals!C32)</f>
        <v>-3405.64</v>
      </c>
      <c r="D27" s="110">
        <f>IF(ISBLANK(Actuals!C32),"",'Original Budget'!C32-Actuals!C32)</f>
        <v>0</v>
      </c>
      <c r="E27" s="110">
        <f>IFERROR(IF(ISBLANK(Actuals!C32),"",('Original Budget'!C32-Actuals!C32)/ABS('Original Budget'!C32)),"")</f>
        <v>0</v>
      </c>
      <c r="F27" s="109">
        <f>'Original Budget'!D32</f>
        <v>-5015.38</v>
      </c>
      <c r="G27" s="109">
        <f>IF(ISBLANK(Actuals!D32),"",Actuals!D32)</f>
        <v>-5015.38</v>
      </c>
      <c r="H27" s="110">
        <f>IF(ISBLANK(Actuals!D32),"",'Original Budget'!D32-Actuals!D32)</f>
        <v>0</v>
      </c>
      <c r="I27" s="110">
        <f>IFERROR(IF(ISBLANK(Actuals!D32),"",('Original Budget'!D32-Actuals!D32)/ABS('Original Budget'!D32)),"")</f>
        <v>0</v>
      </c>
      <c r="J27" s="109">
        <f>'Original Budget'!E32</f>
        <v>-7481.39</v>
      </c>
      <c r="K27" s="109">
        <f>IF(ISBLANK(Actuals!E32),"",Actuals!E32)</f>
        <v>-7481.39</v>
      </c>
      <c r="L27" s="110">
        <f>IF(ISBLANK(Actuals!E32),"",'Original Budget'!E32-Actuals!E32)</f>
        <v>0</v>
      </c>
      <c r="M27" s="110">
        <f>IFERROR(IF(ISBLANK(Actuals!E32),"",('Original Budget'!E32-Actuals!E32)/ABS('Original Budget'!E32)),"")</f>
        <v>0</v>
      </c>
      <c r="N27" s="109">
        <f>'Original Budget'!F32</f>
        <v>-5300.8</v>
      </c>
      <c r="O27" s="109">
        <f>IF(ISBLANK(Actuals!F32),"",Actuals!F32)</f>
        <v>-5111.12</v>
      </c>
      <c r="P27" s="110">
        <f>IF(ISBLANK(Actuals!F32),"",'Original Budget'!F32-Actuals!F32)</f>
        <v>-189.68000000000029</v>
      </c>
      <c r="Q27" s="110">
        <f>IFERROR(IF(ISBLANK(Actuals!F32),"",('Original Budget'!F32-Actuals!F32)/ABS('Original Budget'!F32)),"")</f>
        <v>-3.5783277995774278E-2</v>
      </c>
      <c r="R27" s="109">
        <f>'Original Budget'!G32</f>
        <v>-5300.8</v>
      </c>
      <c r="S27" s="109" t="str">
        <f>IF(ISBLANK(Actuals!G32),"",Actuals!G32)</f>
        <v/>
      </c>
      <c r="T27" s="110" t="str">
        <f>IF(ISBLANK(Actuals!G32),"",'Original Budget'!G32-Actuals!G32)</f>
        <v/>
      </c>
      <c r="U27" s="110" t="str">
        <f>IFERROR(IF(ISBLANK(Actuals!G32),"",('Original Budget'!G32-Actuals!G32)/ABS('Original Budget'!G32)),"")</f>
        <v/>
      </c>
      <c r="V27" s="109">
        <f>'Original Budget'!H32</f>
        <v>-5300.8</v>
      </c>
      <c r="W27" s="109" t="str">
        <f>IF(ISBLANK(Actuals!H32),"",Actuals!H32)</f>
        <v/>
      </c>
      <c r="X27" s="110" t="str">
        <f>IF(ISBLANK(Actuals!H32),"",'Original Budget'!H32-Actuals!H32)</f>
        <v/>
      </c>
      <c r="Y27" s="110" t="str">
        <f>IFERROR(IF(ISBLANK(Actuals!H32),"",('Original Budget'!H32-Actuals!H32)/ABS('Original Budget'!H32)),"")</f>
        <v/>
      </c>
      <c r="Z27" s="109">
        <f>'Original Budget'!I32</f>
        <v>-5300.8</v>
      </c>
      <c r="AA27" s="109" t="str">
        <f>IF(ISBLANK(Actuals!I32),"",Actuals!I32)</f>
        <v/>
      </c>
      <c r="AB27" s="110" t="str">
        <f>IF(ISBLANK(Actuals!I32),"",'Original Budget'!I32-Actuals!I32)</f>
        <v/>
      </c>
      <c r="AC27" s="110" t="str">
        <f>IFERROR(IF(ISBLANK(Actuals!I32),"",('Original Budget'!I32-Actuals!I32)/ABS('Original Budget'!I32)),"")</f>
        <v/>
      </c>
      <c r="AD27" s="109">
        <f>'Original Budget'!J32</f>
        <v>-5300.8</v>
      </c>
      <c r="AE27" s="109" t="str">
        <f>IF(ISBLANK(Actuals!J32),"",Actuals!J32)</f>
        <v/>
      </c>
      <c r="AF27" s="110" t="str">
        <f>IF(ISBLANK(Actuals!J32),"",'Original Budget'!J32-Actuals!J32)</f>
        <v/>
      </c>
      <c r="AG27" s="110" t="str">
        <f>IFERROR(IF(ISBLANK(Actuals!J32),"",('Original Budget'!J32-Actuals!J32)/ABS('Original Budget'!J32)),"")</f>
        <v/>
      </c>
      <c r="AH27" s="109">
        <f>'Original Budget'!K32</f>
        <v>-5300.8</v>
      </c>
      <c r="AI27" s="109" t="str">
        <f>IF(ISBLANK(Actuals!K32),"",Actuals!K32)</f>
        <v/>
      </c>
      <c r="AJ27" s="110" t="str">
        <f>IF(ISBLANK(Actuals!K32),"",'Original Budget'!K32-Actuals!K32)</f>
        <v/>
      </c>
      <c r="AK27" s="110" t="str">
        <f>IFERROR(IF(ISBLANK(Actuals!K32),"",('Original Budget'!K32-Actuals!K32)/ABS('Original Budget'!K32)),"")</f>
        <v/>
      </c>
      <c r="AL27" s="109">
        <f>'Original Budget'!L32</f>
        <v>-5300.8</v>
      </c>
      <c r="AM27" s="109" t="str">
        <f>IF(ISBLANK(Actuals!L32),"",Actuals!L32)</f>
        <v/>
      </c>
      <c r="AN27" s="110" t="str">
        <f>IF(ISBLANK(Actuals!L32),"",'Original Budget'!L32-Actuals!L32)</f>
        <v/>
      </c>
      <c r="AO27" s="110" t="str">
        <f>IFERROR(IF(ISBLANK(Actuals!L32),"",('Original Budget'!L32-Actuals!L32)/ABS('Original Budget'!L32)),"")</f>
        <v/>
      </c>
      <c r="AP27" s="109">
        <f>'Original Budget'!M32</f>
        <v>-5300.8</v>
      </c>
      <c r="AQ27" s="109" t="str">
        <f>IF(ISBLANK(Actuals!M32),"",Actuals!M32)</f>
        <v/>
      </c>
      <c r="AR27" s="110" t="str">
        <f>IF(ISBLANK(Actuals!M32),"",'Original Budget'!M32-Actuals!M32)</f>
        <v/>
      </c>
      <c r="AS27" s="110" t="str">
        <f>IFERROR(IF(ISBLANK(Actuals!M32),"",('Original Budget'!M32-Actuals!M32)/ABS('Original Budget'!M32)),"")</f>
        <v/>
      </c>
      <c r="AT27" s="109">
        <f>'Original Budget'!N32</f>
        <v>-5300.8</v>
      </c>
      <c r="AU27" s="109" t="str">
        <f>IF(ISBLANK(Actuals!N32),"",Actuals!N32)</f>
        <v/>
      </c>
      <c r="AV27" s="110" t="str">
        <f>IF(ISBLANK(Actuals!N32),"",'Original Budget'!N32-Actuals!N32)</f>
        <v/>
      </c>
      <c r="AW27" s="110" t="str">
        <f>IFERROR(IF(ISBLANK(Actuals!N32),"",('Original Budget'!N32-Actuals!N32)/ABS('Original Budget'!N32)),"")</f>
        <v/>
      </c>
      <c r="AX27" s="111">
        <f>SUMPRODUCT((Actuals!C32:N32&lt;&gt;"")*('Original Budget'!C32:N32))</f>
        <v>-21203.21</v>
      </c>
      <c r="AY27" s="111">
        <f>SUM(Actuals!C32:N32)</f>
        <v>-21013.53</v>
      </c>
      <c r="AZ27" s="112">
        <f t="shared" si="0"/>
        <v>-189.68000000000029</v>
      </c>
    </row>
    <row r="28" spans="1:52" ht="15" customHeight="1" x14ac:dyDescent="0.25">
      <c r="A28" s="108" t="s">
        <v>76</v>
      </c>
      <c r="B28" s="109">
        <f>'Original Budget'!C33</f>
        <v>0</v>
      </c>
      <c r="C28" s="109">
        <f>IF(ISBLANK(Actuals!C33),"",Actuals!C33)</f>
        <v>0</v>
      </c>
      <c r="D28" s="110">
        <f>IF(ISBLANK(Actuals!C33),"",'Original Budget'!C33-Actuals!C33)</f>
        <v>0</v>
      </c>
      <c r="E28" s="110" t="str">
        <f>IFERROR(IF(ISBLANK(Actuals!C33),"",('Original Budget'!C33-Actuals!C33)/ABS('Original Budget'!C33)),"")</f>
        <v/>
      </c>
      <c r="F28" s="109">
        <f>'Original Budget'!D33</f>
        <v>-1766.48</v>
      </c>
      <c r="G28" s="109">
        <f>IF(ISBLANK(Actuals!D33),"",Actuals!D33)</f>
        <v>-1766.48</v>
      </c>
      <c r="H28" s="110">
        <f>IF(ISBLANK(Actuals!D33),"",'Original Budget'!D33-Actuals!D33)</f>
        <v>0</v>
      </c>
      <c r="I28" s="110">
        <f>IFERROR(IF(ISBLANK(Actuals!D33),"",('Original Budget'!D33-Actuals!D33)/ABS('Original Budget'!D33)),"")</f>
        <v>0</v>
      </c>
      <c r="J28" s="109">
        <f>'Original Budget'!E33</f>
        <v>-441.62</v>
      </c>
      <c r="K28" s="109">
        <f>IF(ISBLANK(Actuals!E33),"",Actuals!E33)</f>
        <v>-441.62</v>
      </c>
      <c r="L28" s="110">
        <f>IF(ISBLANK(Actuals!E33),"",'Original Budget'!E33-Actuals!E33)</f>
        <v>0</v>
      </c>
      <c r="M28" s="110">
        <f>IFERROR(IF(ISBLANK(Actuals!E33),"",('Original Budget'!E33-Actuals!E33)/ABS('Original Budget'!E33)),"")</f>
        <v>0</v>
      </c>
      <c r="N28" s="109">
        <f>'Original Budget'!F33</f>
        <v>-736.03</v>
      </c>
      <c r="O28" s="109">
        <f>IF(ISBLANK(Actuals!F33),"",Actuals!F33)</f>
        <v>-441.62</v>
      </c>
      <c r="P28" s="110">
        <f>IF(ISBLANK(Actuals!F33),"",'Original Budget'!F33-Actuals!F33)</f>
        <v>-294.40999999999997</v>
      </c>
      <c r="Q28" s="110">
        <f>IFERROR(IF(ISBLANK(Actuals!F33),"",('Original Budget'!F33-Actuals!F33)/ABS('Original Budget'!F33)),"")</f>
        <v>-0.39999728271945434</v>
      </c>
      <c r="R28" s="109">
        <f>'Original Budget'!G33</f>
        <v>-736.03</v>
      </c>
      <c r="S28" s="109" t="str">
        <f>IF(ISBLANK(Actuals!G33),"",Actuals!G33)</f>
        <v/>
      </c>
      <c r="T28" s="110" t="str">
        <f>IF(ISBLANK(Actuals!G33),"",'Original Budget'!G33-Actuals!G33)</f>
        <v/>
      </c>
      <c r="U28" s="110" t="str">
        <f>IFERROR(IF(ISBLANK(Actuals!G33),"",('Original Budget'!G33-Actuals!G33)/ABS('Original Budget'!G33)),"")</f>
        <v/>
      </c>
      <c r="V28" s="109">
        <f>'Original Budget'!H33</f>
        <v>-736.03</v>
      </c>
      <c r="W28" s="109" t="str">
        <f>IF(ISBLANK(Actuals!H33),"",Actuals!H33)</f>
        <v/>
      </c>
      <c r="X28" s="110" t="str">
        <f>IF(ISBLANK(Actuals!H33),"",'Original Budget'!H33-Actuals!H33)</f>
        <v/>
      </c>
      <c r="Y28" s="110" t="str">
        <f>IFERROR(IF(ISBLANK(Actuals!H33),"",('Original Budget'!H33-Actuals!H33)/ABS('Original Budget'!H33)),"")</f>
        <v/>
      </c>
      <c r="Z28" s="109">
        <f>'Original Budget'!I33</f>
        <v>-736.03</v>
      </c>
      <c r="AA28" s="109" t="str">
        <f>IF(ISBLANK(Actuals!I33),"",Actuals!I33)</f>
        <v/>
      </c>
      <c r="AB28" s="110" t="str">
        <f>IF(ISBLANK(Actuals!I33),"",'Original Budget'!I33-Actuals!I33)</f>
        <v/>
      </c>
      <c r="AC28" s="110" t="str">
        <f>IFERROR(IF(ISBLANK(Actuals!I33),"",('Original Budget'!I33-Actuals!I33)/ABS('Original Budget'!I33)),"")</f>
        <v/>
      </c>
      <c r="AD28" s="109">
        <f>'Original Budget'!J33</f>
        <v>-736.03</v>
      </c>
      <c r="AE28" s="109" t="str">
        <f>IF(ISBLANK(Actuals!J33),"",Actuals!J33)</f>
        <v/>
      </c>
      <c r="AF28" s="110" t="str">
        <f>IF(ISBLANK(Actuals!J33),"",'Original Budget'!J33-Actuals!J33)</f>
        <v/>
      </c>
      <c r="AG28" s="110" t="str">
        <f>IFERROR(IF(ISBLANK(Actuals!J33),"",('Original Budget'!J33-Actuals!J33)/ABS('Original Budget'!J33)),"")</f>
        <v/>
      </c>
      <c r="AH28" s="109">
        <f>'Original Budget'!K33</f>
        <v>-736.03</v>
      </c>
      <c r="AI28" s="109" t="str">
        <f>IF(ISBLANK(Actuals!K33),"",Actuals!K33)</f>
        <v/>
      </c>
      <c r="AJ28" s="110" t="str">
        <f>IF(ISBLANK(Actuals!K33),"",'Original Budget'!K33-Actuals!K33)</f>
        <v/>
      </c>
      <c r="AK28" s="110" t="str">
        <f>IFERROR(IF(ISBLANK(Actuals!K33),"",('Original Budget'!K33-Actuals!K33)/ABS('Original Budget'!K33)),"")</f>
        <v/>
      </c>
      <c r="AL28" s="109">
        <f>'Original Budget'!L33</f>
        <v>-736.03</v>
      </c>
      <c r="AM28" s="109" t="str">
        <f>IF(ISBLANK(Actuals!L33),"",Actuals!L33)</f>
        <v/>
      </c>
      <c r="AN28" s="110" t="str">
        <f>IF(ISBLANK(Actuals!L33),"",'Original Budget'!L33-Actuals!L33)</f>
        <v/>
      </c>
      <c r="AO28" s="110" t="str">
        <f>IFERROR(IF(ISBLANK(Actuals!L33),"",('Original Budget'!L33-Actuals!L33)/ABS('Original Budget'!L33)),"")</f>
        <v/>
      </c>
      <c r="AP28" s="109">
        <f>'Original Budget'!M33</f>
        <v>-736.03</v>
      </c>
      <c r="AQ28" s="109" t="str">
        <f>IF(ISBLANK(Actuals!M33),"",Actuals!M33)</f>
        <v/>
      </c>
      <c r="AR28" s="110" t="str">
        <f>IF(ISBLANK(Actuals!M33),"",'Original Budget'!M33-Actuals!M33)</f>
        <v/>
      </c>
      <c r="AS28" s="110" t="str">
        <f>IFERROR(IF(ISBLANK(Actuals!M33),"",('Original Budget'!M33-Actuals!M33)/ABS('Original Budget'!M33)),"")</f>
        <v/>
      </c>
      <c r="AT28" s="109">
        <f>'Original Budget'!N33</f>
        <v>-736.03</v>
      </c>
      <c r="AU28" s="109" t="str">
        <f>IF(ISBLANK(Actuals!N33),"",Actuals!N33)</f>
        <v/>
      </c>
      <c r="AV28" s="110" t="str">
        <f>IF(ISBLANK(Actuals!N33),"",'Original Budget'!N33-Actuals!N33)</f>
        <v/>
      </c>
      <c r="AW28" s="110" t="str">
        <f>IFERROR(IF(ISBLANK(Actuals!N33),"",('Original Budget'!N33-Actuals!N33)/ABS('Original Budget'!N33)),"")</f>
        <v/>
      </c>
      <c r="AX28" s="111">
        <f>SUMPRODUCT((Actuals!C33:N33&lt;&gt;"")*('Original Budget'!C33:N33))</f>
        <v>-2944.13</v>
      </c>
      <c r="AY28" s="111">
        <f>SUM(Actuals!C33:N33)</f>
        <v>-2649.72</v>
      </c>
      <c r="AZ28" s="112">
        <f t="shared" si="0"/>
        <v>-294.41000000000031</v>
      </c>
    </row>
    <row r="29" spans="1:52" ht="15" customHeight="1" x14ac:dyDescent="0.25">
      <c r="A29" s="108" t="s">
        <v>77</v>
      </c>
      <c r="B29" s="109">
        <f>'Original Budget'!C34</f>
        <v>-681.77</v>
      </c>
      <c r="C29" s="109">
        <f>IF(ISBLANK(Actuals!C34),"",Actuals!C34)</f>
        <v>-681.77</v>
      </c>
      <c r="D29" s="110">
        <f>IF(ISBLANK(Actuals!C34),"",'Original Budget'!C34-Actuals!C34)</f>
        <v>0</v>
      </c>
      <c r="E29" s="110">
        <f>IFERROR(IF(ISBLANK(Actuals!C34),"",('Original Budget'!C34-Actuals!C34)/ABS('Original Budget'!C34)),"")</f>
        <v>0</v>
      </c>
      <c r="F29" s="109">
        <f>'Original Budget'!D34</f>
        <v>-600.14</v>
      </c>
      <c r="G29" s="109">
        <f>IF(ISBLANK(Actuals!D34),"",Actuals!D34)</f>
        <v>-600.14</v>
      </c>
      <c r="H29" s="110">
        <f>IF(ISBLANK(Actuals!D34),"",'Original Budget'!D34-Actuals!D34)</f>
        <v>0</v>
      </c>
      <c r="I29" s="110">
        <f>IFERROR(IF(ISBLANK(Actuals!D34),"",('Original Budget'!D34-Actuals!D34)/ABS('Original Budget'!D34)),"")</f>
        <v>0</v>
      </c>
      <c r="J29" s="109">
        <f>'Original Budget'!E34</f>
        <v>-2121.9499999999998</v>
      </c>
      <c r="K29" s="109">
        <f>IF(ISBLANK(Actuals!E34),"",Actuals!E34)</f>
        <v>-2121.9499999999998</v>
      </c>
      <c r="L29" s="110">
        <f>IF(ISBLANK(Actuals!E34),"",'Original Budget'!E34-Actuals!E34)</f>
        <v>0</v>
      </c>
      <c r="M29" s="110">
        <f>IFERROR(IF(ISBLANK(Actuals!E34),"",('Original Budget'!E34-Actuals!E34)/ABS('Original Budget'!E34)),"")</f>
        <v>0</v>
      </c>
      <c r="N29" s="109">
        <f>'Original Budget'!F34</f>
        <v>-1134.6199999999999</v>
      </c>
      <c r="O29" s="109">
        <f>IF(ISBLANK(Actuals!F34),"",Actuals!F34)</f>
        <v>-840.49</v>
      </c>
      <c r="P29" s="110">
        <f>IF(ISBLANK(Actuals!F34),"",'Original Budget'!F34-Actuals!F34)</f>
        <v>-294.12999999999988</v>
      </c>
      <c r="Q29" s="110">
        <f>IFERROR(IF(ISBLANK(Actuals!F34),"",('Original Budget'!F34-Actuals!F34)/ABS('Original Budget'!F34)),"")</f>
        <v>-0.25923216583525754</v>
      </c>
      <c r="R29" s="109">
        <f>'Original Budget'!G34</f>
        <v>-1134.6199999999999</v>
      </c>
      <c r="S29" s="109" t="str">
        <f>IF(ISBLANK(Actuals!G34),"",Actuals!G34)</f>
        <v/>
      </c>
      <c r="T29" s="110" t="str">
        <f>IF(ISBLANK(Actuals!G34),"",'Original Budget'!G34-Actuals!G34)</f>
        <v/>
      </c>
      <c r="U29" s="110" t="str">
        <f>IFERROR(IF(ISBLANK(Actuals!G34),"",('Original Budget'!G34-Actuals!G34)/ABS('Original Budget'!G34)),"")</f>
        <v/>
      </c>
      <c r="V29" s="109">
        <f>'Original Budget'!H34</f>
        <v>-1134.6199999999999</v>
      </c>
      <c r="W29" s="109" t="str">
        <f>IF(ISBLANK(Actuals!H34),"",Actuals!H34)</f>
        <v/>
      </c>
      <c r="X29" s="110" t="str">
        <f>IF(ISBLANK(Actuals!H34),"",'Original Budget'!H34-Actuals!H34)</f>
        <v/>
      </c>
      <c r="Y29" s="110" t="str">
        <f>IFERROR(IF(ISBLANK(Actuals!H34),"",('Original Budget'!H34-Actuals!H34)/ABS('Original Budget'!H34)),"")</f>
        <v/>
      </c>
      <c r="Z29" s="109">
        <f>'Original Budget'!I34</f>
        <v>-1134.6199999999999</v>
      </c>
      <c r="AA29" s="109" t="str">
        <f>IF(ISBLANK(Actuals!I34),"",Actuals!I34)</f>
        <v/>
      </c>
      <c r="AB29" s="110" t="str">
        <f>IF(ISBLANK(Actuals!I34),"",'Original Budget'!I34-Actuals!I34)</f>
        <v/>
      </c>
      <c r="AC29" s="110" t="str">
        <f>IFERROR(IF(ISBLANK(Actuals!I34),"",('Original Budget'!I34-Actuals!I34)/ABS('Original Budget'!I34)),"")</f>
        <v/>
      </c>
      <c r="AD29" s="109">
        <f>'Original Budget'!J34</f>
        <v>-1134.6199999999999</v>
      </c>
      <c r="AE29" s="109" t="str">
        <f>IF(ISBLANK(Actuals!J34),"",Actuals!J34)</f>
        <v/>
      </c>
      <c r="AF29" s="110" t="str">
        <f>IF(ISBLANK(Actuals!J34),"",'Original Budget'!J34-Actuals!J34)</f>
        <v/>
      </c>
      <c r="AG29" s="110" t="str">
        <f>IFERROR(IF(ISBLANK(Actuals!J34),"",('Original Budget'!J34-Actuals!J34)/ABS('Original Budget'!J34)),"")</f>
        <v/>
      </c>
      <c r="AH29" s="109">
        <f>'Original Budget'!K34</f>
        <v>-1134.6199999999999</v>
      </c>
      <c r="AI29" s="109" t="str">
        <f>IF(ISBLANK(Actuals!K34),"",Actuals!K34)</f>
        <v/>
      </c>
      <c r="AJ29" s="110" t="str">
        <f>IF(ISBLANK(Actuals!K34),"",'Original Budget'!K34-Actuals!K34)</f>
        <v/>
      </c>
      <c r="AK29" s="110" t="str">
        <f>IFERROR(IF(ISBLANK(Actuals!K34),"",('Original Budget'!K34-Actuals!K34)/ABS('Original Budget'!K34)),"")</f>
        <v/>
      </c>
      <c r="AL29" s="109">
        <f>'Original Budget'!L34</f>
        <v>-1134.6199999999999</v>
      </c>
      <c r="AM29" s="109" t="str">
        <f>IF(ISBLANK(Actuals!L34),"",Actuals!L34)</f>
        <v/>
      </c>
      <c r="AN29" s="110" t="str">
        <f>IF(ISBLANK(Actuals!L34),"",'Original Budget'!L34-Actuals!L34)</f>
        <v/>
      </c>
      <c r="AO29" s="110" t="str">
        <f>IFERROR(IF(ISBLANK(Actuals!L34),"",('Original Budget'!L34-Actuals!L34)/ABS('Original Budget'!L34)),"")</f>
        <v/>
      </c>
      <c r="AP29" s="109">
        <f>'Original Budget'!M34</f>
        <v>-1134.6199999999999</v>
      </c>
      <c r="AQ29" s="109" t="str">
        <f>IF(ISBLANK(Actuals!M34),"",Actuals!M34)</f>
        <v/>
      </c>
      <c r="AR29" s="110" t="str">
        <f>IF(ISBLANK(Actuals!M34),"",'Original Budget'!M34-Actuals!M34)</f>
        <v/>
      </c>
      <c r="AS29" s="110" t="str">
        <f>IFERROR(IF(ISBLANK(Actuals!M34),"",('Original Budget'!M34-Actuals!M34)/ABS('Original Budget'!M34)),"")</f>
        <v/>
      </c>
      <c r="AT29" s="109">
        <f>'Original Budget'!N34</f>
        <v>-1134.6199999999999</v>
      </c>
      <c r="AU29" s="109" t="str">
        <f>IF(ISBLANK(Actuals!N34),"",Actuals!N34)</f>
        <v/>
      </c>
      <c r="AV29" s="110" t="str">
        <f>IF(ISBLANK(Actuals!N34),"",'Original Budget'!N34-Actuals!N34)</f>
        <v/>
      </c>
      <c r="AW29" s="110" t="str">
        <f>IFERROR(IF(ISBLANK(Actuals!N34),"",('Original Budget'!N34-Actuals!N34)/ABS('Original Budget'!N34)),"")</f>
        <v/>
      </c>
      <c r="AX29" s="111">
        <f>SUMPRODUCT((Actuals!C34:N34&lt;&gt;"")*('Original Budget'!C34:N34))</f>
        <v>-4538.4799999999996</v>
      </c>
      <c r="AY29" s="111">
        <f>SUM(Actuals!C34:N34)</f>
        <v>-4244.3499999999995</v>
      </c>
      <c r="AZ29" s="112">
        <f t="shared" si="0"/>
        <v>-294.13000000000011</v>
      </c>
    </row>
    <row r="30" spans="1:52" ht="15" customHeight="1" x14ac:dyDescent="0.25">
      <c r="A30" s="108" t="s">
        <v>78</v>
      </c>
      <c r="B30" s="109">
        <f>'Original Budget'!C35</f>
        <v>-2187.5</v>
      </c>
      <c r="C30" s="109">
        <f>IF(ISBLANK(Actuals!C35),"",Actuals!C35)</f>
        <v>-2187.5</v>
      </c>
      <c r="D30" s="110">
        <f>IF(ISBLANK(Actuals!C35),"",'Original Budget'!C35-Actuals!C35)</f>
        <v>0</v>
      </c>
      <c r="E30" s="110">
        <f>IFERROR(IF(ISBLANK(Actuals!C35),"",('Original Budget'!C35-Actuals!C35)/ABS('Original Budget'!C35)),"")</f>
        <v>0</v>
      </c>
      <c r="F30" s="109">
        <f>'Original Budget'!D35</f>
        <v>0</v>
      </c>
      <c r="G30" s="109">
        <f>IF(ISBLANK(Actuals!D35),"",Actuals!D35)</f>
        <v>0</v>
      </c>
      <c r="H30" s="110">
        <f>IF(ISBLANK(Actuals!D35),"",'Original Budget'!D35-Actuals!D35)</f>
        <v>0</v>
      </c>
      <c r="I30" s="110" t="str">
        <f>IFERROR(IF(ISBLANK(Actuals!D35),"",('Original Budget'!D35-Actuals!D35)/ABS('Original Budget'!D35)),"")</f>
        <v/>
      </c>
      <c r="J30" s="109">
        <f>'Original Budget'!E35</f>
        <v>-1625</v>
      </c>
      <c r="K30" s="109">
        <f>IF(ISBLANK(Actuals!E35),"",Actuals!E35)</f>
        <v>-1625</v>
      </c>
      <c r="L30" s="110">
        <f>IF(ISBLANK(Actuals!E35),"",'Original Budget'!E35-Actuals!E35)</f>
        <v>0</v>
      </c>
      <c r="M30" s="110">
        <f>IFERROR(IF(ISBLANK(Actuals!E35),"",('Original Budget'!E35-Actuals!E35)/ABS('Original Budget'!E35)),"")</f>
        <v>0</v>
      </c>
      <c r="N30" s="109">
        <f>'Original Budget'!F35</f>
        <v>-1270.83</v>
      </c>
      <c r="O30" s="109">
        <f>IF(ISBLANK(Actuals!F35),"",Actuals!F35)</f>
        <v>0</v>
      </c>
      <c r="P30" s="110">
        <f>IF(ISBLANK(Actuals!F35),"",'Original Budget'!F35-Actuals!F35)</f>
        <v>-1270.83</v>
      </c>
      <c r="Q30" s="110">
        <f>IFERROR(IF(ISBLANK(Actuals!F35),"",('Original Budget'!F35-Actuals!F35)/ABS('Original Budget'!F35)),"")</f>
        <v>-1</v>
      </c>
      <c r="R30" s="109">
        <f>'Original Budget'!G35</f>
        <v>-1270.83</v>
      </c>
      <c r="S30" s="109" t="str">
        <f>IF(ISBLANK(Actuals!G35),"",Actuals!G35)</f>
        <v/>
      </c>
      <c r="T30" s="110" t="str">
        <f>IF(ISBLANK(Actuals!G35),"",'Original Budget'!G35-Actuals!G35)</f>
        <v/>
      </c>
      <c r="U30" s="110" t="str">
        <f>IFERROR(IF(ISBLANK(Actuals!G35),"",('Original Budget'!G35-Actuals!G35)/ABS('Original Budget'!G35)),"")</f>
        <v/>
      </c>
      <c r="V30" s="109">
        <f>'Original Budget'!H35</f>
        <v>-1270.83</v>
      </c>
      <c r="W30" s="109" t="str">
        <f>IF(ISBLANK(Actuals!H35),"",Actuals!H35)</f>
        <v/>
      </c>
      <c r="X30" s="110" t="str">
        <f>IF(ISBLANK(Actuals!H35),"",'Original Budget'!H35-Actuals!H35)</f>
        <v/>
      </c>
      <c r="Y30" s="110" t="str">
        <f>IFERROR(IF(ISBLANK(Actuals!H35),"",('Original Budget'!H35-Actuals!H35)/ABS('Original Budget'!H35)),"")</f>
        <v/>
      </c>
      <c r="Z30" s="109">
        <f>'Original Budget'!I35</f>
        <v>-1270.83</v>
      </c>
      <c r="AA30" s="109" t="str">
        <f>IF(ISBLANK(Actuals!I35),"",Actuals!I35)</f>
        <v/>
      </c>
      <c r="AB30" s="110" t="str">
        <f>IF(ISBLANK(Actuals!I35),"",'Original Budget'!I35-Actuals!I35)</f>
        <v/>
      </c>
      <c r="AC30" s="110" t="str">
        <f>IFERROR(IF(ISBLANK(Actuals!I35),"",('Original Budget'!I35-Actuals!I35)/ABS('Original Budget'!I35)),"")</f>
        <v/>
      </c>
      <c r="AD30" s="109">
        <f>'Original Budget'!J35</f>
        <v>-1270.83</v>
      </c>
      <c r="AE30" s="109" t="str">
        <f>IF(ISBLANK(Actuals!J35),"",Actuals!J35)</f>
        <v/>
      </c>
      <c r="AF30" s="110" t="str">
        <f>IF(ISBLANK(Actuals!J35),"",'Original Budget'!J35-Actuals!J35)</f>
        <v/>
      </c>
      <c r="AG30" s="110" t="str">
        <f>IFERROR(IF(ISBLANK(Actuals!J35),"",('Original Budget'!J35-Actuals!J35)/ABS('Original Budget'!J35)),"")</f>
        <v/>
      </c>
      <c r="AH30" s="109">
        <f>'Original Budget'!K35</f>
        <v>-1270.83</v>
      </c>
      <c r="AI30" s="109" t="str">
        <f>IF(ISBLANK(Actuals!K35),"",Actuals!K35)</f>
        <v/>
      </c>
      <c r="AJ30" s="110" t="str">
        <f>IF(ISBLANK(Actuals!K35),"",'Original Budget'!K35-Actuals!K35)</f>
        <v/>
      </c>
      <c r="AK30" s="110" t="str">
        <f>IFERROR(IF(ISBLANK(Actuals!K35),"",('Original Budget'!K35-Actuals!K35)/ABS('Original Budget'!K35)),"")</f>
        <v/>
      </c>
      <c r="AL30" s="109">
        <f>'Original Budget'!L35</f>
        <v>-1270.83</v>
      </c>
      <c r="AM30" s="109" t="str">
        <f>IF(ISBLANK(Actuals!L35),"",Actuals!L35)</f>
        <v/>
      </c>
      <c r="AN30" s="110" t="str">
        <f>IF(ISBLANK(Actuals!L35),"",'Original Budget'!L35-Actuals!L35)</f>
        <v/>
      </c>
      <c r="AO30" s="110" t="str">
        <f>IFERROR(IF(ISBLANK(Actuals!L35),"",('Original Budget'!L35-Actuals!L35)/ABS('Original Budget'!L35)),"")</f>
        <v/>
      </c>
      <c r="AP30" s="109">
        <f>'Original Budget'!M35</f>
        <v>-1270.83</v>
      </c>
      <c r="AQ30" s="109" t="str">
        <f>IF(ISBLANK(Actuals!M35),"",Actuals!M35)</f>
        <v/>
      </c>
      <c r="AR30" s="110" t="str">
        <f>IF(ISBLANK(Actuals!M35),"",'Original Budget'!M35-Actuals!M35)</f>
        <v/>
      </c>
      <c r="AS30" s="110" t="str">
        <f>IFERROR(IF(ISBLANK(Actuals!M35),"",('Original Budget'!M35-Actuals!M35)/ABS('Original Budget'!M35)),"")</f>
        <v/>
      </c>
      <c r="AT30" s="109">
        <f>'Original Budget'!N35</f>
        <v>-1270.83</v>
      </c>
      <c r="AU30" s="109" t="str">
        <f>IF(ISBLANK(Actuals!N35),"",Actuals!N35)</f>
        <v/>
      </c>
      <c r="AV30" s="110" t="str">
        <f>IF(ISBLANK(Actuals!N35),"",'Original Budget'!N35-Actuals!N35)</f>
        <v/>
      </c>
      <c r="AW30" s="110" t="str">
        <f>IFERROR(IF(ISBLANK(Actuals!N35),"",('Original Budget'!N35-Actuals!N35)/ABS('Original Budget'!N35)),"")</f>
        <v/>
      </c>
      <c r="AX30" s="111">
        <f>SUMPRODUCT((Actuals!C35:N35&lt;&gt;"")*('Original Budget'!C35:N35))</f>
        <v>-5083.33</v>
      </c>
      <c r="AY30" s="111">
        <f>SUM(Actuals!C35:N35)</f>
        <v>-3812.5</v>
      </c>
      <c r="AZ30" s="112">
        <f t="shared" si="0"/>
        <v>-1270.83</v>
      </c>
    </row>
    <row r="31" spans="1:52" ht="15" customHeight="1" x14ac:dyDescent="0.25">
      <c r="A31" s="108" t="s">
        <v>79</v>
      </c>
      <c r="B31" s="109">
        <f>'Original Budget'!C36</f>
        <v>0</v>
      </c>
      <c r="C31" s="109">
        <f>IF(ISBLANK(Actuals!C36),"",Actuals!C36)</f>
        <v>0</v>
      </c>
      <c r="D31" s="110">
        <f>IF(ISBLANK(Actuals!C36),"",'Original Budget'!C36-Actuals!C36)</f>
        <v>0</v>
      </c>
      <c r="E31" s="110" t="str">
        <f>IFERROR(IF(ISBLANK(Actuals!C36),"",('Original Budget'!C36-Actuals!C36)/ABS('Original Budget'!C36)),"")</f>
        <v/>
      </c>
      <c r="F31" s="109">
        <f>'Original Budget'!D36</f>
        <v>-12349</v>
      </c>
      <c r="G31" s="109">
        <f>IF(ISBLANK(Actuals!D36),"",Actuals!D36)</f>
        <v>-12349</v>
      </c>
      <c r="H31" s="110">
        <f>IF(ISBLANK(Actuals!D36),"",'Original Budget'!D36-Actuals!D36)</f>
        <v>0</v>
      </c>
      <c r="I31" s="110">
        <f>IFERROR(IF(ISBLANK(Actuals!D36),"",('Original Budget'!D36-Actuals!D36)/ABS('Original Budget'!D36)),"")</f>
        <v>0</v>
      </c>
      <c r="J31" s="109">
        <f>'Original Budget'!E36</f>
        <v>-5400</v>
      </c>
      <c r="K31" s="109">
        <f>IF(ISBLANK(Actuals!E36),"",Actuals!E36)</f>
        <v>-5400</v>
      </c>
      <c r="L31" s="110">
        <f>IF(ISBLANK(Actuals!E36),"",'Original Budget'!E36-Actuals!E36)</f>
        <v>0</v>
      </c>
      <c r="M31" s="110">
        <f>IFERROR(IF(ISBLANK(Actuals!E36),"",('Original Budget'!E36-Actuals!E36)/ABS('Original Budget'!E36)),"")</f>
        <v>0</v>
      </c>
      <c r="N31" s="109">
        <f>'Original Budget'!F36</f>
        <v>-5916.33</v>
      </c>
      <c r="O31" s="109">
        <f>IF(ISBLANK(Actuals!F36),"",Actuals!F36)</f>
        <v>-4377</v>
      </c>
      <c r="P31" s="110">
        <f>IF(ISBLANK(Actuals!F36),"",'Original Budget'!F36-Actuals!F36)</f>
        <v>-1539.33</v>
      </c>
      <c r="Q31" s="110">
        <f>IFERROR(IF(ISBLANK(Actuals!F36),"",('Original Budget'!F36-Actuals!F36)/ABS('Original Budget'!F36)),"")</f>
        <v>-0.26018325549791849</v>
      </c>
      <c r="R31" s="109">
        <f>'Original Budget'!G36</f>
        <v>-5916.33</v>
      </c>
      <c r="S31" s="109" t="str">
        <f>IF(ISBLANK(Actuals!G36),"",Actuals!G36)</f>
        <v/>
      </c>
      <c r="T31" s="110" t="str">
        <f>IF(ISBLANK(Actuals!G36),"",'Original Budget'!G36-Actuals!G36)</f>
        <v/>
      </c>
      <c r="U31" s="110" t="str">
        <f>IFERROR(IF(ISBLANK(Actuals!G36),"",('Original Budget'!G36-Actuals!G36)/ABS('Original Budget'!G36)),"")</f>
        <v/>
      </c>
      <c r="V31" s="109">
        <f>'Original Budget'!H36</f>
        <v>-5916.33</v>
      </c>
      <c r="W31" s="109" t="str">
        <f>IF(ISBLANK(Actuals!H36),"",Actuals!H36)</f>
        <v/>
      </c>
      <c r="X31" s="110" t="str">
        <f>IF(ISBLANK(Actuals!H36),"",'Original Budget'!H36-Actuals!H36)</f>
        <v/>
      </c>
      <c r="Y31" s="110" t="str">
        <f>IFERROR(IF(ISBLANK(Actuals!H36),"",('Original Budget'!H36-Actuals!H36)/ABS('Original Budget'!H36)),"")</f>
        <v/>
      </c>
      <c r="Z31" s="109">
        <f>'Original Budget'!I36</f>
        <v>-5916.33</v>
      </c>
      <c r="AA31" s="109" t="str">
        <f>IF(ISBLANK(Actuals!I36),"",Actuals!I36)</f>
        <v/>
      </c>
      <c r="AB31" s="110" t="str">
        <f>IF(ISBLANK(Actuals!I36),"",'Original Budget'!I36-Actuals!I36)</f>
        <v/>
      </c>
      <c r="AC31" s="110" t="str">
        <f>IFERROR(IF(ISBLANK(Actuals!I36),"",('Original Budget'!I36-Actuals!I36)/ABS('Original Budget'!I36)),"")</f>
        <v/>
      </c>
      <c r="AD31" s="109">
        <f>'Original Budget'!J36</f>
        <v>-5916.33</v>
      </c>
      <c r="AE31" s="109" t="str">
        <f>IF(ISBLANK(Actuals!J36),"",Actuals!J36)</f>
        <v/>
      </c>
      <c r="AF31" s="110" t="str">
        <f>IF(ISBLANK(Actuals!J36),"",'Original Budget'!J36-Actuals!J36)</f>
        <v/>
      </c>
      <c r="AG31" s="110" t="str">
        <f>IFERROR(IF(ISBLANK(Actuals!J36),"",('Original Budget'!J36-Actuals!J36)/ABS('Original Budget'!J36)),"")</f>
        <v/>
      </c>
      <c r="AH31" s="109">
        <f>'Original Budget'!K36</f>
        <v>-5916.33</v>
      </c>
      <c r="AI31" s="109" t="str">
        <f>IF(ISBLANK(Actuals!K36),"",Actuals!K36)</f>
        <v/>
      </c>
      <c r="AJ31" s="110" t="str">
        <f>IF(ISBLANK(Actuals!K36),"",'Original Budget'!K36-Actuals!K36)</f>
        <v/>
      </c>
      <c r="AK31" s="110" t="str">
        <f>IFERROR(IF(ISBLANK(Actuals!K36),"",('Original Budget'!K36-Actuals!K36)/ABS('Original Budget'!K36)),"")</f>
        <v/>
      </c>
      <c r="AL31" s="109">
        <f>'Original Budget'!L36</f>
        <v>-5916.33</v>
      </c>
      <c r="AM31" s="109" t="str">
        <f>IF(ISBLANK(Actuals!L36),"",Actuals!L36)</f>
        <v/>
      </c>
      <c r="AN31" s="110" t="str">
        <f>IF(ISBLANK(Actuals!L36),"",'Original Budget'!L36-Actuals!L36)</f>
        <v/>
      </c>
      <c r="AO31" s="110" t="str">
        <f>IFERROR(IF(ISBLANK(Actuals!L36),"",('Original Budget'!L36-Actuals!L36)/ABS('Original Budget'!L36)),"")</f>
        <v/>
      </c>
      <c r="AP31" s="109">
        <f>'Original Budget'!M36</f>
        <v>-5916.33</v>
      </c>
      <c r="AQ31" s="109" t="str">
        <f>IF(ISBLANK(Actuals!M36),"",Actuals!M36)</f>
        <v/>
      </c>
      <c r="AR31" s="110" t="str">
        <f>IF(ISBLANK(Actuals!M36),"",'Original Budget'!M36-Actuals!M36)</f>
        <v/>
      </c>
      <c r="AS31" s="110" t="str">
        <f>IFERROR(IF(ISBLANK(Actuals!M36),"",('Original Budget'!M36-Actuals!M36)/ABS('Original Budget'!M36)),"")</f>
        <v/>
      </c>
      <c r="AT31" s="109">
        <f>'Original Budget'!N36</f>
        <v>-5916.33</v>
      </c>
      <c r="AU31" s="109" t="str">
        <f>IF(ISBLANK(Actuals!N36),"",Actuals!N36)</f>
        <v/>
      </c>
      <c r="AV31" s="110" t="str">
        <f>IF(ISBLANK(Actuals!N36),"",'Original Budget'!N36-Actuals!N36)</f>
        <v/>
      </c>
      <c r="AW31" s="110" t="str">
        <f>IFERROR(IF(ISBLANK(Actuals!N36),"",('Original Budget'!N36-Actuals!N36)/ABS('Original Budget'!N36)),"")</f>
        <v/>
      </c>
      <c r="AX31" s="111">
        <f>SUMPRODUCT((Actuals!C36:N36&lt;&gt;"")*('Original Budget'!C36:N36))</f>
        <v>-23665.33</v>
      </c>
      <c r="AY31" s="111">
        <f>SUM(Actuals!C36:N36)</f>
        <v>-22126</v>
      </c>
      <c r="AZ31" s="112">
        <f t="shared" si="0"/>
        <v>-1539.3300000000017</v>
      </c>
    </row>
    <row r="32" spans="1:52" ht="15" customHeight="1" x14ac:dyDescent="0.25">
      <c r="A32" s="108" t="s">
        <v>80</v>
      </c>
      <c r="B32" s="109">
        <f>'Original Budget'!C37</f>
        <v>0</v>
      </c>
      <c r="C32" s="109">
        <f>IF(ISBLANK(Actuals!C37),"",Actuals!C37)</f>
        <v>0</v>
      </c>
      <c r="D32" s="110">
        <f>IF(ISBLANK(Actuals!C37),"",'Original Budget'!C37-Actuals!C37)</f>
        <v>0</v>
      </c>
      <c r="E32" s="110" t="str">
        <f>IFERROR(IF(ISBLANK(Actuals!C37),"",('Original Budget'!C37-Actuals!C37)/ABS('Original Budget'!C37)),"")</f>
        <v/>
      </c>
      <c r="F32" s="109">
        <f>'Original Budget'!D37</f>
        <v>0</v>
      </c>
      <c r="G32" s="109">
        <f>IF(ISBLANK(Actuals!D37),"",Actuals!D37)</f>
        <v>0</v>
      </c>
      <c r="H32" s="110">
        <f>IF(ISBLANK(Actuals!D37),"",'Original Budget'!D37-Actuals!D37)</f>
        <v>0</v>
      </c>
      <c r="I32" s="110" t="str">
        <f>IFERROR(IF(ISBLANK(Actuals!D37),"",('Original Budget'!D37-Actuals!D37)/ABS('Original Budget'!D37)),"")</f>
        <v/>
      </c>
      <c r="J32" s="109">
        <f>'Original Budget'!E37</f>
        <v>-750.4</v>
      </c>
      <c r="K32" s="109">
        <f>IF(ISBLANK(Actuals!E37),"",Actuals!E37)</f>
        <v>-750.4</v>
      </c>
      <c r="L32" s="110">
        <f>IF(ISBLANK(Actuals!E37),"",'Original Budget'!E37-Actuals!E37)</f>
        <v>0</v>
      </c>
      <c r="M32" s="110">
        <f>IFERROR(IF(ISBLANK(Actuals!E37),"",('Original Budget'!E37-Actuals!E37)/ABS('Original Budget'!E37)),"")</f>
        <v>0</v>
      </c>
      <c r="N32" s="109">
        <f>'Original Budget'!F37</f>
        <v>-250.13</v>
      </c>
      <c r="O32" s="109">
        <f>IF(ISBLANK(Actuals!F37),"",Actuals!F37)</f>
        <v>0</v>
      </c>
      <c r="P32" s="110">
        <f>IF(ISBLANK(Actuals!F37),"",'Original Budget'!F37-Actuals!F37)</f>
        <v>-250.13</v>
      </c>
      <c r="Q32" s="110">
        <f>IFERROR(IF(ISBLANK(Actuals!F37),"",('Original Budget'!F37-Actuals!F37)/ABS('Original Budget'!F37)),"")</f>
        <v>-1</v>
      </c>
      <c r="R32" s="109">
        <f>'Original Budget'!G37</f>
        <v>-250.13</v>
      </c>
      <c r="S32" s="109" t="str">
        <f>IF(ISBLANK(Actuals!G37),"",Actuals!G37)</f>
        <v/>
      </c>
      <c r="T32" s="110" t="str">
        <f>IF(ISBLANK(Actuals!G37),"",'Original Budget'!G37-Actuals!G37)</f>
        <v/>
      </c>
      <c r="U32" s="110" t="str">
        <f>IFERROR(IF(ISBLANK(Actuals!G37),"",('Original Budget'!G37-Actuals!G37)/ABS('Original Budget'!G37)),"")</f>
        <v/>
      </c>
      <c r="V32" s="109">
        <f>'Original Budget'!H37</f>
        <v>-250.13</v>
      </c>
      <c r="W32" s="109" t="str">
        <f>IF(ISBLANK(Actuals!H37),"",Actuals!H37)</f>
        <v/>
      </c>
      <c r="X32" s="110" t="str">
        <f>IF(ISBLANK(Actuals!H37),"",'Original Budget'!H37-Actuals!H37)</f>
        <v/>
      </c>
      <c r="Y32" s="110" t="str">
        <f>IFERROR(IF(ISBLANK(Actuals!H37),"",('Original Budget'!H37-Actuals!H37)/ABS('Original Budget'!H37)),"")</f>
        <v/>
      </c>
      <c r="Z32" s="109">
        <f>'Original Budget'!I37</f>
        <v>-250.13</v>
      </c>
      <c r="AA32" s="109" t="str">
        <f>IF(ISBLANK(Actuals!I37),"",Actuals!I37)</f>
        <v/>
      </c>
      <c r="AB32" s="110" t="str">
        <f>IF(ISBLANK(Actuals!I37),"",'Original Budget'!I37-Actuals!I37)</f>
        <v/>
      </c>
      <c r="AC32" s="110" t="str">
        <f>IFERROR(IF(ISBLANK(Actuals!I37),"",('Original Budget'!I37-Actuals!I37)/ABS('Original Budget'!I37)),"")</f>
        <v/>
      </c>
      <c r="AD32" s="109">
        <f>'Original Budget'!J37</f>
        <v>-250.13</v>
      </c>
      <c r="AE32" s="109" t="str">
        <f>IF(ISBLANK(Actuals!J37),"",Actuals!J37)</f>
        <v/>
      </c>
      <c r="AF32" s="110" t="str">
        <f>IF(ISBLANK(Actuals!J37),"",'Original Budget'!J37-Actuals!J37)</f>
        <v/>
      </c>
      <c r="AG32" s="110" t="str">
        <f>IFERROR(IF(ISBLANK(Actuals!J37),"",('Original Budget'!J37-Actuals!J37)/ABS('Original Budget'!J37)),"")</f>
        <v/>
      </c>
      <c r="AH32" s="109">
        <f>'Original Budget'!K37</f>
        <v>-250.13</v>
      </c>
      <c r="AI32" s="109" t="str">
        <f>IF(ISBLANK(Actuals!K37),"",Actuals!K37)</f>
        <v/>
      </c>
      <c r="AJ32" s="110" t="str">
        <f>IF(ISBLANK(Actuals!K37),"",'Original Budget'!K37-Actuals!K37)</f>
        <v/>
      </c>
      <c r="AK32" s="110" t="str">
        <f>IFERROR(IF(ISBLANK(Actuals!K37),"",('Original Budget'!K37-Actuals!K37)/ABS('Original Budget'!K37)),"")</f>
        <v/>
      </c>
      <c r="AL32" s="109">
        <f>'Original Budget'!L37</f>
        <v>-250.13</v>
      </c>
      <c r="AM32" s="109" t="str">
        <f>IF(ISBLANK(Actuals!L37),"",Actuals!L37)</f>
        <v/>
      </c>
      <c r="AN32" s="110" t="str">
        <f>IF(ISBLANK(Actuals!L37),"",'Original Budget'!L37-Actuals!L37)</f>
        <v/>
      </c>
      <c r="AO32" s="110" t="str">
        <f>IFERROR(IF(ISBLANK(Actuals!L37),"",('Original Budget'!L37-Actuals!L37)/ABS('Original Budget'!L37)),"")</f>
        <v/>
      </c>
      <c r="AP32" s="109">
        <f>'Original Budget'!M37</f>
        <v>-250.13</v>
      </c>
      <c r="AQ32" s="109" t="str">
        <f>IF(ISBLANK(Actuals!M37),"",Actuals!M37)</f>
        <v/>
      </c>
      <c r="AR32" s="110" t="str">
        <f>IF(ISBLANK(Actuals!M37),"",'Original Budget'!M37-Actuals!M37)</f>
        <v/>
      </c>
      <c r="AS32" s="110" t="str">
        <f>IFERROR(IF(ISBLANK(Actuals!M37),"",('Original Budget'!M37-Actuals!M37)/ABS('Original Budget'!M37)),"")</f>
        <v/>
      </c>
      <c r="AT32" s="109">
        <f>'Original Budget'!N37</f>
        <v>-250.13</v>
      </c>
      <c r="AU32" s="109" t="str">
        <f>IF(ISBLANK(Actuals!N37),"",Actuals!N37)</f>
        <v/>
      </c>
      <c r="AV32" s="110" t="str">
        <f>IF(ISBLANK(Actuals!N37),"",'Original Budget'!N37-Actuals!N37)</f>
        <v/>
      </c>
      <c r="AW32" s="110" t="str">
        <f>IFERROR(IF(ISBLANK(Actuals!N37),"",('Original Budget'!N37-Actuals!N37)/ABS('Original Budget'!N37)),"")</f>
        <v/>
      </c>
      <c r="AX32" s="111">
        <f>SUMPRODUCT((Actuals!C37:N37&lt;&gt;"")*('Original Budget'!C37:N37))</f>
        <v>-1000.53</v>
      </c>
      <c r="AY32" s="111">
        <f>SUM(Actuals!C37:N37)</f>
        <v>-750.4</v>
      </c>
      <c r="AZ32" s="112">
        <f t="shared" si="0"/>
        <v>-250.13</v>
      </c>
    </row>
    <row r="33" spans="1:52" ht="15" customHeight="1" x14ac:dyDescent="0.25">
      <c r="A33" s="108" t="s">
        <v>81</v>
      </c>
      <c r="B33" s="109">
        <f>'Original Budget'!C38</f>
        <v>-1474.63</v>
      </c>
      <c r="C33" s="109">
        <f>IF(ISBLANK(Actuals!C38),"",Actuals!C38)</f>
        <v>-1474.63</v>
      </c>
      <c r="D33" s="110">
        <f>IF(ISBLANK(Actuals!C38),"",'Original Budget'!C38-Actuals!C38)</f>
        <v>0</v>
      </c>
      <c r="E33" s="110">
        <f>IFERROR(IF(ISBLANK(Actuals!C38),"",('Original Budget'!C38-Actuals!C38)/ABS('Original Budget'!C38)),"")</f>
        <v>0</v>
      </c>
      <c r="F33" s="109">
        <f>'Original Budget'!D38</f>
        <v>-1449.33</v>
      </c>
      <c r="G33" s="109">
        <f>IF(ISBLANK(Actuals!D38),"",Actuals!D38)</f>
        <v>-1449.33</v>
      </c>
      <c r="H33" s="110">
        <f>IF(ISBLANK(Actuals!D38),"",'Original Budget'!D38-Actuals!D38)</f>
        <v>0</v>
      </c>
      <c r="I33" s="110">
        <f>IFERROR(IF(ISBLANK(Actuals!D38),"",('Original Budget'!D38-Actuals!D38)/ABS('Original Budget'!D38)),"")</f>
        <v>0</v>
      </c>
      <c r="J33" s="109">
        <f>'Original Budget'!E38</f>
        <v>-2328.7600000000002</v>
      </c>
      <c r="K33" s="109">
        <f>IF(ISBLANK(Actuals!E38),"",Actuals!E38)</f>
        <v>-2328.7600000000002</v>
      </c>
      <c r="L33" s="110">
        <f>IF(ISBLANK(Actuals!E38),"",'Original Budget'!E38-Actuals!E38)</f>
        <v>0</v>
      </c>
      <c r="M33" s="110">
        <f>IFERROR(IF(ISBLANK(Actuals!E38),"",('Original Budget'!E38-Actuals!E38)/ABS('Original Budget'!E38)),"")</f>
        <v>0</v>
      </c>
      <c r="N33" s="109">
        <f>'Original Budget'!F38</f>
        <v>-1750.91</v>
      </c>
      <c r="O33" s="109">
        <f>IF(ISBLANK(Actuals!F38),"",Actuals!F38)</f>
        <v>-2249.56</v>
      </c>
      <c r="P33" s="110">
        <f>IF(ISBLANK(Actuals!F38),"",'Original Budget'!F38-Actuals!F38)</f>
        <v>498.64999999999986</v>
      </c>
      <c r="Q33" s="110">
        <f>IFERROR(IF(ISBLANK(Actuals!F38),"",('Original Budget'!F38-Actuals!F38)/ABS('Original Budget'!F38)),"")</f>
        <v>0.28479476386564689</v>
      </c>
      <c r="R33" s="109">
        <f>'Original Budget'!G38</f>
        <v>-1750.91</v>
      </c>
      <c r="S33" s="109" t="str">
        <f>IF(ISBLANK(Actuals!G38),"",Actuals!G38)</f>
        <v/>
      </c>
      <c r="T33" s="110" t="str">
        <f>IF(ISBLANK(Actuals!G38),"",'Original Budget'!G38-Actuals!G38)</f>
        <v/>
      </c>
      <c r="U33" s="110" t="str">
        <f>IFERROR(IF(ISBLANK(Actuals!G38),"",('Original Budget'!G38-Actuals!G38)/ABS('Original Budget'!G38)),"")</f>
        <v/>
      </c>
      <c r="V33" s="109">
        <f>'Original Budget'!H38</f>
        <v>-1750.91</v>
      </c>
      <c r="W33" s="109" t="str">
        <f>IF(ISBLANK(Actuals!H38),"",Actuals!H38)</f>
        <v/>
      </c>
      <c r="X33" s="110" t="str">
        <f>IF(ISBLANK(Actuals!H38),"",'Original Budget'!H38-Actuals!H38)</f>
        <v/>
      </c>
      <c r="Y33" s="110" t="str">
        <f>IFERROR(IF(ISBLANK(Actuals!H38),"",('Original Budget'!H38-Actuals!H38)/ABS('Original Budget'!H38)),"")</f>
        <v/>
      </c>
      <c r="Z33" s="109">
        <f>'Original Budget'!I38</f>
        <v>-1750.91</v>
      </c>
      <c r="AA33" s="109" t="str">
        <f>IF(ISBLANK(Actuals!I38),"",Actuals!I38)</f>
        <v/>
      </c>
      <c r="AB33" s="110" t="str">
        <f>IF(ISBLANK(Actuals!I38),"",'Original Budget'!I38-Actuals!I38)</f>
        <v/>
      </c>
      <c r="AC33" s="110" t="str">
        <f>IFERROR(IF(ISBLANK(Actuals!I38),"",('Original Budget'!I38-Actuals!I38)/ABS('Original Budget'!I38)),"")</f>
        <v/>
      </c>
      <c r="AD33" s="109">
        <f>'Original Budget'!J38</f>
        <v>-1750.91</v>
      </c>
      <c r="AE33" s="109" t="str">
        <f>IF(ISBLANK(Actuals!J38),"",Actuals!J38)</f>
        <v/>
      </c>
      <c r="AF33" s="110" t="str">
        <f>IF(ISBLANK(Actuals!J38),"",'Original Budget'!J38-Actuals!J38)</f>
        <v/>
      </c>
      <c r="AG33" s="110" t="str">
        <f>IFERROR(IF(ISBLANK(Actuals!J38),"",('Original Budget'!J38-Actuals!J38)/ABS('Original Budget'!J38)),"")</f>
        <v/>
      </c>
      <c r="AH33" s="109">
        <f>'Original Budget'!K38</f>
        <v>-1750.91</v>
      </c>
      <c r="AI33" s="109" t="str">
        <f>IF(ISBLANK(Actuals!K38),"",Actuals!K38)</f>
        <v/>
      </c>
      <c r="AJ33" s="110" t="str">
        <f>IF(ISBLANK(Actuals!K38),"",'Original Budget'!K38-Actuals!K38)</f>
        <v/>
      </c>
      <c r="AK33" s="110" t="str">
        <f>IFERROR(IF(ISBLANK(Actuals!K38),"",('Original Budget'!K38-Actuals!K38)/ABS('Original Budget'!K38)),"")</f>
        <v/>
      </c>
      <c r="AL33" s="109">
        <f>'Original Budget'!L38</f>
        <v>-1750.91</v>
      </c>
      <c r="AM33" s="109" t="str">
        <f>IF(ISBLANK(Actuals!L38),"",Actuals!L38)</f>
        <v/>
      </c>
      <c r="AN33" s="110" t="str">
        <f>IF(ISBLANK(Actuals!L38),"",'Original Budget'!L38-Actuals!L38)</f>
        <v/>
      </c>
      <c r="AO33" s="110" t="str">
        <f>IFERROR(IF(ISBLANK(Actuals!L38),"",('Original Budget'!L38-Actuals!L38)/ABS('Original Budget'!L38)),"")</f>
        <v/>
      </c>
      <c r="AP33" s="109">
        <f>'Original Budget'!M38</f>
        <v>-1750.91</v>
      </c>
      <c r="AQ33" s="109" t="str">
        <f>IF(ISBLANK(Actuals!M38),"",Actuals!M38)</f>
        <v/>
      </c>
      <c r="AR33" s="110" t="str">
        <f>IF(ISBLANK(Actuals!M38),"",'Original Budget'!M38-Actuals!M38)</f>
        <v/>
      </c>
      <c r="AS33" s="110" t="str">
        <f>IFERROR(IF(ISBLANK(Actuals!M38),"",('Original Budget'!M38-Actuals!M38)/ABS('Original Budget'!M38)),"")</f>
        <v/>
      </c>
      <c r="AT33" s="109">
        <f>'Original Budget'!N38</f>
        <v>-1750.91</v>
      </c>
      <c r="AU33" s="109" t="str">
        <f>IF(ISBLANK(Actuals!N38),"",Actuals!N38)</f>
        <v/>
      </c>
      <c r="AV33" s="110" t="str">
        <f>IF(ISBLANK(Actuals!N38),"",'Original Budget'!N38-Actuals!N38)</f>
        <v/>
      </c>
      <c r="AW33" s="110" t="str">
        <f>IFERROR(IF(ISBLANK(Actuals!N38),"",('Original Budget'!N38-Actuals!N38)/ABS('Original Budget'!N38)),"")</f>
        <v/>
      </c>
      <c r="AX33" s="111">
        <f>SUMPRODUCT((Actuals!C38:N38&lt;&gt;"")*('Original Budget'!C38:N38))</f>
        <v>-7003.63</v>
      </c>
      <c r="AY33" s="111">
        <f>SUM(Actuals!C38:N38)</f>
        <v>-7502.2800000000007</v>
      </c>
      <c r="AZ33" s="112">
        <f t="shared" si="0"/>
        <v>498.65000000000055</v>
      </c>
    </row>
    <row r="34" spans="1:52" ht="15" customHeight="1" x14ac:dyDescent="0.25">
      <c r="A34" s="108" t="s">
        <v>82</v>
      </c>
      <c r="B34" s="109">
        <f>'Original Budget'!C39</f>
        <v>-1417.61</v>
      </c>
      <c r="C34" s="109">
        <f>IF(ISBLANK(Actuals!C39),"",Actuals!C39)</f>
        <v>-1417.61</v>
      </c>
      <c r="D34" s="110">
        <f>IF(ISBLANK(Actuals!C39),"",'Original Budget'!C39-Actuals!C39)</f>
        <v>0</v>
      </c>
      <c r="E34" s="110">
        <f>IFERROR(IF(ISBLANK(Actuals!C39),"",('Original Budget'!C39-Actuals!C39)/ABS('Original Budget'!C39)),"")</f>
        <v>0</v>
      </c>
      <c r="F34" s="109">
        <f>'Original Budget'!D39</f>
        <v>-2730.36</v>
      </c>
      <c r="G34" s="109">
        <f>IF(ISBLANK(Actuals!D39),"",Actuals!D39)</f>
        <v>-2730.36</v>
      </c>
      <c r="H34" s="110">
        <f>IF(ISBLANK(Actuals!D39),"",'Original Budget'!D39-Actuals!D39)</f>
        <v>0</v>
      </c>
      <c r="I34" s="110">
        <f>IFERROR(IF(ISBLANK(Actuals!D39),"",('Original Budget'!D39-Actuals!D39)/ABS('Original Budget'!D39)),"")</f>
        <v>0</v>
      </c>
      <c r="J34" s="109">
        <f>'Original Budget'!E39</f>
        <v>-1818.05</v>
      </c>
      <c r="K34" s="109">
        <f>IF(ISBLANK(Actuals!E39),"",Actuals!E39)</f>
        <v>-1818.05</v>
      </c>
      <c r="L34" s="110">
        <f>IF(ISBLANK(Actuals!E39),"",'Original Budget'!E39-Actuals!E39)</f>
        <v>0</v>
      </c>
      <c r="M34" s="110">
        <f>IFERROR(IF(ISBLANK(Actuals!E39),"",('Original Budget'!E39-Actuals!E39)/ABS('Original Budget'!E39)),"")</f>
        <v>0</v>
      </c>
      <c r="N34" s="109">
        <f>'Original Budget'!F39</f>
        <v>-1988.67</v>
      </c>
      <c r="O34" s="109">
        <f>IF(ISBLANK(Actuals!F39),"",Actuals!F39)</f>
        <v>-3307.74</v>
      </c>
      <c r="P34" s="110">
        <f>IF(ISBLANK(Actuals!F39),"",'Original Budget'!F39-Actuals!F39)</f>
        <v>1319.0699999999997</v>
      </c>
      <c r="Q34" s="110">
        <f>IFERROR(IF(ISBLANK(Actuals!F39),"",('Original Budget'!F39-Actuals!F39)/ABS('Original Budget'!F39)),"")</f>
        <v>0.66329255230882933</v>
      </c>
      <c r="R34" s="109">
        <f>'Original Budget'!G39</f>
        <v>-1988.67</v>
      </c>
      <c r="S34" s="109" t="str">
        <f>IF(ISBLANK(Actuals!G39),"",Actuals!G39)</f>
        <v/>
      </c>
      <c r="T34" s="110" t="str">
        <f>IF(ISBLANK(Actuals!G39),"",'Original Budget'!G39-Actuals!G39)</f>
        <v/>
      </c>
      <c r="U34" s="110" t="str">
        <f>IFERROR(IF(ISBLANK(Actuals!G39),"",('Original Budget'!G39-Actuals!G39)/ABS('Original Budget'!G39)),"")</f>
        <v/>
      </c>
      <c r="V34" s="109">
        <f>'Original Budget'!H39</f>
        <v>-1988.67</v>
      </c>
      <c r="W34" s="109" t="str">
        <f>IF(ISBLANK(Actuals!H39),"",Actuals!H39)</f>
        <v/>
      </c>
      <c r="X34" s="110" t="str">
        <f>IF(ISBLANK(Actuals!H39),"",'Original Budget'!H39-Actuals!H39)</f>
        <v/>
      </c>
      <c r="Y34" s="110" t="str">
        <f>IFERROR(IF(ISBLANK(Actuals!H39),"",('Original Budget'!H39-Actuals!H39)/ABS('Original Budget'!H39)),"")</f>
        <v/>
      </c>
      <c r="Z34" s="109">
        <f>'Original Budget'!I39</f>
        <v>-1988.67</v>
      </c>
      <c r="AA34" s="109" t="str">
        <f>IF(ISBLANK(Actuals!I39),"",Actuals!I39)</f>
        <v/>
      </c>
      <c r="AB34" s="110" t="str">
        <f>IF(ISBLANK(Actuals!I39),"",'Original Budget'!I39-Actuals!I39)</f>
        <v/>
      </c>
      <c r="AC34" s="110" t="str">
        <f>IFERROR(IF(ISBLANK(Actuals!I39),"",('Original Budget'!I39-Actuals!I39)/ABS('Original Budget'!I39)),"")</f>
        <v/>
      </c>
      <c r="AD34" s="109">
        <f>'Original Budget'!J39</f>
        <v>-1988.67</v>
      </c>
      <c r="AE34" s="109" t="str">
        <f>IF(ISBLANK(Actuals!J39),"",Actuals!J39)</f>
        <v/>
      </c>
      <c r="AF34" s="110" t="str">
        <f>IF(ISBLANK(Actuals!J39),"",'Original Budget'!J39-Actuals!J39)</f>
        <v/>
      </c>
      <c r="AG34" s="110" t="str">
        <f>IFERROR(IF(ISBLANK(Actuals!J39),"",('Original Budget'!J39-Actuals!J39)/ABS('Original Budget'!J39)),"")</f>
        <v/>
      </c>
      <c r="AH34" s="109">
        <f>'Original Budget'!K39</f>
        <v>-1988.67</v>
      </c>
      <c r="AI34" s="109" t="str">
        <f>IF(ISBLANK(Actuals!K39),"",Actuals!K39)</f>
        <v/>
      </c>
      <c r="AJ34" s="110" t="str">
        <f>IF(ISBLANK(Actuals!K39),"",'Original Budget'!K39-Actuals!K39)</f>
        <v/>
      </c>
      <c r="AK34" s="110" t="str">
        <f>IFERROR(IF(ISBLANK(Actuals!K39),"",('Original Budget'!K39-Actuals!K39)/ABS('Original Budget'!K39)),"")</f>
        <v/>
      </c>
      <c r="AL34" s="109">
        <f>'Original Budget'!L39</f>
        <v>-1988.67</v>
      </c>
      <c r="AM34" s="109" t="str">
        <f>IF(ISBLANK(Actuals!L39),"",Actuals!L39)</f>
        <v/>
      </c>
      <c r="AN34" s="110" t="str">
        <f>IF(ISBLANK(Actuals!L39),"",'Original Budget'!L39-Actuals!L39)</f>
        <v/>
      </c>
      <c r="AO34" s="110" t="str">
        <f>IFERROR(IF(ISBLANK(Actuals!L39),"",('Original Budget'!L39-Actuals!L39)/ABS('Original Budget'!L39)),"")</f>
        <v/>
      </c>
      <c r="AP34" s="109">
        <f>'Original Budget'!M39</f>
        <v>-1988.67</v>
      </c>
      <c r="AQ34" s="109" t="str">
        <f>IF(ISBLANK(Actuals!M39),"",Actuals!M39)</f>
        <v/>
      </c>
      <c r="AR34" s="110" t="str">
        <f>IF(ISBLANK(Actuals!M39),"",'Original Budget'!M39-Actuals!M39)</f>
        <v/>
      </c>
      <c r="AS34" s="110" t="str">
        <f>IFERROR(IF(ISBLANK(Actuals!M39),"",('Original Budget'!M39-Actuals!M39)/ABS('Original Budget'!M39)),"")</f>
        <v/>
      </c>
      <c r="AT34" s="109">
        <f>'Original Budget'!N39</f>
        <v>-1988.67</v>
      </c>
      <c r="AU34" s="109" t="str">
        <f>IF(ISBLANK(Actuals!N39),"",Actuals!N39)</f>
        <v/>
      </c>
      <c r="AV34" s="110" t="str">
        <f>IF(ISBLANK(Actuals!N39),"",'Original Budget'!N39-Actuals!N39)</f>
        <v/>
      </c>
      <c r="AW34" s="110" t="str">
        <f>IFERROR(IF(ISBLANK(Actuals!N39),"",('Original Budget'!N39-Actuals!N39)/ABS('Original Budget'!N39)),"")</f>
        <v/>
      </c>
      <c r="AX34" s="111">
        <f>SUMPRODUCT((Actuals!C39:N39&lt;&gt;"")*('Original Budget'!C39:N39))</f>
        <v>-7954.6900000000005</v>
      </c>
      <c r="AY34" s="111">
        <f>SUM(Actuals!C39:N39)</f>
        <v>-9273.76</v>
      </c>
      <c r="AZ34" s="112">
        <f t="shared" si="0"/>
        <v>1319.0699999999997</v>
      </c>
    </row>
    <row r="35" spans="1:52" ht="15" customHeight="1" x14ac:dyDescent="0.25">
      <c r="A35" s="108" t="s">
        <v>83</v>
      </c>
      <c r="B35" s="109">
        <f>'Original Budget'!C40</f>
        <v>0</v>
      </c>
      <c r="C35" s="109">
        <f>IF(ISBLANK(Actuals!C40),"",Actuals!C40)</f>
        <v>0</v>
      </c>
      <c r="D35" s="110">
        <f>IF(ISBLANK(Actuals!C40),"",'Original Budget'!C40-Actuals!C40)</f>
        <v>0</v>
      </c>
      <c r="E35" s="110" t="str">
        <f>IFERROR(IF(ISBLANK(Actuals!C40),"",('Original Budget'!C40-Actuals!C40)/ABS('Original Budget'!C40)),"")</f>
        <v/>
      </c>
      <c r="F35" s="109">
        <f>'Original Budget'!D40</f>
        <v>0</v>
      </c>
      <c r="G35" s="109">
        <f>IF(ISBLANK(Actuals!D40),"",Actuals!D40)</f>
        <v>0</v>
      </c>
      <c r="H35" s="110">
        <f>IF(ISBLANK(Actuals!D40),"",'Original Budget'!D40-Actuals!D40)</f>
        <v>0</v>
      </c>
      <c r="I35" s="110" t="str">
        <f>IFERROR(IF(ISBLANK(Actuals!D40),"",('Original Budget'!D40-Actuals!D40)/ABS('Original Budget'!D40)),"")</f>
        <v/>
      </c>
      <c r="J35" s="109">
        <f>'Original Budget'!E40</f>
        <v>-41990</v>
      </c>
      <c r="K35" s="109">
        <f>IF(ISBLANK(Actuals!E40),"",Actuals!E40)</f>
        <v>-41990</v>
      </c>
      <c r="L35" s="110">
        <f>IF(ISBLANK(Actuals!E40),"",'Original Budget'!E40-Actuals!E40)</f>
        <v>0</v>
      </c>
      <c r="M35" s="110">
        <f>IFERROR(IF(ISBLANK(Actuals!E40),"",('Original Budget'!E40-Actuals!E40)/ABS('Original Budget'!E40)),"")</f>
        <v>0</v>
      </c>
      <c r="N35" s="109">
        <f>'Original Budget'!F40</f>
        <v>0</v>
      </c>
      <c r="O35" s="109">
        <f>IF(ISBLANK(Actuals!F40),"",Actuals!F40)</f>
        <v>-42500</v>
      </c>
      <c r="P35" s="110">
        <f>IF(ISBLANK(Actuals!F40),"",'Original Budget'!F40-Actuals!F40)</f>
        <v>42500</v>
      </c>
      <c r="Q35" s="110" t="str">
        <f>IFERROR(IF(ISBLANK(Actuals!F40),"",('Original Budget'!F40-Actuals!F40)/ABS('Original Budget'!F40)),"")</f>
        <v/>
      </c>
      <c r="R35" s="109">
        <f>'Original Budget'!G40</f>
        <v>-44250</v>
      </c>
      <c r="S35" s="109" t="str">
        <f>IF(ISBLANK(Actuals!G40),"",Actuals!G40)</f>
        <v/>
      </c>
      <c r="T35" s="110" t="str">
        <f>IF(ISBLANK(Actuals!G40),"",'Original Budget'!G40-Actuals!G40)</f>
        <v/>
      </c>
      <c r="U35" s="110" t="str">
        <f>IFERROR(IF(ISBLANK(Actuals!G40),"",('Original Budget'!G40-Actuals!G40)/ABS('Original Budget'!G40)),"")</f>
        <v/>
      </c>
      <c r="V35" s="109">
        <f>'Original Budget'!H40</f>
        <v>-45000</v>
      </c>
      <c r="W35" s="109" t="str">
        <f>IF(ISBLANK(Actuals!H40),"",Actuals!H40)</f>
        <v/>
      </c>
      <c r="X35" s="110" t="str">
        <f>IF(ISBLANK(Actuals!H40),"",'Original Budget'!H40-Actuals!H40)</f>
        <v/>
      </c>
      <c r="Y35" s="110" t="str">
        <f>IFERROR(IF(ISBLANK(Actuals!H40),"",('Original Budget'!H40-Actuals!H40)/ABS('Original Budget'!H40)),"")</f>
        <v/>
      </c>
      <c r="Z35" s="109">
        <f>'Original Budget'!I40</f>
        <v>-19500</v>
      </c>
      <c r="AA35" s="109" t="str">
        <f>IF(ISBLANK(Actuals!I40),"",Actuals!I40)</f>
        <v/>
      </c>
      <c r="AB35" s="110" t="str">
        <f>IF(ISBLANK(Actuals!I40),"",'Original Budget'!I40-Actuals!I40)</f>
        <v/>
      </c>
      <c r="AC35" s="110" t="str">
        <f>IFERROR(IF(ISBLANK(Actuals!I40),"",('Original Budget'!I40-Actuals!I40)/ABS('Original Budget'!I40)),"")</f>
        <v/>
      </c>
      <c r="AD35" s="109">
        <f>'Original Budget'!J40</f>
        <v>0</v>
      </c>
      <c r="AE35" s="109" t="str">
        <f>IF(ISBLANK(Actuals!J40),"",Actuals!J40)</f>
        <v/>
      </c>
      <c r="AF35" s="110" t="str">
        <f>IF(ISBLANK(Actuals!J40),"",'Original Budget'!J40-Actuals!J40)</f>
        <v/>
      </c>
      <c r="AG35" s="110" t="str">
        <f>IFERROR(IF(ISBLANK(Actuals!J40),"",('Original Budget'!J40-Actuals!J40)/ABS('Original Budget'!J40)),"")</f>
        <v/>
      </c>
      <c r="AH35" s="109">
        <f>'Original Budget'!K40</f>
        <v>0</v>
      </c>
      <c r="AI35" s="109" t="str">
        <f>IF(ISBLANK(Actuals!K40),"",Actuals!K40)</f>
        <v/>
      </c>
      <c r="AJ35" s="110" t="str">
        <f>IF(ISBLANK(Actuals!K40),"",'Original Budget'!K40-Actuals!K40)</f>
        <v/>
      </c>
      <c r="AK35" s="110" t="str">
        <f>IFERROR(IF(ISBLANK(Actuals!K40),"",('Original Budget'!K40-Actuals!K40)/ABS('Original Budget'!K40)),"")</f>
        <v/>
      </c>
      <c r="AL35" s="109">
        <f>'Original Budget'!L40</f>
        <v>-37500</v>
      </c>
      <c r="AM35" s="109" t="str">
        <f>IF(ISBLANK(Actuals!L40),"",Actuals!L40)</f>
        <v/>
      </c>
      <c r="AN35" s="110" t="str">
        <f>IF(ISBLANK(Actuals!L40),"",'Original Budget'!L40-Actuals!L40)</f>
        <v/>
      </c>
      <c r="AO35" s="110" t="str">
        <f>IFERROR(IF(ISBLANK(Actuals!L40),"",('Original Budget'!L40-Actuals!L40)/ABS('Original Budget'!L40)),"")</f>
        <v/>
      </c>
      <c r="AP35" s="109">
        <f>'Original Budget'!M40</f>
        <v>-54000</v>
      </c>
      <c r="AQ35" s="109" t="str">
        <f>IF(ISBLANK(Actuals!M40),"",Actuals!M40)</f>
        <v/>
      </c>
      <c r="AR35" s="110" t="str">
        <f>IF(ISBLANK(Actuals!M40),"",'Original Budget'!M40-Actuals!M40)</f>
        <v/>
      </c>
      <c r="AS35" s="110" t="str">
        <f>IFERROR(IF(ISBLANK(Actuals!M40),"",('Original Budget'!M40-Actuals!M40)/ABS('Original Budget'!M40)),"")</f>
        <v/>
      </c>
      <c r="AT35" s="109">
        <f>'Original Budget'!N40</f>
        <v>0</v>
      </c>
      <c r="AU35" s="109" t="str">
        <f>IF(ISBLANK(Actuals!N40),"",Actuals!N40)</f>
        <v/>
      </c>
      <c r="AV35" s="110" t="str">
        <f>IF(ISBLANK(Actuals!N40),"",'Original Budget'!N40-Actuals!N40)</f>
        <v/>
      </c>
      <c r="AW35" s="110" t="str">
        <f>IFERROR(IF(ISBLANK(Actuals!N40),"",('Original Budget'!N40-Actuals!N40)/ABS('Original Budget'!N40)),"")</f>
        <v/>
      </c>
      <c r="AX35" s="111">
        <f>SUMPRODUCT((Actuals!C40:N40&lt;&gt;"")*('Original Budget'!C40:N40))</f>
        <v>-41990</v>
      </c>
      <c r="AY35" s="111">
        <f>SUM(Actuals!C40:N40)</f>
        <v>-84490</v>
      </c>
      <c r="AZ35" s="112">
        <f t="shared" si="0"/>
        <v>42500</v>
      </c>
    </row>
    <row r="36" spans="1:52" ht="15" customHeight="1" x14ac:dyDescent="0.25">
      <c r="A36" s="108" t="s">
        <v>84</v>
      </c>
      <c r="B36" s="109">
        <f>'Original Budget'!C41</f>
        <v>-165</v>
      </c>
      <c r="C36" s="109">
        <f>IF(ISBLANK(Actuals!C41),"",Actuals!C41)</f>
        <v>-165</v>
      </c>
      <c r="D36" s="110">
        <f>IF(ISBLANK(Actuals!C41),"",'Original Budget'!C41-Actuals!C41)</f>
        <v>0</v>
      </c>
      <c r="E36" s="110">
        <f>IFERROR(IF(ISBLANK(Actuals!C41),"",('Original Budget'!C41-Actuals!C41)/ABS('Original Budget'!C41)),"")</f>
        <v>0</v>
      </c>
      <c r="F36" s="109">
        <f>'Original Budget'!D41</f>
        <v>0</v>
      </c>
      <c r="G36" s="109">
        <f>IF(ISBLANK(Actuals!D41),"",Actuals!D41)</f>
        <v>0</v>
      </c>
      <c r="H36" s="110">
        <f>IF(ISBLANK(Actuals!D41),"",'Original Budget'!D41-Actuals!D41)</f>
        <v>0</v>
      </c>
      <c r="I36" s="110" t="str">
        <f>IFERROR(IF(ISBLANK(Actuals!D41),"",('Original Budget'!D41-Actuals!D41)/ABS('Original Budget'!D41)),"")</f>
        <v/>
      </c>
      <c r="J36" s="109">
        <f>'Original Budget'!E41</f>
        <v>0</v>
      </c>
      <c r="K36" s="109">
        <f>IF(ISBLANK(Actuals!E41),"",Actuals!E41)</f>
        <v>0</v>
      </c>
      <c r="L36" s="110">
        <f>IF(ISBLANK(Actuals!E41),"",'Original Budget'!E41-Actuals!E41)</f>
        <v>0</v>
      </c>
      <c r="M36" s="110" t="str">
        <f>IFERROR(IF(ISBLANK(Actuals!E41),"",('Original Budget'!E41-Actuals!E41)/ABS('Original Budget'!E41)),"")</f>
        <v/>
      </c>
      <c r="N36" s="109">
        <f>'Original Budget'!F41</f>
        <v>-55</v>
      </c>
      <c r="O36" s="109">
        <f>IF(ISBLANK(Actuals!F41),"",Actuals!F41)</f>
        <v>-165</v>
      </c>
      <c r="P36" s="110">
        <f>IF(ISBLANK(Actuals!F41),"",'Original Budget'!F41-Actuals!F41)</f>
        <v>110</v>
      </c>
      <c r="Q36" s="110">
        <f>IFERROR(IF(ISBLANK(Actuals!F41),"",('Original Budget'!F41-Actuals!F41)/ABS('Original Budget'!F41)),"")</f>
        <v>2</v>
      </c>
      <c r="R36" s="109">
        <f>'Original Budget'!G41</f>
        <v>-55</v>
      </c>
      <c r="S36" s="109" t="str">
        <f>IF(ISBLANK(Actuals!G41),"",Actuals!G41)</f>
        <v/>
      </c>
      <c r="T36" s="110" t="str">
        <f>IF(ISBLANK(Actuals!G41),"",'Original Budget'!G41-Actuals!G41)</f>
        <v/>
      </c>
      <c r="U36" s="110" t="str">
        <f>IFERROR(IF(ISBLANK(Actuals!G41),"",('Original Budget'!G41-Actuals!G41)/ABS('Original Budget'!G41)),"")</f>
        <v/>
      </c>
      <c r="V36" s="109">
        <f>'Original Budget'!H41</f>
        <v>-55</v>
      </c>
      <c r="W36" s="109" t="str">
        <f>IF(ISBLANK(Actuals!H41),"",Actuals!H41)</f>
        <v/>
      </c>
      <c r="X36" s="110" t="str">
        <f>IF(ISBLANK(Actuals!H41),"",'Original Budget'!H41-Actuals!H41)</f>
        <v/>
      </c>
      <c r="Y36" s="110" t="str">
        <f>IFERROR(IF(ISBLANK(Actuals!H41),"",('Original Budget'!H41-Actuals!H41)/ABS('Original Budget'!H41)),"")</f>
        <v/>
      </c>
      <c r="Z36" s="109">
        <f>'Original Budget'!I41</f>
        <v>-55</v>
      </c>
      <c r="AA36" s="109" t="str">
        <f>IF(ISBLANK(Actuals!I41),"",Actuals!I41)</f>
        <v/>
      </c>
      <c r="AB36" s="110" t="str">
        <f>IF(ISBLANK(Actuals!I41),"",'Original Budget'!I41-Actuals!I41)</f>
        <v/>
      </c>
      <c r="AC36" s="110" t="str">
        <f>IFERROR(IF(ISBLANK(Actuals!I41),"",('Original Budget'!I41-Actuals!I41)/ABS('Original Budget'!I41)),"")</f>
        <v/>
      </c>
      <c r="AD36" s="109">
        <f>'Original Budget'!J41</f>
        <v>-55</v>
      </c>
      <c r="AE36" s="109" t="str">
        <f>IF(ISBLANK(Actuals!J41),"",Actuals!J41)</f>
        <v/>
      </c>
      <c r="AF36" s="110" t="str">
        <f>IF(ISBLANK(Actuals!J41),"",'Original Budget'!J41-Actuals!J41)</f>
        <v/>
      </c>
      <c r="AG36" s="110" t="str">
        <f>IFERROR(IF(ISBLANK(Actuals!J41),"",('Original Budget'!J41-Actuals!J41)/ABS('Original Budget'!J41)),"")</f>
        <v/>
      </c>
      <c r="AH36" s="109">
        <f>'Original Budget'!K41</f>
        <v>-55</v>
      </c>
      <c r="AI36" s="109" t="str">
        <f>IF(ISBLANK(Actuals!K41),"",Actuals!K41)</f>
        <v/>
      </c>
      <c r="AJ36" s="110" t="str">
        <f>IF(ISBLANK(Actuals!K41),"",'Original Budget'!K41-Actuals!K41)</f>
        <v/>
      </c>
      <c r="AK36" s="110" t="str">
        <f>IFERROR(IF(ISBLANK(Actuals!K41),"",('Original Budget'!K41-Actuals!K41)/ABS('Original Budget'!K41)),"")</f>
        <v/>
      </c>
      <c r="AL36" s="109">
        <f>'Original Budget'!L41</f>
        <v>-55</v>
      </c>
      <c r="AM36" s="109" t="str">
        <f>IF(ISBLANK(Actuals!L41),"",Actuals!L41)</f>
        <v/>
      </c>
      <c r="AN36" s="110" t="str">
        <f>IF(ISBLANK(Actuals!L41),"",'Original Budget'!L41-Actuals!L41)</f>
        <v/>
      </c>
      <c r="AO36" s="110" t="str">
        <f>IFERROR(IF(ISBLANK(Actuals!L41),"",('Original Budget'!L41-Actuals!L41)/ABS('Original Budget'!L41)),"")</f>
        <v/>
      </c>
      <c r="AP36" s="109">
        <f>'Original Budget'!M41</f>
        <v>-55</v>
      </c>
      <c r="AQ36" s="109" t="str">
        <f>IF(ISBLANK(Actuals!M41),"",Actuals!M41)</f>
        <v/>
      </c>
      <c r="AR36" s="110" t="str">
        <f>IF(ISBLANK(Actuals!M41),"",'Original Budget'!M41-Actuals!M41)</f>
        <v/>
      </c>
      <c r="AS36" s="110" t="str">
        <f>IFERROR(IF(ISBLANK(Actuals!M41),"",('Original Budget'!M41-Actuals!M41)/ABS('Original Budget'!M41)),"")</f>
        <v/>
      </c>
      <c r="AT36" s="109">
        <f>'Original Budget'!N41</f>
        <v>-55</v>
      </c>
      <c r="AU36" s="109" t="str">
        <f>IF(ISBLANK(Actuals!N41),"",Actuals!N41)</f>
        <v/>
      </c>
      <c r="AV36" s="110" t="str">
        <f>IF(ISBLANK(Actuals!N41),"",'Original Budget'!N41-Actuals!N41)</f>
        <v/>
      </c>
      <c r="AW36" s="110" t="str">
        <f>IFERROR(IF(ISBLANK(Actuals!N41),"",('Original Budget'!N41-Actuals!N41)/ABS('Original Budget'!N41)),"")</f>
        <v/>
      </c>
      <c r="AX36" s="111">
        <f>SUMPRODUCT((Actuals!C41:N41&lt;&gt;"")*('Original Budget'!C41:N41))</f>
        <v>-220</v>
      </c>
      <c r="AY36" s="111">
        <f>SUM(Actuals!C41:N41)</f>
        <v>-330</v>
      </c>
      <c r="AZ36" s="112">
        <f t="shared" si="0"/>
        <v>110</v>
      </c>
    </row>
    <row r="37" spans="1:52" ht="15" customHeight="1" x14ac:dyDescent="0.25">
      <c r="A37" s="108" t="s">
        <v>85</v>
      </c>
      <c r="B37" s="109">
        <f>'Original Budget'!C42</f>
        <v>0</v>
      </c>
      <c r="C37" s="109">
        <f>IF(ISBLANK(Actuals!C42),"",Actuals!C42)</f>
        <v>0</v>
      </c>
      <c r="D37" s="110">
        <f>IF(ISBLANK(Actuals!C42),"",'Original Budget'!C42-Actuals!C42)</f>
        <v>0</v>
      </c>
      <c r="E37" s="110" t="str">
        <f>IFERROR(IF(ISBLANK(Actuals!C42),"",('Original Budget'!C42-Actuals!C42)/ABS('Original Budget'!C42)),"")</f>
        <v/>
      </c>
      <c r="F37" s="109">
        <f>'Original Budget'!D42</f>
        <v>0</v>
      </c>
      <c r="G37" s="109">
        <f>IF(ISBLANK(Actuals!D42),"",Actuals!D42)</f>
        <v>0</v>
      </c>
      <c r="H37" s="110">
        <f>IF(ISBLANK(Actuals!D42),"",'Original Budget'!D42-Actuals!D42)</f>
        <v>0</v>
      </c>
      <c r="I37" s="110" t="str">
        <f>IFERROR(IF(ISBLANK(Actuals!D42),"",('Original Budget'!D42-Actuals!D42)/ABS('Original Budget'!D42)),"")</f>
        <v/>
      </c>
      <c r="J37" s="109">
        <f>'Original Budget'!E42</f>
        <v>0</v>
      </c>
      <c r="K37" s="109">
        <f>IF(ISBLANK(Actuals!E42),"",Actuals!E42)</f>
        <v>0</v>
      </c>
      <c r="L37" s="110">
        <f>IF(ISBLANK(Actuals!E42),"",'Original Budget'!E42-Actuals!E42)</f>
        <v>0</v>
      </c>
      <c r="M37" s="110" t="str">
        <f>IFERROR(IF(ISBLANK(Actuals!E42),"",('Original Budget'!E42-Actuals!E42)/ABS('Original Budget'!E42)),"")</f>
        <v/>
      </c>
      <c r="N37" s="109">
        <f>'Original Budget'!F42</f>
        <v>0</v>
      </c>
      <c r="O37" s="109">
        <f>IF(ISBLANK(Actuals!F42),"",Actuals!F42)</f>
        <v>-1036.49</v>
      </c>
      <c r="P37" s="110">
        <f>IF(ISBLANK(Actuals!F42),"",'Original Budget'!F42-Actuals!F42)</f>
        <v>1036.49</v>
      </c>
      <c r="Q37" s="110" t="str">
        <f>IFERROR(IF(ISBLANK(Actuals!F42),"",('Original Budget'!F42-Actuals!F42)/ABS('Original Budget'!F42)),"")</f>
        <v/>
      </c>
      <c r="R37" s="109">
        <f>'Original Budget'!G42</f>
        <v>0</v>
      </c>
      <c r="S37" s="109" t="str">
        <f>IF(ISBLANK(Actuals!G42),"",Actuals!G42)</f>
        <v/>
      </c>
      <c r="T37" s="110" t="str">
        <f>IF(ISBLANK(Actuals!G42),"",'Original Budget'!G42-Actuals!G42)</f>
        <v/>
      </c>
      <c r="U37" s="110" t="str">
        <f>IFERROR(IF(ISBLANK(Actuals!G42),"",('Original Budget'!G42-Actuals!G42)/ABS('Original Budget'!G42)),"")</f>
        <v/>
      </c>
      <c r="V37" s="109">
        <f>'Original Budget'!H42</f>
        <v>0</v>
      </c>
      <c r="W37" s="109" t="str">
        <f>IF(ISBLANK(Actuals!H42),"",Actuals!H42)</f>
        <v/>
      </c>
      <c r="X37" s="110" t="str">
        <f>IF(ISBLANK(Actuals!H42),"",'Original Budget'!H42-Actuals!H42)</f>
        <v/>
      </c>
      <c r="Y37" s="110" t="str">
        <f>IFERROR(IF(ISBLANK(Actuals!H42),"",('Original Budget'!H42-Actuals!H42)/ABS('Original Budget'!H42)),"")</f>
        <v/>
      </c>
      <c r="Z37" s="109">
        <f>'Original Budget'!I42</f>
        <v>0</v>
      </c>
      <c r="AA37" s="109" t="str">
        <f>IF(ISBLANK(Actuals!I42),"",Actuals!I42)</f>
        <v/>
      </c>
      <c r="AB37" s="110" t="str">
        <f>IF(ISBLANK(Actuals!I42),"",'Original Budget'!I42-Actuals!I42)</f>
        <v/>
      </c>
      <c r="AC37" s="110" t="str">
        <f>IFERROR(IF(ISBLANK(Actuals!I42),"",('Original Budget'!I42-Actuals!I42)/ABS('Original Budget'!I42)),"")</f>
        <v/>
      </c>
      <c r="AD37" s="109">
        <f>'Original Budget'!J42</f>
        <v>0</v>
      </c>
      <c r="AE37" s="109" t="str">
        <f>IF(ISBLANK(Actuals!J42),"",Actuals!J42)</f>
        <v/>
      </c>
      <c r="AF37" s="110" t="str">
        <f>IF(ISBLANK(Actuals!J42),"",'Original Budget'!J42-Actuals!J42)</f>
        <v/>
      </c>
      <c r="AG37" s="110" t="str">
        <f>IFERROR(IF(ISBLANK(Actuals!J42),"",('Original Budget'!J42-Actuals!J42)/ABS('Original Budget'!J42)),"")</f>
        <v/>
      </c>
      <c r="AH37" s="109">
        <f>'Original Budget'!K42</f>
        <v>0</v>
      </c>
      <c r="AI37" s="109" t="str">
        <f>IF(ISBLANK(Actuals!K42),"",Actuals!K42)</f>
        <v/>
      </c>
      <c r="AJ37" s="110" t="str">
        <f>IF(ISBLANK(Actuals!K42),"",'Original Budget'!K42-Actuals!K42)</f>
        <v/>
      </c>
      <c r="AK37" s="110" t="str">
        <f>IFERROR(IF(ISBLANK(Actuals!K42),"",('Original Budget'!K42-Actuals!K42)/ABS('Original Budget'!K42)),"")</f>
        <v/>
      </c>
      <c r="AL37" s="109">
        <f>'Original Budget'!L42</f>
        <v>0</v>
      </c>
      <c r="AM37" s="109" t="str">
        <f>IF(ISBLANK(Actuals!L42),"",Actuals!L42)</f>
        <v/>
      </c>
      <c r="AN37" s="110" t="str">
        <f>IF(ISBLANK(Actuals!L42),"",'Original Budget'!L42-Actuals!L42)</f>
        <v/>
      </c>
      <c r="AO37" s="110" t="str">
        <f>IFERROR(IF(ISBLANK(Actuals!L42),"",('Original Budget'!L42-Actuals!L42)/ABS('Original Budget'!L42)),"")</f>
        <v/>
      </c>
      <c r="AP37" s="109">
        <f>'Original Budget'!M42</f>
        <v>0</v>
      </c>
      <c r="AQ37" s="109" t="str">
        <f>IF(ISBLANK(Actuals!M42),"",Actuals!M42)</f>
        <v/>
      </c>
      <c r="AR37" s="110" t="str">
        <f>IF(ISBLANK(Actuals!M42),"",'Original Budget'!M42-Actuals!M42)</f>
        <v/>
      </c>
      <c r="AS37" s="110" t="str">
        <f>IFERROR(IF(ISBLANK(Actuals!M42),"",('Original Budget'!M42-Actuals!M42)/ABS('Original Budget'!M42)),"")</f>
        <v/>
      </c>
      <c r="AT37" s="109">
        <f>'Original Budget'!N42</f>
        <v>0</v>
      </c>
      <c r="AU37" s="109" t="str">
        <f>IF(ISBLANK(Actuals!N42),"",Actuals!N42)</f>
        <v/>
      </c>
      <c r="AV37" s="110" t="str">
        <f>IF(ISBLANK(Actuals!N42),"",'Original Budget'!N42-Actuals!N42)</f>
        <v/>
      </c>
      <c r="AW37" s="110" t="str">
        <f>IFERROR(IF(ISBLANK(Actuals!N42),"",('Original Budget'!N42-Actuals!N42)/ABS('Original Budget'!N42)),"")</f>
        <v/>
      </c>
      <c r="AX37" s="111">
        <f>SUMPRODUCT((Actuals!C42:N42&lt;&gt;"")*('Original Budget'!C42:N42))</f>
        <v>0</v>
      </c>
      <c r="AY37" s="111">
        <f>SUM(Actuals!C42:N42)</f>
        <v>-1036.49</v>
      </c>
      <c r="AZ37" s="112">
        <f t="shared" si="0"/>
        <v>1036.49</v>
      </c>
    </row>
    <row r="38" spans="1:52" ht="15" customHeight="1" x14ac:dyDescent="0.25">
      <c r="A38" s="108" t="s">
        <v>86</v>
      </c>
      <c r="B38" s="109">
        <f>'Original Budget'!C43</f>
        <v>-550</v>
      </c>
      <c r="C38" s="109">
        <f>IF(ISBLANK(Actuals!C43),"",Actuals!C43)</f>
        <v>-550</v>
      </c>
      <c r="D38" s="110">
        <f>IF(ISBLANK(Actuals!C43),"",'Original Budget'!C43-Actuals!C43)</f>
        <v>0</v>
      </c>
      <c r="E38" s="110">
        <f>IFERROR(IF(ISBLANK(Actuals!C43),"",('Original Budget'!C43-Actuals!C43)/ABS('Original Budget'!C43)),"")</f>
        <v>0</v>
      </c>
      <c r="F38" s="109">
        <f>'Original Budget'!D43</f>
        <v>-550</v>
      </c>
      <c r="G38" s="109">
        <f>IF(ISBLANK(Actuals!D43),"",Actuals!D43)</f>
        <v>-550</v>
      </c>
      <c r="H38" s="110">
        <f>IF(ISBLANK(Actuals!D43),"",'Original Budget'!D43-Actuals!D43)</f>
        <v>0</v>
      </c>
      <c r="I38" s="110">
        <f>IFERROR(IF(ISBLANK(Actuals!D43),"",('Original Budget'!D43-Actuals!D43)/ABS('Original Budget'!D43)),"")</f>
        <v>0</v>
      </c>
      <c r="J38" s="109">
        <f>'Original Budget'!E43</f>
        <v>-550</v>
      </c>
      <c r="K38" s="109">
        <f>IF(ISBLANK(Actuals!E43),"",Actuals!E43)</f>
        <v>-550</v>
      </c>
      <c r="L38" s="110">
        <f>IF(ISBLANK(Actuals!E43),"",'Original Budget'!E43-Actuals!E43)</f>
        <v>0</v>
      </c>
      <c r="M38" s="110">
        <f>IFERROR(IF(ISBLANK(Actuals!E43),"",('Original Budget'!E43-Actuals!E43)/ABS('Original Budget'!E43)),"")</f>
        <v>0</v>
      </c>
      <c r="N38" s="109">
        <f>'Original Budget'!F43</f>
        <v>-550</v>
      </c>
      <c r="O38" s="109">
        <f>IF(ISBLANK(Actuals!F43),"",Actuals!F43)</f>
        <v>-600</v>
      </c>
      <c r="P38" s="110">
        <f>IF(ISBLANK(Actuals!F43),"",'Original Budget'!F43-Actuals!F43)</f>
        <v>50</v>
      </c>
      <c r="Q38" s="110">
        <f>IFERROR(IF(ISBLANK(Actuals!F43),"",('Original Budget'!F43-Actuals!F43)/ABS('Original Budget'!F43)),"")</f>
        <v>9.0909090909090912E-2</v>
      </c>
      <c r="R38" s="109">
        <f>'Original Budget'!G43</f>
        <v>-550</v>
      </c>
      <c r="S38" s="109" t="str">
        <f>IF(ISBLANK(Actuals!G43),"",Actuals!G43)</f>
        <v/>
      </c>
      <c r="T38" s="110" t="str">
        <f>IF(ISBLANK(Actuals!G43),"",'Original Budget'!G43-Actuals!G43)</f>
        <v/>
      </c>
      <c r="U38" s="110" t="str">
        <f>IFERROR(IF(ISBLANK(Actuals!G43),"",('Original Budget'!G43-Actuals!G43)/ABS('Original Budget'!G43)),"")</f>
        <v/>
      </c>
      <c r="V38" s="109">
        <f>'Original Budget'!H43</f>
        <v>-550</v>
      </c>
      <c r="W38" s="109" t="str">
        <f>IF(ISBLANK(Actuals!H43),"",Actuals!H43)</f>
        <v/>
      </c>
      <c r="X38" s="110" t="str">
        <f>IF(ISBLANK(Actuals!H43),"",'Original Budget'!H43-Actuals!H43)</f>
        <v/>
      </c>
      <c r="Y38" s="110" t="str">
        <f>IFERROR(IF(ISBLANK(Actuals!H43),"",('Original Budget'!H43-Actuals!H43)/ABS('Original Budget'!H43)),"")</f>
        <v/>
      </c>
      <c r="Z38" s="109">
        <f>'Original Budget'!I43</f>
        <v>-550</v>
      </c>
      <c r="AA38" s="109" t="str">
        <f>IF(ISBLANK(Actuals!I43),"",Actuals!I43)</f>
        <v/>
      </c>
      <c r="AB38" s="110" t="str">
        <f>IF(ISBLANK(Actuals!I43),"",'Original Budget'!I43-Actuals!I43)</f>
        <v/>
      </c>
      <c r="AC38" s="110" t="str">
        <f>IFERROR(IF(ISBLANK(Actuals!I43),"",('Original Budget'!I43-Actuals!I43)/ABS('Original Budget'!I43)),"")</f>
        <v/>
      </c>
      <c r="AD38" s="109">
        <f>'Original Budget'!J43</f>
        <v>-550</v>
      </c>
      <c r="AE38" s="109" t="str">
        <f>IF(ISBLANK(Actuals!J43),"",Actuals!J43)</f>
        <v/>
      </c>
      <c r="AF38" s="110" t="str">
        <f>IF(ISBLANK(Actuals!J43),"",'Original Budget'!J43-Actuals!J43)</f>
        <v/>
      </c>
      <c r="AG38" s="110" t="str">
        <f>IFERROR(IF(ISBLANK(Actuals!J43),"",('Original Budget'!J43-Actuals!J43)/ABS('Original Budget'!J43)),"")</f>
        <v/>
      </c>
      <c r="AH38" s="109">
        <f>'Original Budget'!K43</f>
        <v>-550</v>
      </c>
      <c r="AI38" s="109" t="str">
        <f>IF(ISBLANK(Actuals!K43),"",Actuals!K43)</f>
        <v/>
      </c>
      <c r="AJ38" s="110" t="str">
        <f>IF(ISBLANK(Actuals!K43),"",'Original Budget'!K43-Actuals!K43)</f>
        <v/>
      </c>
      <c r="AK38" s="110" t="str">
        <f>IFERROR(IF(ISBLANK(Actuals!K43),"",('Original Budget'!K43-Actuals!K43)/ABS('Original Budget'!K43)),"")</f>
        <v/>
      </c>
      <c r="AL38" s="109">
        <f>'Original Budget'!L43</f>
        <v>-550</v>
      </c>
      <c r="AM38" s="109" t="str">
        <f>IF(ISBLANK(Actuals!L43),"",Actuals!L43)</f>
        <v/>
      </c>
      <c r="AN38" s="110" t="str">
        <f>IF(ISBLANK(Actuals!L43),"",'Original Budget'!L43-Actuals!L43)</f>
        <v/>
      </c>
      <c r="AO38" s="110" t="str">
        <f>IFERROR(IF(ISBLANK(Actuals!L43),"",('Original Budget'!L43-Actuals!L43)/ABS('Original Budget'!L43)),"")</f>
        <v/>
      </c>
      <c r="AP38" s="109">
        <f>'Original Budget'!M43</f>
        <v>-550</v>
      </c>
      <c r="AQ38" s="109" t="str">
        <f>IF(ISBLANK(Actuals!M43),"",Actuals!M43)</f>
        <v/>
      </c>
      <c r="AR38" s="110" t="str">
        <f>IF(ISBLANK(Actuals!M43),"",'Original Budget'!M43-Actuals!M43)</f>
        <v/>
      </c>
      <c r="AS38" s="110" t="str">
        <f>IFERROR(IF(ISBLANK(Actuals!M43),"",('Original Budget'!M43-Actuals!M43)/ABS('Original Budget'!M43)),"")</f>
        <v/>
      </c>
      <c r="AT38" s="109">
        <f>'Original Budget'!N43</f>
        <v>-550</v>
      </c>
      <c r="AU38" s="109" t="str">
        <f>IF(ISBLANK(Actuals!N43),"",Actuals!N43)</f>
        <v/>
      </c>
      <c r="AV38" s="110" t="str">
        <f>IF(ISBLANK(Actuals!N43),"",'Original Budget'!N43-Actuals!N43)</f>
        <v/>
      </c>
      <c r="AW38" s="110" t="str">
        <f>IFERROR(IF(ISBLANK(Actuals!N43),"",('Original Budget'!N43-Actuals!N43)/ABS('Original Budget'!N43)),"")</f>
        <v/>
      </c>
      <c r="AX38" s="111">
        <f>SUMPRODUCT((Actuals!C43:N43&lt;&gt;"")*('Original Budget'!C43:N43))</f>
        <v>-2200</v>
      </c>
      <c r="AY38" s="111">
        <f>SUM(Actuals!C43:N43)</f>
        <v>-2250</v>
      </c>
      <c r="AZ38" s="112">
        <f t="shared" ref="AZ38:AZ69" si="1">AX38-AY38</f>
        <v>50</v>
      </c>
    </row>
    <row r="39" spans="1:52" ht="15" customHeight="1" x14ac:dyDescent="0.25">
      <c r="A39" s="108" t="s">
        <v>87</v>
      </c>
      <c r="B39" s="109">
        <f>'Original Budget'!C44</f>
        <v>-19223.75</v>
      </c>
      <c r="C39" s="109">
        <f>IF(ISBLANK(Actuals!C44),"",Actuals!C44)</f>
        <v>-19223.75</v>
      </c>
      <c r="D39" s="110">
        <f>IF(ISBLANK(Actuals!C44),"",'Original Budget'!C44-Actuals!C44)</f>
        <v>0</v>
      </c>
      <c r="E39" s="110">
        <f>IFERROR(IF(ISBLANK(Actuals!C44),"",('Original Budget'!C44-Actuals!C44)/ABS('Original Budget'!C44)),"")</f>
        <v>0</v>
      </c>
      <c r="F39" s="109">
        <f>'Original Budget'!D44</f>
        <v>-13381.97</v>
      </c>
      <c r="G39" s="109">
        <f>IF(ISBLANK(Actuals!D44),"",Actuals!D44)</f>
        <v>-13381.97</v>
      </c>
      <c r="H39" s="110">
        <f>IF(ISBLANK(Actuals!D44),"",'Original Budget'!D44-Actuals!D44)</f>
        <v>0</v>
      </c>
      <c r="I39" s="110">
        <f>IFERROR(IF(ISBLANK(Actuals!D44),"",('Original Budget'!D44-Actuals!D44)/ABS('Original Budget'!D44)),"")</f>
        <v>0</v>
      </c>
      <c r="J39" s="109">
        <f>'Original Budget'!E44</f>
        <v>-20308.689999999999</v>
      </c>
      <c r="K39" s="109">
        <f>IF(ISBLANK(Actuals!E44),"",Actuals!E44)</f>
        <v>-20308.689999999999</v>
      </c>
      <c r="L39" s="110">
        <f>IF(ISBLANK(Actuals!E44),"",'Original Budget'!E44-Actuals!E44)</f>
        <v>0</v>
      </c>
      <c r="M39" s="110">
        <f>IFERROR(IF(ISBLANK(Actuals!E44),"",('Original Budget'!E44-Actuals!E44)/ABS('Original Budget'!E44)),"")</f>
        <v>0</v>
      </c>
      <c r="N39" s="109">
        <f>'Original Budget'!F44</f>
        <v>-17638.14</v>
      </c>
      <c r="O39" s="109">
        <f>IF(ISBLANK(Actuals!F44),"",Actuals!F44)</f>
        <v>-16948.759999999998</v>
      </c>
      <c r="P39" s="110">
        <f>IF(ISBLANK(Actuals!F44),"",'Original Budget'!F44-Actuals!F44)</f>
        <v>-689.38000000000102</v>
      </c>
      <c r="Q39" s="110">
        <f>IFERROR(IF(ISBLANK(Actuals!F44),"",('Original Budget'!F44-Actuals!F44)/ABS('Original Budget'!F44)),"")</f>
        <v>-3.9084620033631723E-2</v>
      </c>
      <c r="R39" s="109">
        <f>'Original Budget'!G44</f>
        <v>-17638.14</v>
      </c>
      <c r="S39" s="109" t="str">
        <f>IF(ISBLANK(Actuals!G44),"",Actuals!G44)</f>
        <v/>
      </c>
      <c r="T39" s="110" t="str">
        <f>IF(ISBLANK(Actuals!G44),"",'Original Budget'!G44-Actuals!G44)</f>
        <v/>
      </c>
      <c r="U39" s="110" t="str">
        <f>IFERROR(IF(ISBLANK(Actuals!G44),"",('Original Budget'!G44-Actuals!G44)/ABS('Original Budget'!G44)),"")</f>
        <v/>
      </c>
      <c r="V39" s="109">
        <f>'Original Budget'!H44</f>
        <v>-17638.14</v>
      </c>
      <c r="W39" s="109" t="str">
        <f>IF(ISBLANK(Actuals!H44),"",Actuals!H44)</f>
        <v/>
      </c>
      <c r="X39" s="110" t="str">
        <f>IF(ISBLANK(Actuals!H44),"",'Original Budget'!H44-Actuals!H44)</f>
        <v/>
      </c>
      <c r="Y39" s="110" t="str">
        <f>IFERROR(IF(ISBLANK(Actuals!H44),"",('Original Budget'!H44-Actuals!H44)/ABS('Original Budget'!H44)),"")</f>
        <v/>
      </c>
      <c r="Z39" s="109">
        <f>'Original Budget'!I44</f>
        <v>-17638.14</v>
      </c>
      <c r="AA39" s="109" t="str">
        <f>IF(ISBLANK(Actuals!I44),"",Actuals!I44)</f>
        <v/>
      </c>
      <c r="AB39" s="110" t="str">
        <f>IF(ISBLANK(Actuals!I44),"",'Original Budget'!I44-Actuals!I44)</f>
        <v/>
      </c>
      <c r="AC39" s="110" t="str">
        <f>IFERROR(IF(ISBLANK(Actuals!I44),"",('Original Budget'!I44-Actuals!I44)/ABS('Original Budget'!I44)),"")</f>
        <v/>
      </c>
      <c r="AD39" s="109">
        <f>'Original Budget'!J44</f>
        <v>-17638.14</v>
      </c>
      <c r="AE39" s="109" t="str">
        <f>IF(ISBLANK(Actuals!J44),"",Actuals!J44)</f>
        <v/>
      </c>
      <c r="AF39" s="110" t="str">
        <f>IF(ISBLANK(Actuals!J44),"",'Original Budget'!J44-Actuals!J44)</f>
        <v/>
      </c>
      <c r="AG39" s="110" t="str">
        <f>IFERROR(IF(ISBLANK(Actuals!J44),"",('Original Budget'!J44-Actuals!J44)/ABS('Original Budget'!J44)),"")</f>
        <v/>
      </c>
      <c r="AH39" s="109">
        <f>'Original Budget'!K44</f>
        <v>-17638.14</v>
      </c>
      <c r="AI39" s="109" t="str">
        <f>IF(ISBLANK(Actuals!K44),"",Actuals!K44)</f>
        <v/>
      </c>
      <c r="AJ39" s="110" t="str">
        <f>IF(ISBLANK(Actuals!K44),"",'Original Budget'!K44-Actuals!K44)</f>
        <v/>
      </c>
      <c r="AK39" s="110" t="str">
        <f>IFERROR(IF(ISBLANK(Actuals!K44),"",('Original Budget'!K44-Actuals!K44)/ABS('Original Budget'!K44)),"")</f>
        <v/>
      </c>
      <c r="AL39" s="109">
        <f>'Original Budget'!L44</f>
        <v>-17638.14</v>
      </c>
      <c r="AM39" s="109" t="str">
        <f>IF(ISBLANK(Actuals!L44),"",Actuals!L44)</f>
        <v/>
      </c>
      <c r="AN39" s="110" t="str">
        <f>IF(ISBLANK(Actuals!L44),"",'Original Budget'!L44-Actuals!L44)</f>
        <v/>
      </c>
      <c r="AO39" s="110" t="str">
        <f>IFERROR(IF(ISBLANK(Actuals!L44),"",('Original Budget'!L44-Actuals!L44)/ABS('Original Budget'!L44)),"")</f>
        <v/>
      </c>
      <c r="AP39" s="109">
        <f>'Original Budget'!M44</f>
        <v>-17638.14</v>
      </c>
      <c r="AQ39" s="109" t="str">
        <f>IF(ISBLANK(Actuals!M44),"",Actuals!M44)</f>
        <v/>
      </c>
      <c r="AR39" s="110" t="str">
        <f>IF(ISBLANK(Actuals!M44),"",'Original Budget'!M44-Actuals!M44)</f>
        <v/>
      </c>
      <c r="AS39" s="110" t="str">
        <f>IFERROR(IF(ISBLANK(Actuals!M44),"",('Original Budget'!M44-Actuals!M44)/ABS('Original Budget'!M44)),"")</f>
        <v/>
      </c>
      <c r="AT39" s="109">
        <f>'Original Budget'!N44</f>
        <v>-17638.14</v>
      </c>
      <c r="AU39" s="109" t="str">
        <f>IF(ISBLANK(Actuals!N44),"",Actuals!N44)</f>
        <v/>
      </c>
      <c r="AV39" s="110" t="str">
        <f>IF(ISBLANK(Actuals!N44),"",'Original Budget'!N44-Actuals!N44)</f>
        <v/>
      </c>
      <c r="AW39" s="110" t="str">
        <f>IFERROR(IF(ISBLANK(Actuals!N44),"",('Original Budget'!N44-Actuals!N44)/ABS('Original Budget'!N44)),"")</f>
        <v/>
      </c>
      <c r="AX39" s="111">
        <f>SUMPRODUCT((Actuals!C44:N44&lt;&gt;"")*('Original Budget'!C44:N44))</f>
        <v>-70552.55</v>
      </c>
      <c r="AY39" s="111">
        <f>SUM(Actuals!C44:N44)</f>
        <v>-69863.17</v>
      </c>
      <c r="AZ39" s="112">
        <f t="shared" si="1"/>
        <v>-689.38000000000466</v>
      </c>
    </row>
    <row r="40" spans="1:52" ht="15" customHeight="1" x14ac:dyDescent="0.25">
      <c r="A40" s="108" t="s">
        <v>88</v>
      </c>
      <c r="B40" s="109">
        <f>'Original Budget'!C45</f>
        <v>-1909.98</v>
      </c>
      <c r="C40" s="109">
        <f>IF(ISBLANK(Actuals!C45),"",Actuals!C45)</f>
        <v>-1909.98</v>
      </c>
      <c r="D40" s="110">
        <f>IF(ISBLANK(Actuals!C45),"",'Original Budget'!C45-Actuals!C45)</f>
        <v>0</v>
      </c>
      <c r="E40" s="110">
        <f>IFERROR(IF(ISBLANK(Actuals!C45),"",('Original Budget'!C45-Actuals!C45)/ABS('Original Budget'!C45)),"")</f>
        <v>0</v>
      </c>
      <c r="F40" s="109">
        <f>'Original Budget'!D45</f>
        <v>-190.1</v>
      </c>
      <c r="G40" s="109">
        <f>IF(ISBLANK(Actuals!D45),"",Actuals!D45)</f>
        <v>-190.1</v>
      </c>
      <c r="H40" s="110">
        <f>IF(ISBLANK(Actuals!D45),"",'Original Budget'!D45-Actuals!D45)</f>
        <v>0</v>
      </c>
      <c r="I40" s="110">
        <f>IFERROR(IF(ISBLANK(Actuals!D45),"",('Original Budget'!D45-Actuals!D45)/ABS('Original Budget'!D45)),"")</f>
        <v>0</v>
      </c>
      <c r="J40" s="109">
        <f>'Original Budget'!E45</f>
        <v>-2166.92</v>
      </c>
      <c r="K40" s="109">
        <f>IF(ISBLANK(Actuals!E45),"",Actuals!E45)</f>
        <v>-2166.92</v>
      </c>
      <c r="L40" s="110">
        <f>IF(ISBLANK(Actuals!E45),"",'Original Budget'!E45-Actuals!E45)</f>
        <v>0</v>
      </c>
      <c r="M40" s="110">
        <f>IFERROR(IF(ISBLANK(Actuals!E45),"",('Original Budget'!E45-Actuals!E45)/ABS('Original Budget'!E45)),"")</f>
        <v>0</v>
      </c>
      <c r="N40" s="109">
        <f>'Original Budget'!F45</f>
        <v>-1422.33</v>
      </c>
      <c r="O40" s="109">
        <f>IF(ISBLANK(Actuals!F45),"",Actuals!F45)</f>
        <v>-1816.95</v>
      </c>
      <c r="P40" s="110">
        <f>IF(ISBLANK(Actuals!F45),"",'Original Budget'!F45-Actuals!F45)</f>
        <v>394.62000000000012</v>
      </c>
      <c r="Q40" s="110">
        <f>IFERROR(IF(ISBLANK(Actuals!F45),"",('Original Budget'!F45-Actuals!F45)/ABS('Original Budget'!F45)),"")</f>
        <v>0.27744616228301461</v>
      </c>
      <c r="R40" s="109">
        <f>'Original Budget'!G45</f>
        <v>-1422.33</v>
      </c>
      <c r="S40" s="109" t="str">
        <f>IF(ISBLANK(Actuals!G45),"",Actuals!G45)</f>
        <v/>
      </c>
      <c r="T40" s="110" t="str">
        <f>IF(ISBLANK(Actuals!G45),"",'Original Budget'!G45-Actuals!G45)</f>
        <v/>
      </c>
      <c r="U40" s="110" t="str">
        <f>IFERROR(IF(ISBLANK(Actuals!G45),"",('Original Budget'!G45-Actuals!G45)/ABS('Original Budget'!G45)),"")</f>
        <v/>
      </c>
      <c r="V40" s="109">
        <f>'Original Budget'!H45</f>
        <v>-1422.33</v>
      </c>
      <c r="W40" s="109" t="str">
        <f>IF(ISBLANK(Actuals!H45),"",Actuals!H45)</f>
        <v/>
      </c>
      <c r="X40" s="110" t="str">
        <f>IF(ISBLANK(Actuals!H45),"",'Original Budget'!H45-Actuals!H45)</f>
        <v/>
      </c>
      <c r="Y40" s="110" t="str">
        <f>IFERROR(IF(ISBLANK(Actuals!H45),"",('Original Budget'!H45-Actuals!H45)/ABS('Original Budget'!H45)),"")</f>
        <v/>
      </c>
      <c r="Z40" s="109">
        <f>'Original Budget'!I45</f>
        <v>-1422.33</v>
      </c>
      <c r="AA40" s="109" t="str">
        <f>IF(ISBLANK(Actuals!I45),"",Actuals!I45)</f>
        <v/>
      </c>
      <c r="AB40" s="110" t="str">
        <f>IF(ISBLANK(Actuals!I45),"",'Original Budget'!I45-Actuals!I45)</f>
        <v/>
      </c>
      <c r="AC40" s="110" t="str">
        <f>IFERROR(IF(ISBLANK(Actuals!I45),"",('Original Budget'!I45-Actuals!I45)/ABS('Original Budget'!I45)),"")</f>
        <v/>
      </c>
      <c r="AD40" s="109">
        <f>'Original Budget'!J45</f>
        <v>-1422.33</v>
      </c>
      <c r="AE40" s="109" t="str">
        <f>IF(ISBLANK(Actuals!J45),"",Actuals!J45)</f>
        <v/>
      </c>
      <c r="AF40" s="110" t="str">
        <f>IF(ISBLANK(Actuals!J45),"",'Original Budget'!J45-Actuals!J45)</f>
        <v/>
      </c>
      <c r="AG40" s="110" t="str">
        <f>IFERROR(IF(ISBLANK(Actuals!J45),"",('Original Budget'!J45-Actuals!J45)/ABS('Original Budget'!J45)),"")</f>
        <v/>
      </c>
      <c r="AH40" s="109">
        <f>'Original Budget'!K45</f>
        <v>-1422.33</v>
      </c>
      <c r="AI40" s="109" t="str">
        <f>IF(ISBLANK(Actuals!K45),"",Actuals!K45)</f>
        <v/>
      </c>
      <c r="AJ40" s="110" t="str">
        <f>IF(ISBLANK(Actuals!K45),"",'Original Budget'!K45-Actuals!K45)</f>
        <v/>
      </c>
      <c r="AK40" s="110" t="str">
        <f>IFERROR(IF(ISBLANK(Actuals!K45),"",('Original Budget'!K45-Actuals!K45)/ABS('Original Budget'!K45)),"")</f>
        <v/>
      </c>
      <c r="AL40" s="109">
        <f>'Original Budget'!L45</f>
        <v>-1422.33</v>
      </c>
      <c r="AM40" s="109" t="str">
        <f>IF(ISBLANK(Actuals!L45),"",Actuals!L45)</f>
        <v/>
      </c>
      <c r="AN40" s="110" t="str">
        <f>IF(ISBLANK(Actuals!L45),"",'Original Budget'!L45-Actuals!L45)</f>
        <v/>
      </c>
      <c r="AO40" s="110" t="str">
        <f>IFERROR(IF(ISBLANK(Actuals!L45),"",('Original Budget'!L45-Actuals!L45)/ABS('Original Budget'!L45)),"")</f>
        <v/>
      </c>
      <c r="AP40" s="109">
        <f>'Original Budget'!M45</f>
        <v>-1422.33</v>
      </c>
      <c r="AQ40" s="109" t="str">
        <f>IF(ISBLANK(Actuals!M45),"",Actuals!M45)</f>
        <v/>
      </c>
      <c r="AR40" s="110" t="str">
        <f>IF(ISBLANK(Actuals!M45),"",'Original Budget'!M45-Actuals!M45)</f>
        <v/>
      </c>
      <c r="AS40" s="110" t="str">
        <f>IFERROR(IF(ISBLANK(Actuals!M45),"",('Original Budget'!M45-Actuals!M45)/ABS('Original Budget'!M45)),"")</f>
        <v/>
      </c>
      <c r="AT40" s="109">
        <f>'Original Budget'!N45</f>
        <v>-1422.33</v>
      </c>
      <c r="AU40" s="109" t="str">
        <f>IF(ISBLANK(Actuals!N45),"",Actuals!N45)</f>
        <v/>
      </c>
      <c r="AV40" s="110" t="str">
        <f>IF(ISBLANK(Actuals!N45),"",'Original Budget'!N45-Actuals!N45)</f>
        <v/>
      </c>
      <c r="AW40" s="110" t="str">
        <f>IFERROR(IF(ISBLANK(Actuals!N45),"",('Original Budget'!N45-Actuals!N45)/ABS('Original Budget'!N45)),"")</f>
        <v/>
      </c>
      <c r="AX40" s="111">
        <f>SUMPRODUCT((Actuals!C45:N45&lt;&gt;"")*('Original Budget'!C45:N45))</f>
        <v>-5689.33</v>
      </c>
      <c r="AY40" s="111">
        <f>SUM(Actuals!C45:N45)</f>
        <v>-6083.95</v>
      </c>
      <c r="AZ40" s="112">
        <f t="shared" si="1"/>
        <v>394.61999999999989</v>
      </c>
    </row>
    <row r="41" spans="1:52" ht="15" customHeight="1" x14ac:dyDescent="0.25">
      <c r="A41" s="108" t="s">
        <v>89</v>
      </c>
      <c r="B41" s="109">
        <f>'Original Budget'!C46</f>
        <v>-320</v>
      </c>
      <c r="C41" s="109">
        <f>IF(ISBLANK(Actuals!C46),"",Actuals!C46)</f>
        <v>-320</v>
      </c>
      <c r="D41" s="110">
        <f>IF(ISBLANK(Actuals!C46),"",'Original Budget'!C46-Actuals!C46)</f>
        <v>0</v>
      </c>
      <c r="E41" s="110">
        <f>IFERROR(IF(ISBLANK(Actuals!C46),"",('Original Budget'!C46-Actuals!C46)/ABS('Original Budget'!C46)),"")</f>
        <v>0</v>
      </c>
      <c r="F41" s="109">
        <f>'Original Budget'!D46</f>
        <v>-160</v>
      </c>
      <c r="G41" s="109">
        <f>IF(ISBLANK(Actuals!D46),"",Actuals!D46)</f>
        <v>-160</v>
      </c>
      <c r="H41" s="110">
        <f>IF(ISBLANK(Actuals!D46),"",'Original Budget'!D46-Actuals!D46)</f>
        <v>0</v>
      </c>
      <c r="I41" s="110">
        <f>IFERROR(IF(ISBLANK(Actuals!D46),"",('Original Budget'!D46-Actuals!D46)/ABS('Original Budget'!D46)),"")</f>
        <v>0</v>
      </c>
      <c r="J41" s="109">
        <f>'Original Budget'!E46</f>
        <v>0</v>
      </c>
      <c r="K41" s="109">
        <f>IF(ISBLANK(Actuals!E46),"",Actuals!E46)</f>
        <v>0</v>
      </c>
      <c r="L41" s="110">
        <f>IF(ISBLANK(Actuals!E46),"",'Original Budget'!E46-Actuals!E46)</f>
        <v>0</v>
      </c>
      <c r="M41" s="110" t="str">
        <f>IFERROR(IF(ISBLANK(Actuals!E46),"",('Original Budget'!E46-Actuals!E46)/ABS('Original Budget'!E46)),"")</f>
        <v/>
      </c>
      <c r="N41" s="109">
        <f>'Original Budget'!F46</f>
        <v>-160</v>
      </c>
      <c r="O41" s="109">
        <f>IF(ISBLANK(Actuals!F46),"",Actuals!F46)</f>
        <v>0</v>
      </c>
      <c r="P41" s="110">
        <f>IF(ISBLANK(Actuals!F46),"",'Original Budget'!F46-Actuals!F46)</f>
        <v>-160</v>
      </c>
      <c r="Q41" s="110">
        <f>IFERROR(IF(ISBLANK(Actuals!F46),"",('Original Budget'!F46-Actuals!F46)/ABS('Original Budget'!F46)),"")</f>
        <v>-1</v>
      </c>
      <c r="R41" s="109">
        <f>'Original Budget'!G46</f>
        <v>-160</v>
      </c>
      <c r="S41" s="109" t="str">
        <f>IF(ISBLANK(Actuals!G46),"",Actuals!G46)</f>
        <v/>
      </c>
      <c r="T41" s="110" t="str">
        <f>IF(ISBLANK(Actuals!G46),"",'Original Budget'!G46-Actuals!G46)</f>
        <v/>
      </c>
      <c r="U41" s="110" t="str">
        <f>IFERROR(IF(ISBLANK(Actuals!G46),"",('Original Budget'!G46-Actuals!G46)/ABS('Original Budget'!G46)),"")</f>
        <v/>
      </c>
      <c r="V41" s="109">
        <f>'Original Budget'!H46</f>
        <v>-160</v>
      </c>
      <c r="W41" s="109" t="str">
        <f>IF(ISBLANK(Actuals!H46),"",Actuals!H46)</f>
        <v/>
      </c>
      <c r="X41" s="110" t="str">
        <f>IF(ISBLANK(Actuals!H46),"",'Original Budget'!H46-Actuals!H46)</f>
        <v/>
      </c>
      <c r="Y41" s="110" t="str">
        <f>IFERROR(IF(ISBLANK(Actuals!H46),"",('Original Budget'!H46-Actuals!H46)/ABS('Original Budget'!H46)),"")</f>
        <v/>
      </c>
      <c r="Z41" s="109">
        <f>'Original Budget'!I46</f>
        <v>-160</v>
      </c>
      <c r="AA41" s="109" t="str">
        <f>IF(ISBLANK(Actuals!I46),"",Actuals!I46)</f>
        <v/>
      </c>
      <c r="AB41" s="110" t="str">
        <f>IF(ISBLANK(Actuals!I46),"",'Original Budget'!I46-Actuals!I46)</f>
        <v/>
      </c>
      <c r="AC41" s="110" t="str">
        <f>IFERROR(IF(ISBLANK(Actuals!I46),"",('Original Budget'!I46-Actuals!I46)/ABS('Original Budget'!I46)),"")</f>
        <v/>
      </c>
      <c r="AD41" s="109">
        <f>'Original Budget'!J46</f>
        <v>-160</v>
      </c>
      <c r="AE41" s="109" t="str">
        <f>IF(ISBLANK(Actuals!J46),"",Actuals!J46)</f>
        <v/>
      </c>
      <c r="AF41" s="110" t="str">
        <f>IF(ISBLANK(Actuals!J46),"",'Original Budget'!J46-Actuals!J46)</f>
        <v/>
      </c>
      <c r="AG41" s="110" t="str">
        <f>IFERROR(IF(ISBLANK(Actuals!J46),"",('Original Budget'!J46-Actuals!J46)/ABS('Original Budget'!J46)),"")</f>
        <v/>
      </c>
      <c r="AH41" s="109">
        <f>'Original Budget'!K46</f>
        <v>-160</v>
      </c>
      <c r="AI41" s="109" t="str">
        <f>IF(ISBLANK(Actuals!K46),"",Actuals!K46)</f>
        <v/>
      </c>
      <c r="AJ41" s="110" t="str">
        <f>IF(ISBLANK(Actuals!K46),"",'Original Budget'!K46-Actuals!K46)</f>
        <v/>
      </c>
      <c r="AK41" s="110" t="str">
        <f>IFERROR(IF(ISBLANK(Actuals!K46),"",('Original Budget'!K46-Actuals!K46)/ABS('Original Budget'!K46)),"")</f>
        <v/>
      </c>
      <c r="AL41" s="109">
        <f>'Original Budget'!L46</f>
        <v>-160</v>
      </c>
      <c r="AM41" s="109" t="str">
        <f>IF(ISBLANK(Actuals!L46),"",Actuals!L46)</f>
        <v/>
      </c>
      <c r="AN41" s="110" t="str">
        <f>IF(ISBLANK(Actuals!L46),"",'Original Budget'!L46-Actuals!L46)</f>
        <v/>
      </c>
      <c r="AO41" s="110" t="str">
        <f>IFERROR(IF(ISBLANK(Actuals!L46),"",('Original Budget'!L46-Actuals!L46)/ABS('Original Budget'!L46)),"")</f>
        <v/>
      </c>
      <c r="AP41" s="109">
        <f>'Original Budget'!M46</f>
        <v>-160</v>
      </c>
      <c r="AQ41" s="109" t="str">
        <f>IF(ISBLANK(Actuals!M46),"",Actuals!M46)</f>
        <v/>
      </c>
      <c r="AR41" s="110" t="str">
        <f>IF(ISBLANK(Actuals!M46),"",'Original Budget'!M46-Actuals!M46)</f>
        <v/>
      </c>
      <c r="AS41" s="110" t="str">
        <f>IFERROR(IF(ISBLANK(Actuals!M46),"",('Original Budget'!M46-Actuals!M46)/ABS('Original Budget'!M46)),"")</f>
        <v/>
      </c>
      <c r="AT41" s="109">
        <f>'Original Budget'!N46</f>
        <v>-160</v>
      </c>
      <c r="AU41" s="109" t="str">
        <f>IF(ISBLANK(Actuals!N46),"",Actuals!N46)</f>
        <v/>
      </c>
      <c r="AV41" s="110" t="str">
        <f>IF(ISBLANK(Actuals!N46),"",'Original Budget'!N46-Actuals!N46)</f>
        <v/>
      </c>
      <c r="AW41" s="110" t="str">
        <f>IFERROR(IF(ISBLANK(Actuals!N46),"",('Original Budget'!N46-Actuals!N46)/ABS('Original Budget'!N46)),"")</f>
        <v/>
      </c>
      <c r="AX41" s="111">
        <f>SUMPRODUCT((Actuals!C46:N46&lt;&gt;"")*('Original Budget'!C46:N46))</f>
        <v>-640</v>
      </c>
      <c r="AY41" s="111">
        <f>SUM(Actuals!C46:N46)</f>
        <v>-480</v>
      </c>
      <c r="AZ41" s="112">
        <f t="shared" si="1"/>
        <v>-160</v>
      </c>
    </row>
    <row r="42" spans="1:52" ht="15" customHeight="1" x14ac:dyDescent="0.25">
      <c r="A42" s="108" t="s">
        <v>90</v>
      </c>
      <c r="B42" s="109">
        <f>'Original Budget'!C47</f>
        <v>-17660.72</v>
      </c>
      <c r="C42" s="109">
        <f>IF(ISBLANK(Actuals!C47),"",Actuals!C47)</f>
        <v>-17660.72</v>
      </c>
      <c r="D42" s="110">
        <f>IF(ISBLANK(Actuals!C47),"",'Original Budget'!C47-Actuals!C47)</f>
        <v>0</v>
      </c>
      <c r="E42" s="110">
        <f>IFERROR(IF(ISBLANK(Actuals!C47),"",('Original Budget'!C47-Actuals!C47)/ABS('Original Budget'!C47)),"")</f>
        <v>0</v>
      </c>
      <c r="F42" s="109">
        <f>'Original Budget'!D47</f>
        <v>-5799</v>
      </c>
      <c r="G42" s="109">
        <f>IF(ISBLANK(Actuals!D47),"",Actuals!D47)</f>
        <v>-5799</v>
      </c>
      <c r="H42" s="110">
        <f>IF(ISBLANK(Actuals!D47),"",'Original Budget'!D47-Actuals!D47)</f>
        <v>0</v>
      </c>
      <c r="I42" s="110">
        <f>IFERROR(IF(ISBLANK(Actuals!D47),"",('Original Budget'!D47-Actuals!D47)/ABS('Original Budget'!D47)),"")</f>
        <v>0</v>
      </c>
      <c r="J42" s="109">
        <f>'Original Budget'!E47</f>
        <v>-3432.18</v>
      </c>
      <c r="K42" s="109">
        <f>IF(ISBLANK(Actuals!E47),"",Actuals!E47)</f>
        <v>-3432.18</v>
      </c>
      <c r="L42" s="110">
        <f>IF(ISBLANK(Actuals!E47),"",'Original Budget'!E47-Actuals!E47)</f>
        <v>0</v>
      </c>
      <c r="M42" s="110">
        <f>IFERROR(IF(ISBLANK(Actuals!E47),"",('Original Budget'!E47-Actuals!E47)/ABS('Original Budget'!E47)),"")</f>
        <v>0</v>
      </c>
      <c r="N42" s="109">
        <f>'Original Budget'!F47</f>
        <v>-5000</v>
      </c>
      <c r="O42" s="109">
        <f>IF(ISBLANK(Actuals!F47),"",Actuals!F47)</f>
        <v>0</v>
      </c>
      <c r="P42" s="110">
        <f>IF(ISBLANK(Actuals!F47),"",'Original Budget'!F47-Actuals!F47)</f>
        <v>-5000</v>
      </c>
      <c r="Q42" s="110">
        <f>IFERROR(IF(ISBLANK(Actuals!F47),"",('Original Budget'!F47-Actuals!F47)/ABS('Original Budget'!F47)),"")</f>
        <v>-1</v>
      </c>
      <c r="R42" s="109">
        <f>'Original Budget'!G47</f>
        <v>-5000</v>
      </c>
      <c r="S42" s="109" t="str">
        <f>IF(ISBLANK(Actuals!G47),"",Actuals!G47)</f>
        <v/>
      </c>
      <c r="T42" s="110" t="str">
        <f>IF(ISBLANK(Actuals!G47),"",'Original Budget'!G47-Actuals!G47)</f>
        <v/>
      </c>
      <c r="U42" s="110" t="str">
        <f>IFERROR(IF(ISBLANK(Actuals!G47),"",('Original Budget'!G47-Actuals!G47)/ABS('Original Budget'!G47)),"")</f>
        <v/>
      </c>
      <c r="V42" s="109">
        <f>'Original Budget'!H47</f>
        <v>-5000</v>
      </c>
      <c r="W42" s="109" t="str">
        <f>IF(ISBLANK(Actuals!H47),"",Actuals!H47)</f>
        <v/>
      </c>
      <c r="X42" s="110" t="str">
        <f>IF(ISBLANK(Actuals!H47),"",'Original Budget'!H47-Actuals!H47)</f>
        <v/>
      </c>
      <c r="Y42" s="110" t="str">
        <f>IFERROR(IF(ISBLANK(Actuals!H47),"",('Original Budget'!H47-Actuals!H47)/ABS('Original Budget'!H47)),"")</f>
        <v/>
      </c>
      <c r="Z42" s="109">
        <f>'Original Budget'!I47</f>
        <v>-5000</v>
      </c>
      <c r="AA42" s="109" t="str">
        <f>IF(ISBLANK(Actuals!I47),"",Actuals!I47)</f>
        <v/>
      </c>
      <c r="AB42" s="110" t="str">
        <f>IF(ISBLANK(Actuals!I47),"",'Original Budget'!I47-Actuals!I47)</f>
        <v/>
      </c>
      <c r="AC42" s="110" t="str">
        <f>IFERROR(IF(ISBLANK(Actuals!I47),"",('Original Budget'!I47-Actuals!I47)/ABS('Original Budget'!I47)),"")</f>
        <v/>
      </c>
      <c r="AD42" s="109">
        <f>'Original Budget'!J47</f>
        <v>-5000</v>
      </c>
      <c r="AE42" s="109" t="str">
        <f>IF(ISBLANK(Actuals!J47),"",Actuals!J47)</f>
        <v/>
      </c>
      <c r="AF42" s="110" t="str">
        <f>IF(ISBLANK(Actuals!J47),"",'Original Budget'!J47-Actuals!J47)</f>
        <v/>
      </c>
      <c r="AG42" s="110" t="str">
        <f>IFERROR(IF(ISBLANK(Actuals!J47),"",('Original Budget'!J47-Actuals!J47)/ABS('Original Budget'!J47)),"")</f>
        <v/>
      </c>
      <c r="AH42" s="109">
        <f>'Original Budget'!K47</f>
        <v>-5000</v>
      </c>
      <c r="AI42" s="109" t="str">
        <f>IF(ISBLANK(Actuals!K47),"",Actuals!K47)</f>
        <v/>
      </c>
      <c r="AJ42" s="110" t="str">
        <f>IF(ISBLANK(Actuals!K47),"",'Original Budget'!K47-Actuals!K47)</f>
        <v/>
      </c>
      <c r="AK42" s="110" t="str">
        <f>IFERROR(IF(ISBLANK(Actuals!K47),"",('Original Budget'!K47-Actuals!K47)/ABS('Original Budget'!K47)),"")</f>
        <v/>
      </c>
      <c r="AL42" s="109">
        <f>'Original Budget'!L47</f>
        <v>-5000</v>
      </c>
      <c r="AM42" s="109" t="str">
        <f>IF(ISBLANK(Actuals!L47),"",Actuals!L47)</f>
        <v/>
      </c>
      <c r="AN42" s="110" t="str">
        <f>IF(ISBLANK(Actuals!L47),"",'Original Budget'!L47-Actuals!L47)</f>
        <v/>
      </c>
      <c r="AO42" s="110" t="str">
        <f>IFERROR(IF(ISBLANK(Actuals!L47),"",('Original Budget'!L47-Actuals!L47)/ABS('Original Budget'!L47)),"")</f>
        <v/>
      </c>
      <c r="AP42" s="109">
        <f>'Original Budget'!M47</f>
        <v>-5000</v>
      </c>
      <c r="AQ42" s="109" t="str">
        <f>IF(ISBLANK(Actuals!M47),"",Actuals!M47)</f>
        <v/>
      </c>
      <c r="AR42" s="110" t="str">
        <f>IF(ISBLANK(Actuals!M47),"",'Original Budget'!M47-Actuals!M47)</f>
        <v/>
      </c>
      <c r="AS42" s="110" t="str">
        <f>IFERROR(IF(ISBLANK(Actuals!M47),"",('Original Budget'!M47-Actuals!M47)/ABS('Original Budget'!M47)),"")</f>
        <v/>
      </c>
      <c r="AT42" s="109">
        <f>'Original Budget'!N47</f>
        <v>-5000</v>
      </c>
      <c r="AU42" s="109" t="str">
        <f>IF(ISBLANK(Actuals!N47),"",Actuals!N47)</f>
        <v/>
      </c>
      <c r="AV42" s="110" t="str">
        <f>IF(ISBLANK(Actuals!N47),"",'Original Budget'!N47-Actuals!N47)</f>
        <v/>
      </c>
      <c r="AW42" s="110" t="str">
        <f>IFERROR(IF(ISBLANK(Actuals!N47),"",('Original Budget'!N47-Actuals!N47)/ABS('Original Budget'!N47)),"")</f>
        <v/>
      </c>
      <c r="AX42" s="111">
        <f>SUMPRODUCT((Actuals!C47:N47&lt;&gt;"")*('Original Budget'!C47:N47))</f>
        <v>-31891.9</v>
      </c>
      <c r="AY42" s="111">
        <f>SUM(Actuals!C47:N47)</f>
        <v>-26891.9</v>
      </c>
      <c r="AZ42" s="112">
        <f t="shared" si="1"/>
        <v>-5000</v>
      </c>
    </row>
    <row r="43" spans="1:52" ht="15" customHeight="1" x14ac:dyDescent="0.25">
      <c r="A43" s="108" t="s">
        <v>91</v>
      </c>
      <c r="B43" s="109">
        <f>'Original Budget'!C48</f>
        <v>-304</v>
      </c>
      <c r="C43" s="109">
        <f>IF(ISBLANK(Actuals!C48),"",Actuals!C48)</f>
        <v>-304</v>
      </c>
      <c r="D43" s="110">
        <f>IF(ISBLANK(Actuals!C48),"",'Original Budget'!C48-Actuals!C48)</f>
        <v>0</v>
      </c>
      <c r="E43" s="110">
        <f>IFERROR(IF(ISBLANK(Actuals!C48),"",('Original Budget'!C48-Actuals!C48)/ABS('Original Budget'!C48)),"")</f>
        <v>0</v>
      </c>
      <c r="F43" s="109">
        <f>'Original Budget'!D48</f>
        <v>-644.80999999999995</v>
      </c>
      <c r="G43" s="109">
        <f>IF(ISBLANK(Actuals!D48),"",Actuals!D48)</f>
        <v>-644.80999999999995</v>
      </c>
      <c r="H43" s="110">
        <f>IF(ISBLANK(Actuals!D48),"",'Original Budget'!D48-Actuals!D48)</f>
        <v>0</v>
      </c>
      <c r="I43" s="110">
        <f>IFERROR(IF(ISBLANK(Actuals!D48),"",('Original Budget'!D48-Actuals!D48)/ABS('Original Budget'!D48)),"")</f>
        <v>0</v>
      </c>
      <c r="J43" s="109">
        <f>'Original Budget'!E48</f>
        <v>-304</v>
      </c>
      <c r="K43" s="109">
        <f>IF(ISBLANK(Actuals!E48),"",Actuals!E48)</f>
        <v>-304</v>
      </c>
      <c r="L43" s="110">
        <f>IF(ISBLANK(Actuals!E48),"",'Original Budget'!E48-Actuals!E48)</f>
        <v>0</v>
      </c>
      <c r="M43" s="110">
        <f>IFERROR(IF(ISBLANK(Actuals!E48),"",('Original Budget'!E48-Actuals!E48)/ABS('Original Budget'!E48)),"")</f>
        <v>0</v>
      </c>
      <c r="N43" s="109">
        <f>'Original Budget'!F48</f>
        <v>-417.6</v>
      </c>
      <c r="O43" s="109">
        <f>IF(ISBLANK(Actuals!F48),"",Actuals!F48)</f>
        <v>0</v>
      </c>
      <c r="P43" s="110">
        <f>IF(ISBLANK(Actuals!F48),"",'Original Budget'!F48-Actuals!F48)</f>
        <v>-417.6</v>
      </c>
      <c r="Q43" s="110">
        <f>IFERROR(IF(ISBLANK(Actuals!F48),"",('Original Budget'!F48-Actuals!F48)/ABS('Original Budget'!F48)),"")</f>
        <v>-1</v>
      </c>
      <c r="R43" s="109">
        <f>'Original Budget'!G48</f>
        <v>-417.6</v>
      </c>
      <c r="S43" s="109" t="str">
        <f>IF(ISBLANK(Actuals!G48),"",Actuals!G48)</f>
        <v/>
      </c>
      <c r="T43" s="110" t="str">
        <f>IF(ISBLANK(Actuals!G48),"",'Original Budget'!G48-Actuals!G48)</f>
        <v/>
      </c>
      <c r="U43" s="110" t="str">
        <f>IFERROR(IF(ISBLANK(Actuals!G48),"",('Original Budget'!G48-Actuals!G48)/ABS('Original Budget'!G48)),"")</f>
        <v/>
      </c>
      <c r="V43" s="109">
        <f>'Original Budget'!H48</f>
        <v>-417.6</v>
      </c>
      <c r="W43" s="109" t="str">
        <f>IF(ISBLANK(Actuals!H48),"",Actuals!H48)</f>
        <v/>
      </c>
      <c r="X43" s="110" t="str">
        <f>IF(ISBLANK(Actuals!H48),"",'Original Budget'!H48-Actuals!H48)</f>
        <v/>
      </c>
      <c r="Y43" s="110" t="str">
        <f>IFERROR(IF(ISBLANK(Actuals!H48),"",('Original Budget'!H48-Actuals!H48)/ABS('Original Budget'!H48)),"")</f>
        <v/>
      </c>
      <c r="Z43" s="109">
        <f>'Original Budget'!I48</f>
        <v>-417.6</v>
      </c>
      <c r="AA43" s="109" t="str">
        <f>IF(ISBLANK(Actuals!I48),"",Actuals!I48)</f>
        <v/>
      </c>
      <c r="AB43" s="110" t="str">
        <f>IF(ISBLANK(Actuals!I48),"",'Original Budget'!I48-Actuals!I48)</f>
        <v/>
      </c>
      <c r="AC43" s="110" t="str">
        <f>IFERROR(IF(ISBLANK(Actuals!I48),"",('Original Budget'!I48-Actuals!I48)/ABS('Original Budget'!I48)),"")</f>
        <v/>
      </c>
      <c r="AD43" s="109">
        <f>'Original Budget'!J48</f>
        <v>-417.6</v>
      </c>
      <c r="AE43" s="109" t="str">
        <f>IF(ISBLANK(Actuals!J48),"",Actuals!J48)</f>
        <v/>
      </c>
      <c r="AF43" s="110" t="str">
        <f>IF(ISBLANK(Actuals!J48),"",'Original Budget'!J48-Actuals!J48)</f>
        <v/>
      </c>
      <c r="AG43" s="110" t="str">
        <f>IFERROR(IF(ISBLANK(Actuals!J48),"",('Original Budget'!J48-Actuals!J48)/ABS('Original Budget'!J48)),"")</f>
        <v/>
      </c>
      <c r="AH43" s="109">
        <f>'Original Budget'!K48</f>
        <v>-417.6</v>
      </c>
      <c r="AI43" s="109" t="str">
        <f>IF(ISBLANK(Actuals!K48),"",Actuals!K48)</f>
        <v/>
      </c>
      <c r="AJ43" s="110" t="str">
        <f>IF(ISBLANK(Actuals!K48),"",'Original Budget'!K48-Actuals!K48)</f>
        <v/>
      </c>
      <c r="AK43" s="110" t="str">
        <f>IFERROR(IF(ISBLANK(Actuals!K48),"",('Original Budget'!K48-Actuals!K48)/ABS('Original Budget'!K48)),"")</f>
        <v/>
      </c>
      <c r="AL43" s="109">
        <f>'Original Budget'!L48</f>
        <v>-417.6</v>
      </c>
      <c r="AM43" s="109" t="str">
        <f>IF(ISBLANK(Actuals!L48),"",Actuals!L48)</f>
        <v/>
      </c>
      <c r="AN43" s="110" t="str">
        <f>IF(ISBLANK(Actuals!L48),"",'Original Budget'!L48-Actuals!L48)</f>
        <v/>
      </c>
      <c r="AO43" s="110" t="str">
        <f>IFERROR(IF(ISBLANK(Actuals!L48),"",('Original Budget'!L48-Actuals!L48)/ABS('Original Budget'!L48)),"")</f>
        <v/>
      </c>
      <c r="AP43" s="109">
        <f>'Original Budget'!M48</f>
        <v>-417.6</v>
      </c>
      <c r="AQ43" s="109" t="str">
        <f>IF(ISBLANK(Actuals!M48),"",Actuals!M48)</f>
        <v/>
      </c>
      <c r="AR43" s="110" t="str">
        <f>IF(ISBLANK(Actuals!M48),"",'Original Budget'!M48-Actuals!M48)</f>
        <v/>
      </c>
      <c r="AS43" s="110" t="str">
        <f>IFERROR(IF(ISBLANK(Actuals!M48),"",('Original Budget'!M48-Actuals!M48)/ABS('Original Budget'!M48)),"")</f>
        <v/>
      </c>
      <c r="AT43" s="109">
        <f>'Original Budget'!N48</f>
        <v>-417.6</v>
      </c>
      <c r="AU43" s="109" t="str">
        <f>IF(ISBLANK(Actuals!N48),"",Actuals!N48)</f>
        <v/>
      </c>
      <c r="AV43" s="110" t="str">
        <f>IF(ISBLANK(Actuals!N48),"",'Original Budget'!N48-Actuals!N48)</f>
        <v/>
      </c>
      <c r="AW43" s="110" t="str">
        <f>IFERROR(IF(ISBLANK(Actuals!N48),"",('Original Budget'!N48-Actuals!N48)/ABS('Original Budget'!N48)),"")</f>
        <v/>
      </c>
      <c r="AX43" s="111">
        <f>SUMPRODUCT((Actuals!C48:N48&lt;&gt;"")*('Original Budget'!C48:N48))</f>
        <v>-1670.4099999999999</v>
      </c>
      <c r="AY43" s="111">
        <f>SUM(Actuals!C48:N48)</f>
        <v>-1252.81</v>
      </c>
      <c r="AZ43" s="112">
        <f t="shared" si="1"/>
        <v>-417.59999999999991</v>
      </c>
    </row>
    <row r="44" spans="1:52" ht="15" customHeight="1" x14ac:dyDescent="0.25">
      <c r="A44" s="108" t="s">
        <v>92</v>
      </c>
      <c r="B44" s="109">
        <f>'Original Budget'!C49</f>
        <v>0</v>
      </c>
      <c r="C44" s="109">
        <f>IF(ISBLANK(Actuals!C49),"",Actuals!C49)</f>
        <v>0</v>
      </c>
      <c r="D44" s="110">
        <f>IF(ISBLANK(Actuals!C49),"",'Original Budget'!C49-Actuals!C49)</f>
        <v>0</v>
      </c>
      <c r="E44" s="110" t="str">
        <f>IFERROR(IF(ISBLANK(Actuals!C49),"",('Original Budget'!C49-Actuals!C49)/ABS('Original Budget'!C49)),"")</f>
        <v/>
      </c>
      <c r="F44" s="109">
        <f>'Original Budget'!D49</f>
        <v>-75</v>
      </c>
      <c r="G44" s="109">
        <f>IF(ISBLANK(Actuals!D49),"",Actuals!D49)</f>
        <v>-75</v>
      </c>
      <c r="H44" s="110">
        <f>IF(ISBLANK(Actuals!D49),"",'Original Budget'!D49-Actuals!D49)</f>
        <v>0</v>
      </c>
      <c r="I44" s="110">
        <f>IFERROR(IF(ISBLANK(Actuals!D49),"",('Original Budget'!D49-Actuals!D49)/ABS('Original Budget'!D49)),"")</f>
        <v>0</v>
      </c>
      <c r="J44" s="109">
        <f>'Original Budget'!E49</f>
        <v>-5</v>
      </c>
      <c r="K44" s="109">
        <f>IF(ISBLANK(Actuals!E49),"",Actuals!E49)</f>
        <v>-5</v>
      </c>
      <c r="L44" s="110">
        <f>IF(ISBLANK(Actuals!E49),"",'Original Budget'!E49-Actuals!E49)</f>
        <v>0</v>
      </c>
      <c r="M44" s="110">
        <f>IFERROR(IF(ISBLANK(Actuals!E49),"",('Original Budget'!E49-Actuals!E49)/ABS('Original Budget'!E49)),"")</f>
        <v>0</v>
      </c>
      <c r="N44" s="109">
        <f>'Original Budget'!F49</f>
        <v>-26.67</v>
      </c>
      <c r="O44" s="109">
        <f>IF(ISBLANK(Actuals!F49),"",Actuals!F49)</f>
        <v>0</v>
      </c>
      <c r="P44" s="110">
        <f>IF(ISBLANK(Actuals!F49),"",'Original Budget'!F49-Actuals!F49)</f>
        <v>-26.67</v>
      </c>
      <c r="Q44" s="110">
        <f>IFERROR(IF(ISBLANK(Actuals!F49),"",('Original Budget'!F49-Actuals!F49)/ABS('Original Budget'!F49)),"")</f>
        <v>-1</v>
      </c>
      <c r="R44" s="109">
        <f>'Original Budget'!G49</f>
        <v>-26.67</v>
      </c>
      <c r="S44" s="109" t="str">
        <f>IF(ISBLANK(Actuals!G49),"",Actuals!G49)</f>
        <v/>
      </c>
      <c r="T44" s="110" t="str">
        <f>IF(ISBLANK(Actuals!G49),"",'Original Budget'!G49-Actuals!G49)</f>
        <v/>
      </c>
      <c r="U44" s="110" t="str">
        <f>IFERROR(IF(ISBLANK(Actuals!G49),"",('Original Budget'!G49-Actuals!G49)/ABS('Original Budget'!G49)),"")</f>
        <v/>
      </c>
      <c r="V44" s="109">
        <f>'Original Budget'!H49</f>
        <v>-26.67</v>
      </c>
      <c r="W44" s="109" t="str">
        <f>IF(ISBLANK(Actuals!H49),"",Actuals!H49)</f>
        <v/>
      </c>
      <c r="X44" s="110" t="str">
        <f>IF(ISBLANK(Actuals!H49),"",'Original Budget'!H49-Actuals!H49)</f>
        <v/>
      </c>
      <c r="Y44" s="110" t="str">
        <f>IFERROR(IF(ISBLANK(Actuals!H49),"",('Original Budget'!H49-Actuals!H49)/ABS('Original Budget'!H49)),"")</f>
        <v/>
      </c>
      <c r="Z44" s="109">
        <f>'Original Budget'!I49</f>
        <v>-26.67</v>
      </c>
      <c r="AA44" s="109" t="str">
        <f>IF(ISBLANK(Actuals!I49),"",Actuals!I49)</f>
        <v/>
      </c>
      <c r="AB44" s="110" t="str">
        <f>IF(ISBLANK(Actuals!I49),"",'Original Budget'!I49-Actuals!I49)</f>
        <v/>
      </c>
      <c r="AC44" s="110" t="str">
        <f>IFERROR(IF(ISBLANK(Actuals!I49),"",('Original Budget'!I49-Actuals!I49)/ABS('Original Budget'!I49)),"")</f>
        <v/>
      </c>
      <c r="AD44" s="109">
        <f>'Original Budget'!J49</f>
        <v>-26.67</v>
      </c>
      <c r="AE44" s="109" t="str">
        <f>IF(ISBLANK(Actuals!J49),"",Actuals!J49)</f>
        <v/>
      </c>
      <c r="AF44" s="110" t="str">
        <f>IF(ISBLANK(Actuals!J49),"",'Original Budget'!J49-Actuals!J49)</f>
        <v/>
      </c>
      <c r="AG44" s="110" t="str">
        <f>IFERROR(IF(ISBLANK(Actuals!J49),"",('Original Budget'!J49-Actuals!J49)/ABS('Original Budget'!J49)),"")</f>
        <v/>
      </c>
      <c r="AH44" s="109">
        <f>'Original Budget'!K49</f>
        <v>-26.67</v>
      </c>
      <c r="AI44" s="109" t="str">
        <f>IF(ISBLANK(Actuals!K49),"",Actuals!K49)</f>
        <v/>
      </c>
      <c r="AJ44" s="110" t="str">
        <f>IF(ISBLANK(Actuals!K49),"",'Original Budget'!K49-Actuals!K49)</f>
        <v/>
      </c>
      <c r="AK44" s="110" t="str">
        <f>IFERROR(IF(ISBLANK(Actuals!K49),"",('Original Budget'!K49-Actuals!K49)/ABS('Original Budget'!K49)),"")</f>
        <v/>
      </c>
      <c r="AL44" s="109">
        <f>'Original Budget'!L49</f>
        <v>-26.67</v>
      </c>
      <c r="AM44" s="109" t="str">
        <f>IF(ISBLANK(Actuals!L49),"",Actuals!L49)</f>
        <v/>
      </c>
      <c r="AN44" s="110" t="str">
        <f>IF(ISBLANK(Actuals!L49),"",'Original Budget'!L49-Actuals!L49)</f>
        <v/>
      </c>
      <c r="AO44" s="110" t="str">
        <f>IFERROR(IF(ISBLANK(Actuals!L49),"",('Original Budget'!L49-Actuals!L49)/ABS('Original Budget'!L49)),"")</f>
        <v/>
      </c>
      <c r="AP44" s="109">
        <f>'Original Budget'!M49</f>
        <v>-26.67</v>
      </c>
      <c r="AQ44" s="109" t="str">
        <f>IF(ISBLANK(Actuals!M49),"",Actuals!M49)</f>
        <v/>
      </c>
      <c r="AR44" s="110" t="str">
        <f>IF(ISBLANK(Actuals!M49),"",'Original Budget'!M49-Actuals!M49)</f>
        <v/>
      </c>
      <c r="AS44" s="110" t="str">
        <f>IFERROR(IF(ISBLANK(Actuals!M49),"",('Original Budget'!M49-Actuals!M49)/ABS('Original Budget'!M49)),"")</f>
        <v/>
      </c>
      <c r="AT44" s="109">
        <f>'Original Budget'!N49</f>
        <v>-26.67</v>
      </c>
      <c r="AU44" s="109" t="str">
        <f>IF(ISBLANK(Actuals!N49),"",Actuals!N49)</f>
        <v/>
      </c>
      <c r="AV44" s="110" t="str">
        <f>IF(ISBLANK(Actuals!N49),"",'Original Budget'!N49-Actuals!N49)</f>
        <v/>
      </c>
      <c r="AW44" s="110" t="str">
        <f>IFERROR(IF(ISBLANK(Actuals!N49),"",('Original Budget'!N49-Actuals!N49)/ABS('Original Budget'!N49)),"")</f>
        <v/>
      </c>
      <c r="AX44" s="111">
        <f>SUMPRODUCT((Actuals!C49:N49&lt;&gt;"")*('Original Budget'!C49:N49))</f>
        <v>-106.67</v>
      </c>
      <c r="AY44" s="111">
        <f>SUM(Actuals!C49:N49)</f>
        <v>-80</v>
      </c>
      <c r="AZ44" s="112">
        <f t="shared" si="1"/>
        <v>-26.67</v>
      </c>
    </row>
    <row r="45" spans="1:52" ht="15" customHeight="1" x14ac:dyDescent="0.25">
      <c r="A45" s="108" t="s">
        <v>93</v>
      </c>
      <c r="B45" s="109">
        <f>'Original Budget'!C50</f>
        <v>0</v>
      </c>
      <c r="C45" s="109">
        <f>IF(ISBLANK(Actuals!C50),"",Actuals!C50)</f>
        <v>0</v>
      </c>
      <c r="D45" s="110">
        <f>IF(ISBLANK(Actuals!C50),"",'Original Budget'!C50-Actuals!C50)</f>
        <v>0</v>
      </c>
      <c r="E45" s="110" t="str">
        <f>IFERROR(IF(ISBLANK(Actuals!C50),"",('Original Budget'!C50-Actuals!C50)/ABS('Original Budget'!C50)),"")</f>
        <v/>
      </c>
      <c r="F45" s="109">
        <f>'Original Budget'!D50</f>
        <v>-63</v>
      </c>
      <c r="G45" s="109">
        <f>IF(ISBLANK(Actuals!D50),"",Actuals!D50)</f>
        <v>-63</v>
      </c>
      <c r="H45" s="110">
        <f>IF(ISBLANK(Actuals!D50),"",'Original Budget'!D50-Actuals!D50)</f>
        <v>0</v>
      </c>
      <c r="I45" s="110">
        <f>IFERROR(IF(ISBLANK(Actuals!D50),"",('Original Budget'!D50-Actuals!D50)/ABS('Original Budget'!D50)),"")</f>
        <v>0</v>
      </c>
      <c r="J45" s="109">
        <f>'Original Budget'!E50</f>
        <v>0</v>
      </c>
      <c r="K45" s="109">
        <f>IF(ISBLANK(Actuals!E50),"",Actuals!E50)</f>
        <v>0</v>
      </c>
      <c r="L45" s="110">
        <f>IF(ISBLANK(Actuals!E50),"",'Original Budget'!E50-Actuals!E50)</f>
        <v>0</v>
      </c>
      <c r="M45" s="110" t="str">
        <f>IFERROR(IF(ISBLANK(Actuals!E50),"",('Original Budget'!E50-Actuals!E50)/ABS('Original Budget'!E50)),"")</f>
        <v/>
      </c>
      <c r="N45" s="109">
        <f>'Original Budget'!F50</f>
        <v>-21</v>
      </c>
      <c r="O45" s="109">
        <f>IF(ISBLANK(Actuals!F50),"",Actuals!F50)</f>
        <v>0</v>
      </c>
      <c r="P45" s="110">
        <f>IF(ISBLANK(Actuals!F50),"",'Original Budget'!F50-Actuals!F50)</f>
        <v>-21</v>
      </c>
      <c r="Q45" s="110">
        <f>IFERROR(IF(ISBLANK(Actuals!F50),"",('Original Budget'!F50-Actuals!F50)/ABS('Original Budget'!F50)),"")</f>
        <v>-1</v>
      </c>
      <c r="R45" s="109">
        <f>'Original Budget'!G50</f>
        <v>-21</v>
      </c>
      <c r="S45" s="109" t="str">
        <f>IF(ISBLANK(Actuals!G50),"",Actuals!G50)</f>
        <v/>
      </c>
      <c r="T45" s="110" t="str">
        <f>IF(ISBLANK(Actuals!G50),"",'Original Budget'!G50-Actuals!G50)</f>
        <v/>
      </c>
      <c r="U45" s="110" t="str">
        <f>IFERROR(IF(ISBLANK(Actuals!G50),"",('Original Budget'!G50-Actuals!G50)/ABS('Original Budget'!G50)),"")</f>
        <v/>
      </c>
      <c r="V45" s="109">
        <f>'Original Budget'!H50</f>
        <v>-21</v>
      </c>
      <c r="W45" s="109" t="str">
        <f>IF(ISBLANK(Actuals!H50),"",Actuals!H50)</f>
        <v/>
      </c>
      <c r="X45" s="110" t="str">
        <f>IF(ISBLANK(Actuals!H50),"",'Original Budget'!H50-Actuals!H50)</f>
        <v/>
      </c>
      <c r="Y45" s="110" t="str">
        <f>IFERROR(IF(ISBLANK(Actuals!H50),"",('Original Budget'!H50-Actuals!H50)/ABS('Original Budget'!H50)),"")</f>
        <v/>
      </c>
      <c r="Z45" s="109">
        <f>'Original Budget'!I50</f>
        <v>-21</v>
      </c>
      <c r="AA45" s="109" t="str">
        <f>IF(ISBLANK(Actuals!I50),"",Actuals!I50)</f>
        <v/>
      </c>
      <c r="AB45" s="110" t="str">
        <f>IF(ISBLANK(Actuals!I50),"",'Original Budget'!I50-Actuals!I50)</f>
        <v/>
      </c>
      <c r="AC45" s="110" t="str">
        <f>IFERROR(IF(ISBLANK(Actuals!I50),"",('Original Budget'!I50-Actuals!I50)/ABS('Original Budget'!I50)),"")</f>
        <v/>
      </c>
      <c r="AD45" s="109">
        <f>'Original Budget'!J50</f>
        <v>-21</v>
      </c>
      <c r="AE45" s="109" t="str">
        <f>IF(ISBLANK(Actuals!J50),"",Actuals!J50)</f>
        <v/>
      </c>
      <c r="AF45" s="110" t="str">
        <f>IF(ISBLANK(Actuals!J50),"",'Original Budget'!J50-Actuals!J50)</f>
        <v/>
      </c>
      <c r="AG45" s="110" t="str">
        <f>IFERROR(IF(ISBLANK(Actuals!J50),"",('Original Budget'!J50-Actuals!J50)/ABS('Original Budget'!J50)),"")</f>
        <v/>
      </c>
      <c r="AH45" s="109">
        <f>'Original Budget'!K50</f>
        <v>-21</v>
      </c>
      <c r="AI45" s="109" t="str">
        <f>IF(ISBLANK(Actuals!K50),"",Actuals!K50)</f>
        <v/>
      </c>
      <c r="AJ45" s="110" t="str">
        <f>IF(ISBLANK(Actuals!K50),"",'Original Budget'!K50-Actuals!K50)</f>
        <v/>
      </c>
      <c r="AK45" s="110" t="str">
        <f>IFERROR(IF(ISBLANK(Actuals!K50),"",('Original Budget'!K50-Actuals!K50)/ABS('Original Budget'!K50)),"")</f>
        <v/>
      </c>
      <c r="AL45" s="109">
        <f>'Original Budget'!L50</f>
        <v>-21</v>
      </c>
      <c r="AM45" s="109" t="str">
        <f>IF(ISBLANK(Actuals!L50),"",Actuals!L50)</f>
        <v/>
      </c>
      <c r="AN45" s="110" t="str">
        <f>IF(ISBLANK(Actuals!L50),"",'Original Budget'!L50-Actuals!L50)</f>
        <v/>
      </c>
      <c r="AO45" s="110" t="str">
        <f>IFERROR(IF(ISBLANK(Actuals!L50),"",('Original Budget'!L50-Actuals!L50)/ABS('Original Budget'!L50)),"")</f>
        <v/>
      </c>
      <c r="AP45" s="109">
        <f>'Original Budget'!M50</f>
        <v>-21</v>
      </c>
      <c r="AQ45" s="109" t="str">
        <f>IF(ISBLANK(Actuals!M50),"",Actuals!M50)</f>
        <v/>
      </c>
      <c r="AR45" s="110" t="str">
        <f>IF(ISBLANK(Actuals!M50),"",'Original Budget'!M50-Actuals!M50)</f>
        <v/>
      </c>
      <c r="AS45" s="110" t="str">
        <f>IFERROR(IF(ISBLANK(Actuals!M50),"",('Original Budget'!M50-Actuals!M50)/ABS('Original Budget'!M50)),"")</f>
        <v/>
      </c>
      <c r="AT45" s="109">
        <f>'Original Budget'!N50</f>
        <v>-21</v>
      </c>
      <c r="AU45" s="109" t="str">
        <f>IF(ISBLANK(Actuals!N50),"",Actuals!N50)</f>
        <v/>
      </c>
      <c r="AV45" s="110" t="str">
        <f>IF(ISBLANK(Actuals!N50),"",'Original Budget'!N50-Actuals!N50)</f>
        <v/>
      </c>
      <c r="AW45" s="110" t="str">
        <f>IFERROR(IF(ISBLANK(Actuals!N50),"",('Original Budget'!N50-Actuals!N50)/ABS('Original Budget'!N50)),"")</f>
        <v/>
      </c>
      <c r="AX45" s="111">
        <f>SUMPRODUCT((Actuals!C50:N50&lt;&gt;"")*('Original Budget'!C50:N50))</f>
        <v>-84</v>
      </c>
      <c r="AY45" s="111">
        <f>SUM(Actuals!C50:N50)</f>
        <v>-63</v>
      </c>
      <c r="AZ45" s="112">
        <f t="shared" si="1"/>
        <v>-21</v>
      </c>
    </row>
    <row r="46" spans="1:52" ht="15" customHeight="1" x14ac:dyDescent="0.25">
      <c r="A46" s="108" t="s">
        <v>259</v>
      </c>
      <c r="B46" s="109">
        <f>'Original Budget'!C51</f>
        <v>0</v>
      </c>
      <c r="C46" s="109" t="str">
        <f>IF(ISBLANK(Actuals!C51),"",Actuals!C51)</f>
        <v/>
      </c>
      <c r="D46" s="110" t="str">
        <f>IF(ISBLANK(Actuals!C51),"",'Original Budget'!C51-Actuals!C51)</f>
        <v/>
      </c>
      <c r="E46" s="110" t="str">
        <f>IFERROR(IF(ISBLANK(Actuals!C51),"",('Original Budget'!C51-Actuals!C51)/ABS('Original Budget'!C51)),"")</f>
        <v/>
      </c>
      <c r="F46" s="109">
        <f>'Original Budget'!D51</f>
        <v>0</v>
      </c>
      <c r="G46" s="109" t="str">
        <f>IF(ISBLANK(Actuals!D51),"",Actuals!D51)</f>
        <v/>
      </c>
      <c r="H46" s="110" t="str">
        <f>IF(ISBLANK(Actuals!D51),"",'Original Budget'!D51-Actuals!D51)</f>
        <v/>
      </c>
      <c r="I46" s="110" t="str">
        <f>IFERROR(IF(ISBLANK(Actuals!D51),"",('Original Budget'!D51-Actuals!D51)/ABS('Original Budget'!D51)),"")</f>
        <v/>
      </c>
      <c r="J46" s="109">
        <f>'Original Budget'!E51</f>
        <v>0</v>
      </c>
      <c r="K46" s="109" t="str">
        <f>IF(ISBLANK(Actuals!E51),"",Actuals!E51)</f>
        <v/>
      </c>
      <c r="L46" s="110" t="str">
        <f>IF(ISBLANK(Actuals!E51),"",'Original Budget'!E51-Actuals!E51)</f>
        <v/>
      </c>
      <c r="M46" s="110" t="str">
        <f>IFERROR(IF(ISBLANK(Actuals!E51),"",('Original Budget'!E51-Actuals!E51)/ABS('Original Budget'!E51)),"")</f>
        <v/>
      </c>
      <c r="N46" s="109">
        <f>'Original Budget'!F51</f>
        <v>0</v>
      </c>
      <c r="O46" s="109" t="str">
        <f>IF(ISBLANK(Actuals!F51),"",Actuals!F51)</f>
        <v/>
      </c>
      <c r="P46" s="110" t="str">
        <f>IF(ISBLANK(Actuals!F51),"",'Original Budget'!F51-Actuals!F51)</f>
        <v/>
      </c>
      <c r="Q46" s="110" t="str">
        <f>IFERROR(IF(ISBLANK(Actuals!F51),"",('Original Budget'!F51-Actuals!F51)/ABS('Original Budget'!F51)),"")</f>
        <v/>
      </c>
      <c r="R46" s="109">
        <f>'Original Budget'!G51</f>
        <v>0</v>
      </c>
      <c r="S46" s="109" t="str">
        <f>IF(ISBLANK(Actuals!G51),"",Actuals!G51)</f>
        <v/>
      </c>
      <c r="T46" s="110" t="str">
        <f>IF(ISBLANK(Actuals!G51),"",'Original Budget'!G51-Actuals!G51)</f>
        <v/>
      </c>
      <c r="U46" s="110" t="str">
        <f>IFERROR(IF(ISBLANK(Actuals!G51),"",('Original Budget'!G51-Actuals!G51)/ABS('Original Budget'!G51)),"")</f>
        <v/>
      </c>
      <c r="V46" s="109">
        <f>'Original Budget'!H51</f>
        <v>0</v>
      </c>
      <c r="W46" s="109" t="str">
        <f>IF(ISBLANK(Actuals!H51),"",Actuals!H51)</f>
        <v/>
      </c>
      <c r="X46" s="110" t="str">
        <f>IF(ISBLANK(Actuals!H51),"",'Original Budget'!H51-Actuals!H51)</f>
        <v/>
      </c>
      <c r="Y46" s="110" t="str">
        <f>IFERROR(IF(ISBLANK(Actuals!H51),"",('Original Budget'!H51-Actuals!H51)/ABS('Original Budget'!H51)),"")</f>
        <v/>
      </c>
      <c r="Z46" s="109">
        <f>'Original Budget'!I51</f>
        <v>0</v>
      </c>
      <c r="AA46" s="109" t="str">
        <f>IF(ISBLANK(Actuals!I51),"",Actuals!I51)</f>
        <v/>
      </c>
      <c r="AB46" s="110" t="str">
        <f>IF(ISBLANK(Actuals!I51),"",'Original Budget'!I51-Actuals!I51)</f>
        <v/>
      </c>
      <c r="AC46" s="110" t="str">
        <f>IFERROR(IF(ISBLANK(Actuals!I51),"",('Original Budget'!I51-Actuals!I51)/ABS('Original Budget'!I51)),"")</f>
        <v/>
      </c>
      <c r="AD46" s="109">
        <f>'Original Budget'!J51</f>
        <v>0</v>
      </c>
      <c r="AE46" s="109" t="str">
        <f>IF(ISBLANK(Actuals!J51),"",Actuals!J51)</f>
        <v/>
      </c>
      <c r="AF46" s="110" t="str">
        <f>IF(ISBLANK(Actuals!J51),"",'Original Budget'!J51-Actuals!J51)</f>
        <v/>
      </c>
      <c r="AG46" s="110" t="str">
        <f>IFERROR(IF(ISBLANK(Actuals!J51),"",('Original Budget'!J51-Actuals!J51)/ABS('Original Budget'!J51)),"")</f>
        <v/>
      </c>
      <c r="AH46" s="109">
        <f>'Original Budget'!K51</f>
        <v>0</v>
      </c>
      <c r="AI46" s="109" t="str">
        <f>IF(ISBLANK(Actuals!K51),"",Actuals!K51)</f>
        <v/>
      </c>
      <c r="AJ46" s="110" t="str">
        <f>IF(ISBLANK(Actuals!K51),"",'Original Budget'!K51-Actuals!K51)</f>
        <v/>
      </c>
      <c r="AK46" s="110" t="str">
        <f>IFERROR(IF(ISBLANK(Actuals!K51),"",('Original Budget'!K51-Actuals!K51)/ABS('Original Budget'!K51)),"")</f>
        <v/>
      </c>
      <c r="AL46" s="109">
        <f>'Original Budget'!L51</f>
        <v>0</v>
      </c>
      <c r="AM46" s="109" t="str">
        <f>IF(ISBLANK(Actuals!L51),"",Actuals!L51)</f>
        <v/>
      </c>
      <c r="AN46" s="110" t="str">
        <f>IF(ISBLANK(Actuals!L51),"",'Original Budget'!L51-Actuals!L51)</f>
        <v/>
      </c>
      <c r="AO46" s="110" t="str">
        <f>IFERROR(IF(ISBLANK(Actuals!L51),"",('Original Budget'!L51-Actuals!L51)/ABS('Original Budget'!L51)),"")</f>
        <v/>
      </c>
      <c r="AP46" s="109">
        <f>'Original Budget'!M51</f>
        <v>0</v>
      </c>
      <c r="AQ46" s="109" t="str">
        <f>IF(ISBLANK(Actuals!M51),"",Actuals!M51)</f>
        <v/>
      </c>
      <c r="AR46" s="110" t="str">
        <f>IF(ISBLANK(Actuals!M51),"",'Original Budget'!M51-Actuals!M51)</f>
        <v/>
      </c>
      <c r="AS46" s="110" t="str">
        <f>IFERROR(IF(ISBLANK(Actuals!M51),"",('Original Budget'!M51-Actuals!M51)/ABS('Original Budget'!M51)),"")</f>
        <v/>
      </c>
      <c r="AT46" s="109">
        <f>'Original Budget'!N51</f>
        <v>0</v>
      </c>
      <c r="AU46" s="109" t="str">
        <f>IF(ISBLANK(Actuals!N51),"",Actuals!N51)</f>
        <v/>
      </c>
      <c r="AV46" s="110" t="str">
        <f>IF(ISBLANK(Actuals!N51),"",'Original Budget'!N51-Actuals!N51)</f>
        <v/>
      </c>
      <c r="AW46" s="110" t="str">
        <f>IFERROR(IF(ISBLANK(Actuals!N51),"",('Original Budget'!N51-Actuals!N51)/ABS('Original Budget'!N51)),"")</f>
        <v/>
      </c>
      <c r="AX46" s="111">
        <f>SUMPRODUCT((Actuals!C51:N51&lt;&gt;"")*('Original Budget'!C51:N51))</f>
        <v>0</v>
      </c>
      <c r="AY46" s="111">
        <f>SUM(Actuals!C51:N51)</f>
        <v>0</v>
      </c>
      <c r="AZ46" s="112">
        <f t="shared" si="1"/>
        <v>0</v>
      </c>
    </row>
    <row r="47" spans="1:52" ht="15" customHeight="1" x14ac:dyDescent="0.25">
      <c r="A47" s="108" t="s">
        <v>95</v>
      </c>
      <c r="B47" s="109">
        <f>'Original Budget'!C52</f>
        <v>0</v>
      </c>
      <c r="C47" s="109">
        <f>IF(ISBLANK(Actuals!C52),"",Actuals!C52)</f>
        <v>0</v>
      </c>
      <c r="D47" s="110">
        <f>IF(ISBLANK(Actuals!C52),"",'Original Budget'!C52-Actuals!C52)</f>
        <v>0</v>
      </c>
      <c r="E47" s="110" t="str">
        <f>IFERROR(IF(ISBLANK(Actuals!C52),"",('Original Budget'!C52-Actuals!C52)/ABS('Original Budget'!C52)),"")</f>
        <v/>
      </c>
      <c r="F47" s="109">
        <f>'Original Budget'!D52</f>
        <v>0</v>
      </c>
      <c r="G47" s="109">
        <f>IF(ISBLANK(Actuals!D52),"",Actuals!D52)</f>
        <v>0</v>
      </c>
      <c r="H47" s="110">
        <f>IF(ISBLANK(Actuals!D52),"",'Original Budget'!D52-Actuals!D52)</f>
        <v>0</v>
      </c>
      <c r="I47" s="110" t="str">
        <f>IFERROR(IF(ISBLANK(Actuals!D52),"",('Original Budget'!D52-Actuals!D52)/ABS('Original Budget'!D52)),"")</f>
        <v/>
      </c>
      <c r="J47" s="109">
        <f>'Original Budget'!E52</f>
        <v>-11105.35</v>
      </c>
      <c r="K47" s="109">
        <f>IF(ISBLANK(Actuals!E52),"",Actuals!E52)</f>
        <v>-11105.35</v>
      </c>
      <c r="L47" s="110">
        <f>IF(ISBLANK(Actuals!E52),"",'Original Budget'!E52-Actuals!E52)</f>
        <v>0</v>
      </c>
      <c r="M47" s="110">
        <f>IFERROR(IF(ISBLANK(Actuals!E52),"",('Original Budget'!E52-Actuals!E52)/ABS('Original Budget'!E52)),"")</f>
        <v>0</v>
      </c>
      <c r="N47" s="109">
        <f>'Original Budget'!F52</f>
        <v>-3701.78</v>
      </c>
      <c r="O47" s="109">
        <f>IF(ISBLANK(Actuals!F52),"",Actuals!F52)</f>
        <v>0</v>
      </c>
      <c r="P47" s="110">
        <f>IF(ISBLANK(Actuals!F52),"",'Original Budget'!F52-Actuals!F52)</f>
        <v>-3701.78</v>
      </c>
      <c r="Q47" s="110">
        <f>IFERROR(IF(ISBLANK(Actuals!F52),"",('Original Budget'!F52-Actuals!F52)/ABS('Original Budget'!F52)),"")</f>
        <v>-1</v>
      </c>
      <c r="R47" s="109">
        <f>'Original Budget'!G52</f>
        <v>-3701.78</v>
      </c>
      <c r="S47" s="109" t="str">
        <f>IF(ISBLANK(Actuals!G52),"",Actuals!G52)</f>
        <v/>
      </c>
      <c r="T47" s="110" t="str">
        <f>IF(ISBLANK(Actuals!G52),"",'Original Budget'!G52-Actuals!G52)</f>
        <v/>
      </c>
      <c r="U47" s="110" t="str">
        <f>IFERROR(IF(ISBLANK(Actuals!G52),"",('Original Budget'!G52-Actuals!G52)/ABS('Original Budget'!G52)),"")</f>
        <v/>
      </c>
      <c r="V47" s="109">
        <f>'Original Budget'!H52</f>
        <v>-3701.78</v>
      </c>
      <c r="W47" s="109" t="str">
        <f>IF(ISBLANK(Actuals!H52),"",Actuals!H52)</f>
        <v/>
      </c>
      <c r="X47" s="110" t="str">
        <f>IF(ISBLANK(Actuals!H52),"",'Original Budget'!H52-Actuals!H52)</f>
        <v/>
      </c>
      <c r="Y47" s="110" t="str">
        <f>IFERROR(IF(ISBLANK(Actuals!H52),"",('Original Budget'!H52-Actuals!H52)/ABS('Original Budget'!H52)),"")</f>
        <v/>
      </c>
      <c r="Z47" s="109">
        <f>'Original Budget'!I52</f>
        <v>-3701.78</v>
      </c>
      <c r="AA47" s="109" t="str">
        <f>IF(ISBLANK(Actuals!I52),"",Actuals!I52)</f>
        <v/>
      </c>
      <c r="AB47" s="110" t="str">
        <f>IF(ISBLANK(Actuals!I52),"",'Original Budget'!I52-Actuals!I52)</f>
        <v/>
      </c>
      <c r="AC47" s="110" t="str">
        <f>IFERROR(IF(ISBLANK(Actuals!I52),"",('Original Budget'!I52-Actuals!I52)/ABS('Original Budget'!I52)),"")</f>
        <v/>
      </c>
      <c r="AD47" s="109">
        <f>'Original Budget'!J52</f>
        <v>-3701.78</v>
      </c>
      <c r="AE47" s="109" t="str">
        <f>IF(ISBLANK(Actuals!J52),"",Actuals!J52)</f>
        <v/>
      </c>
      <c r="AF47" s="110" t="str">
        <f>IF(ISBLANK(Actuals!J52),"",'Original Budget'!J52-Actuals!J52)</f>
        <v/>
      </c>
      <c r="AG47" s="110" t="str">
        <f>IFERROR(IF(ISBLANK(Actuals!J52),"",('Original Budget'!J52-Actuals!J52)/ABS('Original Budget'!J52)),"")</f>
        <v/>
      </c>
      <c r="AH47" s="109">
        <f>'Original Budget'!K52</f>
        <v>-3701.78</v>
      </c>
      <c r="AI47" s="109" t="str">
        <f>IF(ISBLANK(Actuals!K52),"",Actuals!K52)</f>
        <v/>
      </c>
      <c r="AJ47" s="110" t="str">
        <f>IF(ISBLANK(Actuals!K52),"",'Original Budget'!K52-Actuals!K52)</f>
        <v/>
      </c>
      <c r="AK47" s="110" t="str">
        <f>IFERROR(IF(ISBLANK(Actuals!K52),"",('Original Budget'!K52-Actuals!K52)/ABS('Original Budget'!K52)),"")</f>
        <v/>
      </c>
      <c r="AL47" s="109">
        <f>'Original Budget'!L52</f>
        <v>-3701.78</v>
      </c>
      <c r="AM47" s="109" t="str">
        <f>IF(ISBLANK(Actuals!L52),"",Actuals!L52)</f>
        <v/>
      </c>
      <c r="AN47" s="110" t="str">
        <f>IF(ISBLANK(Actuals!L52),"",'Original Budget'!L52-Actuals!L52)</f>
        <v/>
      </c>
      <c r="AO47" s="110" t="str">
        <f>IFERROR(IF(ISBLANK(Actuals!L52),"",('Original Budget'!L52-Actuals!L52)/ABS('Original Budget'!L52)),"")</f>
        <v/>
      </c>
      <c r="AP47" s="109">
        <f>'Original Budget'!M52</f>
        <v>-3701.78</v>
      </c>
      <c r="AQ47" s="109" t="str">
        <f>IF(ISBLANK(Actuals!M52),"",Actuals!M52)</f>
        <v/>
      </c>
      <c r="AR47" s="110" t="str">
        <f>IF(ISBLANK(Actuals!M52),"",'Original Budget'!M52-Actuals!M52)</f>
        <v/>
      </c>
      <c r="AS47" s="110" t="str">
        <f>IFERROR(IF(ISBLANK(Actuals!M52),"",('Original Budget'!M52-Actuals!M52)/ABS('Original Budget'!M52)),"")</f>
        <v/>
      </c>
      <c r="AT47" s="109">
        <f>'Original Budget'!N52</f>
        <v>-3701.78</v>
      </c>
      <c r="AU47" s="109" t="str">
        <f>IF(ISBLANK(Actuals!N52),"",Actuals!N52)</f>
        <v/>
      </c>
      <c r="AV47" s="110" t="str">
        <f>IF(ISBLANK(Actuals!N52),"",'Original Budget'!N52-Actuals!N52)</f>
        <v/>
      </c>
      <c r="AW47" s="110" t="str">
        <f>IFERROR(IF(ISBLANK(Actuals!N52),"",('Original Budget'!N52-Actuals!N52)/ABS('Original Budget'!N52)),"")</f>
        <v/>
      </c>
      <c r="AX47" s="111">
        <f>SUMPRODUCT((Actuals!C52:N52&lt;&gt;"")*('Original Budget'!C52:N52))</f>
        <v>-14807.130000000001</v>
      </c>
      <c r="AY47" s="111">
        <f>SUM(Actuals!C52:N52)</f>
        <v>-11105.35</v>
      </c>
      <c r="AZ47" s="112">
        <f t="shared" si="1"/>
        <v>-3701.7800000000007</v>
      </c>
    </row>
    <row r="48" spans="1:52" ht="15" customHeight="1" x14ac:dyDescent="0.25">
      <c r="A48" s="108" t="s">
        <v>234</v>
      </c>
      <c r="B48" s="109">
        <f>'Original Budget'!C53</f>
        <v>0</v>
      </c>
      <c r="C48" s="109" t="str">
        <f>IF(ISBLANK(Actuals!C53),"",Actuals!C53)</f>
        <v/>
      </c>
      <c r="D48" s="110" t="str">
        <f>IF(ISBLANK(Actuals!C53),"",'Original Budget'!C53-Actuals!C53)</f>
        <v/>
      </c>
      <c r="E48" s="110" t="str">
        <f>IFERROR(IF(ISBLANK(Actuals!C53),"",('Original Budget'!C53-Actuals!C53)/ABS('Original Budget'!C53)),"")</f>
        <v/>
      </c>
      <c r="F48" s="109">
        <f>'Original Budget'!D53</f>
        <v>0</v>
      </c>
      <c r="G48" s="109" t="str">
        <f>IF(ISBLANK(Actuals!D53),"",Actuals!D53)</f>
        <v/>
      </c>
      <c r="H48" s="110" t="str">
        <f>IF(ISBLANK(Actuals!D53),"",'Original Budget'!D53-Actuals!D53)</f>
        <v/>
      </c>
      <c r="I48" s="110" t="str">
        <f>IFERROR(IF(ISBLANK(Actuals!D53),"",('Original Budget'!D53-Actuals!D53)/ABS('Original Budget'!D53)),"")</f>
        <v/>
      </c>
      <c r="J48" s="109">
        <f>'Original Budget'!E53</f>
        <v>0</v>
      </c>
      <c r="K48" s="109" t="str">
        <f>IF(ISBLANK(Actuals!E53),"",Actuals!E53)</f>
        <v/>
      </c>
      <c r="L48" s="110" t="str">
        <f>IF(ISBLANK(Actuals!E53),"",'Original Budget'!E53-Actuals!E53)</f>
        <v/>
      </c>
      <c r="M48" s="110" t="str">
        <f>IFERROR(IF(ISBLANK(Actuals!E53),"",('Original Budget'!E53-Actuals!E53)/ABS('Original Budget'!E53)),"")</f>
        <v/>
      </c>
      <c r="N48" s="109">
        <f>'Original Budget'!F53</f>
        <v>0</v>
      </c>
      <c r="O48" s="109" t="str">
        <f>IF(ISBLANK(Actuals!F53),"",Actuals!F53)</f>
        <v/>
      </c>
      <c r="P48" s="110" t="str">
        <f>IF(ISBLANK(Actuals!F53),"",'Original Budget'!F53-Actuals!F53)</f>
        <v/>
      </c>
      <c r="Q48" s="110" t="str">
        <f>IFERROR(IF(ISBLANK(Actuals!F53),"",('Original Budget'!F53-Actuals!F53)/ABS('Original Budget'!F53)),"")</f>
        <v/>
      </c>
      <c r="R48" s="109">
        <f>'Original Budget'!G53</f>
        <v>0</v>
      </c>
      <c r="S48" s="109" t="str">
        <f>IF(ISBLANK(Actuals!G53),"",Actuals!G53)</f>
        <v/>
      </c>
      <c r="T48" s="110" t="str">
        <f>IF(ISBLANK(Actuals!G53),"",'Original Budget'!G53-Actuals!G53)</f>
        <v/>
      </c>
      <c r="U48" s="110" t="str">
        <f>IFERROR(IF(ISBLANK(Actuals!G53),"",('Original Budget'!G53-Actuals!G53)/ABS('Original Budget'!G53)),"")</f>
        <v/>
      </c>
      <c r="V48" s="109">
        <f>'Original Budget'!H53</f>
        <v>0</v>
      </c>
      <c r="W48" s="109" t="str">
        <f>IF(ISBLANK(Actuals!H53),"",Actuals!H53)</f>
        <v/>
      </c>
      <c r="X48" s="110" t="str">
        <f>IF(ISBLANK(Actuals!H53),"",'Original Budget'!H53-Actuals!H53)</f>
        <v/>
      </c>
      <c r="Y48" s="110" t="str">
        <f>IFERROR(IF(ISBLANK(Actuals!H53),"",('Original Budget'!H53-Actuals!H53)/ABS('Original Budget'!H53)),"")</f>
        <v/>
      </c>
      <c r="Z48" s="109">
        <f>'Original Budget'!I53</f>
        <v>0</v>
      </c>
      <c r="AA48" s="109" t="str">
        <f>IF(ISBLANK(Actuals!I53),"",Actuals!I53)</f>
        <v/>
      </c>
      <c r="AB48" s="110" t="str">
        <f>IF(ISBLANK(Actuals!I53),"",'Original Budget'!I53-Actuals!I53)</f>
        <v/>
      </c>
      <c r="AC48" s="110" t="str">
        <f>IFERROR(IF(ISBLANK(Actuals!I53),"",('Original Budget'!I53-Actuals!I53)/ABS('Original Budget'!I53)),"")</f>
        <v/>
      </c>
      <c r="AD48" s="109">
        <f>'Original Budget'!J53</f>
        <v>0</v>
      </c>
      <c r="AE48" s="109" t="str">
        <f>IF(ISBLANK(Actuals!J53),"",Actuals!J53)</f>
        <v/>
      </c>
      <c r="AF48" s="110" t="str">
        <f>IF(ISBLANK(Actuals!J53),"",'Original Budget'!J53-Actuals!J53)</f>
        <v/>
      </c>
      <c r="AG48" s="110" t="str">
        <f>IFERROR(IF(ISBLANK(Actuals!J53),"",('Original Budget'!J53-Actuals!J53)/ABS('Original Budget'!J53)),"")</f>
        <v/>
      </c>
      <c r="AH48" s="109">
        <f>'Original Budget'!K53</f>
        <v>0</v>
      </c>
      <c r="AI48" s="109" t="str">
        <f>IF(ISBLANK(Actuals!K53),"",Actuals!K53)</f>
        <v/>
      </c>
      <c r="AJ48" s="110" t="str">
        <f>IF(ISBLANK(Actuals!K53),"",'Original Budget'!K53-Actuals!K53)</f>
        <v/>
      </c>
      <c r="AK48" s="110" t="str">
        <f>IFERROR(IF(ISBLANK(Actuals!K53),"",('Original Budget'!K53-Actuals!K53)/ABS('Original Budget'!K53)),"")</f>
        <v/>
      </c>
      <c r="AL48" s="109">
        <f>'Original Budget'!L53</f>
        <v>0</v>
      </c>
      <c r="AM48" s="109" t="str">
        <f>IF(ISBLANK(Actuals!L53),"",Actuals!L53)</f>
        <v/>
      </c>
      <c r="AN48" s="110" t="str">
        <f>IF(ISBLANK(Actuals!L53),"",'Original Budget'!L53-Actuals!L53)</f>
        <v/>
      </c>
      <c r="AO48" s="110" t="str">
        <f>IFERROR(IF(ISBLANK(Actuals!L53),"",('Original Budget'!L53-Actuals!L53)/ABS('Original Budget'!L53)),"")</f>
        <v/>
      </c>
      <c r="AP48" s="109">
        <f>'Original Budget'!M53</f>
        <v>0</v>
      </c>
      <c r="AQ48" s="109" t="str">
        <f>IF(ISBLANK(Actuals!M53),"",Actuals!M53)</f>
        <v/>
      </c>
      <c r="AR48" s="110" t="str">
        <f>IF(ISBLANK(Actuals!M53),"",'Original Budget'!M53-Actuals!M53)</f>
        <v/>
      </c>
      <c r="AS48" s="110" t="str">
        <f>IFERROR(IF(ISBLANK(Actuals!M53),"",('Original Budget'!M53-Actuals!M53)/ABS('Original Budget'!M53)),"")</f>
        <v/>
      </c>
      <c r="AT48" s="109">
        <f>'Original Budget'!N53</f>
        <v>0</v>
      </c>
      <c r="AU48" s="109" t="str">
        <f>IF(ISBLANK(Actuals!N53),"",Actuals!N53)</f>
        <v/>
      </c>
      <c r="AV48" s="110" t="str">
        <f>IF(ISBLANK(Actuals!N53),"",'Original Budget'!N53-Actuals!N53)</f>
        <v/>
      </c>
      <c r="AW48" s="110" t="str">
        <f>IFERROR(IF(ISBLANK(Actuals!N53),"",('Original Budget'!N53-Actuals!N53)/ABS('Original Budget'!N53)),"")</f>
        <v/>
      </c>
      <c r="AX48" s="111">
        <f>SUMPRODUCT((Actuals!C53:N53&lt;&gt;"")*('Original Budget'!C53:N53))</f>
        <v>0</v>
      </c>
      <c r="AY48" s="111">
        <f>SUM(Actuals!C53:N53)</f>
        <v>0</v>
      </c>
      <c r="AZ48" s="112">
        <f t="shared" si="1"/>
        <v>0</v>
      </c>
    </row>
    <row r="49" spans="1:52" ht="15" customHeight="1" x14ac:dyDescent="0.25">
      <c r="A49" s="108" t="s">
        <v>97</v>
      </c>
      <c r="B49" s="109">
        <f>'Original Budget'!C62</f>
        <v>833.33</v>
      </c>
      <c r="C49" s="109">
        <f>IF(ISBLANK(Actuals!C62),"",Actuals!C62)</f>
        <v>833.33</v>
      </c>
      <c r="D49" s="110">
        <f>IF(ISBLANK(Actuals!C62),"",'Original Budget'!C62-Actuals!C62)</f>
        <v>0</v>
      </c>
      <c r="E49" s="110">
        <f>IFERROR(IF(ISBLANK(Actuals!C62),"",('Original Budget'!C62-Actuals!C62)/ABS('Original Budget'!C62)),"")</f>
        <v>0</v>
      </c>
      <c r="F49" s="109">
        <f>'Original Budget'!D62</f>
        <v>833.33</v>
      </c>
      <c r="G49" s="109">
        <f>IF(ISBLANK(Actuals!D62),"",Actuals!D62)</f>
        <v>833.33</v>
      </c>
      <c r="H49" s="110">
        <f>IF(ISBLANK(Actuals!D62),"",'Original Budget'!D62-Actuals!D62)</f>
        <v>0</v>
      </c>
      <c r="I49" s="110">
        <f>IFERROR(IF(ISBLANK(Actuals!D62),"",('Original Budget'!D62-Actuals!D62)/ABS('Original Budget'!D62)),"")</f>
        <v>0</v>
      </c>
      <c r="J49" s="109">
        <f>'Original Budget'!E62</f>
        <v>833.33</v>
      </c>
      <c r="K49" s="109">
        <f>IF(ISBLANK(Actuals!E62),"",Actuals!E62)</f>
        <v>833.33</v>
      </c>
      <c r="L49" s="110">
        <f>IF(ISBLANK(Actuals!E62),"",'Original Budget'!E62-Actuals!E62)</f>
        <v>0</v>
      </c>
      <c r="M49" s="110">
        <f>IFERROR(IF(ISBLANK(Actuals!E62),"",('Original Budget'!E62-Actuals!E62)/ABS('Original Budget'!E62)),"")</f>
        <v>0</v>
      </c>
      <c r="N49" s="109">
        <f>'Original Budget'!F62</f>
        <v>833.33</v>
      </c>
      <c r="O49" s="109">
        <f>IF(ISBLANK(Actuals!F62),"",Actuals!F62)</f>
        <v>833.33</v>
      </c>
      <c r="P49" s="110">
        <f>IF(ISBLANK(Actuals!F62),"",'Original Budget'!F62-Actuals!F62)</f>
        <v>0</v>
      </c>
      <c r="Q49" s="110">
        <f>IFERROR(IF(ISBLANK(Actuals!F62),"",('Original Budget'!F62-Actuals!F62)/ABS('Original Budget'!F62)),"")</f>
        <v>0</v>
      </c>
      <c r="R49" s="109">
        <f>'Original Budget'!G62</f>
        <v>833.33</v>
      </c>
      <c r="S49" s="109" t="str">
        <f>IF(ISBLANK(Actuals!G62),"",Actuals!G62)</f>
        <v/>
      </c>
      <c r="T49" s="110" t="str">
        <f>IF(ISBLANK(Actuals!G62),"",'Original Budget'!G62-Actuals!G62)</f>
        <v/>
      </c>
      <c r="U49" s="110" t="str">
        <f>IFERROR(IF(ISBLANK(Actuals!G62),"",('Original Budget'!G62-Actuals!G62)/ABS('Original Budget'!G62)),"")</f>
        <v/>
      </c>
      <c r="V49" s="109">
        <f>'Original Budget'!H62</f>
        <v>833.33</v>
      </c>
      <c r="W49" s="109" t="str">
        <f>IF(ISBLANK(Actuals!H62),"",Actuals!H62)</f>
        <v/>
      </c>
      <c r="X49" s="110" t="str">
        <f>IF(ISBLANK(Actuals!H62),"",'Original Budget'!H62-Actuals!H62)</f>
        <v/>
      </c>
      <c r="Y49" s="110" t="str">
        <f>IFERROR(IF(ISBLANK(Actuals!H62),"",('Original Budget'!H62-Actuals!H62)/ABS('Original Budget'!H62)),"")</f>
        <v/>
      </c>
      <c r="Z49" s="109">
        <f>'Original Budget'!I62</f>
        <v>833.33</v>
      </c>
      <c r="AA49" s="109" t="str">
        <f>IF(ISBLANK(Actuals!I62),"",Actuals!I62)</f>
        <v/>
      </c>
      <c r="AB49" s="110" t="str">
        <f>IF(ISBLANK(Actuals!I62),"",'Original Budget'!I62-Actuals!I62)</f>
        <v/>
      </c>
      <c r="AC49" s="110" t="str">
        <f>IFERROR(IF(ISBLANK(Actuals!I62),"",('Original Budget'!I62-Actuals!I62)/ABS('Original Budget'!I62)),"")</f>
        <v/>
      </c>
      <c r="AD49" s="109">
        <f>'Original Budget'!J62</f>
        <v>833.33</v>
      </c>
      <c r="AE49" s="109" t="str">
        <f>IF(ISBLANK(Actuals!J62),"",Actuals!J62)</f>
        <v/>
      </c>
      <c r="AF49" s="110" t="str">
        <f>IF(ISBLANK(Actuals!J62),"",'Original Budget'!J62-Actuals!J62)</f>
        <v/>
      </c>
      <c r="AG49" s="110" t="str">
        <f>IFERROR(IF(ISBLANK(Actuals!J62),"",('Original Budget'!J62-Actuals!J62)/ABS('Original Budget'!J62)),"")</f>
        <v/>
      </c>
      <c r="AH49" s="109">
        <f>'Original Budget'!K62</f>
        <v>0</v>
      </c>
      <c r="AI49" s="109" t="str">
        <f>IF(ISBLANK(Actuals!K62),"",Actuals!K62)</f>
        <v/>
      </c>
      <c r="AJ49" s="110" t="str">
        <f>IF(ISBLANK(Actuals!K62),"",'Original Budget'!K62-Actuals!K62)</f>
        <v/>
      </c>
      <c r="AK49" s="110" t="str">
        <f>IFERROR(IF(ISBLANK(Actuals!K62),"",('Original Budget'!K62-Actuals!K62)/ABS('Original Budget'!K62)),"")</f>
        <v/>
      </c>
      <c r="AL49" s="109">
        <f>'Original Budget'!L62</f>
        <v>0</v>
      </c>
      <c r="AM49" s="109" t="str">
        <f>IF(ISBLANK(Actuals!L62),"",Actuals!L62)</f>
        <v/>
      </c>
      <c r="AN49" s="110" t="str">
        <f>IF(ISBLANK(Actuals!L62),"",'Original Budget'!L62-Actuals!L62)</f>
        <v/>
      </c>
      <c r="AO49" s="110" t="str">
        <f>IFERROR(IF(ISBLANK(Actuals!L62),"",('Original Budget'!L62-Actuals!L62)/ABS('Original Budget'!L62)),"")</f>
        <v/>
      </c>
      <c r="AP49" s="109">
        <f>'Original Budget'!M62</f>
        <v>0</v>
      </c>
      <c r="AQ49" s="109" t="str">
        <f>IF(ISBLANK(Actuals!M62),"",Actuals!M62)</f>
        <v/>
      </c>
      <c r="AR49" s="110" t="str">
        <f>IF(ISBLANK(Actuals!M62),"",'Original Budget'!M62-Actuals!M62)</f>
        <v/>
      </c>
      <c r="AS49" s="110" t="str">
        <f>IFERROR(IF(ISBLANK(Actuals!M62),"",('Original Budget'!M62-Actuals!M62)/ABS('Original Budget'!M62)),"")</f>
        <v/>
      </c>
      <c r="AT49" s="109">
        <f>'Original Budget'!N62</f>
        <v>0</v>
      </c>
      <c r="AU49" s="109" t="str">
        <f>IF(ISBLANK(Actuals!N62),"",Actuals!N62)</f>
        <v/>
      </c>
      <c r="AV49" s="110" t="str">
        <f>IF(ISBLANK(Actuals!N62),"",'Original Budget'!N62-Actuals!N62)</f>
        <v/>
      </c>
      <c r="AW49" s="110" t="str">
        <f>IFERROR(IF(ISBLANK(Actuals!N62),"",('Original Budget'!N62-Actuals!N62)/ABS('Original Budget'!N62)),"")</f>
        <v/>
      </c>
      <c r="AX49" s="111">
        <f>SUMPRODUCT((Actuals!C62:N62&lt;&gt;"")*('Original Budget'!C62:N62))</f>
        <v>3333.32</v>
      </c>
      <c r="AY49" s="111">
        <f>SUM(Actuals!C62:N62)</f>
        <v>3333.32</v>
      </c>
      <c r="AZ49" s="112">
        <f t="shared" si="1"/>
        <v>0</v>
      </c>
    </row>
    <row r="50" spans="1:52" ht="15" customHeight="1" x14ac:dyDescent="0.25">
      <c r="A50" s="108" t="s">
        <v>98</v>
      </c>
      <c r="B50" s="109">
        <f>'Original Budget'!C63</f>
        <v>23906.25</v>
      </c>
      <c r="C50" s="109">
        <f>IF(ISBLANK(Actuals!C63),"",Actuals!C63)</f>
        <v>23906.25</v>
      </c>
      <c r="D50" s="110">
        <f>IF(ISBLANK(Actuals!C63),"",'Original Budget'!C63-Actuals!C63)</f>
        <v>0</v>
      </c>
      <c r="E50" s="110">
        <f>IFERROR(IF(ISBLANK(Actuals!C63),"",('Original Budget'!C63-Actuals!C63)/ABS('Original Budget'!C63)),"")</f>
        <v>0</v>
      </c>
      <c r="F50" s="109">
        <f>'Original Budget'!D63</f>
        <v>23906.25</v>
      </c>
      <c r="G50" s="109">
        <f>IF(ISBLANK(Actuals!D63),"",Actuals!D63)</f>
        <v>23906.25</v>
      </c>
      <c r="H50" s="110">
        <f>IF(ISBLANK(Actuals!D63),"",'Original Budget'!D63-Actuals!D63)</f>
        <v>0</v>
      </c>
      <c r="I50" s="110">
        <f>IFERROR(IF(ISBLANK(Actuals!D63),"",('Original Budget'!D63-Actuals!D63)/ABS('Original Budget'!D63)),"")</f>
        <v>0</v>
      </c>
      <c r="J50" s="109">
        <f>'Original Budget'!E63</f>
        <v>23906.25</v>
      </c>
      <c r="K50" s="109">
        <f>IF(ISBLANK(Actuals!E63),"",Actuals!E63)</f>
        <v>23906.25</v>
      </c>
      <c r="L50" s="110">
        <f>IF(ISBLANK(Actuals!E63),"",'Original Budget'!E63-Actuals!E63)</f>
        <v>0</v>
      </c>
      <c r="M50" s="110">
        <f>IFERROR(IF(ISBLANK(Actuals!E63),"",('Original Budget'!E63-Actuals!E63)/ABS('Original Budget'!E63)),"")</f>
        <v>0</v>
      </c>
      <c r="N50" s="109">
        <f>'Original Budget'!F63</f>
        <v>23906.25</v>
      </c>
      <c r="O50" s="109">
        <f>IF(ISBLANK(Actuals!F63),"",Actuals!F63)</f>
        <v>23906.25</v>
      </c>
      <c r="P50" s="110">
        <f>IF(ISBLANK(Actuals!F63),"",'Original Budget'!F63-Actuals!F63)</f>
        <v>0</v>
      </c>
      <c r="Q50" s="110">
        <f>IFERROR(IF(ISBLANK(Actuals!F63),"",('Original Budget'!F63-Actuals!F63)/ABS('Original Budget'!F63)),"")</f>
        <v>0</v>
      </c>
      <c r="R50" s="109">
        <f>'Original Budget'!G63</f>
        <v>23906.25</v>
      </c>
      <c r="S50" s="109" t="str">
        <f>IF(ISBLANK(Actuals!G63),"",Actuals!G63)</f>
        <v/>
      </c>
      <c r="T50" s="110" t="str">
        <f>IF(ISBLANK(Actuals!G63),"",'Original Budget'!G63-Actuals!G63)</f>
        <v/>
      </c>
      <c r="U50" s="110" t="str">
        <f>IFERROR(IF(ISBLANK(Actuals!G63),"",('Original Budget'!G63-Actuals!G63)/ABS('Original Budget'!G63)),"")</f>
        <v/>
      </c>
      <c r="V50" s="109">
        <f>'Original Budget'!H63</f>
        <v>23906.25</v>
      </c>
      <c r="W50" s="109" t="str">
        <f>IF(ISBLANK(Actuals!H63),"",Actuals!H63)</f>
        <v/>
      </c>
      <c r="X50" s="110" t="str">
        <f>IF(ISBLANK(Actuals!H63),"",'Original Budget'!H63-Actuals!H63)</f>
        <v/>
      </c>
      <c r="Y50" s="110" t="str">
        <f>IFERROR(IF(ISBLANK(Actuals!H63),"",('Original Budget'!H63-Actuals!H63)/ABS('Original Budget'!H63)),"")</f>
        <v/>
      </c>
      <c r="Z50" s="109">
        <f>'Original Budget'!I63</f>
        <v>23906.25</v>
      </c>
      <c r="AA50" s="109" t="str">
        <f>IF(ISBLANK(Actuals!I63),"",Actuals!I63)</f>
        <v/>
      </c>
      <c r="AB50" s="110" t="str">
        <f>IF(ISBLANK(Actuals!I63),"",'Original Budget'!I63-Actuals!I63)</f>
        <v/>
      </c>
      <c r="AC50" s="110" t="str">
        <f>IFERROR(IF(ISBLANK(Actuals!I63),"",('Original Budget'!I63-Actuals!I63)/ABS('Original Budget'!I63)),"")</f>
        <v/>
      </c>
      <c r="AD50" s="109">
        <f>'Original Budget'!J63</f>
        <v>23906.25</v>
      </c>
      <c r="AE50" s="109" t="str">
        <f>IF(ISBLANK(Actuals!J63),"",Actuals!J63)</f>
        <v/>
      </c>
      <c r="AF50" s="110" t="str">
        <f>IF(ISBLANK(Actuals!J63),"",'Original Budget'!J63-Actuals!J63)</f>
        <v/>
      </c>
      <c r="AG50" s="110" t="str">
        <f>IFERROR(IF(ISBLANK(Actuals!J63),"",('Original Budget'!J63-Actuals!J63)/ABS('Original Budget'!J63)),"")</f>
        <v/>
      </c>
      <c r="AH50" s="109">
        <f>'Original Budget'!K63</f>
        <v>23906.25</v>
      </c>
      <c r="AI50" s="109" t="str">
        <f>IF(ISBLANK(Actuals!K63),"",Actuals!K63)</f>
        <v/>
      </c>
      <c r="AJ50" s="110" t="str">
        <f>IF(ISBLANK(Actuals!K63),"",'Original Budget'!K63-Actuals!K63)</f>
        <v/>
      </c>
      <c r="AK50" s="110" t="str">
        <f>IFERROR(IF(ISBLANK(Actuals!K63),"",('Original Budget'!K63-Actuals!K63)/ABS('Original Budget'!K63)),"")</f>
        <v/>
      </c>
      <c r="AL50" s="109">
        <f>'Original Budget'!L63</f>
        <v>23906.25</v>
      </c>
      <c r="AM50" s="109" t="str">
        <f>IF(ISBLANK(Actuals!L63),"",Actuals!L63)</f>
        <v/>
      </c>
      <c r="AN50" s="110" t="str">
        <f>IF(ISBLANK(Actuals!L63),"",'Original Budget'!L63-Actuals!L63)</f>
        <v/>
      </c>
      <c r="AO50" s="110" t="str">
        <f>IFERROR(IF(ISBLANK(Actuals!L63),"",('Original Budget'!L63-Actuals!L63)/ABS('Original Budget'!L63)),"")</f>
        <v/>
      </c>
      <c r="AP50" s="109">
        <f>'Original Budget'!M63</f>
        <v>23906.25</v>
      </c>
      <c r="AQ50" s="109" t="str">
        <f>IF(ISBLANK(Actuals!M63),"",Actuals!M63)</f>
        <v/>
      </c>
      <c r="AR50" s="110" t="str">
        <f>IF(ISBLANK(Actuals!M63),"",'Original Budget'!M63-Actuals!M63)</f>
        <v/>
      </c>
      <c r="AS50" s="110" t="str">
        <f>IFERROR(IF(ISBLANK(Actuals!M63),"",('Original Budget'!M63-Actuals!M63)/ABS('Original Budget'!M63)),"")</f>
        <v/>
      </c>
      <c r="AT50" s="109">
        <f>'Original Budget'!N63</f>
        <v>23906.25</v>
      </c>
      <c r="AU50" s="109" t="str">
        <f>IF(ISBLANK(Actuals!N63),"",Actuals!N63)</f>
        <v/>
      </c>
      <c r="AV50" s="110" t="str">
        <f>IF(ISBLANK(Actuals!N63),"",'Original Budget'!N63-Actuals!N63)</f>
        <v/>
      </c>
      <c r="AW50" s="110" t="str">
        <f>IFERROR(IF(ISBLANK(Actuals!N63),"",('Original Budget'!N63-Actuals!N63)/ABS('Original Budget'!N63)),"")</f>
        <v/>
      </c>
      <c r="AX50" s="111">
        <f>SUMPRODUCT((Actuals!C63:N63&lt;&gt;"")*('Original Budget'!C63:N63))</f>
        <v>95625</v>
      </c>
      <c r="AY50" s="111">
        <f>SUM(Actuals!C63:N63)</f>
        <v>95625</v>
      </c>
      <c r="AZ50" s="112">
        <f t="shared" si="1"/>
        <v>0</v>
      </c>
    </row>
    <row r="51" spans="1:52" ht="15" customHeight="1" x14ac:dyDescent="0.25">
      <c r="A51" s="108" t="s">
        <v>99</v>
      </c>
      <c r="B51" s="109">
        <f>'Original Budget'!C64</f>
        <v>0</v>
      </c>
      <c r="C51" s="109" t="str">
        <f>IF(ISBLANK(Actuals!C64),"",Actuals!C64)</f>
        <v/>
      </c>
      <c r="D51" s="110" t="str">
        <f>IF(ISBLANK(Actuals!C64),"",'Original Budget'!C64-Actuals!C64)</f>
        <v/>
      </c>
      <c r="E51" s="110" t="str">
        <f>IFERROR(IF(ISBLANK(Actuals!C64),"",('Original Budget'!C64-Actuals!C64)/ABS('Original Budget'!C64)),"")</f>
        <v/>
      </c>
      <c r="F51" s="109">
        <f>'Original Budget'!D64</f>
        <v>0</v>
      </c>
      <c r="G51" s="109" t="str">
        <f>IF(ISBLANK(Actuals!D64),"",Actuals!D64)</f>
        <v/>
      </c>
      <c r="H51" s="110" t="str">
        <f>IF(ISBLANK(Actuals!D64),"",'Original Budget'!D64-Actuals!D64)</f>
        <v/>
      </c>
      <c r="I51" s="110" t="str">
        <f>IFERROR(IF(ISBLANK(Actuals!D64),"",('Original Budget'!D64-Actuals!D64)/ABS('Original Budget'!D64)),"")</f>
        <v/>
      </c>
      <c r="J51" s="109">
        <f>'Original Budget'!E64</f>
        <v>0</v>
      </c>
      <c r="K51" s="109" t="str">
        <f>IF(ISBLANK(Actuals!E64),"",Actuals!E64)</f>
        <v/>
      </c>
      <c r="L51" s="110" t="str">
        <f>IF(ISBLANK(Actuals!E64),"",'Original Budget'!E64-Actuals!E64)</f>
        <v/>
      </c>
      <c r="M51" s="110" t="str">
        <f>IFERROR(IF(ISBLANK(Actuals!E64),"",('Original Budget'!E64-Actuals!E64)/ABS('Original Budget'!E64)),"")</f>
        <v/>
      </c>
      <c r="N51" s="109">
        <f>'Original Budget'!F64</f>
        <v>0</v>
      </c>
      <c r="O51" s="109" t="str">
        <f>IF(ISBLANK(Actuals!F64),"",Actuals!F64)</f>
        <v/>
      </c>
      <c r="P51" s="110" t="str">
        <f>IF(ISBLANK(Actuals!F64),"",'Original Budget'!F64-Actuals!F64)</f>
        <v/>
      </c>
      <c r="Q51" s="110" t="str">
        <f>IFERROR(IF(ISBLANK(Actuals!F64),"",('Original Budget'!F64-Actuals!F64)/ABS('Original Budget'!F64)),"")</f>
        <v/>
      </c>
      <c r="R51" s="109">
        <f>'Original Budget'!G64</f>
        <v>0</v>
      </c>
      <c r="S51" s="109" t="str">
        <f>IF(ISBLANK(Actuals!G64),"",Actuals!G64)</f>
        <v/>
      </c>
      <c r="T51" s="110" t="str">
        <f>IF(ISBLANK(Actuals!G64),"",'Original Budget'!G64-Actuals!G64)</f>
        <v/>
      </c>
      <c r="U51" s="110" t="str">
        <f>IFERROR(IF(ISBLANK(Actuals!G64),"",('Original Budget'!G64-Actuals!G64)/ABS('Original Budget'!G64)),"")</f>
        <v/>
      </c>
      <c r="V51" s="109">
        <f>'Original Budget'!H64</f>
        <v>0</v>
      </c>
      <c r="W51" s="109" t="str">
        <f>IF(ISBLANK(Actuals!H64),"",Actuals!H64)</f>
        <v/>
      </c>
      <c r="X51" s="110" t="str">
        <f>IF(ISBLANK(Actuals!H64),"",'Original Budget'!H64-Actuals!H64)</f>
        <v/>
      </c>
      <c r="Y51" s="110" t="str">
        <f>IFERROR(IF(ISBLANK(Actuals!H64),"",('Original Budget'!H64-Actuals!H64)/ABS('Original Budget'!H64)),"")</f>
        <v/>
      </c>
      <c r="Z51" s="109">
        <f>'Original Budget'!I64</f>
        <v>0</v>
      </c>
      <c r="AA51" s="109" t="str">
        <f>IF(ISBLANK(Actuals!I64),"",Actuals!I64)</f>
        <v/>
      </c>
      <c r="AB51" s="110" t="str">
        <f>IF(ISBLANK(Actuals!I64),"",'Original Budget'!I64-Actuals!I64)</f>
        <v/>
      </c>
      <c r="AC51" s="110" t="str">
        <f>IFERROR(IF(ISBLANK(Actuals!I64),"",('Original Budget'!I64-Actuals!I64)/ABS('Original Budget'!I64)),"")</f>
        <v/>
      </c>
      <c r="AD51" s="109">
        <f>'Original Budget'!J64</f>
        <v>0</v>
      </c>
      <c r="AE51" s="109" t="str">
        <f>IF(ISBLANK(Actuals!J64),"",Actuals!J64)</f>
        <v/>
      </c>
      <c r="AF51" s="110" t="str">
        <f>IF(ISBLANK(Actuals!J64),"",'Original Budget'!J64-Actuals!J64)</f>
        <v/>
      </c>
      <c r="AG51" s="110" t="str">
        <f>IFERROR(IF(ISBLANK(Actuals!J64),"",('Original Budget'!J64-Actuals!J64)/ABS('Original Budget'!J64)),"")</f>
        <v/>
      </c>
      <c r="AH51" s="109">
        <f>'Original Budget'!K64</f>
        <v>0</v>
      </c>
      <c r="AI51" s="109" t="str">
        <f>IF(ISBLANK(Actuals!K64),"",Actuals!K64)</f>
        <v/>
      </c>
      <c r="AJ51" s="110" t="str">
        <f>IF(ISBLANK(Actuals!K64),"",'Original Budget'!K64-Actuals!K64)</f>
        <v/>
      </c>
      <c r="AK51" s="110" t="str">
        <f>IFERROR(IF(ISBLANK(Actuals!K64),"",('Original Budget'!K64-Actuals!K64)/ABS('Original Budget'!K64)),"")</f>
        <v/>
      </c>
      <c r="AL51" s="109">
        <f>'Original Budget'!L64</f>
        <v>0</v>
      </c>
      <c r="AM51" s="109" t="str">
        <f>IF(ISBLANK(Actuals!L64),"",Actuals!L64)</f>
        <v/>
      </c>
      <c r="AN51" s="110" t="str">
        <f>IF(ISBLANK(Actuals!L64),"",'Original Budget'!L64-Actuals!L64)</f>
        <v/>
      </c>
      <c r="AO51" s="110" t="str">
        <f>IFERROR(IF(ISBLANK(Actuals!L64),"",('Original Budget'!L64-Actuals!L64)/ABS('Original Budget'!L64)),"")</f>
        <v/>
      </c>
      <c r="AP51" s="109">
        <f>'Original Budget'!M64</f>
        <v>0</v>
      </c>
      <c r="AQ51" s="109" t="str">
        <f>IF(ISBLANK(Actuals!M64),"",Actuals!M64)</f>
        <v/>
      </c>
      <c r="AR51" s="110" t="str">
        <f>IF(ISBLANK(Actuals!M64),"",'Original Budget'!M64-Actuals!M64)</f>
        <v/>
      </c>
      <c r="AS51" s="110" t="str">
        <f>IFERROR(IF(ISBLANK(Actuals!M64),"",('Original Budget'!M64-Actuals!M64)/ABS('Original Budget'!M64)),"")</f>
        <v/>
      </c>
      <c r="AT51" s="109">
        <f>'Original Budget'!N64</f>
        <v>0</v>
      </c>
      <c r="AU51" s="109" t="str">
        <f>IF(ISBLANK(Actuals!N64),"",Actuals!N64)</f>
        <v/>
      </c>
      <c r="AV51" s="110" t="str">
        <f>IF(ISBLANK(Actuals!N64),"",'Original Budget'!N64-Actuals!N64)</f>
        <v/>
      </c>
      <c r="AW51" s="110" t="str">
        <f>IFERROR(IF(ISBLANK(Actuals!N64),"",('Original Budget'!N64-Actuals!N64)/ABS('Original Budget'!N64)),"")</f>
        <v/>
      </c>
      <c r="AX51" s="111">
        <f>SUMPRODUCT((Actuals!C64:N64&lt;&gt;"")*('Original Budget'!C64:N64))</f>
        <v>0</v>
      </c>
      <c r="AY51" s="111">
        <f>SUM(Actuals!C64:N64)</f>
        <v>0</v>
      </c>
      <c r="AZ51" s="112">
        <f t="shared" si="1"/>
        <v>0</v>
      </c>
    </row>
    <row r="52" spans="1:52" ht="15" customHeight="1" x14ac:dyDescent="0.25">
      <c r="A52" s="108" t="s">
        <v>100</v>
      </c>
      <c r="B52" s="109">
        <f>'Original Budget'!C65</f>
        <v>0</v>
      </c>
      <c r="C52" s="109" t="str">
        <f>IF(ISBLANK(Actuals!C65),"",Actuals!C65)</f>
        <v/>
      </c>
      <c r="D52" s="110" t="str">
        <f>IF(ISBLANK(Actuals!C65),"",'Original Budget'!C65-Actuals!C65)</f>
        <v/>
      </c>
      <c r="E52" s="110" t="str">
        <f>IFERROR(IF(ISBLANK(Actuals!C65),"",('Original Budget'!C65-Actuals!C65)/ABS('Original Budget'!C65)),"")</f>
        <v/>
      </c>
      <c r="F52" s="109">
        <f>'Original Budget'!D65</f>
        <v>0</v>
      </c>
      <c r="G52" s="109" t="str">
        <f>IF(ISBLANK(Actuals!D65),"",Actuals!D65)</f>
        <v/>
      </c>
      <c r="H52" s="110" t="str">
        <f>IF(ISBLANK(Actuals!D65),"",'Original Budget'!D65-Actuals!D65)</f>
        <v/>
      </c>
      <c r="I52" s="110" t="str">
        <f>IFERROR(IF(ISBLANK(Actuals!D65),"",('Original Budget'!D65-Actuals!D65)/ABS('Original Budget'!D65)),"")</f>
        <v/>
      </c>
      <c r="J52" s="109">
        <f>'Original Budget'!E65</f>
        <v>0</v>
      </c>
      <c r="K52" s="109" t="str">
        <f>IF(ISBLANK(Actuals!E65),"",Actuals!E65)</f>
        <v/>
      </c>
      <c r="L52" s="110" t="str">
        <f>IF(ISBLANK(Actuals!E65),"",'Original Budget'!E65-Actuals!E65)</f>
        <v/>
      </c>
      <c r="M52" s="110" t="str">
        <f>IFERROR(IF(ISBLANK(Actuals!E65),"",('Original Budget'!E65-Actuals!E65)/ABS('Original Budget'!E65)),"")</f>
        <v/>
      </c>
      <c r="N52" s="109">
        <f>'Original Budget'!F65</f>
        <v>0</v>
      </c>
      <c r="O52" s="109" t="str">
        <f>IF(ISBLANK(Actuals!F65),"",Actuals!F65)</f>
        <v/>
      </c>
      <c r="P52" s="110" t="str">
        <f>IF(ISBLANK(Actuals!F65),"",'Original Budget'!F65-Actuals!F65)</f>
        <v/>
      </c>
      <c r="Q52" s="110" t="str">
        <f>IFERROR(IF(ISBLANK(Actuals!F65),"",('Original Budget'!F65-Actuals!F65)/ABS('Original Budget'!F65)),"")</f>
        <v/>
      </c>
      <c r="R52" s="109">
        <f>'Original Budget'!G65</f>
        <v>0</v>
      </c>
      <c r="S52" s="109" t="str">
        <f>IF(ISBLANK(Actuals!G65),"",Actuals!G65)</f>
        <v/>
      </c>
      <c r="T52" s="110" t="str">
        <f>IF(ISBLANK(Actuals!G65),"",'Original Budget'!G65-Actuals!G65)</f>
        <v/>
      </c>
      <c r="U52" s="110" t="str">
        <f>IFERROR(IF(ISBLANK(Actuals!G65),"",('Original Budget'!G65-Actuals!G65)/ABS('Original Budget'!G65)),"")</f>
        <v/>
      </c>
      <c r="V52" s="109">
        <f>'Original Budget'!H65</f>
        <v>0</v>
      </c>
      <c r="W52" s="109" t="str">
        <f>IF(ISBLANK(Actuals!H65),"",Actuals!H65)</f>
        <v/>
      </c>
      <c r="X52" s="110" t="str">
        <f>IF(ISBLANK(Actuals!H65),"",'Original Budget'!H65-Actuals!H65)</f>
        <v/>
      </c>
      <c r="Y52" s="110" t="str">
        <f>IFERROR(IF(ISBLANK(Actuals!H65),"",('Original Budget'!H65-Actuals!H65)/ABS('Original Budget'!H65)),"")</f>
        <v/>
      </c>
      <c r="Z52" s="109">
        <f>'Original Budget'!I65</f>
        <v>0</v>
      </c>
      <c r="AA52" s="109" t="str">
        <f>IF(ISBLANK(Actuals!I65),"",Actuals!I65)</f>
        <v/>
      </c>
      <c r="AB52" s="110" t="str">
        <f>IF(ISBLANK(Actuals!I65),"",'Original Budget'!I65-Actuals!I65)</f>
        <v/>
      </c>
      <c r="AC52" s="110" t="str">
        <f>IFERROR(IF(ISBLANK(Actuals!I65),"",('Original Budget'!I65-Actuals!I65)/ABS('Original Budget'!I65)),"")</f>
        <v/>
      </c>
      <c r="AD52" s="109">
        <f>'Original Budget'!J65</f>
        <v>0</v>
      </c>
      <c r="AE52" s="109" t="str">
        <f>IF(ISBLANK(Actuals!J65),"",Actuals!J65)</f>
        <v/>
      </c>
      <c r="AF52" s="110" t="str">
        <f>IF(ISBLANK(Actuals!J65),"",'Original Budget'!J65-Actuals!J65)</f>
        <v/>
      </c>
      <c r="AG52" s="110" t="str">
        <f>IFERROR(IF(ISBLANK(Actuals!J65),"",('Original Budget'!J65-Actuals!J65)/ABS('Original Budget'!J65)),"")</f>
        <v/>
      </c>
      <c r="AH52" s="109">
        <f>'Original Budget'!K65</f>
        <v>0</v>
      </c>
      <c r="AI52" s="109" t="str">
        <f>IF(ISBLANK(Actuals!K65),"",Actuals!K65)</f>
        <v/>
      </c>
      <c r="AJ52" s="110" t="str">
        <f>IF(ISBLANK(Actuals!K65),"",'Original Budget'!K65-Actuals!K65)</f>
        <v/>
      </c>
      <c r="AK52" s="110" t="str">
        <f>IFERROR(IF(ISBLANK(Actuals!K65),"",('Original Budget'!K65-Actuals!K65)/ABS('Original Budget'!K65)),"")</f>
        <v/>
      </c>
      <c r="AL52" s="109">
        <f>'Original Budget'!L65</f>
        <v>0</v>
      </c>
      <c r="AM52" s="109" t="str">
        <f>IF(ISBLANK(Actuals!L65),"",Actuals!L65)</f>
        <v/>
      </c>
      <c r="AN52" s="110" t="str">
        <f>IF(ISBLANK(Actuals!L65),"",'Original Budget'!L65-Actuals!L65)</f>
        <v/>
      </c>
      <c r="AO52" s="110" t="str">
        <f>IFERROR(IF(ISBLANK(Actuals!L65),"",('Original Budget'!L65-Actuals!L65)/ABS('Original Budget'!L65)),"")</f>
        <v/>
      </c>
      <c r="AP52" s="109">
        <f>'Original Budget'!M65</f>
        <v>0</v>
      </c>
      <c r="AQ52" s="109" t="str">
        <f>IF(ISBLANK(Actuals!M65),"",Actuals!M65)</f>
        <v/>
      </c>
      <c r="AR52" s="110" t="str">
        <f>IF(ISBLANK(Actuals!M65),"",'Original Budget'!M65-Actuals!M65)</f>
        <v/>
      </c>
      <c r="AS52" s="110" t="str">
        <f>IFERROR(IF(ISBLANK(Actuals!M65),"",('Original Budget'!M65-Actuals!M65)/ABS('Original Budget'!M65)),"")</f>
        <v/>
      </c>
      <c r="AT52" s="109">
        <f>'Original Budget'!N65</f>
        <v>0</v>
      </c>
      <c r="AU52" s="109" t="str">
        <f>IF(ISBLANK(Actuals!N65),"",Actuals!N65)</f>
        <v/>
      </c>
      <c r="AV52" s="110" t="str">
        <f>IF(ISBLANK(Actuals!N65),"",'Original Budget'!N65-Actuals!N65)</f>
        <v/>
      </c>
      <c r="AW52" s="110" t="str">
        <f>IFERROR(IF(ISBLANK(Actuals!N65),"",('Original Budget'!N65-Actuals!N65)/ABS('Original Budget'!N65)),"")</f>
        <v/>
      </c>
      <c r="AX52" s="111">
        <f>SUMPRODUCT((Actuals!C65:N65&lt;&gt;"")*('Original Budget'!C65:N65))</f>
        <v>0</v>
      </c>
      <c r="AY52" s="111">
        <f>SUM(Actuals!C65:N65)</f>
        <v>0</v>
      </c>
      <c r="AZ52" s="112">
        <f t="shared" si="1"/>
        <v>0</v>
      </c>
    </row>
    <row r="53" spans="1:52" ht="15" customHeight="1" x14ac:dyDescent="0.25">
      <c r="A53" s="108" t="s">
        <v>101</v>
      </c>
      <c r="B53" s="109">
        <f>'Original Budget'!C66</f>
        <v>0</v>
      </c>
      <c r="C53" s="109" t="str">
        <f>IF(ISBLANK(Actuals!C66),"",Actuals!C66)</f>
        <v/>
      </c>
      <c r="D53" s="110" t="str">
        <f>IF(ISBLANK(Actuals!C66),"",'Original Budget'!C66-Actuals!C66)</f>
        <v/>
      </c>
      <c r="E53" s="110" t="str">
        <f>IFERROR(IF(ISBLANK(Actuals!C66),"",('Original Budget'!C66-Actuals!C66)/ABS('Original Budget'!C66)),"")</f>
        <v/>
      </c>
      <c r="F53" s="109">
        <f>'Original Budget'!D66</f>
        <v>0</v>
      </c>
      <c r="G53" s="109" t="str">
        <f>IF(ISBLANK(Actuals!D66),"",Actuals!D66)</f>
        <v/>
      </c>
      <c r="H53" s="110" t="str">
        <f>IF(ISBLANK(Actuals!D66),"",'Original Budget'!D66-Actuals!D66)</f>
        <v/>
      </c>
      <c r="I53" s="110" t="str">
        <f>IFERROR(IF(ISBLANK(Actuals!D66),"",('Original Budget'!D66-Actuals!D66)/ABS('Original Budget'!D66)),"")</f>
        <v/>
      </c>
      <c r="J53" s="109">
        <f>'Original Budget'!E66</f>
        <v>0</v>
      </c>
      <c r="K53" s="109" t="str">
        <f>IF(ISBLANK(Actuals!E66),"",Actuals!E66)</f>
        <v/>
      </c>
      <c r="L53" s="110" t="str">
        <f>IF(ISBLANK(Actuals!E66),"",'Original Budget'!E66-Actuals!E66)</f>
        <v/>
      </c>
      <c r="M53" s="110" t="str">
        <f>IFERROR(IF(ISBLANK(Actuals!E66),"",('Original Budget'!E66-Actuals!E66)/ABS('Original Budget'!E66)),"")</f>
        <v/>
      </c>
      <c r="N53" s="109">
        <f>'Original Budget'!F66</f>
        <v>0</v>
      </c>
      <c r="O53" s="109" t="str">
        <f>IF(ISBLANK(Actuals!F66),"",Actuals!F66)</f>
        <v/>
      </c>
      <c r="P53" s="110" t="str">
        <f>IF(ISBLANK(Actuals!F66),"",'Original Budget'!F66-Actuals!F66)</f>
        <v/>
      </c>
      <c r="Q53" s="110" t="str">
        <f>IFERROR(IF(ISBLANK(Actuals!F66),"",('Original Budget'!F66-Actuals!F66)/ABS('Original Budget'!F66)),"")</f>
        <v/>
      </c>
      <c r="R53" s="109">
        <f>'Original Budget'!G66</f>
        <v>0</v>
      </c>
      <c r="S53" s="109" t="str">
        <f>IF(ISBLANK(Actuals!G66),"",Actuals!G66)</f>
        <v/>
      </c>
      <c r="T53" s="110" t="str">
        <f>IF(ISBLANK(Actuals!G66),"",'Original Budget'!G66-Actuals!G66)</f>
        <v/>
      </c>
      <c r="U53" s="110" t="str">
        <f>IFERROR(IF(ISBLANK(Actuals!G66),"",('Original Budget'!G66-Actuals!G66)/ABS('Original Budget'!G66)),"")</f>
        <v/>
      </c>
      <c r="V53" s="109">
        <f>'Original Budget'!H66</f>
        <v>0</v>
      </c>
      <c r="W53" s="109" t="str">
        <f>IF(ISBLANK(Actuals!H66),"",Actuals!H66)</f>
        <v/>
      </c>
      <c r="X53" s="110" t="str">
        <f>IF(ISBLANK(Actuals!H66),"",'Original Budget'!H66-Actuals!H66)</f>
        <v/>
      </c>
      <c r="Y53" s="110" t="str">
        <f>IFERROR(IF(ISBLANK(Actuals!H66),"",('Original Budget'!H66-Actuals!H66)/ABS('Original Budget'!H66)),"")</f>
        <v/>
      </c>
      <c r="Z53" s="109">
        <f>'Original Budget'!I66</f>
        <v>0</v>
      </c>
      <c r="AA53" s="109" t="str">
        <f>IF(ISBLANK(Actuals!I66),"",Actuals!I66)</f>
        <v/>
      </c>
      <c r="AB53" s="110" t="str">
        <f>IF(ISBLANK(Actuals!I66),"",'Original Budget'!I66-Actuals!I66)</f>
        <v/>
      </c>
      <c r="AC53" s="110" t="str">
        <f>IFERROR(IF(ISBLANK(Actuals!I66),"",('Original Budget'!I66-Actuals!I66)/ABS('Original Budget'!I66)),"")</f>
        <v/>
      </c>
      <c r="AD53" s="109">
        <f>'Original Budget'!J66</f>
        <v>0</v>
      </c>
      <c r="AE53" s="109" t="str">
        <f>IF(ISBLANK(Actuals!J66),"",Actuals!J66)</f>
        <v/>
      </c>
      <c r="AF53" s="110" t="str">
        <f>IF(ISBLANK(Actuals!J66),"",'Original Budget'!J66-Actuals!J66)</f>
        <v/>
      </c>
      <c r="AG53" s="110" t="str">
        <f>IFERROR(IF(ISBLANK(Actuals!J66),"",('Original Budget'!J66-Actuals!J66)/ABS('Original Budget'!J66)),"")</f>
        <v/>
      </c>
      <c r="AH53" s="109">
        <f>'Original Budget'!K66</f>
        <v>0</v>
      </c>
      <c r="AI53" s="109" t="str">
        <f>IF(ISBLANK(Actuals!K66),"",Actuals!K66)</f>
        <v/>
      </c>
      <c r="AJ53" s="110" t="str">
        <f>IF(ISBLANK(Actuals!K66),"",'Original Budget'!K66-Actuals!K66)</f>
        <v/>
      </c>
      <c r="AK53" s="110" t="str">
        <f>IFERROR(IF(ISBLANK(Actuals!K66),"",('Original Budget'!K66-Actuals!K66)/ABS('Original Budget'!K66)),"")</f>
        <v/>
      </c>
      <c r="AL53" s="109">
        <f>'Original Budget'!L66</f>
        <v>0</v>
      </c>
      <c r="AM53" s="109" t="str">
        <f>IF(ISBLANK(Actuals!L66),"",Actuals!L66)</f>
        <v/>
      </c>
      <c r="AN53" s="110" t="str">
        <f>IF(ISBLANK(Actuals!L66),"",'Original Budget'!L66-Actuals!L66)</f>
        <v/>
      </c>
      <c r="AO53" s="110" t="str">
        <f>IFERROR(IF(ISBLANK(Actuals!L66),"",('Original Budget'!L66-Actuals!L66)/ABS('Original Budget'!L66)),"")</f>
        <v/>
      </c>
      <c r="AP53" s="109">
        <f>'Original Budget'!M66</f>
        <v>0</v>
      </c>
      <c r="AQ53" s="109" t="str">
        <f>IF(ISBLANK(Actuals!M66),"",Actuals!M66)</f>
        <v/>
      </c>
      <c r="AR53" s="110" t="str">
        <f>IF(ISBLANK(Actuals!M66),"",'Original Budget'!M66-Actuals!M66)</f>
        <v/>
      </c>
      <c r="AS53" s="110" t="str">
        <f>IFERROR(IF(ISBLANK(Actuals!M66),"",('Original Budget'!M66-Actuals!M66)/ABS('Original Budget'!M66)),"")</f>
        <v/>
      </c>
      <c r="AT53" s="109">
        <f>'Original Budget'!N66</f>
        <v>0</v>
      </c>
      <c r="AU53" s="109" t="str">
        <f>IF(ISBLANK(Actuals!N66),"",Actuals!N66)</f>
        <v/>
      </c>
      <c r="AV53" s="110" t="str">
        <f>IF(ISBLANK(Actuals!N66),"",'Original Budget'!N66-Actuals!N66)</f>
        <v/>
      </c>
      <c r="AW53" s="110" t="str">
        <f>IFERROR(IF(ISBLANK(Actuals!N66),"",('Original Budget'!N66-Actuals!N66)/ABS('Original Budget'!N66)),"")</f>
        <v/>
      </c>
      <c r="AX53" s="111">
        <f>SUMPRODUCT((Actuals!C66:N66&lt;&gt;"")*('Original Budget'!C66:N66))</f>
        <v>0</v>
      </c>
      <c r="AY53" s="111">
        <f>SUM(Actuals!C66:N66)</f>
        <v>0</v>
      </c>
      <c r="AZ53" s="112">
        <f t="shared" si="1"/>
        <v>0</v>
      </c>
    </row>
    <row r="54" spans="1:52" ht="15" customHeight="1" x14ac:dyDescent="0.25">
      <c r="A54" s="108" t="s">
        <v>102</v>
      </c>
      <c r="B54" s="109">
        <f>'Original Budget'!C67</f>
        <v>9375</v>
      </c>
      <c r="C54" s="109">
        <f>IF(ISBLANK(Actuals!C67),"",Actuals!C67)</f>
        <v>9375</v>
      </c>
      <c r="D54" s="110">
        <f>IF(ISBLANK(Actuals!C67),"",'Original Budget'!C67-Actuals!C67)</f>
        <v>0</v>
      </c>
      <c r="E54" s="110">
        <f>IFERROR(IF(ISBLANK(Actuals!C67),"",('Original Budget'!C67-Actuals!C67)/ABS('Original Budget'!C67)),"")</f>
        <v>0</v>
      </c>
      <c r="F54" s="109">
        <f>'Original Budget'!D67</f>
        <v>9375</v>
      </c>
      <c r="G54" s="109">
        <f>IF(ISBLANK(Actuals!D67),"",Actuals!D67)</f>
        <v>9375</v>
      </c>
      <c r="H54" s="110">
        <f>IF(ISBLANK(Actuals!D67),"",'Original Budget'!D67-Actuals!D67)</f>
        <v>0</v>
      </c>
      <c r="I54" s="110">
        <f>IFERROR(IF(ISBLANK(Actuals!D67),"",('Original Budget'!D67-Actuals!D67)/ABS('Original Budget'!D67)),"")</f>
        <v>0</v>
      </c>
      <c r="J54" s="109">
        <f>'Original Budget'!E67</f>
        <v>9375</v>
      </c>
      <c r="K54" s="109">
        <f>IF(ISBLANK(Actuals!E67),"",Actuals!E67)</f>
        <v>9375</v>
      </c>
      <c r="L54" s="110">
        <f>IF(ISBLANK(Actuals!E67),"",'Original Budget'!E67-Actuals!E67)</f>
        <v>0</v>
      </c>
      <c r="M54" s="110">
        <f>IFERROR(IF(ISBLANK(Actuals!E67),"",('Original Budget'!E67-Actuals!E67)/ABS('Original Budget'!E67)),"")</f>
        <v>0</v>
      </c>
      <c r="N54" s="109">
        <f>'Original Budget'!F67</f>
        <v>9375</v>
      </c>
      <c r="O54" s="109">
        <f>IF(ISBLANK(Actuals!F67),"",Actuals!F67)</f>
        <v>9375</v>
      </c>
      <c r="P54" s="110">
        <f>IF(ISBLANK(Actuals!F67),"",'Original Budget'!F67-Actuals!F67)</f>
        <v>0</v>
      </c>
      <c r="Q54" s="110">
        <f>IFERROR(IF(ISBLANK(Actuals!F67),"",('Original Budget'!F67-Actuals!F67)/ABS('Original Budget'!F67)),"")</f>
        <v>0</v>
      </c>
      <c r="R54" s="109">
        <f>'Original Budget'!G67</f>
        <v>9375</v>
      </c>
      <c r="S54" s="109" t="str">
        <f>IF(ISBLANK(Actuals!G67),"",Actuals!G67)</f>
        <v/>
      </c>
      <c r="T54" s="110" t="str">
        <f>IF(ISBLANK(Actuals!G67),"",'Original Budget'!G67-Actuals!G67)</f>
        <v/>
      </c>
      <c r="U54" s="110" t="str">
        <f>IFERROR(IF(ISBLANK(Actuals!G67),"",('Original Budget'!G67-Actuals!G67)/ABS('Original Budget'!G67)),"")</f>
        <v/>
      </c>
      <c r="V54" s="109">
        <f>'Original Budget'!H67</f>
        <v>9375</v>
      </c>
      <c r="W54" s="109" t="str">
        <f>IF(ISBLANK(Actuals!H67),"",Actuals!H67)</f>
        <v/>
      </c>
      <c r="X54" s="110" t="str">
        <f>IF(ISBLANK(Actuals!H67),"",'Original Budget'!H67-Actuals!H67)</f>
        <v/>
      </c>
      <c r="Y54" s="110" t="str">
        <f>IFERROR(IF(ISBLANK(Actuals!H67),"",('Original Budget'!H67-Actuals!H67)/ABS('Original Budget'!H67)),"")</f>
        <v/>
      </c>
      <c r="Z54" s="109">
        <f>'Original Budget'!I67</f>
        <v>9375</v>
      </c>
      <c r="AA54" s="109" t="str">
        <f>IF(ISBLANK(Actuals!I67),"",Actuals!I67)</f>
        <v/>
      </c>
      <c r="AB54" s="110" t="str">
        <f>IF(ISBLANK(Actuals!I67),"",'Original Budget'!I67-Actuals!I67)</f>
        <v/>
      </c>
      <c r="AC54" s="110" t="str">
        <f>IFERROR(IF(ISBLANK(Actuals!I67),"",('Original Budget'!I67-Actuals!I67)/ABS('Original Budget'!I67)),"")</f>
        <v/>
      </c>
      <c r="AD54" s="109">
        <f>'Original Budget'!J67</f>
        <v>9375</v>
      </c>
      <c r="AE54" s="109" t="str">
        <f>IF(ISBLANK(Actuals!J67),"",Actuals!J67)</f>
        <v/>
      </c>
      <c r="AF54" s="110" t="str">
        <f>IF(ISBLANK(Actuals!J67),"",'Original Budget'!J67-Actuals!J67)</f>
        <v/>
      </c>
      <c r="AG54" s="110" t="str">
        <f>IFERROR(IF(ISBLANK(Actuals!J67),"",('Original Budget'!J67-Actuals!J67)/ABS('Original Budget'!J67)),"")</f>
        <v/>
      </c>
      <c r="AH54" s="109">
        <f>'Original Budget'!K67</f>
        <v>9375</v>
      </c>
      <c r="AI54" s="109" t="str">
        <f>IF(ISBLANK(Actuals!K67),"",Actuals!K67)</f>
        <v/>
      </c>
      <c r="AJ54" s="110" t="str">
        <f>IF(ISBLANK(Actuals!K67),"",'Original Budget'!K67-Actuals!K67)</f>
        <v/>
      </c>
      <c r="AK54" s="110" t="str">
        <f>IFERROR(IF(ISBLANK(Actuals!K67),"",('Original Budget'!K67-Actuals!K67)/ABS('Original Budget'!K67)),"")</f>
        <v/>
      </c>
      <c r="AL54" s="109">
        <f>'Original Budget'!L67</f>
        <v>9375</v>
      </c>
      <c r="AM54" s="109" t="str">
        <f>IF(ISBLANK(Actuals!L67),"",Actuals!L67)</f>
        <v/>
      </c>
      <c r="AN54" s="110" t="str">
        <f>IF(ISBLANK(Actuals!L67),"",'Original Budget'!L67-Actuals!L67)</f>
        <v/>
      </c>
      <c r="AO54" s="110" t="str">
        <f>IFERROR(IF(ISBLANK(Actuals!L67),"",('Original Budget'!L67-Actuals!L67)/ABS('Original Budget'!L67)),"")</f>
        <v/>
      </c>
      <c r="AP54" s="109">
        <f>'Original Budget'!M67</f>
        <v>0</v>
      </c>
      <c r="AQ54" s="109" t="str">
        <f>IF(ISBLANK(Actuals!M67),"",Actuals!M67)</f>
        <v/>
      </c>
      <c r="AR54" s="110" t="str">
        <f>IF(ISBLANK(Actuals!M67),"",'Original Budget'!M67-Actuals!M67)</f>
        <v/>
      </c>
      <c r="AS54" s="110" t="str">
        <f>IFERROR(IF(ISBLANK(Actuals!M67),"",('Original Budget'!M67-Actuals!M67)/ABS('Original Budget'!M67)),"")</f>
        <v/>
      </c>
      <c r="AT54" s="109">
        <f>'Original Budget'!N67</f>
        <v>0</v>
      </c>
      <c r="AU54" s="109" t="str">
        <f>IF(ISBLANK(Actuals!N67),"",Actuals!N67)</f>
        <v/>
      </c>
      <c r="AV54" s="110" t="str">
        <f>IF(ISBLANK(Actuals!N67),"",'Original Budget'!N67-Actuals!N67)</f>
        <v/>
      </c>
      <c r="AW54" s="110" t="str">
        <f>IFERROR(IF(ISBLANK(Actuals!N67),"",('Original Budget'!N67-Actuals!N67)/ABS('Original Budget'!N67)),"")</f>
        <v/>
      </c>
      <c r="AX54" s="111">
        <f>SUMPRODUCT((Actuals!C67:N67&lt;&gt;"")*('Original Budget'!C67:N67))</f>
        <v>37500</v>
      </c>
      <c r="AY54" s="111">
        <f>SUM(Actuals!C67:N67)</f>
        <v>37500</v>
      </c>
      <c r="AZ54" s="112">
        <f t="shared" si="1"/>
        <v>0</v>
      </c>
    </row>
    <row r="55" spans="1:52" ht="15" customHeight="1" x14ac:dyDescent="0.25">
      <c r="A55" s="108" t="s">
        <v>103</v>
      </c>
      <c r="B55" s="109">
        <f>'Original Budget'!C68</f>
        <v>0</v>
      </c>
      <c r="C55" s="109" t="str">
        <f>IF(ISBLANK(Actuals!C68),"",Actuals!C68)</f>
        <v/>
      </c>
      <c r="D55" s="110" t="str">
        <f>IF(ISBLANK(Actuals!C68),"",'Original Budget'!C68-Actuals!C68)</f>
        <v/>
      </c>
      <c r="E55" s="110" t="str">
        <f>IFERROR(IF(ISBLANK(Actuals!C68),"",('Original Budget'!C68-Actuals!C68)/ABS('Original Budget'!C68)),"")</f>
        <v/>
      </c>
      <c r="F55" s="109">
        <f>'Original Budget'!D68</f>
        <v>0</v>
      </c>
      <c r="G55" s="109" t="str">
        <f>IF(ISBLANK(Actuals!D68),"",Actuals!D68)</f>
        <v/>
      </c>
      <c r="H55" s="110" t="str">
        <f>IF(ISBLANK(Actuals!D68),"",'Original Budget'!D68-Actuals!D68)</f>
        <v/>
      </c>
      <c r="I55" s="110" t="str">
        <f>IFERROR(IF(ISBLANK(Actuals!D68),"",('Original Budget'!D68-Actuals!D68)/ABS('Original Budget'!D68)),"")</f>
        <v/>
      </c>
      <c r="J55" s="109">
        <f>'Original Budget'!E68</f>
        <v>0</v>
      </c>
      <c r="K55" s="109" t="str">
        <f>IF(ISBLANK(Actuals!E68),"",Actuals!E68)</f>
        <v/>
      </c>
      <c r="L55" s="110" t="str">
        <f>IF(ISBLANK(Actuals!E68),"",'Original Budget'!E68-Actuals!E68)</f>
        <v/>
      </c>
      <c r="M55" s="110" t="str">
        <f>IFERROR(IF(ISBLANK(Actuals!E68),"",('Original Budget'!E68-Actuals!E68)/ABS('Original Budget'!E68)),"")</f>
        <v/>
      </c>
      <c r="N55" s="109">
        <f>'Original Budget'!F68</f>
        <v>9500</v>
      </c>
      <c r="O55" s="109" t="str">
        <f>IF(ISBLANK(Actuals!F68),"",Actuals!F68)</f>
        <v/>
      </c>
      <c r="P55" s="110" t="str">
        <f>IF(ISBLANK(Actuals!F68),"",'Original Budget'!F68-Actuals!F68)</f>
        <v/>
      </c>
      <c r="Q55" s="110" t="str">
        <f>IFERROR(IF(ISBLANK(Actuals!F68),"",('Original Budget'!F68-Actuals!F68)/ABS('Original Budget'!F68)),"")</f>
        <v/>
      </c>
      <c r="R55" s="109">
        <f>'Original Budget'!G68</f>
        <v>9500</v>
      </c>
      <c r="S55" s="109" t="str">
        <f>IF(ISBLANK(Actuals!G68),"",Actuals!G68)</f>
        <v/>
      </c>
      <c r="T55" s="110" t="str">
        <f>IF(ISBLANK(Actuals!G68),"",'Original Budget'!G68-Actuals!G68)</f>
        <v/>
      </c>
      <c r="U55" s="110" t="str">
        <f>IFERROR(IF(ISBLANK(Actuals!G68),"",('Original Budget'!G68-Actuals!G68)/ABS('Original Budget'!G68)),"")</f>
        <v/>
      </c>
      <c r="V55" s="109">
        <f>'Original Budget'!H68</f>
        <v>9500</v>
      </c>
      <c r="W55" s="109" t="str">
        <f>IF(ISBLANK(Actuals!H68),"",Actuals!H68)</f>
        <v/>
      </c>
      <c r="X55" s="110" t="str">
        <f>IF(ISBLANK(Actuals!H68),"",'Original Budget'!H68-Actuals!H68)</f>
        <v/>
      </c>
      <c r="Y55" s="110" t="str">
        <f>IFERROR(IF(ISBLANK(Actuals!H68),"",('Original Budget'!H68-Actuals!H68)/ABS('Original Budget'!H68)),"")</f>
        <v/>
      </c>
      <c r="Z55" s="109">
        <f>'Original Budget'!I68</f>
        <v>9500</v>
      </c>
      <c r="AA55" s="109" t="str">
        <f>IF(ISBLANK(Actuals!I68),"",Actuals!I68)</f>
        <v/>
      </c>
      <c r="AB55" s="110" t="str">
        <f>IF(ISBLANK(Actuals!I68),"",'Original Budget'!I68-Actuals!I68)</f>
        <v/>
      </c>
      <c r="AC55" s="110" t="str">
        <f>IFERROR(IF(ISBLANK(Actuals!I68),"",('Original Budget'!I68-Actuals!I68)/ABS('Original Budget'!I68)),"")</f>
        <v/>
      </c>
      <c r="AD55" s="109">
        <f>'Original Budget'!J68</f>
        <v>9500</v>
      </c>
      <c r="AE55" s="109" t="str">
        <f>IF(ISBLANK(Actuals!J68),"",Actuals!J68)</f>
        <v/>
      </c>
      <c r="AF55" s="110" t="str">
        <f>IF(ISBLANK(Actuals!J68),"",'Original Budget'!J68-Actuals!J68)</f>
        <v/>
      </c>
      <c r="AG55" s="110" t="str">
        <f>IFERROR(IF(ISBLANK(Actuals!J68),"",('Original Budget'!J68-Actuals!J68)/ABS('Original Budget'!J68)),"")</f>
        <v/>
      </c>
      <c r="AH55" s="109">
        <f>'Original Budget'!K68</f>
        <v>9500</v>
      </c>
      <c r="AI55" s="109" t="str">
        <f>IF(ISBLANK(Actuals!K68),"",Actuals!K68)</f>
        <v/>
      </c>
      <c r="AJ55" s="110" t="str">
        <f>IF(ISBLANK(Actuals!K68),"",'Original Budget'!K68-Actuals!K68)</f>
        <v/>
      </c>
      <c r="AK55" s="110" t="str">
        <f>IFERROR(IF(ISBLANK(Actuals!K68),"",('Original Budget'!K68-Actuals!K68)/ABS('Original Budget'!K68)),"")</f>
        <v/>
      </c>
      <c r="AL55" s="109">
        <f>'Original Budget'!L68</f>
        <v>9500</v>
      </c>
      <c r="AM55" s="109" t="str">
        <f>IF(ISBLANK(Actuals!L68),"",Actuals!L68)</f>
        <v/>
      </c>
      <c r="AN55" s="110" t="str">
        <f>IF(ISBLANK(Actuals!L68),"",'Original Budget'!L68-Actuals!L68)</f>
        <v/>
      </c>
      <c r="AO55" s="110" t="str">
        <f>IFERROR(IF(ISBLANK(Actuals!L68),"",('Original Budget'!L68-Actuals!L68)/ABS('Original Budget'!L68)),"")</f>
        <v/>
      </c>
      <c r="AP55" s="109">
        <f>'Original Budget'!M68</f>
        <v>9500</v>
      </c>
      <c r="AQ55" s="109" t="str">
        <f>IF(ISBLANK(Actuals!M68),"",Actuals!M68)</f>
        <v/>
      </c>
      <c r="AR55" s="110" t="str">
        <f>IF(ISBLANK(Actuals!M68),"",'Original Budget'!M68-Actuals!M68)</f>
        <v/>
      </c>
      <c r="AS55" s="110" t="str">
        <f>IFERROR(IF(ISBLANK(Actuals!M68),"",('Original Budget'!M68-Actuals!M68)/ABS('Original Budget'!M68)),"")</f>
        <v/>
      </c>
      <c r="AT55" s="109">
        <f>'Original Budget'!N68</f>
        <v>9500</v>
      </c>
      <c r="AU55" s="109" t="str">
        <f>IF(ISBLANK(Actuals!N68),"",Actuals!N68)</f>
        <v/>
      </c>
      <c r="AV55" s="110" t="str">
        <f>IF(ISBLANK(Actuals!N68),"",'Original Budget'!N68-Actuals!N68)</f>
        <v/>
      </c>
      <c r="AW55" s="110" t="str">
        <f>IFERROR(IF(ISBLANK(Actuals!N68),"",('Original Budget'!N68-Actuals!N68)/ABS('Original Budget'!N68)),"")</f>
        <v/>
      </c>
      <c r="AX55" s="111">
        <f>SUMPRODUCT((Actuals!C68:N68&lt;&gt;"")*('Original Budget'!C68:N68))</f>
        <v>0</v>
      </c>
      <c r="AY55" s="111">
        <f>SUM(Actuals!C68:N68)</f>
        <v>0</v>
      </c>
      <c r="AZ55" s="112">
        <f t="shared" si="1"/>
        <v>0</v>
      </c>
    </row>
    <row r="56" spans="1:52" ht="15" customHeight="1" x14ac:dyDescent="0.25">
      <c r="A56" s="108" t="s">
        <v>104</v>
      </c>
      <c r="B56" s="109">
        <f>'Original Budget'!C69</f>
        <v>0</v>
      </c>
      <c r="C56" s="109" t="str">
        <f>IF(ISBLANK(Actuals!C69),"",Actuals!C69)</f>
        <v/>
      </c>
      <c r="D56" s="110" t="str">
        <f>IF(ISBLANK(Actuals!C69),"",'Original Budget'!C69-Actuals!C69)</f>
        <v/>
      </c>
      <c r="E56" s="110" t="str">
        <f>IFERROR(IF(ISBLANK(Actuals!C69),"",('Original Budget'!C69-Actuals!C69)/ABS('Original Budget'!C69)),"")</f>
        <v/>
      </c>
      <c r="F56" s="109">
        <f>'Original Budget'!D69</f>
        <v>0</v>
      </c>
      <c r="G56" s="109" t="str">
        <f>IF(ISBLANK(Actuals!D69),"",Actuals!D69)</f>
        <v/>
      </c>
      <c r="H56" s="110" t="str">
        <f>IF(ISBLANK(Actuals!D69),"",'Original Budget'!D69-Actuals!D69)</f>
        <v/>
      </c>
      <c r="I56" s="110" t="str">
        <f>IFERROR(IF(ISBLANK(Actuals!D69),"",('Original Budget'!D69-Actuals!D69)/ABS('Original Budget'!D69)),"")</f>
        <v/>
      </c>
      <c r="J56" s="109">
        <f>'Original Budget'!E69</f>
        <v>0</v>
      </c>
      <c r="K56" s="109" t="str">
        <f>IF(ISBLANK(Actuals!E69),"",Actuals!E69)</f>
        <v/>
      </c>
      <c r="L56" s="110" t="str">
        <f>IF(ISBLANK(Actuals!E69),"",'Original Budget'!E69-Actuals!E69)</f>
        <v/>
      </c>
      <c r="M56" s="110" t="str">
        <f>IFERROR(IF(ISBLANK(Actuals!E69),"",('Original Budget'!E69-Actuals!E69)/ABS('Original Budget'!E69)),"")</f>
        <v/>
      </c>
      <c r="N56" s="109">
        <f>'Original Budget'!F69</f>
        <v>0</v>
      </c>
      <c r="O56" s="109" t="str">
        <f>IF(ISBLANK(Actuals!F69),"",Actuals!F69)</f>
        <v/>
      </c>
      <c r="P56" s="110" t="str">
        <f>IF(ISBLANK(Actuals!F69),"",'Original Budget'!F69-Actuals!F69)</f>
        <v/>
      </c>
      <c r="Q56" s="110" t="str">
        <f>IFERROR(IF(ISBLANK(Actuals!F69),"",('Original Budget'!F69-Actuals!F69)/ABS('Original Budget'!F69)),"")</f>
        <v/>
      </c>
      <c r="R56" s="109">
        <f>'Original Budget'!G69</f>
        <v>0</v>
      </c>
      <c r="S56" s="109" t="str">
        <f>IF(ISBLANK(Actuals!G69),"",Actuals!G69)</f>
        <v/>
      </c>
      <c r="T56" s="110" t="str">
        <f>IF(ISBLANK(Actuals!G69),"",'Original Budget'!G69-Actuals!G69)</f>
        <v/>
      </c>
      <c r="U56" s="110" t="str">
        <f>IFERROR(IF(ISBLANK(Actuals!G69),"",('Original Budget'!G69-Actuals!G69)/ABS('Original Budget'!G69)),"")</f>
        <v/>
      </c>
      <c r="V56" s="109">
        <f>'Original Budget'!H69</f>
        <v>0</v>
      </c>
      <c r="W56" s="109" t="str">
        <f>IF(ISBLANK(Actuals!H69),"",Actuals!H69)</f>
        <v/>
      </c>
      <c r="X56" s="110" t="str">
        <f>IF(ISBLANK(Actuals!H69),"",'Original Budget'!H69-Actuals!H69)</f>
        <v/>
      </c>
      <c r="Y56" s="110" t="str">
        <f>IFERROR(IF(ISBLANK(Actuals!H69),"",('Original Budget'!H69-Actuals!H69)/ABS('Original Budget'!H69)),"")</f>
        <v/>
      </c>
      <c r="Z56" s="109">
        <f>'Original Budget'!I69</f>
        <v>0</v>
      </c>
      <c r="AA56" s="109" t="str">
        <f>IF(ISBLANK(Actuals!I69),"",Actuals!I69)</f>
        <v/>
      </c>
      <c r="AB56" s="110" t="str">
        <f>IF(ISBLANK(Actuals!I69),"",'Original Budget'!I69-Actuals!I69)</f>
        <v/>
      </c>
      <c r="AC56" s="110" t="str">
        <f>IFERROR(IF(ISBLANK(Actuals!I69),"",('Original Budget'!I69-Actuals!I69)/ABS('Original Budget'!I69)),"")</f>
        <v/>
      </c>
      <c r="AD56" s="109">
        <f>'Original Budget'!J69</f>
        <v>0</v>
      </c>
      <c r="AE56" s="109" t="str">
        <f>IF(ISBLANK(Actuals!J69),"",Actuals!J69)</f>
        <v/>
      </c>
      <c r="AF56" s="110" t="str">
        <f>IF(ISBLANK(Actuals!J69),"",'Original Budget'!J69-Actuals!J69)</f>
        <v/>
      </c>
      <c r="AG56" s="110" t="str">
        <f>IFERROR(IF(ISBLANK(Actuals!J69),"",('Original Budget'!J69-Actuals!J69)/ABS('Original Budget'!J69)),"")</f>
        <v/>
      </c>
      <c r="AH56" s="109">
        <f>'Original Budget'!K69</f>
        <v>0</v>
      </c>
      <c r="AI56" s="109" t="str">
        <f>IF(ISBLANK(Actuals!K69),"",Actuals!K69)</f>
        <v/>
      </c>
      <c r="AJ56" s="110" t="str">
        <f>IF(ISBLANK(Actuals!K69),"",'Original Budget'!K69-Actuals!K69)</f>
        <v/>
      </c>
      <c r="AK56" s="110" t="str">
        <f>IFERROR(IF(ISBLANK(Actuals!K69),"",('Original Budget'!K69-Actuals!K69)/ABS('Original Budget'!K69)),"")</f>
        <v/>
      </c>
      <c r="AL56" s="109">
        <f>'Original Budget'!L69</f>
        <v>0</v>
      </c>
      <c r="AM56" s="109" t="str">
        <f>IF(ISBLANK(Actuals!L69),"",Actuals!L69)</f>
        <v/>
      </c>
      <c r="AN56" s="110" t="str">
        <f>IF(ISBLANK(Actuals!L69),"",'Original Budget'!L69-Actuals!L69)</f>
        <v/>
      </c>
      <c r="AO56" s="110" t="str">
        <f>IFERROR(IF(ISBLANK(Actuals!L69),"",('Original Budget'!L69-Actuals!L69)/ABS('Original Budget'!L69)),"")</f>
        <v/>
      </c>
      <c r="AP56" s="109">
        <f>'Original Budget'!M69</f>
        <v>0</v>
      </c>
      <c r="AQ56" s="109" t="str">
        <f>IF(ISBLANK(Actuals!M69),"",Actuals!M69)</f>
        <v/>
      </c>
      <c r="AR56" s="110" t="str">
        <f>IF(ISBLANK(Actuals!M69),"",'Original Budget'!M69-Actuals!M69)</f>
        <v/>
      </c>
      <c r="AS56" s="110" t="str">
        <f>IFERROR(IF(ISBLANK(Actuals!M69),"",('Original Budget'!M69-Actuals!M69)/ABS('Original Budget'!M69)),"")</f>
        <v/>
      </c>
      <c r="AT56" s="109">
        <f>'Original Budget'!N69</f>
        <v>0</v>
      </c>
      <c r="AU56" s="109" t="str">
        <f>IF(ISBLANK(Actuals!N69),"",Actuals!N69)</f>
        <v/>
      </c>
      <c r="AV56" s="110" t="str">
        <f>IF(ISBLANK(Actuals!N69),"",'Original Budget'!N69-Actuals!N69)</f>
        <v/>
      </c>
      <c r="AW56" s="110" t="str">
        <f>IFERROR(IF(ISBLANK(Actuals!N69),"",('Original Budget'!N69-Actuals!N69)/ABS('Original Budget'!N69)),"")</f>
        <v/>
      </c>
      <c r="AX56" s="111">
        <f>SUMPRODUCT((Actuals!C69:N69&lt;&gt;"")*('Original Budget'!C69:N69))</f>
        <v>0</v>
      </c>
      <c r="AY56" s="111">
        <f>SUM(Actuals!C69:N69)</f>
        <v>0</v>
      </c>
      <c r="AZ56" s="112">
        <f t="shared" si="1"/>
        <v>0</v>
      </c>
    </row>
    <row r="57" spans="1:52" ht="15" customHeight="1" x14ac:dyDescent="0.25">
      <c r="A57" s="108" t="s">
        <v>105</v>
      </c>
      <c r="B57" s="109">
        <f>'Original Budget'!C70</f>
        <v>0</v>
      </c>
      <c r="C57" s="109" t="str">
        <f>IF(ISBLANK(Actuals!C70),"",Actuals!C70)</f>
        <v/>
      </c>
      <c r="D57" s="110" t="str">
        <f>IF(ISBLANK(Actuals!C70),"",'Original Budget'!C70-Actuals!C70)</f>
        <v/>
      </c>
      <c r="E57" s="110" t="str">
        <f>IFERROR(IF(ISBLANK(Actuals!C70),"",('Original Budget'!C70-Actuals!C70)/ABS('Original Budget'!C70)),"")</f>
        <v/>
      </c>
      <c r="F57" s="109">
        <f>'Original Budget'!D70</f>
        <v>0</v>
      </c>
      <c r="G57" s="109" t="str">
        <f>IF(ISBLANK(Actuals!D70),"",Actuals!D70)</f>
        <v/>
      </c>
      <c r="H57" s="110" t="str">
        <f>IF(ISBLANK(Actuals!D70),"",'Original Budget'!D70-Actuals!D70)</f>
        <v/>
      </c>
      <c r="I57" s="110" t="str">
        <f>IFERROR(IF(ISBLANK(Actuals!D70),"",('Original Budget'!D70-Actuals!D70)/ABS('Original Budget'!D70)),"")</f>
        <v/>
      </c>
      <c r="J57" s="109">
        <f>'Original Budget'!E70</f>
        <v>0</v>
      </c>
      <c r="K57" s="109" t="str">
        <f>IF(ISBLANK(Actuals!E70),"",Actuals!E70)</f>
        <v/>
      </c>
      <c r="L57" s="110" t="str">
        <f>IF(ISBLANK(Actuals!E70),"",'Original Budget'!E70-Actuals!E70)</f>
        <v/>
      </c>
      <c r="M57" s="110" t="str">
        <f>IFERROR(IF(ISBLANK(Actuals!E70),"",('Original Budget'!E70-Actuals!E70)/ABS('Original Budget'!E70)),"")</f>
        <v/>
      </c>
      <c r="N57" s="109">
        <f>'Original Budget'!F70</f>
        <v>0</v>
      </c>
      <c r="O57" s="109" t="str">
        <f>IF(ISBLANK(Actuals!F70),"",Actuals!F70)</f>
        <v/>
      </c>
      <c r="P57" s="110" t="str">
        <f>IF(ISBLANK(Actuals!F70),"",'Original Budget'!F70-Actuals!F70)</f>
        <v/>
      </c>
      <c r="Q57" s="110" t="str">
        <f>IFERROR(IF(ISBLANK(Actuals!F70),"",('Original Budget'!F70-Actuals!F70)/ABS('Original Budget'!F70)),"")</f>
        <v/>
      </c>
      <c r="R57" s="109">
        <f>'Original Budget'!G70</f>
        <v>0</v>
      </c>
      <c r="S57" s="109" t="str">
        <f>IF(ISBLANK(Actuals!G70),"",Actuals!G70)</f>
        <v/>
      </c>
      <c r="T57" s="110" t="str">
        <f>IF(ISBLANK(Actuals!G70),"",'Original Budget'!G70-Actuals!G70)</f>
        <v/>
      </c>
      <c r="U57" s="110" t="str">
        <f>IFERROR(IF(ISBLANK(Actuals!G70),"",('Original Budget'!G70-Actuals!G70)/ABS('Original Budget'!G70)),"")</f>
        <v/>
      </c>
      <c r="V57" s="109">
        <f>'Original Budget'!H70</f>
        <v>0</v>
      </c>
      <c r="W57" s="109" t="str">
        <f>IF(ISBLANK(Actuals!H70),"",Actuals!H70)</f>
        <v/>
      </c>
      <c r="X57" s="110" t="str">
        <f>IF(ISBLANK(Actuals!H70),"",'Original Budget'!H70-Actuals!H70)</f>
        <v/>
      </c>
      <c r="Y57" s="110" t="str">
        <f>IFERROR(IF(ISBLANK(Actuals!H70),"",('Original Budget'!H70-Actuals!H70)/ABS('Original Budget'!H70)),"")</f>
        <v/>
      </c>
      <c r="Z57" s="109">
        <f>'Original Budget'!I70</f>
        <v>0</v>
      </c>
      <c r="AA57" s="109" t="str">
        <f>IF(ISBLANK(Actuals!I70),"",Actuals!I70)</f>
        <v/>
      </c>
      <c r="AB57" s="110" t="str">
        <f>IF(ISBLANK(Actuals!I70),"",'Original Budget'!I70-Actuals!I70)</f>
        <v/>
      </c>
      <c r="AC57" s="110" t="str">
        <f>IFERROR(IF(ISBLANK(Actuals!I70),"",('Original Budget'!I70-Actuals!I70)/ABS('Original Budget'!I70)),"")</f>
        <v/>
      </c>
      <c r="AD57" s="109">
        <f>'Original Budget'!J70</f>
        <v>0</v>
      </c>
      <c r="AE57" s="109" t="str">
        <f>IF(ISBLANK(Actuals!J70),"",Actuals!J70)</f>
        <v/>
      </c>
      <c r="AF57" s="110" t="str">
        <f>IF(ISBLANK(Actuals!J70),"",'Original Budget'!J70-Actuals!J70)</f>
        <v/>
      </c>
      <c r="AG57" s="110" t="str">
        <f>IFERROR(IF(ISBLANK(Actuals!J70),"",('Original Budget'!J70-Actuals!J70)/ABS('Original Budget'!J70)),"")</f>
        <v/>
      </c>
      <c r="AH57" s="109">
        <f>'Original Budget'!K70</f>
        <v>0</v>
      </c>
      <c r="AI57" s="109" t="str">
        <f>IF(ISBLANK(Actuals!K70),"",Actuals!K70)</f>
        <v/>
      </c>
      <c r="AJ57" s="110" t="str">
        <f>IF(ISBLANK(Actuals!K70),"",'Original Budget'!K70-Actuals!K70)</f>
        <v/>
      </c>
      <c r="AK57" s="110" t="str">
        <f>IFERROR(IF(ISBLANK(Actuals!K70),"",('Original Budget'!K70-Actuals!K70)/ABS('Original Budget'!K70)),"")</f>
        <v/>
      </c>
      <c r="AL57" s="109">
        <f>'Original Budget'!L70</f>
        <v>0</v>
      </c>
      <c r="AM57" s="109" t="str">
        <f>IF(ISBLANK(Actuals!L70),"",Actuals!L70)</f>
        <v/>
      </c>
      <c r="AN57" s="110" t="str">
        <f>IF(ISBLANK(Actuals!L70),"",'Original Budget'!L70-Actuals!L70)</f>
        <v/>
      </c>
      <c r="AO57" s="110" t="str">
        <f>IFERROR(IF(ISBLANK(Actuals!L70),"",('Original Budget'!L70-Actuals!L70)/ABS('Original Budget'!L70)),"")</f>
        <v/>
      </c>
      <c r="AP57" s="109">
        <f>'Original Budget'!M70</f>
        <v>0</v>
      </c>
      <c r="AQ57" s="109" t="str">
        <f>IF(ISBLANK(Actuals!M70),"",Actuals!M70)</f>
        <v/>
      </c>
      <c r="AR57" s="110" t="str">
        <f>IF(ISBLANK(Actuals!M70),"",'Original Budget'!M70-Actuals!M70)</f>
        <v/>
      </c>
      <c r="AS57" s="110" t="str">
        <f>IFERROR(IF(ISBLANK(Actuals!M70),"",('Original Budget'!M70-Actuals!M70)/ABS('Original Budget'!M70)),"")</f>
        <v/>
      </c>
      <c r="AT57" s="109">
        <f>'Original Budget'!N70</f>
        <v>0</v>
      </c>
      <c r="AU57" s="109" t="str">
        <f>IF(ISBLANK(Actuals!N70),"",Actuals!N70)</f>
        <v/>
      </c>
      <c r="AV57" s="110" t="str">
        <f>IF(ISBLANK(Actuals!N70),"",'Original Budget'!N70-Actuals!N70)</f>
        <v/>
      </c>
      <c r="AW57" s="110" t="str">
        <f>IFERROR(IF(ISBLANK(Actuals!N70),"",('Original Budget'!N70-Actuals!N70)/ABS('Original Budget'!N70)),"")</f>
        <v/>
      </c>
      <c r="AX57" s="111">
        <f>SUMPRODUCT((Actuals!C70:N70&lt;&gt;"")*('Original Budget'!C70:N70))</f>
        <v>0</v>
      </c>
      <c r="AY57" s="111">
        <f>SUM(Actuals!C70:N70)</f>
        <v>0</v>
      </c>
      <c r="AZ57" s="112">
        <f t="shared" si="1"/>
        <v>0</v>
      </c>
    </row>
    <row r="58" spans="1:52" ht="15" customHeight="1" x14ac:dyDescent="0.25">
      <c r="A58" s="108" t="s">
        <v>106</v>
      </c>
      <c r="B58" s="109">
        <f>'Original Budget'!C71</f>
        <v>0</v>
      </c>
      <c r="C58" s="109" t="str">
        <f>IF(ISBLANK(Actuals!C71),"",Actuals!C71)</f>
        <v/>
      </c>
      <c r="D58" s="110" t="str">
        <f>IF(ISBLANK(Actuals!C71),"",'Original Budget'!C71-Actuals!C71)</f>
        <v/>
      </c>
      <c r="E58" s="110" t="str">
        <f>IFERROR(IF(ISBLANK(Actuals!C71),"",('Original Budget'!C71-Actuals!C71)/ABS('Original Budget'!C71)),"")</f>
        <v/>
      </c>
      <c r="F58" s="109">
        <f>'Original Budget'!D71</f>
        <v>0</v>
      </c>
      <c r="G58" s="109" t="str">
        <f>IF(ISBLANK(Actuals!D71),"",Actuals!D71)</f>
        <v/>
      </c>
      <c r="H58" s="110" t="str">
        <f>IF(ISBLANK(Actuals!D71),"",'Original Budget'!D71-Actuals!D71)</f>
        <v/>
      </c>
      <c r="I58" s="110" t="str">
        <f>IFERROR(IF(ISBLANK(Actuals!D71),"",('Original Budget'!D71-Actuals!D71)/ABS('Original Budget'!D71)),"")</f>
        <v/>
      </c>
      <c r="J58" s="109">
        <f>'Original Budget'!E71</f>
        <v>0</v>
      </c>
      <c r="K58" s="109" t="str">
        <f>IF(ISBLANK(Actuals!E71),"",Actuals!E71)</f>
        <v/>
      </c>
      <c r="L58" s="110" t="str">
        <f>IF(ISBLANK(Actuals!E71),"",'Original Budget'!E71-Actuals!E71)</f>
        <v/>
      </c>
      <c r="M58" s="110" t="str">
        <f>IFERROR(IF(ISBLANK(Actuals!E71),"",('Original Budget'!E71-Actuals!E71)/ABS('Original Budget'!E71)),"")</f>
        <v/>
      </c>
      <c r="N58" s="109">
        <f>'Original Budget'!F71</f>
        <v>0</v>
      </c>
      <c r="O58" s="109" t="str">
        <f>IF(ISBLANK(Actuals!F71),"",Actuals!F71)</f>
        <v/>
      </c>
      <c r="P58" s="110" t="str">
        <f>IF(ISBLANK(Actuals!F71),"",'Original Budget'!F71-Actuals!F71)</f>
        <v/>
      </c>
      <c r="Q58" s="110" t="str">
        <f>IFERROR(IF(ISBLANK(Actuals!F71),"",('Original Budget'!F71-Actuals!F71)/ABS('Original Budget'!F71)),"")</f>
        <v/>
      </c>
      <c r="R58" s="109">
        <f>'Original Budget'!G71</f>
        <v>0</v>
      </c>
      <c r="S58" s="109" t="str">
        <f>IF(ISBLANK(Actuals!G71),"",Actuals!G71)</f>
        <v/>
      </c>
      <c r="T58" s="110" t="str">
        <f>IF(ISBLANK(Actuals!G71),"",'Original Budget'!G71-Actuals!G71)</f>
        <v/>
      </c>
      <c r="U58" s="110" t="str">
        <f>IFERROR(IF(ISBLANK(Actuals!G71),"",('Original Budget'!G71-Actuals!G71)/ABS('Original Budget'!G71)),"")</f>
        <v/>
      </c>
      <c r="V58" s="109">
        <f>'Original Budget'!H71</f>
        <v>0</v>
      </c>
      <c r="W58" s="109" t="str">
        <f>IF(ISBLANK(Actuals!H71),"",Actuals!H71)</f>
        <v/>
      </c>
      <c r="X58" s="110" t="str">
        <f>IF(ISBLANK(Actuals!H71),"",'Original Budget'!H71-Actuals!H71)</f>
        <v/>
      </c>
      <c r="Y58" s="110" t="str">
        <f>IFERROR(IF(ISBLANK(Actuals!H71),"",('Original Budget'!H71-Actuals!H71)/ABS('Original Budget'!H71)),"")</f>
        <v/>
      </c>
      <c r="Z58" s="109">
        <f>'Original Budget'!I71</f>
        <v>0</v>
      </c>
      <c r="AA58" s="109" t="str">
        <f>IF(ISBLANK(Actuals!I71),"",Actuals!I71)</f>
        <v/>
      </c>
      <c r="AB58" s="110" t="str">
        <f>IF(ISBLANK(Actuals!I71),"",'Original Budget'!I71-Actuals!I71)</f>
        <v/>
      </c>
      <c r="AC58" s="110" t="str">
        <f>IFERROR(IF(ISBLANK(Actuals!I71),"",('Original Budget'!I71-Actuals!I71)/ABS('Original Budget'!I71)),"")</f>
        <v/>
      </c>
      <c r="AD58" s="109">
        <f>'Original Budget'!J71</f>
        <v>0</v>
      </c>
      <c r="AE58" s="109" t="str">
        <f>IF(ISBLANK(Actuals!J71),"",Actuals!J71)</f>
        <v/>
      </c>
      <c r="AF58" s="110" t="str">
        <f>IF(ISBLANK(Actuals!J71),"",'Original Budget'!J71-Actuals!J71)</f>
        <v/>
      </c>
      <c r="AG58" s="110" t="str">
        <f>IFERROR(IF(ISBLANK(Actuals!J71),"",('Original Budget'!J71-Actuals!J71)/ABS('Original Budget'!J71)),"")</f>
        <v/>
      </c>
      <c r="AH58" s="109">
        <f>'Original Budget'!K71</f>
        <v>0</v>
      </c>
      <c r="AI58" s="109" t="str">
        <f>IF(ISBLANK(Actuals!K71),"",Actuals!K71)</f>
        <v/>
      </c>
      <c r="AJ58" s="110" t="str">
        <f>IF(ISBLANK(Actuals!K71),"",'Original Budget'!K71-Actuals!K71)</f>
        <v/>
      </c>
      <c r="AK58" s="110" t="str">
        <f>IFERROR(IF(ISBLANK(Actuals!K71),"",('Original Budget'!K71-Actuals!K71)/ABS('Original Budget'!K71)),"")</f>
        <v/>
      </c>
      <c r="AL58" s="109">
        <f>'Original Budget'!L71</f>
        <v>0</v>
      </c>
      <c r="AM58" s="109" t="str">
        <f>IF(ISBLANK(Actuals!L71),"",Actuals!L71)</f>
        <v/>
      </c>
      <c r="AN58" s="110" t="str">
        <f>IF(ISBLANK(Actuals!L71),"",'Original Budget'!L71-Actuals!L71)</f>
        <v/>
      </c>
      <c r="AO58" s="110" t="str">
        <f>IFERROR(IF(ISBLANK(Actuals!L71),"",('Original Budget'!L71-Actuals!L71)/ABS('Original Budget'!L71)),"")</f>
        <v/>
      </c>
      <c r="AP58" s="109">
        <f>'Original Budget'!M71</f>
        <v>0</v>
      </c>
      <c r="AQ58" s="109" t="str">
        <f>IF(ISBLANK(Actuals!M71),"",Actuals!M71)</f>
        <v/>
      </c>
      <c r="AR58" s="110" t="str">
        <f>IF(ISBLANK(Actuals!M71),"",'Original Budget'!M71-Actuals!M71)</f>
        <v/>
      </c>
      <c r="AS58" s="110" t="str">
        <f>IFERROR(IF(ISBLANK(Actuals!M71),"",('Original Budget'!M71-Actuals!M71)/ABS('Original Budget'!M71)),"")</f>
        <v/>
      </c>
      <c r="AT58" s="109">
        <f>'Original Budget'!N71</f>
        <v>0</v>
      </c>
      <c r="AU58" s="109" t="str">
        <f>IF(ISBLANK(Actuals!N71),"",Actuals!N71)</f>
        <v/>
      </c>
      <c r="AV58" s="110" t="str">
        <f>IF(ISBLANK(Actuals!N71),"",'Original Budget'!N71-Actuals!N71)</f>
        <v/>
      </c>
      <c r="AW58" s="110" t="str">
        <f>IFERROR(IF(ISBLANK(Actuals!N71),"",('Original Budget'!N71-Actuals!N71)/ABS('Original Budget'!N71)),"")</f>
        <v/>
      </c>
      <c r="AX58" s="111">
        <f>SUMPRODUCT((Actuals!C71:N71&lt;&gt;"")*('Original Budget'!C71:N71))</f>
        <v>0</v>
      </c>
      <c r="AY58" s="111">
        <f>SUM(Actuals!C71:N71)</f>
        <v>0</v>
      </c>
      <c r="AZ58" s="112">
        <f t="shared" si="1"/>
        <v>0</v>
      </c>
    </row>
    <row r="59" spans="1:52" ht="15" customHeight="1" x14ac:dyDescent="0.25">
      <c r="A59" s="108" t="s">
        <v>107</v>
      </c>
      <c r="B59" s="109">
        <f>'Original Budget'!C72</f>
        <v>0</v>
      </c>
      <c r="C59" s="109" t="str">
        <f>IF(ISBLANK(Actuals!C72),"",Actuals!C72)</f>
        <v/>
      </c>
      <c r="D59" s="110" t="str">
        <f>IF(ISBLANK(Actuals!C72),"",'Original Budget'!C72-Actuals!C72)</f>
        <v/>
      </c>
      <c r="E59" s="110" t="str">
        <f>IFERROR(IF(ISBLANK(Actuals!C72),"",('Original Budget'!C72-Actuals!C72)/ABS('Original Budget'!C72)),"")</f>
        <v/>
      </c>
      <c r="F59" s="109">
        <f>'Original Budget'!D72</f>
        <v>0</v>
      </c>
      <c r="G59" s="109" t="str">
        <f>IF(ISBLANK(Actuals!D72),"",Actuals!D72)</f>
        <v/>
      </c>
      <c r="H59" s="110" t="str">
        <f>IF(ISBLANK(Actuals!D72),"",'Original Budget'!D72-Actuals!D72)</f>
        <v/>
      </c>
      <c r="I59" s="110" t="str">
        <f>IFERROR(IF(ISBLANK(Actuals!D72),"",('Original Budget'!D72-Actuals!D72)/ABS('Original Budget'!D72)),"")</f>
        <v/>
      </c>
      <c r="J59" s="109">
        <f>'Original Budget'!E72</f>
        <v>0</v>
      </c>
      <c r="K59" s="109" t="str">
        <f>IF(ISBLANK(Actuals!E72),"",Actuals!E72)</f>
        <v/>
      </c>
      <c r="L59" s="110" t="str">
        <f>IF(ISBLANK(Actuals!E72),"",'Original Budget'!E72-Actuals!E72)</f>
        <v/>
      </c>
      <c r="M59" s="110" t="str">
        <f>IFERROR(IF(ISBLANK(Actuals!E72),"",('Original Budget'!E72-Actuals!E72)/ABS('Original Budget'!E72)),"")</f>
        <v/>
      </c>
      <c r="N59" s="109">
        <f>'Original Budget'!F72</f>
        <v>0</v>
      </c>
      <c r="O59" s="109" t="str">
        <f>IF(ISBLANK(Actuals!F72),"",Actuals!F72)</f>
        <v/>
      </c>
      <c r="P59" s="110" t="str">
        <f>IF(ISBLANK(Actuals!F72),"",'Original Budget'!F72-Actuals!F72)</f>
        <v/>
      </c>
      <c r="Q59" s="110" t="str">
        <f>IFERROR(IF(ISBLANK(Actuals!F72),"",('Original Budget'!F72-Actuals!F72)/ABS('Original Budget'!F72)),"")</f>
        <v/>
      </c>
      <c r="R59" s="109">
        <f>'Original Budget'!G72</f>
        <v>0</v>
      </c>
      <c r="S59" s="109" t="str">
        <f>IF(ISBLANK(Actuals!G72),"",Actuals!G72)</f>
        <v/>
      </c>
      <c r="T59" s="110" t="str">
        <f>IF(ISBLANK(Actuals!G72),"",'Original Budget'!G72-Actuals!G72)</f>
        <v/>
      </c>
      <c r="U59" s="110" t="str">
        <f>IFERROR(IF(ISBLANK(Actuals!G72),"",('Original Budget'!G72-Actuals!G72)/ABS('Original Budget'!G72)),"")</f>
        <v/>
      </c>
      <c r="V59" s="109">
        <f>'Original Budget'!H72</f>
        <v>0</v>
      </c>
      <c r="W59" s="109" t="str">
        <f>IF(ISBLANK(Actuals!H72),"",Actuals!H72)</f>
        <v/>
      </c>
      <c r="X59" s="110" t="str">
        <f>IF(ISBLANK(Actuals!H72),"",'Original Budget'!H72-Actuals!H72)</f>
        <v/>
      </c>
      <c r="Y59" s="110" t="str">
        <f>IFERROR(IF(ISBLANK(Actuals!H72),"",('Original Budget'!H72-Actuals!H72)/ABS('Original Budget'!H72)),"")</f>
        <v/>
      </c>
      <c r="Z59" s="109">
        <f>'Original Budget'!I72</f>
        <v>0</v>
      </c>
      <c r="AA59" s="109" t="str">
        <f>IF(ISBLANK(Actuals!I72),"",Actuals!I72)</f>
        <v/>
      </c>
      <c r="AB59" s="110" t="str">
        <f>IF(ISBLANK(Actuals!I72),"",'Original Budget'!I72-Actuals!I72)</f>
        <v/>
      </c>
      <c r="AC59" s="110" t="str">
        <f>IFERROR(IF(ISBLANK(Actuals!I72),"",('Original Budget'!I72-Actuals!I72)/ABS('Original Budget'!I72)),"")</f>
        <v/>
      </c>
      <c r="AD59" s="109">
        <f>'Original Budget'!J72</f>
        <v>0</v>
      </c>
      <c r="AE59" s="109" t="str">
        <f>IF(ISBLANK(Actuals!J72),"",Actuals!J72)</f>
        <v/>
      </c>
      <c r="AF59" s="110" t="str">
        <f>IF(ISBLANK(Actuals!J72),"",'Original Budget'!J72-Actuals!J72)</f>
        <v/>
      </c>
      <c r="AG59" s="110" t="str">
        <f>IFERROR(IF(ISBLANK(Actuals!J72),"",('Original Budget'!J72-Actuals!J72)/ABS('Original Budget'!J72)),"")</f>
        <v/>
      </c>
      <c r="AH59" s="109">
        <f>'Original Budget'!K72</f>
        <v>0</v>
      </c>
      <c r="AI59" s="109" t="str">
        <f>IF(ISBLANK(Actuals!K72),"",Actuals!K72)</f>
        <v/>
      </c>
      <c r="AJ59" s="110" t="str">
        <f>IF(ISBLANK(Actuals!K72),"",'Original Budget'!K72-Actuals!K72)</f>
        <v/>
      </c>
      <c r="AK59" s="110" t="str">
        <f>IFERROR(IF(ISBLANK(Actuals!K72),"",('Original Budget'!K72-Actuals!K72)/ABS('Original Budget'!K72)),"")</f>
        <v/>
      </c>
      <c r="AL59" s="109">
        <f>'Original Budget'!L72</f>
        <v>0</v>
      </c>
      <c r="AM59" s="109" t="str">
        <f>IF(ISBLANK(Actuals!L72),"",Actuals!L72)</f>
        <v/>
      </c>
      <c r="AN59" s="110" t="str">
        <f>IF(ISBLANK(Actuals!L72),"",'Original Budget'!L72-Actuals!L72)</f>
        <v/>
      </c>
      <c r="AO59" s="110" t="str">
        <f>IFERROR(IF(ISBLANK(Actuals!L72),"",('Original Budget'!L72-Actuals!L72)/ABS('Original Budget'!L72)),"")</f>
        <v/>
      </c>
      <c r="AP59" s="109">
        <f>'Original Budget'!M72</f>
        <v>0</v>
      </c>
      <c r="AQ59" s="109" t="str">
        <f>IF(ISBLANK(Actuals!M72),"",Actuals!M72)</f>
        <v/>
      </c>
      <c r="AR59" s="110" t="str">
        <f>IF(ISBLANK(Actuals!M72),"",'Original Budget'!M72-Actuals!M72)</f>
        <v/>
      </c>
      <c r="AS59" s="110" t="str">
        <f>IFERROR(IF(ISBLANK(Actuals!M72),"",('Original Budget'!M72-Actuals!M72)/ABS('Original Budget'!M72)),"")</f>
        <v/>
      </c>
      <c r="AT59" s="109">
        <f>'Original Budget'!N72</f>
        <v>0</v>
      </c>
      <c r="AU59" s="109" t="str">
        <f>IF(ISBLANK(Actuals!N72),"",Actuals!N72)</f>
        <v/>
      </c>
      <c r="AV59" s="110" t="str">
        <f>IF(ISBLANK(Actuals!N72),"",'Original Budget'!N72-Actuals!N72)</f>
        <v/>
      </c>
      <c r="AW59" s="110" t="str">
        <f>IFERROR(IF(ISBLANK(Actuals!N72),"",('Original Budget'!N72-Actuals!N72)/ABS('Original Budget'!N72)),"")</f>
        <v/>
      </c>
      <c r="AX59" s="111">
        <f>SUMPRODUCT((Actuals!C72:N72&lt;&gt;"")*('Original Budget'!C72:N72))</f>
        <v>0</v>
      </c>
      <c r="AY59" s="111">
        <f>SUM(Actuals!C72:N72)</f>
        <v>0</v>
      </c>
      <c r="AZ59" s="112">
        <f t="shared" si="1"/>
        <v>0</v>
      </c>
    </row>
    <row r="60" spans="1:52" ht="15" customHeight="1" x14ac:dyDescent="0.25">
      <c r="A60" s="108" t="s">
        <v>108</v>
      </c>
      <c r="B60" s="109">
        <f>'Original Budget'!C73</f>
        <v>0</v>
      </c>
      <c r="C60" s="109" t="str">
        <f>IF(ISBLANK(Actuals!C73),"",Actuals!C73)</f>
        <v/>
      </c>
      <c r="D60" s="110" t="str">
        <f>IF(ISBLANK(Actuals!C73),"",'Original Budget'!C73-Actuals!C73)</f>
        <v/>
      </c>
      <c r="E60" s="110" t="str">
        <f>IFERROR(IF(ISBLANK(Actuals!C73),"",('Original Budget'!C73-Actuals!C73)/ABS('Original Budget'!C73)),"")</f>
        <v/>
      </c>
      <c r="F60" s="109">
        <f>'Original Budget'!D73</f>
        <v>0</v>
      </c>
      <c r="G60" s="109" t="str">
        <f>IF(ISBLANK(Actuals!D73),"",Actuals!D73)</f>
        <v/>
      </c>
      <c r="H60" s="110" t="str">
        <f>IF(ISBLANK(Actuals!D73),"",'Original Budget'!D73-Actuals!D73)</f>
        <v/>
      </c>
      <c r="I60" s="110" t="str">
        <f>IFERROR(IF(ISBLANK(Actuals!D73),"",('Original Budget'!D73-Actuals!D73)/ABS('Original Budget'!D73)),"")</f>
        <v/>
      </c>
      <c r="J60" s="109">
        <f>'Original Budget'!E73</f>
        <v>0</v>
      </c>
      <c r="K60" s="109" t="str">
        <f>IF(ISBLANK(Actuals!E73),"",Actuals!E73)</f>
        <v/>
      </c>
      <c r="L60" s="110" t="str">
        <f>IF(ISBLANK(Actuals!E73),"",'Original Budget'!E73-Actuals!E73)</f>
        <v/>
      </c>
      <c r="M60" s="110" t="str">
        <f>IFERROR(IF(ISBLANK(Actuals!E73),"",('Original Budget'!E73-Actuals!E73)/ABS('Original Budget'!E73)),"")</f>
        <v/>
      </c>
      <c r="N60" s="109">
        <f>'Original Budget'!F73</f>
        <v>0</v>
      </c>
      <c r="O60" s="109" t="str">
        <f>IF(ISBLANK(Actuals!F73),"",Actuals!F73)</f>
        <v/>
      </c>
      <c r="P60" s="110" t="str">
        <f>IF(ISBLANK(Actuals!F73),"",'Original Budget'!F73-Actuals!F73)</f>
        <v/>
      </c>
      <c r="Q60" s="110" t="str">
        <f>IFERROR(IF(ISBLANK(Actuals!F73),"",('Original Budget'!F73-Actuals!F73)/ABS('Original Budget'!F73)),"")</f>
        <v/>
      </c>
      <c r="R60" s="109">
        <f>'Original Budget'!G73</f>
        <v>0</v>
      </c>
      <c r="S60" s="109" t="str">
        <f>IF(ISBLANK(Actuals!G73),"",Actuals!G73)</f>
        <v/>
      </c>
      <c r="T60" s="110" t="str">
        <f>IF(ISBLANK(Actuals!G73),"",'Original Budget'!G73-Actuals!G73)</f>
        <v/>
      </c>
      <c r="U60" s="110" t="str">
        <f>IFERROR(IF(ISBLANK(Actuals!G73),"",('Original Budget'!G73-Actuals!G73)/ABS('Original Budget'!G73)),"")</f>
        <v/>
      </c>
      <c r="V60" s="109">
        <f>'Original Budget'!H73</f>
        <v>0</v>
      </c>
      <c r="W60" s="109" t="str">
        <f>IF(ISBLANK(Actuals!H73),"",Actuals!H73)</f>
        <v/>
      </c>
      <c r="X60" s="110" t="str">
        <f>IF(ISBLANK(Actuals!H73),"",'Original Budget'!H73-Actuals!H73)</f>
        <v/>
      </c>
      <c r="Y60" s="110" t="str">
        <f>IFERROR(IF(ISBLANK(Actuals!H73),"",('Original Budget'!H73-Actuals!H73)/ABS('Original Budget'!H73)),"")</f>
        <v/>
      </c>
      <c r="Z60" s="109">
        <f>'Original Budget'!I73</f>
        <v>0</v>
      </c>
      <c r="AA60" s="109" t="str">
        <f>IF(ISBLANK(Actuals!I73),"",Actuals!I73)</f>
        <v/>
      </c>
      <c r="AB60" s="110" t="str">
        <f>IF(ISBLANK(Actuals!I73),"",'Original Budget'!I73-Actuals!I73)</f>
        <v/>
      </c>
      <c r="AC60" s="110" t="str">
        <f>IFERROR(IF(ISBLANK(Actuals!I73),"",('Original Budget'!I73-Actuals!I73)/ABS('Original Budget'!I73)),"")</f>
        <v/>
      </c>
      <c r="AD60" s="109">
        <f>'Original Budget'!J73</f>
        <v>0</v>
      </c>
      <c r="AE60" s="109" t="str">
        <f>IF(ISBLANK(Actuals!J73),"",Actuals!J73)</f>
        <v/>
      </c>
      <c r="AF60" s="110" t="str">
        <f>IF(ISBLANK(Actuals!J73),"",'Original Budget'!J73-Actuals!J73)</f>
        <v/>
      </c>
      <c r="AG60" s="110" t="str">
        <f>IFERROR(IF(ISBLANK(Actuals!J73),"",('Original Budget'!J73-Actuals!J73)/ABS('Original Budget'!J73)),"")</f>
        <v/>
      </c>
      <c r="AH60" s="109">
        <f>'Original Budget'!K73</f>
        <v>0</v>
      </c>
      <c r="AI60" s="109" t="str">
        <f>IF(ISBLANK(Actuals!K73),"",Actuals!K73)</f>
        <v/>
      </c>
      <c r="AJ60" s="110" t="str">
        <f>IF(ISBLANK(Actuals!K73),"",'Original Budget'!K73-Actuals!K73)</f>
        <v/>
      </c>
      <c r="AK60" s="110" t="str">
        <f>IFERROR(IF(ISBLANK(Actuals!K73),"",('Original Budget'!K73-Actuals!K73)/ABS('Original Budget'!K73)),"")</f>
        <v/>
      </c>
      <c r="AL60" s="109">
        <f>'Original Budget'!L73</f>
        <v>0</v>
      </c>
      <c r="AM60" s="109" t="str">
        <f>IF(ISBLANK(Actuals!L73),"",Actuals!L73)</f>
        <v/>
      </c>
      <c r="AN60" s="110" t="str">
        <f>IF(ISBLANK(Actuals!L73),"",'Original Budget'!L73-Actuals!L73)</f>
        <v/>
      </c>
      <c r="AO60" s="110" t="str">
        <f>IFERROR(IF(ISBLANK(Actuals!L73),"",('Original Budget'!L73-Actuals!L73)/ABS('Original Budget'!L73)),"")</f>
        <v/>
      </c>
      <c r="AP60" s="109">
        <f>'Original Budget'!M73</f>
        <v>0</v>
      </c>
      <c r="AQ60" s="109" t="str">
        <f>IF(ISBLANK(Actuals!M73),"",Actuals!M73)</f>
        <v/>
      </c>
      <c r="AR60" s="110" t="str">
        <f>IF(ISBLANK(Actuals!M73),"",'Original Budget'!M73-Actuals!M73)</f>
        <v/>
      </c>
      <c r="AS60" s="110" t="str">
        <f>IFERROR(IF(ISBLANK(Actuals!M73),"",('Original Budget'!M73-Actuals!M73)/ABS('Original Budget'!M73)),"")</f>
        <v/>
      </c>
      <c r="AT60" s="109">
        <f>'Original Budget'!N73</f>
        <v>0</v>
      </c>
      <c r="AU60" s="109" t="str">
        <f>IF(ISBLANK(Actuals!N73),"",Actuals!N73)</f>
        <v/>
      </c>
      <c r="AV60" s="110" t="str">
        <f>IF(ISBLANK(Actuals!N73),"",'Original Budget'!N73-Actuals!N73)</f>
        <v/>
      </c>
      <c r="AW60" s="110" t="str">
        <f>IFERROR(IF(ISBLANK(Actuals!N73),"",('Original Budget'!N73-Actuals!N73)/ABS('Original Budget'!N73)),"")</f>
        <v/>
      </c>
      <c r="AX60" s="111">
        <f>SUMPRODUCT((Actuals!C73:N73&lt;&gt;"")*('Original Budget'!C73:N73))</f>
        <v>0</v>
      </c>
      <c r="AY60" s="111">
        <f>SUM(Actuals!C73:N73)</f>
        <v>0</v>
      </c>
      <c r="AZ60" s="112">
        <f t="shared" si="1"/>
        <v>0</v>
      </c>
    </row>
    <row r="61" spans="1:52" ht="15" customHeight="1" x14ac:dyDescent="0.25">
      <c r="A61" s="108" t="s">
        <v>109</v>
      </c>
      <c r="B61" s="109">
        <f>'Original Budget'!C74</f>
        <v>0</v>
      </c>
      <c r="C61" s="109" t="str">
        <f>IF(ISBLANK(Actuals!C74),"",Actuals!C74)</f>
        <v/>
      </c>
      <c r="D61" s="110" t="str">
        <f>IF(ISBLANK(Actuals!C74),"",'Original Budget'!C74-Actuals!C74)</f>
        <v/>
      </c>
      <c r="E61" s="110" t="str">
        <f>IFERROR(IF(ISBLANK(Actuals!C74),"",('Original Budget'!C74-Actuals!C74)/ABS('Original Budget'!C74)),"")</f>
        <v/>
      </c>
      <c r="F61" s="109">
        <f>'Original Budget'!D74</f>
        <v>0</v>
      </c>
      <c r="G61" s="109" t="str">
        <f>IF(ISBLANK(Actuals!D74),"",Actuals!D74)</f>
        <v/>
      </c>
      <c r="H61" s="110" t="str">
        <f>IF(ISBLANK(Actuals!D74),"",'Original Budget'!D74-Actuals!D74)</f>
        <v/>
      </c>
      <c r="I61" s="110" t="str">
        <f>IFERROR(IF(ISBLANK(Actuals!D74),"",('Original Budget'!D74-Actuals!D74)/ABS('Original Budget'!D74)),"")</f>
        <v/>
      </c>
      <c r="J61" s="109">
        <f>'Original Budget'!E74</f>
        <v>0</v>
      </c>
      <c r="K61" s="109" t="str">
        <f>IF(ISBLANK(Actuals!E74),"",Actuals!E74)</f>
        <v/>
      </c>
      <c r="L61" s="110" t="str">
        <f>IF(ISBLANK(Actuals!E74),"",'Original Budget'!E74-Actuals!E74)</f>
        <v/>
      </c>
      <c r="M61" s="110" t="str">
        <f>IFERROR(IF(ISBLANK(Actuals!E74),"",('Original Budget'!E74-Actuals!E74)/ABS('Original Budget'!E74)),"")</f>
        <v/>
      </c>
      <c r="N61" s="109">
        <f>'Original Budget'!F74</f>
        <v>0</v>
      </c>
      <c r="O61" s="109" t="str">
        <f>IF(ISBLANK(Actuals!F74),"",Actuals!F74)</f>
        <v/>
      </c>
      <c r="P61" s="110" t="str">
        <f>IF(ISBLANK(Actuals!F74),"",'Original Budget'!F74-Actuals!F74)</f>
        <v/>
      </c>
      <c r="Q61" s="110" t="str">
        <f>IFERROR(IF(ISBLANK(Actuals!F74),"",('Original Budget'!F74-Actuals!F74)/ABS('Original Budget'!F74)),"")</f>
        <v/>
      </c>
      <c r="R61" s="109">
        <f>'Original Budget'!G74</f>
        <v>0</v>
      </c>
      <c r="S61" s="109" t="str">
        <f>IF(ISBLANK(Actuals!G74),"",Actuals!G74)</f>
        <v/>
      </c>
      <c r="T61" s="110" t="str">
        <f>IF(ISBLANK(Actuals!G74),"",'Original Budget'!G74-Actuals!G74)</f>
        <v/>
      </c>
      <c r="U61" s="110" t="str">
        <f>IFERROR(IF(ISBLANK(Actuals!G74),"",('Original Budget'!G74-Actuals!G74)/ABS('Original Budget'!G74)),"")</f>
        <v/>
      </c>
      <c r="V61" s="109">
        <f>'Original Budget'!H74</f>
        <v>0</v>
      </c>
      <c r="W61" s="109" t="str">
        <f>IF(ISBLANK(Actuals!H74),"",Actuals!H74)</f>
        <v/>
      </c>
      <c r="X61" s="110" t="str">
        <f>IF(ISBLANK(Actuals!H74),"",'Original Budget'!H74-Actuals!H74)</f>
        <v/>
      </c>
      <c r="Y61" s="110" t="str">
        <f>IFERROR(IF(ISBLANK(Actuals!H74),"",('Original Budget'!H74-Actuals!H74)/ABS('Original Budget'!H74)),"")</f>
        <v/>
      </c>
      <c r="Z61" s="109">
        <f>'Original Budget'!I74</f>
        <v>0</v>
      </c>
      <c r="AA61" s="109" t="str">
        <f>IF(ISBLANK(Actuals!I74),"",Actuals!I74)</f>
        <v/>
      </c>
      <c r="AB61" s="110" t="str">
        <f>IF(ISBLANK(Actuals!I74),"",'Original Budget'!I74-Actuals!I74)</f>
        <v/>
      </c>
      <c r="AC61" s="110" t="str">
        <f>IFERROR(IF(ISBLANK(Actuals!I74),"",('Original Budget'!I74-Actuals!I74)/ABS('Original Budget'!I74)),"")</f>
        <v/>
      </c>
      <c r="AD61" s="109">
        <f>'Original Budget'!J74</f>
        <v>0</v>
      </c>
      <c r="AE61" s="109" t="str">
        <f>IF(ISBLANK(Actuals!J74),"",Actuals!J74)</f>
        <v/>
      </c>
      <c r="AF61" s="110" t="str">
        <f>IF(ISBLANK(Actuals!J74),"",'Original Budget'!J74-Actuals!J74)</f>
        <v/>
      </c>
      <c r="AG61" s="110" t="str">
        <f>IFERROR(IF(ISBLANK(Actuals!J74),"",('Original Budget'!J74-Actuals!J74)/ABS('Original Budget'!J74)),"")</f>
        <v/>
      </c>
      <c r="AH61" s="109">
        <f>'Original Budget'!K74</f>
        <v>0</v>
      </c>
      <c r="AI61" s="109" t="str">
        <f>IF(ISBLANK(Actuals!K74),"",Actuals!K74)</f>
        <v/>
      </c>
      <c r="AJ61" s="110" t="str">
        <f>IF(ISBLANK(Actuals!K74),"",'Original Budget'!K74-Actuals!K74)</f>
        <v/>
      </c>
      <c r="AK61" s="110" t="str">
        <f>IFERROR(IF(ISBLANK(Actuals!K74),"",('Original Budget'!K74-Actuals!K74)/ABS('Original Budget'!K74)),"")</f>
        <v/>
      </c>
      <c r="AL61" s="109">
        <f>'Original Budget'!L74</f>
        <v>0</v>
      </c>
      <c r="AM61" s="109" t="str">
        <f>IF(ISBLANK(Actuals!L74),"",Actuals!L74)</f>
        <v/>
      </c>
      <c r="AN61" s="110" t="str">
        <f>IF(ISBLANK(Actuals!L74),"",'Original Budget'!L74-Actuals!L74)</f>
        <v/>
      </c>
      <c r="AO61" s="110" t="str">
        <f>IFERROR(IF(ISBLANK(Actuals!L74),"",('Original Budget'!L74-Actuals!L74)/ABS('Original Budget'!L74)),"")</f>
        <v/>
      </c>
      <c r="AP61" s="109">
        <f>'Original Budget'!M74</f>
        <v>0</v>
      </c>
      <c r="AQ61" s="109" t="str">
        <f>IF(ISBLANK(Actuals!M74),"",Actuals!M74)</f>
        <v/>
      </c>
      <c r="AR61" s="110" t="str">
        <f>IF(ISBLANK(Actuals!M74),"",'Original Budget'!M74-Actuals!M74)</f>
        <v/>
      </c>
      <c r="AS61" s="110" t="str">
        <f>IFERROR(IF(ISBLANK(Actuals!M74),"",('Original Budget'!M74-Actuals!M74)/ABS('Original Budget'!M74)),"")</f>
        <v/>
      </c>
      <c r="AT61" s="109">
        <f>'Original Budget'!N74</f>
        <v>0</v>
      </c>
      <c r="AU61" s="109" t="str">
        <f>IF(ISBLANK(Actuals!N74),"",Actuals!N74)</f>
        <v/>
      </c>
      <c r="AV61" s="110" t="str">
        <f>IF(ISBLANK(Actuals!N74),"",'Original Budget'!N74-Actuals!N74)</f>
        <v/>
      </c>
      <c r="AW61" s="110" t="str">
        <f>IFERROR(IF(ISBLANK(Actuals!N74),"",('Original Budget'!N74-Actuals!N74)/ABS('Original Budget'!N74)),"")</f>
        <v/>
      </c>
      <c r="AX61" s="111">
        <f>SUMPRODUCT((Actuals!C74:N74&lt;&gt;"")*('Original Budget'!C74:N74))</f>
        <v>0</v>
      </c>
      <c r="AY61" s="111">
        <f>SUM(Actuals!C74:N74)</f>
        <v>0</v>
      </c>
      <c r="AZ61" s="112">
        <f t="shared" si="1"/>
        <v>0</v>
      </c>
    </row>
    <row r="62" spans="1:52" ht="15" customHeight="1" x14ac:dyDescent="0.25">
      <c r="A62" s="108" t="s">
        <v>110</v>
      </c>
      <c r="B62" s="109">
        <f>'Original Budget'!C75</f>
        <v>0</v>
      </c>
      <c r="C62" s="109" t="str">
        <f>IF(ISBLANK(Actuals!C75),"",Actuals!C75)</f>
        <v/>
      </c>
      <c r="D62" s="110" t="str">
        <f>IF(ISBLANK(Actuals!C75),"",'Original Budget'!C75-Actuals!C75)</f>
        <v/>
      </c>
      <c r="E62" s="110" t="str">
        <f>IFERROR(IF(ISBLANK(Actuals!C75),"",('Original Budget'!C75-Actuals!C75)/ABS('Original Budget'!C75)),"")</f>
        <v/>
      </c>
      <c r="F62" s="109">
        <f>'Original Budget'!D75</f>
        <v>0</v>
      </c>
      <c r="G62" s="109" t="str">
        <f>IF(ISBLANK(Actuals!D75),"",Actuals!D75)</f>
        <v/>
      </c>
      <c r="H62" s="110" t="str">
        <f>IF(ISBLANK(Actuals!D75),"",'Original Budget'!D75-Actuals!D75)</f>
        <v/>
      </c>
      <c r="I62" s="110" t="str">
        <f>IFERROR(IF(ISBLANK(Actuals!D75),"",('Original Budget'!D75-Actuals!D75)/ABS('Original Budget'!D75)),"")</f>
        <v/>
      </c>
      <c r="J62" s="109">
        <f>'Original Budget'!E75</f>
        <v>0</v>
      </c>
      <c r="K62" s="109" t="str">
        <f>IF(ISBLANK(Actuals!E75),"",Actuals!E75)</f>
        <v/>
      </c>
      <c r="L62" s="110" t="str">
        <f>IF(ISBLANK(Actuals!E75),"",'Original Budget'!E75-Actuals!E75)</f>
        <v/>
      </c>
      <c r="M62" s="110" t="str">
        <f>IFERROR(IF(ISBLANK(Actuals!E75),"",('Original Budget'!E75-Actuals!E75)/ABS('Original Budget'!E75)),"")</f>
        <v/>
      </c>
      <c r="N62" s="109">
        <f>'Original Budget'!F75</f>
        <v>0</v>
      </c>
      <c r="O62" s="109" t="str">
        <f>IF(ISBLANK(Actuals!F75),"",Actuals!F75)</f>
        <v/>
      </c>
      <c r="P62" s="110" t="str">
        <f>IF(ISBLANK(Actuals!F75),"",'Original Budget'!F75-Actuals!F75)</f>
        <v/>
      </c>
      <c r="Q62" s="110" t="str">
        <f>IFERROR(IF(ISBLANK(Actuals!F75),"",('Original Budget'!F75-Actuals!F75)/ABS('Original Budget'!F75)),"")</f>
        <v/>
      </c>
      <c r="R62" s="109">
        <f>'Original Budget'!G75</f>
        <v>0</v>
      </c>
      <c r="S62" s="109" t="str">
        <f>IF(ISBLANK(Actuals!G75),"",Actuals!G75)</f>
        <v/>
      </c>
      <c r="T62" s="110" t="str">
        <f>IF(ISBLANK(Actuals!G75),"",'Original Budget'!G75-Actuals!G75)</f>
        <v/>
      </c>
      <c r="U62" s="110" t="str">
        <f>IFERROR(IF(ISBLANK(Actuals!G75),"",('Original Budget'!G75-Actuals!G75)/ABS('Original Budget'!G75)),"")</f>
        <v/>
      </c>
      <c r="V62" s="109">
        <f>'Original Budget'!H75</f>
        <v>0</v>
      </c>
      <c r="W62" s="109" t="str">
        <f>IF(ISBLANK(Actuals!H75),"",Actuals!H75)</f>
        <v/>
      </c>
      <c r="X62" s="110" t="str">
        <f>IF(ISBLANK(Actuals!H75),"",'Original Budget'!H75-Actuals!H75)</f>
        <v/>
      </c>
      <c r="Y62" s="110" t="str">
        <f>IFERROR(IF(ISBLANK(Actuals!H75),"",('Original Budget'!H75-Actuals!H75)/ABS('Original Budget'!H75)),"")</f>
        <v/>
      </c>
      <c r="Z62" s="109">
        <f>'Original Budget'!I75</f>
        <v>0</v>
      </c>
      <c r="AA62" s="109" t="str">
        <f>IF(ISBLANK(Actuals!I75),"",Actuals!I75)</f>
        <v/>
      </c>
      <c r="AB62" s="110" t="str">
        <f>IF(ISBLANK(Actuals!I75),"",'Original Budget'!I75-Actuals!I75)</f>
        <v/>
      </c>
      <c r="AC62" s="110" t="str">
        <f>IFERROR(IF(ISBLANK(Actuals!I75),"",('Original Budget'!I75-Actuals!I75)/ABS('Original Budget'!I75)),"")</f>
        <v/>
      </c>
      <c r="AD62" s="109">
        <f>'Original Budget'!J75</f>
        <v>0</v>
      </c>
      <c r="AE62" s="109" t="str">
        <f>IF(ISBLANK(Actuals!J75),"",Actuals!J75)</f>
        <v/>
      </c>
      <c r="AF62" s="110" t="str">
        <f>IF(ISBLANK(Actuals!J75),"",'Original Budget'!J75-Actuals!J75)</f>
        <v/>
      </c>
      <c r="AG62" s="110" t="str">
        <f>IFERROR(IF(ISBLANK(Actuals!J75),"",('Original Budget'!J75-Actuals!J75)/ABS('Original Budget'!J75)),"")</f>
        <v/>
      </c>
      <c r="AH62" s="109">
        <f>'Original Budget'!K75</f>
        <v>0</v>
      </c>
      <c r="AI62" s="109" t="str">
        <f>IF(ISBLANK(Actuals!K75),"",Actuals!K75)</f>
        <v/>
      </c>
      <c r="AJ62" s="110" t="str">
        <f>IF(ISBLANK(Actuals!K75),"",'Original Budget'!K75-Actuals!K75)</f>
        <v/>
      </c>
      <c r="AK62" s="110" t="str">
        <f>IFERROR(IF(ISBLANK(Actuals!K75),"",('Original Budget'!K75-Actuals!K75)/ABS('Original Budget'!K75)),"")</f>
        <v/>
      </c>
      <c r="AL62" s="109">
        <f>'Original Budget'!L75</f>
        <v>0</v>
      </c>
      <c r="AM62" s="109" t="str">
        <f>IF(ISBLANK(Actuals!L75),"",Actuals!L75)</f>
        <v/>
      </c>
      <c r="AN62" s="110" t="str">
        <f>IF(ISBLANK(Actuals!L75),"",'Original Budget'!L75-Actuals!L75)</f>
        <v/>
      </c>
      <c r="AO62" s="110" t="str">
        <f>IFERROR(IF(ISBLANK(Actuals!L75),"",('Original Budget'!L75-Actuals!L75)/ABS('Original Budget'!L75)),"")</f>
        <v/>
      </c>
      <c r="AP62" s="109">
        <f>'Original Budget'!M75</f>
        <v>0</v>
      </c>
      <c r="AQ62" s="109" t="str">
        <f>IF(ISBLANK(Actuals!M75),"",Actuals!M75)</f>
        <v/>
      </c>
      <c r="AR62" s="110" t="str">
        <f>IF(ISBLANK(Actuals!M75),"",'Original Budget'!M75-Actuals!M75)</f>
        <v/>
      </c>
      <c r="AS62" s="110" t="str">
        <f>IFERROR(IF(ISBLANK(Actuals!M75),"",('Original Budget'!M75-Actuals!M75)/ABS('Original Budget'!M75)),"")</f>
        <v/>
      </c>
      <c r="AT62" s="109">
        <f>'Original Budget'!N75</f>
        <v>0</v>
      </c>
      <c r="AU62" s="109" t="str">
        <f>IF(ISBLANK(Actuals!N75),"",Actuals!N75)</f>
        <v/>
      </c>
      <c r="AV62" s="110" t="str">
        <f>IF(ISBLANK(Actuals!N75),"",'Original Budget'!N75-Actuals!N75)</f>
        <v/>
      </c>
      <c r="AW62" s="110" t="str">
        <f>IFERROR(IF(ISBLANK(Actuals!N75),"",('Original Budget'!N75-Actuals!N75)/ABS('Original Budget'!N75)),"")</f>
        <v/>
      </c>
      <c r="AX62" s="111">
        <f>SUMPRODUCT((Actuals!C75:N75&lt;&gt;"")*('Original Budget'!C75:N75))</f>
        <v>0</v>
      </c>
      <c r="AY62" s="111">
        <f>SUM(Actuals!C75:N75)</f>
        <v>0</v>
      </c>
      <c r="AZ62" s="112">
        <f t="shared" si="1"/>
        <v>0</v>
      </c>
    </row>
    <row r="63" spans="1:52" ht="15" customHeight="1" x14ac:dyDescent="0.25">
      <c r="A63" s="108" t="s">
        <v>111</v>
      </c>
      <c r="B63" s="109">
        <f>'Original Budget'!C76</f>
        <v>0</v>
      </c>
      <c r="C63" s="109" t="str">
        <f>IF(ISBLANK(Actuals!C76),"",Actuals!C76)</f>
        <v/>
      </c>
      <c r="D63" s="110" t="str">
        <f>IF(ISBLANK(Actuals!C76),"",'Original Budget'!C76-Actuals!C76)</f>
        <v/>
      </c>
      <c r="E63" s="110" t="str">
        <f>IFERROR(IF(ISBLANK(Actuals!C76),"",('Original Budget'!C76-Actuals!C76)/ABS('Original Budget'!C76)),"")</f>
        <v/>
      </c>
      <c r="F63" s="109">
        <f>'Original Budget'!D76</f>
        <v>0</v>
      </c>
      <c r="G63" s="109" t="str">
        <f>IF(ISBLANK(Actuals!D76),"",Actuals!D76)</f>
        <v/>
      </c>
      <c r="H63" s="110" t="str">
        <f>IF(ISBLANK(Actuals!D76),"",'Original Budget'!D76-Actuals!D76)</f>
        <v/>
      </c>
      <c r="I63" s="110" t="str">
        <f>IFERROR(IF(ISBLANK(Actuals!D76),"",('Original Budget'!D76-Actuals!D76)/ABS('Original Budget'!D76)),"")</f>
        <v/>
      </c>
      <c r="J63" s="109">
        <f>'Original Budget'!E76</f>
        <v>0</v>
      </c>
      <c r="K63" s="109" t="str">
        <f>IF(ISBLANK(Actuals!E76),"",Actuals!E76)</f>
        <v/>
      </c>
      <c r="L63" s="110" t="str">
        <f>IF(ISBLANK(Actuals!E76),"",'Original Budget'!E76-Actuals!E76)</f>
        <v/>
      </c>
      <c r="M63" s="110" t="str">
        <f>IFERROR(IF(ISBLANK(Actuals!E76),"",('Original Budget'!E76-Actuals!E76)/ABS('Original Budget'!E76)),"")</f>
        <v/>
      </c>
      <c r="N63" s="109">
        <f>'Original Budget'!F76</f>
        <v>0</v>
      </c>
      <c r="O63" s="109" t="str">
        <f>IF(ISBLANK(Actuals!F76),"",Actuals!F76)</f>
        <v/>
      </c>
      <c r="P63" s="110" t="str">
        <f>IF(ISBLANK(Actuals!F76),"",'Original Budget'!F76-Actuals!F76)</f>
        <v/>
      </c>
      <c r="Q63" s="110" t="str">
        <f>IFERROR(IF(ISBLANK(Actuals!F76),"",('Original Budget'!F76-Actuals!F76)/ABS('Original Budget'!F76)),"")</f>
        <v/>
      </c>
      <c r="R63" s="109">
        <f>'Original Budget'!G76</f>
        <v>0</v>
      </c>
      <c r="S63" s="109" t="str">
        <f>IF(ISBLANK(Actuals!G76),"",Actuals!G76)</f>
        <v/>
      </c>
      <c r="T63" s="110" t="str">
        <f>IF(ISBLANK(Actuals!G76),"",'Original Budget'!G76-Actuals!G76)</f>
        <v/>
      </c>
      <c r="U63" s="110" t="str">
        <f>IFERROR(IF(ISBLANK(Actuals!G76),"",('Original Budget'!G76-Actuals!G76)/ABS('Original Budget'!G76)),"")</f>
        <v/>
      </c>
      <c r="V63" s="109">
        <f>'Original Budget'!H76</f>
        <v>0</v>
      </c>
      <c r="W63" s="109" t="str">
        <f>IF(ISBLANK(Actuals!H76),"",Actuals!H76)</f>
        <v/>
      </c>
      <c r="X63" s="110" t="str">
        <f>IF(ISBLANK(Actuals!H76),"",'Original Budget'!H76-Actuals!H76)</f>
        <v/>
      </c>
      <c r="Y63" s="110" t="str">
        <f>IFERROR(IF(ISBLANK(Actuals!H76),"",('Original Budget'!H76-Actuals!H76)/ABS('Original Budget'!H76)),"")</f>
        <v/>
      </c>
      <c r="Z63" s="109">
        <f>'Original Budget'!I76</f>
        <v>0</v>
      </c>
      <c r="AA63" s="109" t="str">
        <f>IF(ISBLANK(Actuals!I76),"",Actuals!I76)</f>
        <v/>
      </c>
      <c r="AB63" s="110" t="str">
        <f>IF(ISBLANK(Actuals!I76),"",'Original Budget'!I76-Actuals!I76)</f>
        <v/>
      </c>
      <c r="AC63" s="110" t="str">
        <f>IFERROR(IF(ISBLANK(Actuals!I76),"",('Original Budget'!I76-Actuals!I76)/ABS('Original Budget'!I76)),"")</f>
        <v/>
      </c>
      <c r="AD63" s="109">
        <f>'Original Budget'!J76</f>
        <v>0</v>
      </c>
      <c r="AE63" s="109" t="str">
        <f>IF(ISBLANK(Actuals!J76),"",Actuals!J76)</f>
        <v/>
      </c>
      <c r="AF63" s="110" t="str">
        <f>IF(ISBLANK(Actuals!J76),"",'Original Budget'!J76-Actuals!J76)</f>
        <v/>
      </c>
      <c r="AG63" s="110" t="str">
        <f>IFERROR(IF(ISBLANK(Actuals!J76),"",('Original Budget'!J76-Actuals!J76)/ABS('Original Budget'!J76)),"")</f>
        <v/>
      </c>
      <c r="AH63" s="109">
        <f>'Original Budget'!K76</f>
        <v>0</v>
      </c>
      <c r="AI63" s="109" t="str">
        <f>IF(ISBLANK(Actuals!K76),"",Actuals!K76)</f>
        <v/>
      </c>
      <c r="AJ63" s="110" t="str">
        <f>IF(ISBLANK(Actuals!K76),"",'Original Budget'!K76-Actuals!K76)</f>
        <v/>
      </c>
      <c r="AK63" s="110" t="str">
        <f>IFERROR(IF(ISBLANK(Actuals!K76),"",('Original Budget'!K76-Actuals!K76)/ABS('Original Budget'!K76)),"")</f>
        <v/>
      </c>
      <c r="AL63" s="109">
        <f>'Original Budget'!L76</f>
        <v>0</v>
      </c>
      <c r="AM63" s="109" t="str">
        <f>IF(ISBLANK(Actuals!L76),"",Actuals!L76)</f>
        <v/>
      </c>
      <c r="AN63" s="110" t="str">
        <f>IF(ISBLANK(Actuals!L76),"",'Original Budget'!L76-Actuals!L76)</f>
        <v/>
      </c>
      <c r="AO63" s="110" t="str">
        <f>IFERROR(IF(ISBLANK(Actuals!L76),"",('Original Budget'!L76-Actuals!L76)/ABS('Original Budget'!L76)),"")</f>
        <v/>
      </c>
      <c r="AP63" s="109">
        <f>'Original Budget'!M76</f>
        <v>0</v>
      </c>
      <c r="AQ63" s="109" t="str">
        <f>IF(ISBLANK(Actuals!M76),"",Actuals!M76)</f>
        <v/>
      </c>
      <c r="AR63" s="110" t="str">
        <f>IF(ISBLANK(Actuals!M76),"",'Original Budget'!M76-Actuals!M76)</f>
        <v/>
      </c>
      <c r="AS63" s="110" t="str">
        <f>IFERROR(IF(ISBLANK(Actuals!M76),"",('Original Budget'!M76-Actuals!M76)/ABS('Original Budget'!M76)),"")</f>
        <v/>
      </c>
      <c r="AT63" s="109">
        <f>'Original Budget'!N76</f>
        <v>0</v>
      </c>
      <c r="AU63" s="109" t="str">
        <f>IF(ISBLANK(Actuals!N76),"",Actuals!N76)</f>
        <v/>
      </c>
      <c r="AV63" s="110" t="str">
        <f>IF(ISBLANK(Actuals!N76),"",'Original Budget'!N76-Actuals!N76)</f>
        <v/>
      </c>
      <c r="AW63" s="110" t="str">
        <f>IFERROR(IF(ISBLANK(Actuals!N76),"",('Original Budget'!N76-Actuals!N76)/ABS('Original Budget'!N76)),"")</f>
        <v/>
      </c>
      <c r="AX63" s="111">
        <f>SUMPRODUCT((Actuals!C76:N76&lt;&gt;"")*('Original Budget'!C76:N76))</f>
        <v>0</v>
      </c>
      <c r="AY63" s="111">
        <f>SUM(Actuals!C76:N76)</f>
        <v>0</v>
      </c>
      <c r="AZ63" s="112">
        <f t="shared" si="1"/>
        <v>0</v>
      </c>
    </row>
    <row r="64" spans="1:52" ht="15" customHeight="1" x14ac:dyDescent="0.25">
      <c r="A64" s="108" t="s">
        <v>112</v>
      </c>
      <c r="B64" s="109">
        <f>'Original Budget'!C77</f>
        <v>0</v>
      </c>
      <c r="C64" s="109" t="str">
        <f>IF(ISBLANK(Actuals!C77),"",Actuals!C77)</f>
        <v/>
      </c>
      <c r="D64" s="110" t="str">
        <f>IF(ISBLANK(Actuals!C77),"",'Original Budget'!C77-Actuals!C77)</f>
        <v/>
      </c>
      <c r="E64" s="110" t="str">
        <f>IFERROR(IF(ISBLANK(Actuals!C77),"",('Original Budget'!C77-Actuals!C77)/ABS('Original Budget'!C77)),"")</f>
        <v/>
      </c>
      <c r="F64" s="109">
        <f>'Original Budget'!D77</f>
        <v>0</v>
      </c>
      <c r="G64" s="109" t="str">
        <f>IF(ISBLANK(Actuals!D77),"",Actuals!D77)</f>
        <v/>
      </c>
      <c r="H64" s="110" t="str">
        <f>IF(ISBLANK(Actuals!D77),"",'Original Budget'!D77-Actuals!D77)</f>
        <v/>
      </c>
      <c r="I64" s="110" t="str">
        <f>IFERROR(IF(ISBLANK(Actuals!D77),"",('Original Budget'!D77-Actuals!D77)/ABS('Original Budget'!D77)),"")</f>
        <v/>
      </c>
      <c r="J64" s="109">
        <f>'Original Budget'!E77</f>
        <v>0</v>
      </c>
      <c r="K64" s="109" t="str">
        <f>IF(ISBLANK(Actuals!E77),"",Actuals!E77)</f>
        <v/>
      </c>
      <c r="L64" s="110" t="str">
        <f>IF(ISBLANK(Actuals!E77),"",'Original Budget'!E77-Actuals!E77)</f>
        <v/>
      </c>
      <c r="M64" s="110" t="str">
        <f>IFERROR(IF(ISBLANK(Actuals!E77),"",('Original Budget'!E77-Actuals!E77)/ABS('Original Budget'!E77)),"")</f>
        <v/>
      </c>
      <c r="N64" s="109">
        <f>'Original Budget'!F77</f>
        <v>0</v>
      </c>
      <c r="O64" s="109" t="str">
        <f>IF(ISBLANK(Actuals!F77),"",Actuals!F77)</f>
        <v/>
      </c>
      <c r="P64" s="110" t="str">
        <f>IF(ISBLANK(Actuals!F77),"",'Original Budget'!F77-Actuals!F77)</f>
        <v/>
      </c>
      <c r="Q64" s="110" t="str">
        <f>IFERROR(IF(ISBLANK(Actuals!F77),"",('Original Budget'!F77-Actuals!F77)/ABS('Original Budget'!F77)),"")</f>
        <v/>
      </c>
      <c r="R64" s="109">
        <f>'Original Budget'!G77</f>
        <v>0</v>
      </c>
      <c r="S64" s="109" t="str">
        <f>IF(ISBLANK(Actuals!G77),"",Actuals!G77)</f>
        <v/>
      </c>
      <c r="T64" s="110" t="str">
        <f>IF(ISBLANK(Actuals!G77),"",'Original Budget'!G77-Actuals!G77)</f>
        <v/>
      </c>
      <c r="U64" s="110" t="str">
        <f>IFERROR(IF(ISBLANK(Actuals!G77),"",('Original Budget'!G77-Actuals!G77)/ABS('Original Budget'!G77)),"")</f>
        <v/>
      </c>
      <c r="V64" s="109">
        <f>'Original Budget'!H77</f>
        <v>0</v>
      </c>
      <c r="W64" s="109" t="str">
        <f>IF(ISBLANK(Actuals!H77),"",Actuals!H77)</f>
        <v/>
      </c>
      <c r="X64" s="110" t="str">
        <f>IF(ISBLANK(Actuals!H77),"",'Original Budget'!H77-Actuals!H77)</f>
        <v/>
      </c>
      <c r="Y64" s="110" t="str">
        <f>IFERROR(IF(ISBLANK(Actuals!H77),"",('Original Budget'!H77-Actuals!H77)/ABS('Original Budget'!H77)),"")</f>
        <v/>
      </c>
      <c r="Z64" s="109">
        <f>'Original Budget'!I77</f>
        <v>0</v>
      </c>
      <c r="AA64" s="109" t="str">
        <f>IF(ISBLANK(Actuals!I77),"",Actuals!I77)</f>
        <v/>
      </c>
      <c r="AB64" s="110" t="str">
        <f>IF(ISBLANK(Actuals!I77),"",'Original Budget'!I77-Actuals!I77)</f>
        <v/>
      </c>
      <c r="AC64" s="110" t="str">
        <f>IFERROR(IF(ISBLANK(Actuals!I77),"",('Original Budget'!I77-Actuals!I77)/ABS('Original Budget'!I77)),"")</f>
        <v/>
      </c>
      <c r="AD64" s="109">
        <f>'Original Budget'!J77</f>
        <v>0</v>
      </c>
      <c r="AE64" s="109" t="str">
        <f>IF(ISBLANK(Actuals!J77),"",Actuals!J77)</f>
        <v/>
      </c>
      <c r="AF64" s="110" t="str">
        <f>IF(ISBLANK(Actuals!J77),"",'Original Budget'!J77-Actuals!J77)</f>
        <v/>
      </c>
      <c r="AG64" s="110" t="str">
        <f>IFERROR(IF(ISBLANK(Actuals!J77),"",('Original Budget'!J77-Actuals!J77)/ABS('Original Budget'!J77)),"")</f>
        <v/>
      </c>
      <c r="AH64" s="109">
        <f>'Original Budget'!K77</f>
        <v>0</v>
      </c>
      <c r="AI64" s="109" t="str">
        <f>IF(ISBLANK(Actuals!K77),"",Actuals!K77)</f>
        <v/>
      </c>
      <c r="AJ64" s="110" t="str">
        <f>IF(ISBLANK(Actuals!K77),"",'Original Budget'!K77-Actuals!K77)</f>
        <v/>
      </c>
      <c r="AK64" s="110" t="str">
        <f>IFERROR(IF(ISBLANK(Actuals!K77),"",('Original Budget'!K77-Actuals!K77)/ABS('Original Budget'!K77)),"")</f>
        <v/>
      </c>
      <c r="AL64" s="109">
        <f>'Original Budget'!L77</f>
        <v>0</v>
      </c>
      <c r="AM64" s="109" t="str">
        <f>IF(ISBLANK(Actuals!L77),"",Actuals!L77)</f>
        <v/>
      </c>
      <c r="AN64" s="110" t="str">
        <f>IF(ISBLANK(Actuals!L77),"",'Original Budget'!L77-Actuals!L77)</f>
        <v/>
      </c>
      <c r="AO64" s="110" t="str">
        <f>IFERROR(IF(ISBLANK(Actuals!L77),"",('Original Budget'!L77-Actuals!L77)/ABS('Original Budget'!L77)),"")</f>
        <v/>
      </c>
      <c r="AP64" s="109">
        <f>'Original Budget'!M77</f>
        <v>0</v>
      </c>
      <c r="AQ64" s="109" t="str">
        <f>IF(ISBLANK(Actuals!M77),"",Actuals!M77)</f>
        <v/>
      </c>
      <c r="AR64" s="110" t="str">
        <f>IF(ISBLANK(Actuals!M77),"",'Original Budget'!M77-Actuals!M77)</f>
        <v/>
      </c>
      <c r="AS64" s="110" t="str">
        <f>IFERROR(IF(ISBLANK(Actuals!M77),"",('Original Budget'!M77-Actuals!M77)/ABS('Original Budget'!M77)),"")</f>
        <v/>
      </c>
      <c r="AT64" s="109">
        <f>'Original Budget'!N77</f>
        <v>0</v>
      </c>
      <c r="AU64" s="109" t="str">
        <f>IF(ISBLANK(Actuals!N77),"",Actuals!N77)</f>
        <v/>
      </c>
      <c r="AV64" s="110" t="str">
        <f>IF(ISBLANK(Actuals!N77),"",'Original Budget'!N77-Actuals!N77)</f>
        <v/>
      </c>
      <c r="AW64" s="110" t="str">
        <f>IFERROR(IF(ISBLANK(Actuals!N77),"",('Original Budget'!N77-Actuals!N77)/ABS('Original Budget'!N77)),"")</f>
        <v/>
      </c>
      <c r="AX64" s="111">
        <f>SUMPRODUCT((Actuals!C77:N77&lt;&gt;"")*('Original Budget'!C77:N77))</f>
        <v>0</v>
      </c>
      <c r="AY64" s="111">
        <f>SUM(Actuals!C77:N77)</f>
        <v>0</v>
      </c>
      <c r="AZ64" s="112">
        <f t="shared" si="1"/>
        <v>0</v>
      </c>
    </row>
    <row r="65" spans="1:52" ht="15" customHeight="1" x14ac:dyDescent="0.25">
      <c r="A65" s="108" t="s">
        <v>113</v>
      </c>
      <c r="B65" s="109">
        <f>'Original Budget'!C78</f>
        <v>0</v>
      </c>
      <c r="C65" s="109" t="str">
        <f>IF(ISBLANK(Actuals!C78),"",Actuals!C78)</f>
        <v/>
      </c>
      <c r="D65" s="110" t="str">
        <f>IF(ISBLANK(Actuals!C78),"",'Original Budget'!C78-Actuals!C78)</f>
        <v/>
      </c>
      <c r="E65" s="110" t="str">
        <f>IFERROR(IF(ISBLANK(Actuals!C78),"",('Original Budget'!C78-Actuals!C78)/ABS('Original Budget'!C78)),"")</f>
        <v/>
      </c>
      <c r="F65" s="109">
        <f>'Original Budget'!D78</f>
        <v>0</v>
      </c>
      <c r="G65" s="109" t="str">
        <f>IF(ISBLANK(Actuals!D78),"",Actuals!D78)</f>
        <v/>
      </c>
      <c r="H65" s="110" t="str">
        <f>IF(ISBLANK(Actuals!D78),"",'Original Budget'!D78-Actuals!D78)</f>
        <v/>
      </c>
      <c r="I65" s="110" t="str">
        <f>IFERROR(IF(ISBLANK(Actuals!D78),"",('Original Budget'!D78-Actuals!D78)/ABS('Original Budget'!D78)),"")</f>
        <v/>
      </c>
      <c r="J65" s="109">
        <f>'Original Budget'!E78</f>
        <v>0</v>
      </c>
      <c r="K65" s="109" t="str">
        <f>IF(ISBLANK(Actuals!E78),"",Actuals!E78)</f>
        <v/>
      </c>
      <c r="L65" s="110" t="str">
        <f>IF(ISBLANK(Actuals!E78),"",'Original Budget'!E78-Actuals!E78)</f>
        <v/>
      </c>
      <c r="M65" s="110" t="str">
        <f>IFERROR(IF(ISBLANK(Actuals!E78),"",('Original Budget'!E78-Actuals!E78)/ABS('Original Budget'!E78)),"")</f>
        <v/>
      </c>
      <c r="N65" s="109">
        <f>'Original Budget'!F78</f>
        <v>0</v>
      </c>
      <c r="O65" s="109" t="str">
        <f>IF(ISBLANK(Actuals!F78),"",Actuals!F78)</f>
        <v/>
      </c>
      <c r="P65" s="110" t="str">
        <f>IF(ISBLANK(Actuals!F78),"",'Original Budget'!F78-Actuals!F78)</f>
        <v/>
      </c>
      <c r="Q65" s="110" t="str">
        <f>IFERROR(IF(ISBLANK(Actuals!F78),"",('Original Budget'!F78-Actuals!F78)/ABS('Original Budget'!F78)),"")</f>
        <v/>
      </c>
      <c r="R65" s="109">
        <f>'Original Budget'!G78</f>
        <v>0</v>
      </c>
      <c r="S65" s="109" t="str">
        <f>IF(ISBLANK(Actuals!G78),"",Actuals!G78)</f>
        <v/>
      </c>
      <c r="T65" s="110" t="str">
        <f>IF(ISBLANK(Actuals!G78),"",'Original Budget'!G78-Actuals!G78)</f>
        <v/>
      </c>
      <c r="U65" s="110" t="str">
        <f>IFERROR(IF(ISBLANK(Actuals!G78),"",('Original Budget'!G78-Actuals!G78)/ABS('Original Budget'!G78)),"")</f>
        <v/>
      </c>
      <c r="V65" s="109">
        <f>'Original Budget'!H78</f>
        <v>0</v>
      </c>
      <c r="W65" s="109" t="str">
        <f>IF(ISBLANK(Actuals!H78),"",Actuals!H78)</f>
        <v/>
      </c>
      <c r="X65" s="110" t="str">
        <f>IF(ISBLANK(Actuals!H78),"",'Original Budget'!H78-Actuals!H78)</f>
        <v/>
      </c>
      <c r="Y65" s="110" t="str">
        <f>IFERROR(IF(ISBLANK(Actuals!H78),"",('Original Budget'!H78-Actuals!H78)/ABS('Original Budget'!H78)),"")</f>
        <v/>
      </c>
      <c r="Z65" s="109">
        <f>'Original Budget'!I78</f>
        <v>0</v>
      </c>
      <c r="AA65" s="109" t="str">
        <f>IF(ISBLANK(Actuals!I78),"",Actuals!I78)</f>
        <v/>
      </c>
      <c r="AB65" s="110" t="str">
        <f>IF(ISBLANK(Actuals!I78),"",'Original Budget'!I78-Actuals!I78)</f>
        <v/>
      </c>
      <c r="AC65" s="110" t="str">
        <f>IFERROR(IF(ISBLANK(Actuals!I78),"",('Original Budget'!I78-Actuals!I78)/ABS('Original Budget'!I78)),"")</f>
        <v/>
      </c>
      <c r="AD65" s="109">
        <f>'Original Budget'!J78</f>
        <v>0</v>
      </c>
      <c r="AE65" s="109" t="str">
        <f>IF(ISBLANK(Actuals!J78),"",Actuals!J78)</f>
        <v/>
      </c>
      <c r="AF65" s="110" t="str">
        <f>IF(ISBLANK(Actuals!J78),"",'Original Budget'!J78-Actuals!J78)</f>
        <v/>
      </c>
      <c r="AG65" s="110" t="str">
        <f>IFERROR(IF(ISBLANK(Actuals!J78),"",('Original Budget'!J78-Actuals!J78)/ABS('Original Budget'!J78)),"")</f>
        <v/>
      </c>
      <c r="AH65" s="109">
        <f>'Original Budget'!K78</f>
        <v>0</v>
      </c>
      <c r="AI65" s="109" t="str">
        <f>IF(ISBLANK(Actuals!K78),"",Actuals!K78)</f>
        <v/>
      </c>
      <c r="AJ65" s="110" t="str">
        <f>IF(ISBLANK(Actuals!K78),"",'Original Budget'!K78-Actuals!K78)</f>
        <v/>
      </c>
      <c r="AK65" s="110" t="str">
        <f>IFERROR(IF(ISBLANK(Actuals!K78),"",('Original Budget'!K78-Actuals!K78)/ABS('Original Budget'!K78)),"")</f>
        <v/>
      </c>
      <c r="AL65" s="109">
        <f>'Original Budget'!L78</f>
        <v>0</v>
      </c>
      <c r="AM65" s="109" t="str">
        <f>IF(ISBLANK(Actuals!L78),"",Actuals!L78)</f>
        <v/>
      </c>
      <c r="AN65" s="110" t="str">
        <f>IF(ISBLANK(Actuals!L78),"",'Original Budget'!L78-Actuals!L78)</f>
        <v/>
      </c>
      <c r="AO65" s="110" t="str">
        <f>IFERROR(IF(ISBLANK(Actuals!L78),"",('Original Budget'!L78-Actuals!L78)/ABS('Original Budget'!L78)),"")</f>
        <v/>
      </c>
      <c r="AP65" s="109">
        <f>'Original Budget'!M78</f>
        <v>0</v>
      </c>
      <c r="AQ65" s="109" t="str">
        <f>IF(ISBLANK(Actuals!M78),"",Actuals!M78)</f>
        <v/>
      </c>
      <c r="AR65" s="110" t="str">
        <f>IF(ISBLANK(Actuals!M78),"",'Original Budget'!M78-Actuals!M78)</f>
        <v/>
      </c>
      <c r="AS65" s="110" t="str">
        <f>IFERROR(IF(ISBLANK(Actuals!M78),"",('Original Budget'!M78-Actuals!M78)/ABS('Original Budget'!M78)),"")</f>
        <v/>
      </c>
      <c r="AT65" s="109">
        <f>'Original Budget'!N78</f>
        <v>0</v>
      </c>
      <c r="AU65" s="109" t="str">
        <f>IF(ISBLANK(Actuals!N78),"",Actuals!N78)</f>
        <v/>
      </c>
      <c r="AV65" s="110" t="str">
        <f>IF(ISBLANK(Actuals!N78),"",'Original Budget'!N78-Actuals!N78)</f>
        <v/>
      </c>
      <c r="AW65" s="110" t="str">
        <f>IFERROR(IF(ISBLANK(Actuals!N78),"",('Original Budget'!N78-Actuals!N78)/ABS('Original Budget'!N78)),"")</f>
        <v/>
      </c>
      <c r="AX65" s="111">
        <f>SUMPRODUCT((Actuals!C78:N78&lt;&gt;"")*('Original Budget'!C78:N78))</f>
        <v>0</v>
      </c>
      <c r="AY65" s="111">
        <f>SUM(Actuals!C78:N78)</f>
        <v>0</v>
      </c>
      <c r="AZ65" s="112">
        <f t="shared" si="1"/>
        <v>0</v>
      </c>
    </row>
    <row r="66" spans="1:52" ht="15" customHeight="1" x14ac:dyDescent="0.25">
      <c r="A66" s="108" t="s">
        <v>63</v>
      </c>
      <c r="B66" s="109">
        <f>'Original Budget'!C81</f>
        <v>-54421</v>
      </c>
      <c r="C66" s="109">
        <f>IF(ISBLANK(Actuals!C81),"",Actuals!C81)</f>
        <v>-54421</v>
      </c>
      <c r="D66" s="110">
        <f>IF(ISBLANK(Actuals!C81),"",'Original Budget'!C81-Actuals!C81)</f>
        <v>0</v>
      </c>
      <c r="E66" s="110">
        <f>IFERROR(IF(ISBLANK(Actuals!C81),"",('Original Budget'!C81-Actuals!C81)/ABS('Original Budget'!C81)),"")</f>
        <v>0</v>
      </c>
      <c r="F66" s="109">
        <f>'Original Budget'!D81</f>
        <v>-54166.68</v>
      </c>
      <c r="G66" s="109">
        <f>IF(ISBLANK(Actuals!D81),"",Actuals!D81)</f>
        <v>-54166.68</v>
      </c>
      <c r="H66" s="110">
        <f>IF(ISBLANK(Actuals!D81),"",'Original Budget'!D81-Actuals!D81)</f>
        <v>0</v>
      </c>
      <c r="I66" s="110">
        <f>IFERROR(IF(ISBLANK(Actuals!D81),"",('Original Budget'!D81-Actuals!D81)/ABS('Original Budget'!D81)),"")</f>
        <v>0</v>
      </c>
      <c r="J66" s="109">
        <f>'Original Budget'!E81</f>
        <v>-54166.68</v>
      </c>
      <c r="K66" s="109">
        <f>IF(ISBLANK(Actuals!E81),"",Actuals!E81)</f>
        <v>-54166.68</v>
      </c>
      <c r="L66" s="110">
        <f>IF(ISBLANK(Actuals!E81),"",'Original Budget'!E81-Actuals!E81)</f>
        <v>0</v>
      </c>
      <c r="M66" s="110">
        <f>IFERROR(IF(ISBLANK(Actuals!E81),"",('Original Budget'!E81-Actuals!E81)/ABS('Original Budget'!E81)),"")</f>
        <v>0</v>
      </c>
      <c r="N66" s="109">
        <f>'Original Budget'!F81</f>
        <v>-11458.333333333299</v>
      </c>
      <c r="O66" s="109">
        <f>IF(ISBLANK(Actuals!F81),"",Actuals!F81)</f>
        <v>-54166.68</v>
      </c>
      <c r="P66" s="110">
        <f>IF(ISBLANK(Actuals!F81),"",'Original Budget'!F81-Actuals!F81)</f>
        <v>42708.346666666701</v>
      </c>
      <c r="Q66" s="110">
        <f>IFERROR(IF(ISBLANK(Actuals!F81),"",('Original Budget'!F81-Actuals!F81)/ABS('Original Budget'!F81)),"")</f>
        <v>3.727273890909105</v>
      </c>
      <c r="R66" s="109">
        <f>'Original Budget'!G81</f>
        <v>-11458.333333333299</v>
      </c>
      <c r="S66" s="109" t="str">
        <f>IF(ISBLANK(Actuals!G81),"",Actuals!G81)</f>
        <v/>
      </c>
      <c r="T66" s="110" t="str">
        <f>IF(ISBLANK(Actuals!G81),"",'Original Budget'!G81-Actuals!G81)</f>
        <v/>
      </c>
      <c r="U66" s="110" t="str">
        <f>IFERROR(IF(ISBLANK(Actuals!G81),"",('Original Budget'!G81-Actuals!G81)/ABS('Original Budget'!G81)),"")</f>
        <v/>
      </c>
      <c r="V66" s="109">
        <f>'Original Budget'!H81</f>
        <v>-11458.333333333299</v>
      </c>
      <c r="W66" s="109" t="str">
        <f>IF(ISBLANK(Actuals!H81),"",Actuals!H81)</f>
        <v/>
      </c>
      <c r="X66" s="110" t="str">
        <f>IF(ISBLANK(Actuals!H81),"",'Original Budget'!H81-Actuals!H81)</f>
        <v/>
      </c>
      <c r="Y66" s="110" t="str">
        <f>IFERROR(IF(ISBLANK(Actuals!H81),"",('Original Budget'!H81-Actuals!H81)/ABS('Original Budget'!H81)),"")</f>
        <v/>
      </c>
      <c r="Z66" s="109">
        <f>'Original Budget'!I81</f>
        <v>-11458.333333333299</v>
      </c>
      <c r="AA66" s="109" t="str">
        <f>IF(ISBLANK(Actuals!I81),"",Actuals!I81)</f>
        <v/>
      </c>
      <c r="AB66" s="110" t="str">
        <f>IF(ISBLANK(Actuals!I81),"",'Original Budget'!I81-Actuals!I81)</f>
        <v/>
      </c>
      <c r="AC66" s="110" t="str">
        <f>IFERROR(IF(ISBLANK(Actuals!I81),"",('Original Budget'!I81-Actuals!I81)/ABS('Original Budget'!I81)),"")</f>
        <v/>
      </c>
      <c r="AD66" s="109">
        <f>'Original Budget'!J81</f>
        <v>-11458.333333333299</v>
      </c>
      <c r="AE66" s="109" t="str">
        <f>IF(ISBLANK(Actuals!J81),"",Actuals!J81)</f>
        <v/>
      </c>
      <c r="AF66" s="110" t="str">
        <f>IF(ISBLANK(Actuals!J81),"",'Original Budget'!J81-Actuals!J81)</f>
        <v/>
      </c>
      <c r="AG66" s="110" t="str">
        <f>IFERROR(IF(ISBLANK(Actuals!J81),"",('Original Budget'!J81-Actuals!J81)/ABS('Original Budget'!J81)),"")</f>
        <v/>
      </c>
      <c r="AH66" s="109">
        <f>'Original Budget'!K81</f>
        <v>-11458.333333333299</v>
      </c>
      <c r="AI66" s="109" t="str">
        <f>IF(ISBLANK(Actuals!K81),"",Actuals!K81)</f>
        <v/>
      </c>
      <c r="AJ66" s="110" t="str">
        <f>IF(ISBLANK(Actuals!K81),"",'Original Budget'!K81-Actuals!K81)</f>
        <v/>
      </c>
      <c r="AK66" s="110" t="str">
        <f>IFERROR(IF(ISBLANK(Actuals!K81),"",('Original Budget'!K81-Actuals!K81)/ABS('Original Budget'!K81)),"")</f>
        <v/>
      </c>
      <c r="AL66" s="109">
        <f>'Original Budget'!L81</f>
        <v>-11458.333333333299</v>
      </c>
      <c r="AM66" s="109" t="str">
        <f>IF(ISBLANK(Actuals!L81),"",Actuals!L81)</f>
        <v/>
      </c>
      <c r="AN66" s="110" t="str">
        <f>IF(ISBLANK(Actuals!L81),"",'Original Budget'!L81-Actuals!L81)</f>
        <v/>
      </c>
      <c r="AO66" s="110" t="str">
        <f>IFERROR(IF(ISBLANK(Actuals!L81),"",('Original Budget'!L81-Actuals!L81)/ABS('Original Budget'!L81)),"")</f>
        <v/>
      </c>
      <c r="AP66" s="109">
        <f>'Original Budget'!M81</f>
        <v>-11458.333333333299</v>
      </c>
      <c r="AQ66" s="109" t="str">
        <f>IF(ISBLANK(Actuals!M81),"",Actuals!M81)</f>
        <v/>
      </c>
      <c r="AR66" s="110" t="str">
        <f>IF(ISBLANK(Actuals!M81),"",'Original Budget'!M81-Actuals!M81)</f>
        <v/>
      </c>
      <c r="AS66" s="110" t="str">
        <f>IFERROR(IF(ISBLANK(Actuals!M81),"",('Original Budget'!M81-Actuals!M81)/ABS('Original Budget'!M81)),"")</f>
        <v/>
      </c>
      <c r="AT66" s="109">
        <f>'Original Budget'!N81</f>
        <v>-11458.333333333299</v>
      </c>
      <c r="AU66" s="109" t="str">
        <f>IF(ISBLANK(Actuals!N81),"",Actuals!N81)</f>
        <v/>
      </c>
      <c r="AV66" s="110" t="str">
        <f>IF(ISBLANK(Actuals!N81),"",'Original Budget'!N81-Actuals!N81)</f>
        <v/>
      </c>
      <c r="AW66" s="110" t="str">
        <f>IFERROR(IF(ISBLANK(Actuals!N81),"",('Original Budget'!N81-Actuals!N81)/ABS('Original Budget'!N81)),"")</f>
        <v/>
      </c>
      <c r="AX66" s="111">
        <f>SUMPRODUCT((Actuals!C81:N81&lt;&gt;"")*('Original Budget'!C81:N81))</f>
        <v>-174212.6933333333</v>
      </c>
      <c r="AY66" s="111">
        <f>SUM(Actuals!C81:N81)</f>
        <v>-216921.03999999998</v>
      </c>
      <c r="AZ66" s="112">
        <f t="shared" si="1"/>
        <v>42708.346666666679</v>
      </c>
    </row>
    <row r="67" spans="1:52" ht="15" customHeight="1" x14ac:dyDescent="0.25">
      <c r="A67" s="108" t="s">
        <v>64</v>
      </c>
      <c r="B67" s="109">
        <f>'Original Budget'!C82</f>
        <v>-5302</v>
      </c>
      <c r="C67" s="109">
        <f>IF(ISBLANK(Actuals!C82),"",Actuals!C82)</f>
        <v>-5302</v>
      </c>
      <c r="D67" s="110">
        <f>IF(ISBLANK(Actuals!C82),"",'Original Budget'!C82-Actuals!C82)</f>
        <v>0</v>
      </c>
      <c r="E67" s="110">
        <f>IFERROR(IF(ISBLANK(Actuals!C82),"",('Original Budget'!C82-Actuals!C82)/ABS('Original Budget'!C82)),"")</f>
        <v>0</v>
      </c>
      <c r="F67" s="109">
        <f>'Original Budget'!D82</f>
        <v>-4279.79</v>
      </c>
      <c r="G67" s="109">
        <f>IF(ISBLANK(Actuals!D82),"",Actuals!D82)</f>
        <v>-4279.79</v>
      </c>
      <c r="H67" s="110">
        <f>IF(ISBLANK(Actuals!D82),"",'Original Budget'!D82-Actuals!D82)</f>
        <v>0</v>
      </c>
      <c r="I67" s="110">
        <f>IFERROR(IF(ISBLANK(Actuals!D82),"",('Original Budget'!D82-Actuals!D82)/ABS('Original Budget'!D82)),"")</f>
        <v>0</v>
      </c>
      <c r="J67" s="109">
        <f>'Original Budget'!E82</f>
        <v>-4145.97</v>
      </c>
      <c r="K67" s="109">
        <f>IF(ISBLANK(Actuals!E82),"",Actuals!E82)</f>
        <v>-4145.97</v>
      </c>
      <c r="L67" s="110">
        <f>IF(ISBLANK(Actuals!E82),"",'Original Budget'!E82-Actuals!E82)</f>
        <v>0</v>
      </c>
      <c r="M67" s="110">
        <f>IFERROR(IF(ISBLANK(Actuals!E82),"",('Original Budget'!E82-Actuals!E82)/ABS('Original Budget'!E82)),"")</f>
        <v>0</v>
      </c>
      <c r="N67" s="109">
        <f>'Original Budget'!F82</f>
        <v>-802.08333333333405</v>
      </c>
      <c r="O67" s="109">
        <f>IF(ISBLANK(Actuals!F82),"",Actuals!F82)</f>
        <v>-4145.96</v>
      </c>
      <c r="P67" s="110">
        <f>IF(ISBLANK(Actuals!F82),"",'Original Budget'!F82-Actuals!F82)</f>
        <v>3343.8766666666661</v>
      </c>
      <c r="Q67" s="110">
        <f>IFERROR(IF(ISBLANK(Actuals!F82),"",('Original Budget'!F82-Actuals!F82)/ABS('Original Budget'!F82)),"")</f>
        <v>4.1689890909090863</v>
      </c>
      <c r="R67" s="109">
        <f>'Original Budget'!G82</f>
        <v>-802.08333333333405</v>
      </c>
      <c r="S67" s="109" t="str">
        <f>IF(ISBLANK(Actuals!G82),"",Actuals!G82)</f>
        <v/>
      </c>
      <c r="T67" s="110" t="str">
        <f>IF(ISBLANK(Actuals!G82),"",'Original Budget'!G82-Actuals!G82)</f>
        <v/>
      </c>
      <c r="U67" s="110" t="str">
        <f>IFERROR(IF(ISBLANK(Actuals!G82),"",('Original Budget'!G82-Actuals!G82)/ABS('Original Budget'!G82)),"")</f>
        <v/>
      </c>
      <c r="V67" s="109">
        <f>'Original Budget'!H82</f>
        <v>-802.08333333333405</v>
      </c>
      <c r="W67" s="109" t="str">
        <f>IF(ISBLANK(Actuals!H82),"",Actuals!H82)</f>
        <v/>
      </c>
      <c r="X67" s="110" t="str">
        <f>IF(ISBLANK(Actuals!H82),"",'Original Budget'!H82-Actuals!H82)</f>
        <v/>
      </c>
      <c r="Y67" s="110" t="str">
        <f>IFERROR(IF(ISBLANK(Actuals!H82),"",('Original Budget'!H82-Actuals!H82)/ABS('Original Budget'!H82)),"")</f>
        <v/>
      </c>
      <c r="Z67" s="109">
        <f>'Original Budget'!I82</f>
        <v>-802.08333333333405</v>
      </c>
      <c r="AA67" s="109" t="str">
        <f>IF(ISBLANK(Actuals!I82),"",Actuals!I82)</f>
        <v/>
      </c>
      <c r="AB67" s="110" t="str">
        <f>IF(ISBLANK(Actuals!I82),"",'Original Budget'!I82-Actuals!I82)</f>
        <v/>
      </c>
      <c r="AC67" s="110" t="str">
        <f>IFERROR(IF(ISBLANK(Actuals!I82),"",('Original Budget'!I82-Actuals!I82)/ABS('Original Budget'!I82)),"")</f>
        <v/>
      </c>
      <c r="AD67" s="109">
        <f>'Original Budget'!J82</f>
        <v>-802.08333333333405</v>
      </c>
      <c r="AE67" s="109" t="str">
        <f>IF(ISBLANK(Actuals!J82),"",Actuals!J82)</f>
        <v/>
      </c>
      <c r="AF67" s="110" t="str">
        <f>IF(ISBLANK(Actuals!J82),"",'Original Budget'!J82-Actuals!J82)</f>
        <v/>
      </c>
      <c r="AG67" s="110" t="str">
        <f>IFERROR(IF(ISBLANK(Actuals!J82),"",('Original Budget'!J82-Actuals!J82)/ABS('Original Budget'!J82)),"")</f>
        <v/>
      </c>
      <c r="AH67" s="109">
        <f>'Original Budget'!K82</f>
        <v>-802.08333333333405</v>
      </c>
      <c r="AI67" s="109" t="str">
        <f>IF(ISBLANK(Actuals!K82),"",Actuals!K82)</f>
        <v/>
      </c>
      <c r="AJ67" s="110" t="str">
        <f>IF(ISBLANK(Actuals!K82),"",'Original Budget'!K82-Actuals!K82)</f>
        <v/>
      </c>
      <c r="AK67" s="110" t="str">
        <f>IFERROR(IF(ISBLANK(Actuals!K82),"",('Original Budget'!K82-Actuals!K82)/ABS('Original Budget'!K82)),"")</f>
        <v/>
      </c>
      <c r="AL67" s="109">
        <f>'Original Budget'!L82</f>
        <v>-802.08333333333405</v>
      </c>
      <c r="AM67" s="109" t="str">
        <f>IF(ISBLANK(Actuals!L82),"",Actuals!L82)</f>
        <v/>
      </c>
      <c r="AN67" s="110" t="str">
        <f>IF(ISBLANK(Actuals!L82),"",'Original Budget'!L82-Actuals!L82)</f>
        <v/>
      </c>
      <c r="AO67" s="110" t="str">
        <f>IFERROR(IF(ISBLANK(Actuals!L82),"",('Original Budget'!L82-Actuals!L82)/ABS('Original Budget'!L82)),"")</f>
        <v/>
      </c>
      <c r="AP67" s="109">
        <f>'Original Budget'!M82</f>
        <v>-802.08333333333405</v>
      </c>
      <c r="AQ67" s="109" t="str">
        <f>IF(ISBLANK(Actuals!M82),"",Actuals!M82)</f>
        <v/>
      </c>
      <c r="AR67" s="110" t="str">
        <f>IF(ISBLANK(Actuals!M82),"",'Original Budget'!M82-Actuals!M82)</f>
        <v/>
      </c>
      <c r="AS67" s="110" t="str">
        <f>IFERROR(IF(ISBLANK(Actuals!M82),"",('Original Budget'!M82-Actuals!M82)/ABS('Original Budget'!M82)),"")</f>
        <v/>
      </c>
      <c r="AT67" s="109">
        <f>'Original Budget'!N82</f>
        <v>-802.08333333333405</v>
      </c>
      <c r="AU67" s="109" t="str">
        <f>IF(ISBLANK(Actuals!N82),"",Actuals!N82)</f>
        <v/>
      </c>
      <c r="AV67" s="110" t="str">
        <f>IF(ISBLANK(Actuals!N82),"",'Original Budget'!N82-Actuals!N82)</f>
        <v/>
      </c>
      <c r="AW67" s="110" t="str">
        <f>IFERROR(IF(ISBLANK(Actuals!N82),"",('Original Budget'!N82-Actuals!N82)/ABS('Original Budget'!N82)),"")</f>
        <v/>
      </c>
      <c r="AX67" s="111">
        <f>SUMPRODUCT((Actuals!C82:N82&lt;&gt;"")*('Original Budget'!C82:N82))</f>
        <v>-14529.843333333336</v>
      </c>
      <c r="AY67" s="111">
        <f>SUM(Actuals!C82:N82)</f>
        <v>-17873.72</v>
      </c>
      <c r="AZ67" s="112">
        <f t="shared" si="1"/>
        <v>3343.8766666666652</v>
      </c>
    </row>
    <row r="68" spans="1:52" ht="15" customHeight="1" x14ac:dyDescent="0.25">
      <c r="A68" s="108" t="s">
        <v>66</v>
      </c>
      <c r="B68" s="109">
        <f>'Original Budget'!C83</f>
        <v>-12137.77</v>
      </c>
      <c r="C68" s="109">
        <f>IF(ISBLANK(Actuals!C83),"",Actuals!C83)</f>
        <v>-12137.77</v>
      </c>
      <c r="D68" s="110">
        <f>IF(ISBLANK(Actuals!C83),"",'Original Budget'!C83-Actuals!C83)</f>
        <v>0</v>
      </c>
      <c r="E68" s="110">
        <f>IFERROR(IF(ISBLANK(Actuals!C83),"",('Original Budget'!C83-Actuals!C83)/ABS('Original Budget'!C83)),"")</f>
        <v>0</v>
      </c>
      <c r="F68" s="109">
        <f>'Original Budget'!D83</f>
        <v>-12137.78</v>
      </c>
      <c r="G68" s="109">
        <f>IF(ISBLANK(Actuals!D83),"",Actuals!D83)</f>
        <v>-12137.78</v>
      </c>
      <c r="H68" s="110">
        <f>IF(ISBLANK(Actuals!D83),"",'Original Budget'!D83-Actuals!D83)</f>
        <v>0</v>
      </c>
      <c r="I68" s="110">
        <f>IFERROR(IF(ISBLANK(Actuals!D83),"",('Original Budget'!D83-Actuals!D83)/ABS('Original Budget'!D83)),"")</f>
        <v>0</v>
      </c>
      <c r="J68" s="109">
        <f>'Original Budget'!E83</f>
        <v>-12137.78</v>
      </c>
      <c r="K68" s="109">
        <f>IF(ISBLANK(Actuals!E83),"",Actuals!E83)</f>
        <v>-12137.78</v>
      </c>
      <c r="L68" s="110">
        <f>IF(ISBLANK(Actuals!E83),"",'Original Budget'!E83-Actuals!E83)</f>
        <v>0</v>
      </c>
      <c r="M68" s="110">
        <f>IFERROR(IF(ISBLANK(Actuals!E83),"",('Original Budget'!E83-Actuals!E83)/ABS('Original Budget'!E83)),"")</f>
        <v>0</v>
      </c>
      <c r="N68" s="109">
        <f>'Original Budget'!F83</f>
        <v>-572.91666666666697</v>
      </c>
      <c r="O68" s="109">
        <f>IF(ISBLANK(Actuals!F83),"",Actuals!F83)</f>
        <v>-12137.78</v>
      </c>
      <c r="P68" s="110">
        <f>IF(ISBLANK(Actuals!F83),"",'Original Budget'!F83-Actuals!F83)</f>
        <v>11564.863333333335</v>
      </c>
      <c r="Q68" s="110">
        <f>IFERROR(IF(ISBLANK(Actuals!F83),"",('Original Budget'!F83-Actuals!F83)/ABS('Original Budget'!F83)),"")</f>
        <v>20.185943272727265</v>
      </c>
      <c r="R68" s="109">
        <f>'Original Budget'!G83</f>
        <v>-572.91666666666697</v>
      </c>
      <c r="S68" s="109" t="str">
        <f>IF(ISBLANK(Actuals!G83),"",Actuals!G83)</f>
        <v/>
      </c>
      <c r="T68" s="110" t="str">
        <f>IF(ISBLANK(Actuals!G83),"",'Original Budget'!G83-Actuals!G83)</f>
        <v/>
      </c>
      <c r="U68" s="110" t="str">
        <f>IFERROR(IF(ISBLANK(Actuals!G83),"",('Original Budget'!G83-Actuals!G83)/ABS('Original Budget'!G83)),"")</f>
        <v/>
      </c>
      <c r="V68" s="109">
        <f>'Original Budget'!H83</f>
        <v>-572.91666666666697</v>
      </c>
      <c r="W68" s="109" t="str">
        <f>IF(ISBLANK(Actuals!H83),"",Actuals!H83)</f>
        <v/>
      </c>
      <c r="X68" s="110" t="str">
        <f>IF(ISBLANK(Actuals!H83),"",'Original Budget'!H83-Actuals!H83)</f>
        <v/>
      </c>
      <c r="Y68" s="110" t="str">
        <f>IFERROR(IF(ISBLANK(Actuals!H83),"",('Original Budget'!H83-Actuals!H83)/ABS('Original Budget'!H83)),"")</f>
        <v/>
      </c>
      <c r="Z68" s="109">
        <f>'Original Budget'!I83</f>
        <v>-572.91666666666697</v>
      </c>
      <c r="AA68" s="109" t="str">
        <f>IF(ISBLANK(Actuals!I83),"",Actuals!I83)</f>
        <v/>
      </c>
      <c r="AB68" s="110" t="str">
        <f>IF(ISBLANK(Actuals!I83),"",'Original Budget'!I83-Actuals!I83)</f>
        <v/>
      </c>
      <c r="AC68" s="110" t="str">
        <f>IFERROR(IF(ISBLANK(Actuals!I83),"",('Original Budget'!I83-Actuals!I83)/ABS('Original Budget'!I83)),"")</f>
        <v/>
      </c>
      <c r="AD68" s="109">
        <f>'Original Budget'!J83</f>
        <v>-572.91666666666697</v>
      </c>
      <c r="AE68" s="109" t="str">
        <f>IF(ISBLANK(Actuals!J83),"",Actuals!J83)</f>
        <v/>
      </c>
      <c r="AF68" s="110" t="str">
        <f>IF(ISBLANK(Actuals!J83),"",'Original Budget'!J83-Actuals!J83)</f>
        <v/>
      </c>
      <c r="AG68" s="110" t="str">
        <f>IFERROR(IF(ISBLANK(Actuals!J83),"",('Original Budget'!J83-Actuals!J83)/ABS('Original Budget'!J83)),"")</f>
        <v/>
      </c>
      <c r="AH68" s="109">
        <f>'Original Budget'!K83</f>
        <v>-572.91666666666697</v>
      </c>
      <c r="AI68" s="109" t="str">
        <f>IF(ISBLANK(Actuals!K83),"",Actuals!K83)</f>
        <v/>
      </c>
      <c r="AJ68" s="110" t="str">
        <f>IF(ISBLANK(Actuals!K83),"",'Original Budget'!K83-Actuals!K83)</f>
        <v/>
      </c>
      <c r="AK68" s="110" t="str">
        <f>IFERROR(IF(ISBLANK(Actuals!K83),"",('Original Budget'!K83-Actuals!K83)/ABS('Original Budget'!K83)),"")</f>
        <v/>
      </c>
      <c r="AL68" s="109">
        <f>'Original Budget'!L83</f>
        <v>-572.91666666666697</v>
      </c>
      <c r="AM68" s="109" t="str">
        <f>IF(ISBLANK(Actuals!L83),"",Actuals!L83)</f>
        <v/>
      </c>
      <c r="AN68" s="110" t="str">
        <f>IF(ISBLANK(Actuals!L83),"",'Original Budget'!L83-Actuals!L83)</f>
        <v/>
      </c>
      <c r="AO68" s="110" t="str">
        <f>IFERROR(IF(ISBLANK(Actuals!L83),"",('Original Budget'!L83-Actuals!L83)/ABS('Original Budget'!L83)),"")</f>
        <v/>
      </c>
      <c r="AP68" s="109">
        <f>'Original Budget'!M83</f>
        <v>-572.91666666666697</v>
      </c>
      <c r="AQ68" s="109" t="str">
        <f>IF(ISBLANK(Actuals!M83),"",Actuals!M83)</f>
        <v/>
      </c>
      <c r="AR68" s="110" t="str">
        <f>IF(ISBLANK(Actuals!M83),"",'Original Budget'!M83-Actuals!M83)</f>
        <v/>
      </c>
      <c r="AS68" s="110" t="str">
        <f>IFERROR(IF(ISBLANK(Actuals!M83),"",('Original Budget'!M83-Actuals!M83)/ABS('Original Budget'!M83)),"")</f>
        <v/>
      </c>
      <c r="AT68" s="109">
        <f>'Original Budget'!N83</f>
        <v>-572.91666666666697</v>
      </c>
      <c r="AU68" s="109" t="str">
        <f>IF(ISBLANK(Actuals!N83),"",Actuals!N83)</f>
        <v/>
      </c>
      <c r="AV68" s="110" t="str">
        <f>IF(ISBLANK(Actuals!N83),"",'Original Budget'!N83-Actuals!N83)</f>
        <v/>
      </c>
      <c r="AW68" s="110" t="str">
        <f>IFERROR(IF(ISBLANK(Actuals!N83),"",('Original Budget'!N83-Actuals!N83)/ABS('Original Budget'!N83)),"")</f>
        <v/>
      </c>
      <c r="AX68" s="111">
        <f>SUMPRODUCT((Actuals!C83:N83&lt;&gt;"")*('Original Budget'!C83:N83))</f>
        <v>-36986.246666666666</v>
      </c>
      <c r="AY68" s="111">
        <f>SUM(Actuals!C83:N83)</f>
        <v>-48551.11</v>
      </c>
      <c r="AZ68" s="112">
        <f t="shared" si="1"/>
        <v>11564.863333333335</v>
      </c>
    </row>
    <row r="69" spans="1:52" ht="15" customHeight="1" x14ac:dyDescent="0.25">
      <c r="A69" s="108" t="s">
        <v>67</v>
      </c>
      <c r="B69" s="109">
        <f>'Original Budget'!C84</f>
        <v>-475.76</v>
      </c>
      <c r="C69" s="109">
        <f>IF(ISBLANK(Actuals!C84),"",Actuals!C84)</f>
        <v>-475.76</v>
      </c>
      <c r="D69" s="110">
        <f>IF(ISBLANK(Actuals!C84),"",'Original Budget'!C84-Actuals!C84)</f>
        <v>0</v>
      </c>
      <c r="E69" s="110">
        <f>IFERROR(IF(ISBLANK(Actuals!C84),"",('Original Budget'!C84-Actuals!C84)/ABS('Original Budget'!C84)),"")</f>
        <v>0</v>
      </c>
      <c r="F69" s="109">
        <f>'Original Budget'!D84</f>
        <v>-475.76</v>
      </c>
      <c r="G69" s="109">
        <f>IF(ISBLANK(Actuals!D84),"",Actuals!D84)</f>
        <v>-475.76</v>
      </c>
      <c r="H69" s="110">
        <f>IF(ISBLANK(Actuals!D84),"",'Original Budget'!D84-Actuals!D84)</f>
        <v>0</v>
      </c>
      <c r="I69" s="110">
        <f>IFERROR(IF(ISBLANK(Actuals!D84),"",('Original Budget'!D84-Actuals!D84)/ABS('Original Budget'!D84)),"")</f>
        <v>0</v>
      </c>
      <c r="J69" s="109">
        <f>'Original Budget'!E84</f>
        <v>-475.76</v>
      </c>
      <c r="K69" s="109">
        <f>IF(ISBLANK(Actuals!E84),"",Actuals!E84)</f>
        <v>-475.76</v>
      </c>
      <c r="L69" s="110">
        <f>IF(ISBLANK(Actuals!E84),"",'Original Budget'!E84-Actuals!E84)</f>
        <v>0</v>
      </c>
      <c r="M69" s="110">
        <f>IFERROR(IF(ISBLANK(Actuals!E84),"",('Original Budget'!E84-Actuals!E84)/ABS('Original Budget'!E84)),"")</f>
        <v>0</v>
      </c>
      <c r="N69" s="109">
        <f>'Original Budget'!F84</f>
        <v>-229.166666666667</v>
      </c>
      <c r="O69" s="109">
        <f>IF(ISBLANK(Actuals!F84),"",Actuals!F84)</f>
        <v>-475.76</v>
      </c>
      <c r="P69" s="110">
        <f>IF(ISBLANK(Actuals!F84),"",'Original Budget'!F84-Actuals!F84)</f>
        <v>246.59333333333299</v>
      </c>
      <c r="Q69" s="110">
        <f>IFERROR(IF(ISBLANK(Actuals!F84),"",('Original Budget'!F84-Actuals!F84)/ABS('Original Budget'!F84)),"")</f>
        <v>1.0760436363636334</v>
      </c>
      <c r="R69" s="109">
        <f>'Original Budget'!G84</f>
        <v>-229.166666666667</v>
      </c>
      <c r="S69" s="109" t="str">
        <f>IF(ISBLANK(Actuals!G84),"",Actuals!G84)</f>
        <v/>
      </c>
      <c r="T69" s="110" t="str">
        <f>IF(ISBLANK(Actuals!G84),"",'Original Budget'!G84-Actuals!G84)</f>
        <v/>
      </c>
      <c r="U69" s="110" t="str">
        <f>IFERROR(IF(ISBLANK(Actuals!G84),"",('Original Budget'!G84-Actuals!G84)/ABS('Original Budget'!G84)),"")</f>
        <v/>
      </c>
      <c r="V69" s="109">
        <f>'Original Budget'!H84</f>
        <v>-229.166666666667</v>
      </c>
      <c r="W69" s="109" t="str">
        <f>IF(ISBLANK(Actuals!H84),"",Actuals!H84)</f>
        <v/>
      </c>
      <c r="X69" s="110" t="str">
        <f>IF(ISBLANK(Actuals!H84),"",'Original Budget'!H84-Actuals!H84)</f>
        <v/>
      </c>
      <c r="Y69" s="110" t="str">
        <f>IFERROR(IF(ISBLANK(Actuals!H84),"",('Original Budget'!H84-Actuals!H84)/ABS('Original Budget'!H84)),"")</f>
        <v/>
      </c>
      <c r="Z69" s="109">
        <f>'Original Budget'!I84</f>
        <v>-229.166666666667</v>
      </c>
      <c r="AA69" s="109" t="str">
        <f>IF(ISBLANK(Actuals!I84),"",Actuals!I84)</f>
        <v/>
      </c>
      <c r="AB69" s="110" t="str">
        <f>IF(ISBLANK(Actuals!I84),"",'Original Budget'!I84-Actuals!I84)</f>
        <v/>
      </c>
      <c r="AC69" s="110" t="str">
        <f>IFERROR(IF(ISBLANK(Actuals!I84),"",('Original Budget'!I84-Actuals!I84)/ABS('Original Budget'!I84)),"")</f>
        <v/>
      </c>
      <c r="AD69" s="109">
        <f>'Original Budget'!J84</f>
        <v>-229.166666666667</v>
      </c>
      <c r="AE69" s="109" t="str">
        <f>IF(ISBLANK(Actuals!J84),"",Actuals!J84)</f>
        <v/>
      </c>
      <c r="AF69" s="110" t="str">
        <f>IF(ISBLANK(Actuals!J84),"",'Original Budget'!J84-Actuals!J84)</f>
        <v/>
      </c>
      <c r="AG69" s="110" t="str">
        <f>IFERROR(IF(ISBLANK(Actuals!J84),"",('Original Budget'!J84-Actuals!J84)/ABS('Original Budget'!J84)),"")</f>
        <v/>
      </c>
      <c r="AH69" s="109">
        <f>'Original Budget'!K84</f>
        <v>-229.166666666667</v>
      </c>
      <c r="AI69" s="109" t="str">
        <f>IF(ISBLANK(Actuals!K84),"",Actuals!K84)</f>
        <v/>
      </c>
      <c r="AJ69" s="110" t="str">
        <f>IF(ISBLANK(Actuals!K84),"",'Original Budget'!K84-Actuals!K84)</f>
        <v/>
      </c>
      <c r="AK69" s="110" t="str">
        <f>IFERROR(IF(ISBLANK(Actuals!K84),"",('Original Budget'!K84-Actuals!K84)/ABS('Original Budget'!K84)),"")</f>
        <v/>
      </c>
      <c r="AL69" s="109">
        <f>'Original Budget'!L84</f>
        <v>-229.166666666667</v>
      </c>
      <c r="AM69" s="109" t="str">
        <f>IF(ISBLANK(Actuals!L84),"",Actuals!L84)</f>
        <v/>
      </c>
      <c r="AN69" s="110" t="str">
        <f>IF(ISBLANK(Actuals!L84),"",'Original Budget'!L84-Actuals!L84)</f>
        <v/>
      </c>
      <c r="AO69" s="110" t="str">
        <f>IFERROR(IF(ISBLANK(Actuals!L84),"",('Original Budget'!L84-Actuals!L84)/ABS('Original Budget'!L84)),"")</f>
        <v/>
      </c>
      <c r="AP69" s="109">
        <f>'Original Budget'!M84</f>
        <v>-229.166666666667</v>
      </c>
      <c r="AQ69" s="109" t="str">
        <f>IF(ISBLANK(Actuals!M84),"",Actuals!M84)</f>
        <v/>
      </c>
      <c r="AR69" s="110" t="str">
        <f>IF(ISBLANK(Actuals!M84),"",'Original Budget'!M84-Actuals!M84)</f>
        <v/>
      </c>
      <c r="AS69" s="110" t="str">
        <f>IFERROR(IF(ISBLANK(Actuals!M84),"",('Original Budget'!M84-Actuals!M84)/ABS('Original Budget'!M84)),"")</f>
        <v/>
      </c>
      <c r="AT69" s="109">
        <f>'Original Budget'!N84</f>
        <v>-229.166666666667</v>
      </c>
      <c r="AU69" s="109" t="str">
        <f>IF(ISBLANK(Actuals!N84),"",Actuals!N84)</f>
        <v/>
      </c>
      <c r="AV69" s="110" t="str">
        <f>IF(ISBLANK(Actuals!N84),"",'Original Budget'!N84-Actuals!N84)</f>
        <v/>
      </c>
      <c r="AW69" s="110" t="str">
        <f>IFERROR(IF(ISBLANK(Actuals!N84),"",('Original Budget'!N84-Actuals!N84)/ABS('Original Budget'!N84)),"")</f>
        <v/>
      </c>
      <c r="AX69" s="111">
        <f>SUMPRODUCT((Actuals!C84:N84&lt;&gt;"")*('Original Budget'!C84:N84))</f>
        <v>-1656.4466666666669</v>
      </c>
      <c r="AY69" s="111">
        <f>SUM(Actuals!C84:N84)</f>
        <v>-1903.04</v>
      </c>
      <c r="AZ69" s="112">
        <f t="shared" si="1"/>
        <v>246.59333333333302</v>
      </c>
    </row>
    <row r="70" spans="1:52" ht="15" customHeight="1" x14ac:dyDescent="0.25">
      <c r="A70" s="108" t="s">
        <v>68</v>
      </c>
      <c r="B70" s="109">
        <f>'Original Budget'!C85</f>
        <v>-2200.12</v>
      </c>
      <c r="C70" s="109">
        <f>IF(ISBLANK(Actuals!C85),"",Actuals!C85)</f>
        <v>-2200.12</v>
      </c>
      <c r="D70" s="110">
        <f>IF(ISBLANK(Actuals!C85),"",'Original Budget'!C85-Actuals!C85)</f>
        <v>0</v>
      </c>
      <c r="E70" s="110">
        <f>IFERROR(IF(ISBLANK(Actuals!C85),"",('Original Budget'!C85-Actuals!C85)/ABS('Original Budget'!C85)),"")</f>
        <v>0</v>
      </c>
      <c r="F70" s="109">
        <f>'Original Budget'!D85</f>
        <v>-2200.12</v>
      </c>
      <c r="G70" s="109">
        <f>IF(ISBLANK(Actuals!D85),"",Actuals!D85)</f>
        <v>-2200.12</v>
      </c>
      <c r="H70" s="110">
        <f>IF(ISBLANK(Actuals!D85),"",'Original Budget'!D85-Actuals!D85)</f>
        <v>0</v>
      </c>
      <c r="I70" s="110">
        <f>IFERROR(IF(ISBLANK(Actuals!D85),"",('Original Budget'!D85-Actuals!D85)/ABS('Original Budget'!D85)),"")</f>
        <v>0</v>
      </c>
      <c r="J70" s="109">
        <f>'Original Budget'!E85</f>
        <v>-2200.12</v>
      </c>
      <c r="K70" s="109">
        <f>IF(ISBLANK(Actuals!E85),"",Actuals!E85)</f>
        <v>-2200.12</v>
      </c>
      <c r="L70" s="110">
        <f>IF(ISBLANK(Actuals!E85),"",'Original Budget'!E85-Actuals!E85)</f>
        <v>0</v>
      </c>
      <c r="M70" s="110">
        <f>IFERROR(IF(ISBLANK(Actuals!E85),"",('Original Budget'!E85-Actuals!E85)/ABS('Original Budget'!E85)),"")</f>
        <v>0</v>
      </c>
      <c r="N70" s="109">
        <f>'Original Budget'!F85</f>
        <v>-57.2916666666667</v>
      </c>
      <c r="O70" s="109">
        <f>IF(ISBLANK(Actuals!F85),"",Actuals!F85)</f>
        <v>-2200.12</v>
      </c>
      <c r="P70" s="110">
        <f>IF(ISBLANK(Actuals!F85),"",'Original Budget'!F85-Actuals!F85)</f>
        <v>2142.8283333333334</v>
      </c>
      <c r="Q70" s="110">
        <f>IFERROR(IF(ISBLANK(Actuals!F85),"",('Original Budget'!F85-Actuals!F85)/ABS('Original Budget'!F85)),"")</f>
        <v>37.402094545454524</v>
      </c>
      <c r="R70" s="109">
        <f>'Original Budget'!G85</f>
        <v>-57.2916666666667</v>
      </c>
      <c r="S70" s="109" t="str">
        <f>IF(ISBLANK(Actuals!G85),"",Actuals!G85)</f>
        <v/>
      </c>
      <c r="T70" s="110" t="str">
        <f>IF(ISBLANK(Actuals!G85),"",'Original Budget'!G85-Actuals!G85)</f>
        <v/>
      </c>
      <c r="U70" s="110" t="str">
        <f>IFERROR(IF(ISBLANK(Actuals!G85),"",('Original Budget'!G85-Actuals!G85)/ABS('Original Budget'!G85)),"")</f>
        <v/>
      </c>
      <c r="V70" s="109">
        <f>'Original Budget'!H85</f>
        <v>-57.2916666666667</v>
      </c>
      <c r="W70" s="109" t="str">
        <f>IF(ISBLANK(Actuals!H85),"",Actuals!H85)</f>
        <v/>
      </c>
      <c r="X70" s="110" t="str">
        <f>IF(ISBLANK(Actuals!H85),"",'Original Budget'!H85-Actuals!H85)</f>
        <v/>
      </c>
      <c r="Y70" s="110" t="str">
        <f>IFERROR(IF(ISBLANK(Actuals!H85),"",('Original Budget'!H85-Actuals!H85)/ABS('Original Budget'!H85)),"")</f>
        <v/>
      </c>
      <c r="Z70" s="109">
        <f>'Original Budget'!I85</f>
        <v>-57.2916666666667</v>
      </c>
      <c r="AA70" s="109" t="str">
        <f>IF(ISBLANK(Actuals!I85),"",Actuals!I85)</f>
        <v/>
      </c>
      <c r="AB70" s="110" t="str">
        <f>IF(ISBLANK(Actuals!I85),"",'Original Budget'!I85-Actuals!I85)</f>
        <v/>
      </c>
      <c r="AC70" s="110" t="str">
        <f>IFERROR(IF(ISBLANK(Actuals!I85),"",('Original Budget'!I85-Actuals!I85)/ABS('Original Budget'!I85)),"")</f>
        <v/>
      </c>
      <c r="AD70" s="109">
        <f>'Original Budget'!J85</f>
        <v>-57.2916666666667</v>
      </c>
      <c r="AE70" s="109" t="str">
        <f>IF(ISBLANK(Actuals!J85),"",Actuals!J85)</f>
        <v/>
      </c>
      <c r="AF70" s="110" t="str">
        <f>IF(ISBLANK(Actuals!J85),"",'Original Budget'!J85-Actuals!J85)</f>
        <v/>
      </c>
      <c r="AG70" s="110" t="str">
        <f>IFERROR(IF(ISBLANK(Actuals!J85),"",('Original Budget'!J85-Actuals!J85)/ABS('Original Budget'!J85)),"")</f>
        <v/>
      </c>
      <c r="AH70" s="109">
        <f>'Original Budget'!K85</f>
        <v>-57.2916666666667</v>
      </c>
      <c r="AI70" s="109" t="str">
        <f>IF(ISBLANK(Actuals!K85),"",Actuals!K85)</f>
        <v/>
      </c>
      <c r="AJ70" s="110" t="str">
        <f>IF(ISBLANK(Actuals!K85),"",'Original Budget'!K85-Actuals!K85)</f>
        <v/>
      </c>
      <c r="AK70" s="110" t="str">
        <f>IFERROR(IF(ISBLANK(Actuals!K85),"",('Original Budget'!K85-Actuals!K85)/ABS('Original Budget'!K85)),"")</f>
        <v/>
      </c>
      <c r="AL70" s="109">
        <f>'Original Budget'!L85</f>
        <v>-57.2916666666667</v>
      </c>
      <c r="AM70" s="109" t="str">
        <f>IF(ISBLANK(Actuals!L85),"",Actuals!L85)</f>
        <v/>
      </c>
      <c r="AN70" s="110" t="str">
        <f>IF(ISBLANK(Actuals!L85),"",'Original Budget'!L85-Actuals!L85)</f>
        <v/>
      </c>
      <c r="AO70" s="110" t="str">
        <f>IFERROR(IF(ISBLANK(Actuals!L85),"",('Original Budget'!L85-Actuals!L85)/ABS('Original Budget'!L85)),"")</f>
        <v/>
      </c>
      <c r="AP70" s="109">
        <f>'Original Budget'!M85</f>
        <v>-57.2916666666667</v>
      </c>
      <c r="AQ70" s="109" t="str">
        <f>IF(ISBLANK(Actuals!M85),"",Actuals!M85)</f>
        <v/>
      </c>
      <c r="AR70" s="110" t="str">
        <f>IF(ISBLANK(Actuals!M85),"",'Original Budget'!M85-Actuals!M85)</f>
        <v/>
      </c>
      <c r="AS70" s="110" t="str">
        <f>IFERROR(IF(ISBLANK(Actuals!M85),"",('Original Budget'!M85-Actuals!M85)/ABS('Original Budget'!M85)),"")</f>
        <v/>
      </c>
      <c r="AT70" s="109">
        <f>'Original Budget'!N85</f>
        <v>-57.2916666666667</v>
      </c>
      <c r="AU70" s="109" t="str">
        <f>IF(ISBLANK(Actuals!N85),"",Actuals!N85)</f>
        <v/>
      </c>
      <c r="AV70" s="110" t="str">
        <f>IF(ISBLANK(Actuals!N85),"",'Original Budget'!N85-Actuals!N85)</f>
        <v/>
      </c>
      <c r="AW70" s="110" t="str">
        <f>IFERROR(IF(ISBLANK(Actuals!N85),"",('Original Budget'!N85-Actuals!N85)/ABS('Original Budget'!N85)),"")</f>
        <v/>
      </c>
      <c r="AX70" s="111">
        <f>SUMPRODUCT((Actuals!C85:N85&lt;&gt;"")*('Original Budget'!C85:N85))</f>
        <v>-6657.6516666666666</v>
      </c>
      <c r="AY70" s="111">
        <f>SUM(Actuals!C85:N85)</f>
        <v>-8800.48</v>
      </c>
      <c r="AZ70" s="112">
        <f t="shared" ref="AZ70:AZ101" si="2">AX70-AY70</f>
        <v>2142.8283333333329</v>
      </c>
    </row>
    <row r="71" spans="1:52" ht="15" customHeight="1" x14ac:dyDescent="0.25">
      <c r="A71" s="108" t="s">
        <v>71</v>
      </c>
      <c r="B71" s="109">
        <f>'Original Budget'!C86</f>
        <v>-8848.65</v>
      </c>
      <c r="C71" s="109">
        <f>IF(ISBLANK(Actuals!C86),"",Actuals!C86)</f>
        <v>-8848.65</v>
      </c>
      <c r="D71" s="110">
        <f>IF(ISBLANK(Actuals!C86),"",'Original Budget'!C86-Actuals!C86)</f>
        <v>0</v>
      </c>
      <c r="E71" s="110">
        <f>IFERROR(IF(ISBLANK(Actuals!C86),"",('Original Budget'!C86-Actuals!C86)/ABS('Original Budget'!C86)),"")</f>
        <v>0</v>
      </c>
      <c r="F71" s="109">
        <f>'Original Budget'!D86</f>
        <v>-8817.6299999999992</v>
      </c>
      <c r="G71" s="109">
        <f>IF(ISBLANK(Actuals!D86),"",Actuals!D86)</f>
        <v>-8817.6299999999992</v>
      </c>
      <c r="H71" s="110">
        <f>IF(ISBLANK(Actuals!D86),"",'Original Budget'!D86-Actuals!D86)</f>
        <v>0</v>
      </c>
      <c r="I71" s="110">
        <f>IFERROR(IF(ISBLANK(Actuals!D86),"",('Original Budget'!D86-Actuals!D86)/ABS('Original Budget'!D86)),"")</f>
        <v>0</v>
      </c>
      <c r="J71" s="109">
        <f>'Original Budget'!E86</f>
        <v>-3775.91</v>
      </c>
      <c r="K71" s="109">
        <f>IF(ISBLANK(Actuals!E86),"",Actuals!E86)</f>
        <v>-3775.91</v>
      </c>
      <c r="L71" s="110">
        <f>IF(ISBLANK(Actuals!E86),"",'Original Budget'!E86-Actuals!E86)</f>
        <v>0</v>
      </c>
      <c r="M71" s="110">
        <f>IFERROR(IF(ISBLANK(Actuals!E86),"",('Original Budget'!E86-Actuals!E86)/ABS('Original Budget'!E86)),"")</f>
        <v>0</v>
      </c>
      <c r="N71" s="109">
        <f>'Original Budget'!F86</f>
        <v>-8500</v>
      </c>
      <c r="O71" s="109">
        <f>IF(ISBLANK(Actuals!F86),"",Actuals!F86)</f>
        <v>-8731.1200000000008</v>
      </c>
      <c r="P71" s="110">
        <f>IF(ISBLANK(Actuals!F86),"",'Original Budget'!F86-Actuals!F86)</f>
        <v>231.1200000000008</v>
      </c>
      <c r="Q71" s="110">
        <f>IFERROR(IF(ISBLANK(Actuals!F86),"",('Original Budget'!F86-Actuals!F86)/ABS('Original Budget'!F86)),"")</f>
        <v>2.7190588235294213E-2</v>
      </c>
      <c r="R71" s="109">
        <f>'Original Budget'!G86</f>
        <v>-8500</v>
      </c>
      <c r="S71" s="109" t="str">
        <f>IF(ISBLANK(Actuals!G86),"",Actuals!G86)</f>
        <v/>
      </c>
      <c r="T71" s="110" t="str">
        <f>IF(ISBLANK(Actuals!G86),"",'Original Budget'!G86-Actuals!G86)</f>
        <v/>
      </c>
      <c r="U71" s="110" t="str">
        <f>IFERROR(IF(ISBLANK(Actuals!G86),"",('Original Budget'!G86-Actuals!G86)/ABS('Original Budget'!G86)),"")</f>
        <v/>
      </c>
      <c r="V71" s="109">
        <f>'Original Budget'!H86</f>
        <v>-8500</v>
      </c>
      <c r="W71" s="109" t="str">
        <f>IF(ISBLANK(Actuals!H86),"",Actuals!H86)</f>
        <v/>
      </c>
      <c r="X71" s="110" t="str">
        <f>IF(ISBLANK(Actuals!H86),"",'Original Budget'!H86-Actuals!H86)</f>
        <v/>
      </c>
      <c r="Y71" s="110" t="str">
        <f>IFERROR(IF(ISBLANK(Actuals!H86),"",('Original Budget'!H86-Actuals!H86)/ABS('Original Budget'!H86)),"")</f>
        <v/>
      </c>
      <c r="Z71" s="109">
        <f>'Original Budget'!I86</f>
        <v>-8500</v>
      </c>
      <c r="AA71" s="109" t="str">
        <f>IF(ISBLANK(Actuals!I86),"",Actuals!I86)</f>
        <v/>
      </c>
      <c r="AB71" s="110" t="str">
        <f>IF(ISBLANK(Actuals!I86),"",'Original Budget'!I86-Actuals!I86)</f>
        <v/>
      </c>
      <c r="AC71" s="110" t="str">
        <f>IFERROR(IF(ISBLANK(Actuals!I86),"",('Original Budget'!I86-Actuals!I86)/ABS('Original Budget'!I86)),"")</f>
        <v/>
      </c>
      <c r="AD71" s="109">
        <f>'Original Budget'!J86</f>
        <v>-8500</v>
      </c>
      <c r="AE71" s="109" t="str">
        <f>IF(ISBLANK(Actuals!J86),"",Actuals!J86)</f>
        <v/>
      </c>
      <c r="AF71" s="110" t="str">
        <f>IF(ISBLANK(Actuals!J86),"",'Original Budget'!J86-Actuals!J86)</f>
        <v/>
      </c>
      <c r="AG71" s="110" t="str">
        <f>IFERROR(IF(ISBLANK(Actuals!J86),"",('Original Budget'!J86-Actuals!J86)/ABS('Original Budget'!J86)),"")</f>
        <v/>
      </c>
      <c r="AH71" s="109">
        <f>'Original Budget'!K86</f>
        <v>-8500</v>
      </c>
      <c r="AI71" s="109" t="str">
        <f>IF(ISBLANK(Actuals!K86),"",Actuals!K86)</f>
        <v/>
      </c>
      <c r="AJ71" s="110" t="str">
        <f>IF(ISBLANK(Actuals!K86),"",'Original Budget'!K86-Actuals!K86)</f>
        <v/>
      </c>
      <c r="AK71" s="110" t="str">
        <f>IFERROR(IF(ISBLANK(Actuals!K86),"",('Original Budget'!K86-Actuals!K86)/ABS('Original Budget'!K86)),"")</f>
        <v/>
      </c>
      <c r="AL71" s="109">
        <f>'Original Budget'!L86</f>
        <v>-8500</v>
      </c>
      <c r="AM71" s="109" t="str">
        <f>IF(ISBLANK(Actuals!L86),"",Actuals!L86)</f>
        <v/>
      </c>
      <c r="AN71" s="110" t="str">
        <f>IF(ISBLANK(Actuals!L86),"",'Original Budget'!L86-Actuals!L86)</f>
        <v/>
      </c>
      <c r="AO71" s="110" t="str">
        <f>IFERROR(IF(ISBLANK(Actuals!L86),"",('Original Budget'!L86-Actuals!L86)/ABS('Original Budget'!L86)),"")</f>
        <v/>
      </c>
      <c r="AP71" s="109">
        <f>'Original Budget'!M86</f>
        <v>-8500</v>
      </c>
      <c r="AQ71" s="109" t="str">
        <f>IF(ISBLANK(Actuals!M86),"",Actuals!M86)</f>
        <v/>
      </c>
      <c r="AR71" s="110" t="str">
        <f>IF(ISBLANK(Actuals!M86),"",'Original Budget'!M86-Actuals!M86)</f>
        <v/>
      </c>
      <c r="AS71" s="110" t="str">
        <f>IFERROR(IF(ISBLANK(Actuals!M86),"",('Original Budget'!M86-Actuals!M86)/ABS('Original Budget'!M86)),"")</f>
        <v/>
      </c>
      <c r="AT71" s="109">
        <f>'Original Budget'!N86</f>
        <v>-8500</v>
      </c>
      <c r="AU71" s="109" t="str">
        <f>IF(ISBLANK(Actuals!N86),"",Actuals!N86)</f>
        <v/>
      </c>
      <c r="AV71" s="110" t="str">
        <f>IF(ISBLANK(Actuals!N86),"",'Original Budget'!N86-Actuals!N86)</f>
        <v/>
      </c>
      <c r="AW71" s="110" t="str">
        <f>IFERROR(IF(ISBLANK(Actuals!N86),"",('Original Budget'!N86-Actuals!N86)/ABS('Original Budget'!N86)),"")</f>
        <v/>
      </c>
      <c r="AX71" s="111">
        <f>SUMPRODUCT((Actuals!C86:N86&lt;&gt;"")*('Original Budget'!C86:N86))</f>
        <v>-29942.19</v>
      </c>
      <c r="AY71" s="111">
        <f>SUM(Actuals!C86:N86)</f>
        <v>-30173.309999999998</v>
      </c>
      <c r="AZ71" s="112">
        <f t="shared" si="2"/>
        <v>231.11999999999898</v>
      </c>
    </row>
    <row r="72" spans="1:52" ht="15" customHeight="1" x14ac:dyDescent="0.25">
      <c r="A72" s="108" t="s">
        <v>72</v>
      </c>
      <c r="B72" s="109">
        <f>'Original Budget'!C87</f>
        <v>-1722.9</v>
      </c>
      <c r="C72" s="109">
        <f>IF(ISBLANK(Actuals!C87),"",Actuals!C87)</f>
        <v>-1722.9</v>
      </c>
      <c r="D72" s="110">
        <f>IF(ISBLANK(Actuals!C87),"",'Original Budget'!C87-Actuals!C87)</f>
        <v>0</v>
      </c>
      <c r="E72" s="110">
        <f>IFERROR(IF(ISBLANK(Actuals!C87),"",('Original Budget'!C87-Actuals!C87)/ABS('Original Budget'!C87)),"")</f>
        <v>0</v>
      </c>
      <c r="F72" s="109">
        <f>'Original Budget'!D87</f>
        <v>0</v>
      </c>
      <c r="G72" s="109">
        <f>IF(ISBLANK(Actuals!D87),"",Actuals!D87)</f>
        <v>0</v>
      </c>
      <c r="H72" s="110">
        <f>IF(ISBLANK(Actuals!D87),"",'Original Budget'!D87-Actuals!D87)</f>
        <v>0</v>
      </c>
      <c r="I72" s="110" t="str">
        <f>IFERROR(IF(ISBLANK(Actuals!D87),"",('Original Budget'!D87-Actuals!D87)/ABS('Original Budget'!D87)),"")</f>
        <v/>
      </c>
      <c r="J72" s="109">
        <f>'Original Budget'!E87</f>
        <v>-28.51</v>
      </c>
      <c r="K72" s="109">
        <f>IF(ISBLANK(Actuals!E87),"",Actuals!E87)</f>
        <v>-28.51</v>
      </c>
      <c r="L72" s="110">
        <f>IF(ISBLANK(Actuals!E87),"",'Original Budget'!E87-Actuals!E87)</f>
        <v>0</v>
      </c>
      <c r="M72" s="110">
        <f>IFERROR(IF(ISBLANK(Actuals!E87),"",('Original Budget'!E87-Actuals!E87)/ABS('Original Budget'!E87)),"")</f>
        <v>0</v>
      </c>
      <c r="N72" s="109">
        <f>'Original Budget'!F87</f>
        <v>-583.79999999999995</v>
      </c>
      <c r="O72" s="109">
        <f>IF(ISBLANK(Actuals!F87),"",Actuals!F87)</f>
        <v>0</v>
      </c>
      <c r="P72" s="110">
        <f>IF(ISBLANK(Actuals!F87),"",'Original Budget'!F87-Actuals!F87)</f>
        <v>-583.79999999999995</v>
      </c>
      <c r="Q72" s="110">
        <f>IFERROR(IF(ISBLANK(Actuals!F87),"",('Original Budget'!F87-Actuals!F87)/ABS('Original Budget'!F87)),"")</f>
        <v>-1</v>
      </c>
      <c r="R72" s="109">
        <f>'Original Budget'!G87</f>
        <v>-583.79999999999995</v>
      </c>
      <c r="S72" s="109" t="str">
        <f>IF(ISBLANK(Actuals!G87),"",Actuals!G87)</f>
        <v/>
      </c>
      <c r="T72" s="110" t="str">
        <f>IF(ISBLANK(Actuals!G87),"",'Original Budget'!G87-Actuals!G87)</f>
        <v/>
      </c>
      <c r="U72" s="110" t="str">
        <f>IFERROR(IF(ISBLANK(Actuals!G87),"",('Original Budget'!G87-Actuals!G87)/ABS('Original Budget'!G87)),"")</f>
        <v/>
      </c>
      <c r="V72" s="109">
        <f>'Original Budget'!H87</f>
        <v>-583.79999999999995</v>
      </c>
      <c r="W72" s="109" t="str">
        <f>IF(ISBLANK(Actuals!H87),"",Actuals!H87)</f>
        <v/>
      </c>
      <c r="X72" s="110" t="str">
        <f>IF(ISBLANK(Actuals!H87),"",'Original Budget'!H87-Actuals!H87)</f>
        <v/>
      </c>
      <c r="Y72" s="110" t="str">
        <f>IFERROR(IF(ISBLANK(Actuals!H87),"",('Original Budget'!H87-Actuals!H87)/ABS('Original Budget'!H87)),"")</f>
        <v/>
      </c>
      <c r="Z72" s="109">
        <f>'Original Budget'!I87</f>
        <v>-583.79999999999995</v>
      </c>
      <c r="AA72" s="109" t="str">
        <f>IF(ISBLANK(Actuals!I87),"",Actuals!I87)</f>
        <v/>
      </c>
      <c r="AB72" s="110" t="str">
        <f>IF(ISBLANK(Actuals!I87),"",'Original Budget'!I87-Actuals!I87)</f>
        <v/>
      </c>
      <c r="AC72" s="110" t="str">
        <f>IFERROR(IF(ISBLANK(Actuals!I87),"",('Original Budget'!I87-Actuals!I87)/ABS('Original Budget'!I87)),"")</f>
        <v/>
      </c>
      <c r="AD72" s="109">
        <f>'Original Budget'!J87</f>
        <v>-583.79999999999995</v>
      </c>
      <c r="AE72" s="109" t="str">
        <f>IF(ISBLANK(Actuals!J87),"",Actuals!J87)</f>
        <v/>
      </c>
      <c r="AF72" s="110" t="str">
        <f>IF(ISBLANK(Actuals!J87),"",'Original Budget'!J87-Actuals!J87)</f>
        <v/>
      </c>
      <c r="AG72" s="110" t="str">
        <f>IFERROR(IF(ISBLANK(Actuals!J87),"",('Original Budget'!J87-Actuals!J87)/ABS('Original Budget'!J87)),"")</f>
        <v/>
      </c>
      <c r="AH72" s="109">
        <f>'Original Budget'!K87</f>
        <v>-583.79999999999995</v>
      </c>
      <c r="AI72" s="109" t="str">
        <f>IF(ISBLANK(Actuals!K87),"",Actuals!K87)</f>
        <v/>
      </c>
      <c r="AJ72" s="110" t="str">
        <f>IF(ISBLANK(Actuals!K87),"",'Original Budget'!K87-Actuals!K87)</f>
        <v/>
      </c>
      <c r="AK72" s="110" t="str">
        <f>IFERROR(IF(ISBLANK(Actuals!K87),"",('Original Budget'!K87-Actuals!K87)/ABS('Original Budget'!K87)),"")</f>
        <v/>
      </c>
      <c r="AL72" s="109">
        <f>'Original Budget'!L87</f>
        <v>-583.79999999999995</v>
      </c>
      <c r="AM72" s="109" t="str">
        <f>IF(ISBLANK(Actuals!L87),"",Actuals!L87)</f>
        <v/>
      </c>
      <c r="AN72" s="110" t="str">
        <f>IF(ISBLANK(Actuals!L87),"",'Original Budget'!L87-Actuals!L87)</f>
        <v/>
      </c>
      <c r="AO72" s="110" t="str">
        <f>IFERROR(IF(ISBLANK(Actuals!L87),"",('Original Budget'!L87-Actuals!L87)/ABS('Original Budget'!L87)),"")</f>
        <v/>
      </c>
      <c r="AP72" s="109">
        <f>'Original Budget'!M87</f>
        <v>-583.79999999999995</v>
      </c>
      <c r="AQ72" s="109" t="str">
        <f>IF(ISBLANK(Actuals!M87),"",Actuals!M87)</f>
        <v/>
      </c>
      <c r="AR72" s="110" t="str">
        <f>IF(ISBLANK(Actuals!M87),"",'Original Budget'!M87-Actuals!M87)</f>
        <v/>
      </c>
      <c r="AS72" s="110" t="str">
        <f>IFERROR(IF(ISBLANK(Actuals!M87),"",('Original Budget'!M87-Actuals!M87)/ABS('Original Budget'!M87)),"")</f>
        <v/>
      </c>
      <c r="AT72" s="109">
        <f>'Original Budget'!N87</f>
        <v>-583.79999999999995</v>
      </c>
      <c r="AU72" s="109" t="str">
        <f>IF(ISBLANK(Actuals!N87),"",Actuals!N87)</f>
        <v/>
      </c>
      <c r="AV72" s="110" t="str">
        <f>IF(ISBLANK(Actuals!N87),"",'Original Budget'!N87-Actuals!N87)</f>
        <v/>
      </c>
      <c r="AW72" s="110" t="str">
        <f>IFERROR(IF(ISBLANK(Actuals!N87),"",('Original Budget'!N87-Actuals!N87)/ABS('Original Budget'!N87)),"")</f>
        <v/>
      </c>
      <c r="AX72" s="111">
        <f>SUMPRODUCT((Actuals!C87:N87&lt;&gt;"")*('Original Budget'!C87:N87))</f>
        <v>-2335.21</v>
      </c>
      <c r="AY72" s="111">
        <f>SUM(Actuals!C87:N87)</f>
        <v>-1751.41</v>
      </c>
      <c r="AZ72" s="112">
        <f t="shared" si="2"/>
        <v>-583.79999999999995</v>
      </c>
    </row>
    <row r="73" spans="1:52" ht="15" customHeight="1" x14ac:dyDescent="0.25">
      <c r="A73" s="108" t="s">
        <v>75</v>
      </c>
      <c r="B73" s="109">
        <f>'Original Budget'!C88</f>
        <v>-246.85</v>
      </c>
      <c r="C73" s="109">
        <f>IF(ISBLANK(Actuals!C88),"",Actuals!C88)</f>
        <v>-246.85</v>
      </c>
      <c r="D73" s="110">
        <f>IF(ISBLANK(Actuals!C88),"",'Original Budget'!C88-Actuals!C88)</f>
        <v>0</v>
      </c>
      <c r="E73" s="110">
        <f>IFERROR(IF(ISBLANK(Actuals!C88),"",('Original Budget'!C88-Actuals!C88)/ABS('Original Budget'!C88)),"")</f>
        <v>0</v>
      </c>
      <c r="F73" s="109">
        <f>'Original Budget'!D88</f>
        <v>0</v>
      </c>
      <c r="G73" s="109">
        <f>IF(ISBLANK(Actuals!D88),"",Actuals!D88)</f>
        <v>0</v>
      </c>
      <c r="H73" s="110">
        <f>IF(ISBLANK(Actuals!D88),"",'Original Budget'!D88-Actuals!D88)</f>
        <v>0</v>
      </c>
      <c r="I73" s="110" t="str">
        <f>IFERROR(IF(ISBLANK(Actuals!D88),"",('Original Budget'!D88-Actuals!D88)/ABS('Original Budget'!D88)),"")</f>
        <v/>
      </c>
      <c r="J73" s="109">
        <f>'Original Budget'!E88</f>
        <v>-4246.7299999999996</v>
      </c>
      <c r="K73" s="109">
        <f>IF(ISBLANK(Actuals!E88),"",Actuals!E88)</f>
        <v>-4246.7299999999996</v>
      </c>
      <c r="L73" s="110">
        <f>IF(ISBLANK(Actuals!E88),"",'Original Budget'!E88-Actuals!E88)</f>
        <v>0</v>
      </c>
      <c r="M73" s="110">
        <f>IFERROR(IF(ISBLANK(Actuals!E88),"",('Original Budget'!E88-Actuals!E88)/ABS('Original Budget'!E88)),"")</f>
        <v>0</v>
      </c>
      <c r="N73" s="109">
        <f>'Original Budget'!F88</f>
        <v>-1497.86</v>
      </c>
      <c r="O73" s="109">
        <f>IF(ISBLANK(Actuals!F88),"",Actuals!F88)</f>
        <v>-3123.87</v>
      </c>
      <c r="P73" s="110">
        <f>IF(ISBLANK(Actuals!F88),"",'Original Budget'!F88-Actuals!F88)</f>
        <v>1626.01</v>
      </c>
      <c r="Q73" s="110">
        <f>IFERROR(IF(ISBLANK(Actuals!F88),"",('Original Budget'!F88-Actuals!F88)/ABS('Original Budget'!F88)),"")</f>
        <v>1.0855553923597667</v>
      </c>
      <c r="R73" s="109">
        <f>'Original Budget'!G88</f>
        <v>-1497.86</v>
      </c>
      <c r="S73" s="109" t="str">
        <f>IF(ISBLANK(Actuals!G88),"",Actuals!G88)</f>
        <v/>
      </c>
      <c r="T73" s="110" t="str">
        <f>IF(ISBLANK(Actuals!G88),"",'Original Budget'!G88-Actuals!G88)</f>
        <v/>
      </c>
      <c r="U73" s="110" t="str">
        <f>IFERROR(IF(ISBLANK(Actuals!G88),"",('Original Budget'!G88-Actuals!G88)/ABS('Original Budget'!G88)),"")</f>
        <v/>
      </c>
      <c r="V73" s="109">
        <f>'Original Budget'!H88</f>
        <v>-1497.86</v>
      </c>
      <c r="W73" s="109" t="str">
        <f>IF(ISBLANK(Actuals!H88),"",Actuals!H88)</f>
        <v/>
      </c>
      <c r="X73" s="110" t="str">
        <f>IF(ISBLANK(Actuals!H88),"",'Original Budget'!H88-Actuals!H88)</f>
        <v/>
      </c>
      <c r="Y73" s="110" t="str">
        <f>IFERROR(IF(ISBLANK(Actuals!H88),"",('Original Budget'!H88-Actuals!H88)/ABS('Original Budget'!H88)),"")</f>
        <v/>
      </c>
      <c r="Z73" s="109">
        <f>'Original Budget'!I88</f>
        <v>-1497.86</v>
      </c>
      <c r="AA73" s="109" t="str">
        <f>IF(ISBLANK(Actuals!I88),"",Actuals!I88)</f>
        <v/>
      </c>
      <c r="AB73" s="110" t="str">
        <f>IF(ISBLANK(Actuals!I88),"",'Original Budget'!I88-Actuals!I88)</f>
        <v/>
      </c>
      <c r="AC73" s="110" t="str">
        <f>IFERROR(IF(ISBLANK(Actuals!I88),"",('Original Budget'!I88-Actuals!I88)/ABS('Original Budget'!I88)),"")</f>
        <v/>
      </c>
      <c r="AD73" s="109">
        <f>'Original Budget'!J88</f>
        <v>-1497.86</v>
      </c>
      <c r="AE73" s="109" t="str">
        <f>IF(ISBLANK(Actuals!J88),"",Actuals!J88)</f>
        <v/>
      </c>
      <c r="AF73" s="110" t="str">
        <f>IF(ISBLANK(Actuals!J88),"",'Original Budget'!J88-Actuals!J88)</f>
        <v/>
      </c>
      <c r="AG73" s="110" t="str">
        <f>IFERROR(IF(ISBLANK(Actuals!J88),"",('Original Budget'!J88-Actuals!J88)/ABS('Original Budget'!J88)),"")</f>
        <v/>
      </c>
      <c r="AH73" s="109">
        <f>'Original Budget'!K88</f>
        <v>-1497.86</v>
      </c>
      <c r="AI73" s="109" t="str">
        <f>IF(ISBLANK(Actuals!K88),"",Actuals!K88)</f>
        <v/>
      </c>
      <c r="AJ73" s="110" t="str">
        <f>IF(ISBLANK(Actuals!K88),"",'Original Budget'!K88-Actuals!K88)</f>
        <v/>
      </c>
      <c r="AK73" s="110" t="str">
        <f>IFERROR(IF(ISBLANK(Actuals!K88),"",('Original Budget'!K88-Actuals!K88)/ABS('Original Budget'!K88)),"")</f>
        <v/>
      </c>
      <c r="AL73" s="109">
        <f>'Original Budget'!L88</f>
        <v>-1497.86</v>
      </c>
      <c r="AM73" s="109" t="str">
        <f>IF(ISBLANK(Actuals!L88),"",Actuals!L88)</f>
        <v/>
      </c>
      <c r="AN73" s="110" t="str">
        <f>IF(ISBLANK(Actuals!L88),"",'Original Budget'!L88-Actuals!L88)</f>
        <v/>
      </c>
      <c r="AO73" s="110" t="str">
        <f>IFERROR(IF(ISBLANK(Actuals!L88),"",('Original Budget'!L88-Actuals!L88)/ABS('Original Budget'!L88)),"")</f>
        <v/>
      </c>
      <c r="AP73" s="109">
        <f>'Original Budget'!M88</f>
        <v>-1497.86</v>
      </c>
      <c r="AQ73" s="109" t="str">
        <f>IF(ISBLANK(Actuals!M88),"",Actuals!M88)</f>
        <v/>
      </c>
      <c r="AR73" s="110" t="str">
        <f>IF(ISBLANK(Actuals!M88),"",'Original Budget'!M88-Actuals!M88)</f>
        <v/>
      </c>
      <c r="AS73" s="110" t="str">
        <f>IFERROR(IF(ISBLANK(Actuals!M88),"",('Original Budget'!M88-Actuals!M88)/ABS('Original Budget'!M88)),"")</f>
        <v/>
      </c>
      <c r="AT73" s="109">
        <f>'Original Budget'!N88</f>
        <v>-1497.86</v>
      </c>
      <c r="AU73" s="109" t="str">
        <f>IF(ISBLANK(Actuals!N88),"",Actuals!N88)</f>
        <v/>
      </c>
      <c r="AV73" s="110" t="str">
        <f>IF(ISBLANK(Actuals!N88),"",'Original Budget'!N88-Actuals!N88)</f>
        <v/>
      </c>
      <c r="AW73" s="110" t="str">
        <f>IFERROR(IF(ISBLANK(Actuals!N88),"",('Original Budget'!N88-Actuals!N88)/ABS('Original Budget'!N88)),"")</f>
        <v/>
      </c>
      <c r="AX73" s="111">
        <f>SUMPRODUCT((Actuals!C88:N88&lt;&gt;"")*('Original Budget'!C88:N88))</f>
        <v>-5991.44</v>
      </c>
      <c r="AY73" s="111">
        <f>SUM(Actuals!C88:N88)</f>
        <v>-7617.45</v>
      </c>
      <c r="AZ73" s="112">
        <f t="shared" si="2"/>
        <v>1626.0100000000002</v>
      </c>
    </row>
    <row r="74" spans="1:52" ht="15" customHeight="1" x14ac:dyDescent="0.25">
      <c r="A74" s="108" t="s">
        <v>115</v>
      </c>
      <c r="B74" s="109">
        <f>'Original Budget'!C89</f>
        <v>0</v>
      </c>
      <c r="C74" s="109">
        <f>IF(ISBLANK(Actuals!C89),"",Actuals!C89)</f>
        <v>0</v>
      </c>
      <c r="D74" s="110">
        <f>IF(ISBLANK(Actuals!C89),"",'Original Budget'!C89-Actuals!C89)</f>
        <v>0</v>
      </c>
      <c r="E74" s="110" t="str">
        <f>IFERROR(IF(ISBLANK(Actuals!C89),"",('Original Budget'!C89-Actuals!C89)/ABS('Original Budget'!C89)),"")</f>
        <v/>
      </c>
      <c r="F74" s="109">
        <f>'Original Budget'!D89</f>
        <v>0</v>
      </c>
      <c r="G74" s="109">
        <f>IF(ISBLANK(Actuals!D89),"",Actuals!D89)</f>
        <v>0</v>
      </c>
      <c r="H74" s="110">
        <f>IF(ISBLANK(Actuals!D89),"",'Original Budget'!D89-Actuals!D89)</f>
        <v>0</v>
      </c>
      <c r="I74" s="110" t="str">
        <f>IFERROR(IF(ISBLANK(Actuals!D89),"",('Original Budget'!D89-Actuals!D89)/ABS('Original Budget'!D89)),"")</f>
        <v/>
      </c>
      <c r="J74" s="109">
        <f>'Original Budget'!E89</f>
        <v>-870</v>
      </c>
      <c r="K74" s="109">
        <f>IF(ISBLANK(Actuals!E89),"",Actuals!E89)</f>
        <v>-870</v>
      </c>
      <c r="L74" s="110">
        <f>IF(ISBLANK(Actuals!E89),"",'Original Budget'!E89-Actuals!E89)</f>
        <v>0</v>
      </c>
      <c r="M74" s="110">
        <f>IFERROR(IF(ISBLANK(Actuals!E89),"",('Original Budget'!E89-Actuals!E89)/ABS('Original Budget'!E89)),"")</f>
        <v>0</v>
      </c>
      <c r="N74" s="109">
        <f>'Original Budget'!F89</f>
        <v>-290</v>
      </c>
      <c r="O74" s="109">
        <f>IF(ISBLANK(Actuals!F89),"",Actuals!F89)</f>
        <v>0</v>
      </c>
      <c r="P74" s="110">
        <f>IF(ISBLANK(Actuals!F89),"",'Original Budget'!F89-Actuals!F89)</f>
        <v>-290</v>
      </c>
      <c r="Q74" s="110">
        <f>IFERROR(IF(ISBLANK(Actuals!F89),"",('Original Budget'!F89-Actuals!F89)/ABS('Original Budget'!F89)),"")</f>
        <v>-1</v>
      </c>
      <c r="R74" s="109">
        <f>'Original Budget'!G89</f>
        <v>-290</v>
      </c>
      <c r="S74" s="109" t="str">
        <f>IF(ISBLANK(Actuals!G89),"",Actuals!G89)</f>
        <v/>
      </c>
      <c r="T74" s="110" t="str">
        <f>IF(ISBLANK(Actuals!G89),"",'Original Budget'!G89-Actuals!G89)</f>
        <v/>
      </c>
      <c r="U74" s="110" t="str">
        <f>IFERROR(IF(ISBLANK(Actuals!G89),"",('Original Budget'!G89-Actuals!G89)/ABS('Original Budget'!G89)),"")</f>
        <v/>
      </c>
      <c r="V74" s="109">
        <f>'Original Budget'!H89</f>
        <v>-290</v>
      </c>
      <c r="W74" s="109" t="str">
        <f>IF(ISBLANK(Actuals!H89),"",Actuals!H89)</f>
        <v/>
      </c>
      <c r="X74" s="110" t="str">
        <f>IF(ISBLANK(Actuals!H89),"",'Original Budget'!H89-Actuals!H89)</f>
        <v/>
      </c>
      <c r="Y74" s="110" t="str">
        <f>IFERROR(IF(ISBLANK(Actuals!H89),"",('Original Budget'!H89-Actuals!H89)/ABS('Original Budget'!H89)),"")</f>
        <v/>
      </c>
      <c r="Z74" s="109">
        <f>'Original Budget'!I89</f>
        <v>-290</v>
      </c>
      <c r="AA74" s="109" t="str">
        <f>IF(ISBLANK(Actuals!I89),"",Actuals!I89)</f>
        <v/>
      </c>
      <c r="AB74" s="110" t="str">
        <f>IF(ISBLANK(Actuals!I89),"",'Original Budget'!I89-Actuals!I89)</f>
        <v/>
      </c>
      <c r="AC74" s="110" t="str">
        <f>IFERROR(IF(ISBLANK(Actuals!I89),"",('Original Budget'!I89-Actuals!I89)/ABS('Original Budget'!I89)),"")</f>
        <v/>
      </c>
      <c r="AD74" s="109">
        <f>'Original Budget'!J89</f>
        <v>-290</v>
      </c>
      <c r="AE74" s="109" t="str">
        <f>IF(ISBLANK(Actuals!J89),"",Actuals!J89)</f>
        <v/>
      </c>
      <c r="AF74" s="110" t="str">
        <f>IF(ISBLANK(Actuals!J89),"",'Original Budget'!J89-Actuals!J89)</f>
        <v/>
      </c>
      <c r="AG74" s="110" t="str">
        <f>IFERROR(IF(ISBLANK(Actuals!J89),"",('Original Budget'!J89-Actuals!J89)/ABS('Original Budget'!J89)),"")</f>
        <v/>
      </c>
      <c r="AH74" s="109">
        <f>'Original Budget'!K89</f>
        <v>-290</v>
      </c>
      <c r="AI74" s="109" t="str">
        <f>IF(ISBLANK(Actuals!K89),"",Actuals!K89)</f>
        <v/>
      </c>
      <c r="AJ74" s="110" t="str">
        <f>IF(ISBLANK(Actuals!K89),"",'Original Budget'!K89-Actuals!K89)</f>
        <v/>
      </c>
      <c r="AK74" s="110" t="str">
        <f>IFERROR(IF(ISBLANK(Actuals!K89),"",('Original Budget'!K89-Actuals!K89)/ABS('Original Budget'!K89)),"")</f>
        <v/>
      </c>
      <c r="AL74" s="109">
        <f>'Original Budget'!L89</f>
        <v>-290</v>
      </c>
      <c r="AM74" s="109" t="str">
        <f>IF(ISBLANK(Actuals!L89),"",Actuals!L89)</f>
        <v/>
      </c>
      <c r="AN74" s="110" t="str">
        <f>IF(ISBLANK(Actuals!L89),"",'Original Budget'!L89-Actuals!L89)</f>
        <v/>
      </c>
      <c r="AO74" s="110" t="str">
        <f>IFERROR(IF(ISBLANK(Actuals!L89),"",('Original Budget'!L89-Actuals!L89)/ABS('Original Budget'!L89)),"")</f>
        <v/>
      </c>
      <c r="AP74" s="109">
        <f>'Original Budget'!M89</f>
        <v>-290</v>
      </c>
      <c r="AQ74" s="109" t="str">
        <f>IF(ISBLANK(Actuals!M89),"",Actuals!M89)</f>
        <v/>
      </c>
      <c r="AR74" s="110" t="str">
        <f>IF(ISBLANK(Actuals!M89),"",'Original Budget'!M89-Actuals!M89)</f>
        <v/>
      </c>
      <c r="AS74" s="110" t="str">
        <f>IFERROR(IF(ISBLANK(Actuals!M89),"",('Original Budget'!M89-Actuals!M89)/ABS('Original Budget'!M89)),"")</f>
        <v/>
      </c>
      <c r="AT74" s="109">
        <f>'Original Budget'!N89</f>
        <v>-290</v>
      </c>
      <c r="AU74" s="109" t="str">
        <f>IF(ISBLANK(Actuals!N89),"",Actuals!N89)</f>
        <v/>
      </c>
      <c r="AV74" s="110" t="str">
        <f>IF(ISBLANK(Actuals!N89),"",'Original Budget'!N89-Actuals!N89)</f>
        <v/>
      </c>
      <c r="AW74" s="110" t="str">
        <f>IFERROR(IF(ISBLANK(Actuals!N89),"",('Original Budget'!N89-Actuals!N89)/ABS('Original Budget'!N89)),"")</f>
        <v/>
      </c>
      <c r="AX74" s="111">
        <f>SUMPRODUCT((Actuals!C89:N89&lt;&gt;"")*('Original Budget'!C89:N89))</f>
        <v>-1160</v>
      </c>
      <c r="AY74" s="111">
        <f>SUM(Actuals!C89:N89)</f>
        <v>-870</v>
      </c>
      <c r="AZ74" s="112">
        <f t="shared" si="2"/>
        <v>-290</v>
      </c>
    </row>
    <row r="75" spans="1:52" ht="15" customHeight="1" x14ac:dyDescent="0.25">
      <c r="A75" s="108" t="s">
        <v>116</v>
      </c>
      <c r="B75" s="109">
        <f>'Original Budget'!C90</f>
        <v>-245</v>
      </c>
      <c r="C75" s="109">
        <f>IF(ISBLANK(Actuals!C90),"",Actuals!C90)</f>
        <v>-245</v>
      </c>
      <c r="D75" s="110">
        <f>IF(ISBLANK(Actuals!C90),"",'Original Budget'!C90-Actuals!C90)</f>
        <v>0</v>
      </c>
      <c r="E75" s="110">
        <f>IFERROR(IF(ISBLANK(Actuals!C90),"",('Original Budget'!C90-Actuals!C90)/ABS('Original Budget'!C90)),"")</f>
        <v>0</v>
      </c>
      <c r="F75" s="109">
        <f>'Original Budget'!D90</f>
        <v>-245</v>
      </c>
      <c r="G75" s="109">
        <f>IF(ISBLANK(Actuals!D90),"",Actuals!D90)</f>
        <v>-245</v>
      </c>
      <c r="H75" s="110">
        <f>IF(ISBLANK(Actuals!D90),"",'Original Budget'!D90-Actuals!D90)</f>
        <v>0</v>
      </c>
      <c r="I75" s="110">
        <f>IFERROR(IF(ISBLANK(Actuals!D90),"",('Original Budget'!D90-Actuals!D90)/ABS('Original Budget'!D90)),"")</f>
        <v>0</v>
      </c>
      <c r="J75" s="109">
        <f>'Original Budget'!E90</f>
        <v>-245</v>
      </c>
      <c r="K75" s="109">
        <f>IF(ISBLANK(Actuals!E90),"",Actuals!E90)</f>
        <v>-245</v>
      </c>
      <c r="L75" s="110">
        <f>IF(ISBLANK(Actuals!E90),"",'Original Budget'!E90-Actuals!E90)</f>
        <v>0</v>
      </c>
      <c r="M75" s="110">
        <f>IFERROR(IF(ISBLANK(Actuals!E90),"",('Original Budget'!E90-Actuals!E90)/ABS('Original Budget'!E90)),"")</f>
        <v>0</v>
      </c>
      <c r="N75" s="109">
        <f>'Original Budget'!F90</f>
        <v>-245</v>
      </c>
      <c r="O75" s="109">
        <f>IF(ISBLANK(Actuals!F90),"",Actuals!F90)</f>
        <v>-245</v>
      </c>
      <c r="P75" s="110">
        <f>IF(ISBLANK(Actuals!F90),"",'Original Budget'!F90-Actuals!F90)</f>
        <v>0</v>
      </c>
      <c r="Q75" s="110">
        <f>IFERROR(IF(ISBLANK(Actuals!F90),"",('Original Budget'!F90-Actuals!F90)/ABS('Original Budget'!F90)),"")</f>
        <v>0</v>
      </c>
      <c r="R75" s="109">
        <f>'Original Budget'!G90</f>
        <v>-245</v>
      </c>
      <c r="S75" s="109" t="str">
        <f>IF(ISBLANK(Actuals!G90),"",Actuals!G90)</f>
        <v/>
      </c>
      <c r="T75" s="110" t="str">
        <f>IF(ISBLANK(Actuals!G90),"",'Original Budget'!G90-Actuals!G90)</f>
        <v/>
      </c>
      <c r="U75" s="110" t="str">
        <f>IFERROR(IF(ISBLANK(Actuals!G90),"",('Original Budget'!G90-Actuals!G90)/ABS('Original Budget'!G90)),"")</f>
        <v/>
      </c>
      <c r="V75" s="109">
        <f>'Original Budget'!H90</f>
        <v>-245</v>
      </c>
      <c r="W75" s="109" t="str">
        <f>IF(ISBLANK(Actuals!H90),"",Actuals!H90)</f>
        <v/>
      </c>
      <c r="X75" s="110" t="str">
        <f>IF(ISBLANK(Actuals!H90),"",'Original Budget'!H90-Actuals!H90)</f>
        <v/>
      </c>
      <c r="Y75" s="110" t="str">
        <f>IFERROR(IF(ISBLANK(Actuals!H90),"",('Original Budget'!H90-Actuals!H90)/ABS('Original Budget'!H90)),"")</f>
        <v/>
      </c>
      <c r="Z75" s="109">
        <f>'Original Budget'!I90</f>
        <v>-245</v>
      </c>
      <c r="AA75" s="109" t="str">
        <f>IF(ISBLANK(Actuals!I90),"",Actuals!I90)</f>
        <v/>
      </c>
      <c r="AB75" s="110" t="str">
        <f>IF(ISBLANK(Actuals!I90),"",'Original Budget'!I90-Actuals!I90)</f>
        <v/>
      </c>
      <c r="AC75" s="110" t="str">
        <f>IFERROR(IF(ISBLANK(Actuals!I90),"",('Original Budget'!I90-Actuals!I90)/ABS('Original Budget'!I90)),"")</f>
        <v/>
      </c>
      <c r="AD75" s="109">
        <f>'Original Budget'!J90</f>
        <v>-245</v>
      </c>
      <c r="AE75" s="109" t="str">
        <f>IF(ISBLANK(Actuals!J90),"",Actuals!J90)</f>
        <v/>
      </c>
      <c r="AF75" s="110" t="str">
        <f>IF(ISBLANK(Actuals!J90),"",'Original Budget'!J90-Actuals!J90)</f>
        <v/>
      </c>
      <c r="AG75" s="110" t="str">
        <f>IFERROR(IF(ISBLANK(Actuals!J90),"",('Original Budget'!J90-Actuals!J90)/ABS('Original Budget'!J90)),"")</f>
        <v/>
      </c>
      <c r="AH75" s="109">
        <f>'Original Budget'!K90</f>
        <v>-245</v>
      </c>
      <c r="AI75" s="109" t="str">
        <f>IF(ISBLANK(Actuals!K90),"",Actuals!K90)</f>
        <v/>
      </c>
      <c r="AJ75" s="110" t="str">
        <f>IF(ISBLANK(Actuals!K90),"",'Original Budget'!K90-Actuals!K90)</f>
        <v/>
      </c>
      <c r="AK75" s="110" t="str">
        <f>IFERROR(IF(ISBLANK(Actuals!K90),"",('Original Budget'!K90-Actuals!K90)/ABS('Original Budget'!K90)),"")</f>
        <v/>
      </c>
      <c r="AL75" s="109">
        <f>'Original Budget'!L90</f>
        <v>-245</v>
      </c>
      <c r="AM75" s="109" t="str">
        <f>IF(ISBLANK(Actuals!L90),"",Actuals!L90)</f>
        <v/>
      </c>
      <c r="AN75" s="110" t="str">
        <f>IF(ISBLANK(Actuals!L90),"",'Original Budget'!L90-Actuals!L90)</f>
        <v/>
      </c>
      <c r="AO75" s="110" t="str">
        <f>IFERROR(IF(ISBLANK(Actuals!L90),"",('Original Budget'!L90-Actuals!L90)/ABS('Original Budget'!L90)),"")</f>
        <v/>
      </c>
      <c r="AP75" s="109">
        <f>'Original Budget'!M90</f>
        <v>-245</v>
      </c>
      <c r="AQ75" s="109" t="str">
        <f>IF(ISBLANK(Actuals!M90),"",Actuals!M90)</f>
        <v/>
      </c>
      <c r="AR75" s="110" t="str">
        <f>IF(ISBLANK(Actuals!M90),"",'Original Budget'!M90-Actuals!M90)</f>
        <v/>
      </c>
      <c r="AS75" s="110" t="str">
        <f>IFERROR(IF(ISBLANK(Actuals!M90),"",('Original Budget'!M90-Actuals!M90)/ABS('Original Budget'!M90)),"")</f>
        <v/>
      </c>
      <c r="AT75" s="109">
        <f>'Original Budget'!N90</f>
        <v>-245</v>
      </c>
      <c r="AU75" s="109" t="str">
        <f>IF(ISBLANK(Actuals!N90),"",Actuals!N90)</f>
        <v/>
      </c>
      <c r="AV75" s="110" t="str">
        <f>IF(ISBLANK(Actuals!N90),"",'Original Budget'!N90-Actuals!N90)</f>
        <v/>
      </c>
      <c r="AW75" s="110" t="str">
        <f>IFERROR(IF(ISBLANK(Actuals!N90),"",('Original Budget'!N90-Actuals!N90)/ABS('Original Budget'!N90)),"")</f>
        <v/>
      </c>
      <c r="AX75" s="111">
        <f>SUMPRODUCT((Actuals!C90:N90&lt;&gt;"")*('Original Budget'!C90:N90))</f>
        <v>-980</v>
      </c>
      <c r="AY75" s="111">
        <f>SUM(Actuals!C90:N90)</f>
        <v>-980</v>
      </c>
      <c r="AZ75" s="112">
        <f t="shared" si="2"/>
        <v>0</v>
      </c>
    </row>
    <row r="76" spans="1:52" ht="15" customHeight="1" x14ac:dyDescent="0.25">
      <c r="A76" s="108" t="s">
        <v>117</v>
      </c>
      <c r="B76" s="109">
        <f>'Original Budget'!C91</f>
        <v>-986.57</v>
      </c>
      <c r="C76" s="109">
        <f>IF(ISBLANK(Actuals!C91),"",Actuals!C91)</f>
        <v>-986.57</v>
      </c>
      <c r="D76" s="110">
        <f>IF(ISBLANK(Actuals!C91),"",'Original Budget'!C91-Actuals!C91)</f>
        <v>0</v>
      </c>
      <c r="E76" s="110">
        <f>IFERROR(IF(ISBLANK(Actuals!C91),"",('Original Budget'!C91-Actuals!C91)/ABS('Original Budget'!C91)),"")</f>
        <v>0</v>
      </c>
      <c r="F76" s="109">
        <f>'Original Budget'!D91</f>
        <v>-1254.6099999999999</v>
      </c>
      <c r="G76" s="109">
        <f>IF(ISBLANK(Actuals!D91),"",Actuals!D91)</f>
        <v>-1254.6099999999999</v>
      </c>
      <c r="H76" s="110">
        <f>IF(ISBLANK(Actuals!D91),"",'Original Budget'!D91-Actuals!D91)</f>
        <v>0</v>
      </c>
      <c r="I76" s="110">
        <f>IFERROR(IF(ISBLANK(Actuals!D91),"",('Original Budget'!D91-Actuals!D91)/ABS('Original Budget'!D91)),"")</f>
        <v>0</v>
      </c>
      <c r="J76" s="109">
        <f>'Original Budget'!E91</f>
        <v>-1297.31</v>
      </c>
      <c r="K76" s="109">
        <f>IF(ISBLANK(Actuals!E91),"",Actuals!E91)</f>
        <v>-1297.31</v>
      </c>
      <c r="L76" s="110">
        <f>IF(ISBLANK(Actuals!E91),"",'Original Budget'!E91-Actuals!E91)</f>
        <v>0</v>
      </c>
      <c r="M76" s="110">
        <f>IFERROR(IF(ISBLANK(Actuals!E91),"",('Original Budget'!E91-Actuals!E91)/ABS('Original Budget'!E91)),"")</f>
        <v>0</v>
      </c>
      <c r="N76" s="109">
        <f>'Original Budget'!F91</f>
        <v>-1179.5</v>
      </c>
      <c r="O76" s="109">
        <f>IF(ISBLANK(Actuals!F91),"",Actuals!F91)</f>
        <v>-48.78</v>
      </c>
      <c r="P76" s="110">
        <f>IF(ISBLANK(Actuals!F91),"",'Original Budget'!F91-Actuals!F91)</f>
        <v>-1130.72</v>
      </c>
      <c r="Q76" s="110">
        <f>IFERROR(IF(ISBLANK(Actuals!F91),"",('Original Budget'!F91-Actuals!F91)/ABS('Original Budget'!F91)),"")</f>
        <v>-0.95864349300551088</v>
      </c>
      <c r="R76" s="109">
        <f>'Original Budget'!G91</f>
        <v>-1179.5</v>
      </c>
      <c r="S76" s="109" t="str">
        <f>IF(ISBLANK(Actuals!G91),"",Actuals!G91)</f>
        <v/>
      </c>
      <c r="T76" s="110" t="str">
        <f>IF(ISBLANK(Actuals!G91),"",'Original Budget'!G91-Actuals!G91)</f>
        <v/>
      </c>
      <c r="U76" s="110" t="str">
        <f>IFERROR(IF(ISBLANK(Actuals!G91),"",('Original Budget'!G91-Actuals!G91)/ABS('Original Budget'!G91)),"")</f>
        <v/>
      </c>
      <c r="V76" s="109">
        <f>'Original Budget'!H91</f>
        <v>-1179.5</v>
      </c>
      <c r="W76" s="109" t="str">
        <f>IF(ISBLANK(Actuals!H91),"",Actuals!H91)</f>
        <v/>
      </c>
      <c r="X76" s="110" t="str">
        <f>IF(ISBLANK(Actuals!H91),"",'Original Budget'!H91-Actuals!H91)</f>
        <v/>
      </c>
      <c r="Y76" s="110" t="str">
        <f>IFERROR(IF(ISBLANK(Actuals!H91),"",('Original Budget'!H91-Actuals!H91)/ABS('Original Budget'!H91)),"")</f>
        <v/>
      </c>
      <c r="Z76" s="109">
        <f>'Original Budget'!I91</f>
        <v>-1179.5</v>
      </c>
      <c r="AA76" s="109" t="str">
        <f>IF(ISBLANK(Actuals!I91),"",Actuals!I91)</f>
        <v/>
      </c>
      <c r="AB76" s="110" t="str">
        <f>IF(ISBLANK(Actuals!I91),"",'Original Budget'!I91-Actuals!I91)</f>
        <v/>
      </c>
      <c r="AC76" s="110" t="str">
        <f>IFERROR(IF(ISBLANK(Actuals!I91),"",('Original Budget'!I91-Actuals!I91)/ABS('Original Budget'!I91)),"")</f>
        <v/>
      </c>
      <c r="AD76" s="109">
        <f>'Original Budget'!J91</f>
        <v>-1179.5</v>
      </c>
      <c r="AE76" s="109" t="str">
        <f>IF(ISBLANK(Actuals!J91),"",Actuals!J91)</f>
        <v/>
      </c>
      <c r="AF76" s="110" t="str">
        <f>IF(ISBLANK(Actuals!J91),"",'Original Budget'!J91-Actuals!J91)</f>
        <v/>
      </c>
      <c r="AG76" s="110" t="str">
        <f>IFERROR(IF(ISBLANK(Actuals!J91),"",('Original Budget'!J91-Actuals!J91)/ABS('Original Budget'!J91)),"")</f>
        <v/>
      </c>
      <c r="AH76" s="109">
        <f>'Original Budget'!K91</f>
        <v>-1179.5</v>
      </c>
      <c r="AI76" s="109" t="str">
        <f>IF(ISBLANK(Actuals!K91),"",Actuals!K91)</f>
        <v/>
      </c>
      <c r="AJ76" s="110" t="str">
        <f>IF(ISBLANK(Actuals!K91),"",'Original Budget'!K91-Actuals!K91)</f>
        <v/>
      </c>
      <c r="AK76" s="110" t="str">
        <f>IFERROR(IF(ISBLANK(Actuals!K91),"",('Original Budget'!K91-Actuals!K91)/ABS('Original Budget'!K91)),"")</f>
        <v/>
      </c>
      <c r="AL76" s="109">
        <f>'Original Budget'!L91</f>
        <v>-1179.5</v>
      </c>
      <c r="AM76" s="109" t="str">
        <f>IF(ISBLANK(Actuals!L91),"",Actuals!L91)</f>
        <v/>
      </c>
      <c r="AN76" s="110" t="str">
        <f>IF(ISBLANK(Actuals!L91),"",'Original Budget'!L91-Actuals!L91)</f>
        <v/>
      </c>
      <c r="AO76" s="110" t="str">
        <f>IFERROR(IF(ISBLANK(Actuals!L91),"",('Original Budget'!L91-Actuals!L91)/ABS('Original Budget'!L91)),"")</f>
        <v/>
      </c>
      <c r="AP76" s="109">
        <f>'Original Budget'!M91</f>
        <v>-1179.5</v>
      </c>
      <c r="AQ76" s="109" t="str">
        <f>IF(ISBLANK(Actuals!M91),"",Actuals!M91)</f>
        <v/>
      </c>
      <c r="AR76" s="110" t="str">
        <f>IF(ISBLANK(Actuals!M91),"",'Original Budget'!M91-Actuals!M91)</f>
        <v/>
      </c>
      <c r="AS76" s="110" t="str">
        <f>IFERROR(IF(ISBLANK(Actuals!M91),"",('Original Budget'!M91-Actuals!M91)/ABS('Original Budget'!M91)),"")</f>
        <v/>
      </c>
      <c r="AT76" s="109">
        <f>'Original Budget'!N91</f>
        <v>-1179.5</v>
      </c>
      <c r="AU76" s="109" t="str">
        <f>IF(ISBLANK(Actuals!N91),"",Actuals!N91)</f>
        <v/>
      </c>
      <c r="AV76" s="110" t="str">
        <f>IF(ISBLANK(Actuals!N91),"",'Original Budget'!N91-Actuals!N91)</f>
        <v/>
      </c>
      <c r="AW76" s="110" t="str">
        <f>IFERROR(IF(ISBLANK(Actuals!N91),"",('Original Budget'!N91-Actuals!N91)/ABS('Original Budget'!N91)),"")</f>
        <v/>
      </c>
      <c r="AX76" s="111">
        <f>SUMPRODUCT((Actuals!C91:N91&lt;&gt;"")*('Original Budget'!C91:N91))</f>
        <v>-4717.99</v>
      </c>
      <c r="AY76" s="111">
        <f>SUM(Actuals!C91:N91)</f>
        <v>-3587.27</v>
      </c>
      <c r="AZ76" s="112">
        <f t="shared" si="2"/>
        <v>-1130.7199999999998</v>
      </c>
    </row>
    <row r="77" spans="1:52" ht="15" customHeight="1" x14ac:dyDescent="0.25">
      <c r="A77" s="108" t="s">
        <v>118</v>
      </c>
      <c r="B77" s="109">
        <f>'Original Budget'!C92</f>
        <v>-588.66</v>
      </c>
      <c r="C77" s="109">
        <f>IF(ISBLANK(Actuals!C92),"",Actuals!C92)</f>
        <v>-588.66</v>
      </c>
      <c r="D77" s="110">
        <f>IF(ISBLANK(Actuals!C92),"",'Original Budget'!C92-Actuals!C92)</f>
        <v>0</v>
      </c>
      <c r="E77" s="110">
        <f>IFERROR(IF(ISBLANK(Actuals!C92),"",('Original Budget'!C92-Actuals!C92)/ABS('Original Budget'!C92)),"")</f>
        <v>0</v>
      </c>
      <c r="F77" s="109">
        <f>'Original Budget'!D92</f>
        <v>-22.94</v>
      </c>
      <c r="G77" s="109">
        <f>IF(ISBLANK(Actuals!D92),"",Actuals!D92)</f>
        <v>-22.94</v>
      </c>
      <c r="H77" s="110">
        <f>IF(ISBLANK(Actuals!D92),"",'Original Budget'!D92-Actuals!D92)</f>
        <v>0</v>
      </c>
      <c r="I77" s="110">
        <f>IFERROR(IF(ISBLANK(Actuals!D92),"",('Original Budget'!D92-Actuals!D92)/ABS('Original Budget'!D92)),"")</f>
        <v>0</v>
      </c>
      <c r="J77" s="109">
        <f>'Original Budget'!E92</f>
        <v>-487.3</v>
      </c>
      <c r="K77" s="109">
        <f>IF(ISBLANK(Actuals!E92),"",Actuals!E92)</f>
        <v>-487.3</v>
      </c>
      <c r="L77" s="110">
        <f>IF(ISBLANK(Actuals!E92),"",'Original Budget'!E92-Actuals!E92)</f>
        <v>0</v>
      </c>
      <c r="M77" s="110">
        <f>IFERROR(IF(ISBLANK(Actuals!E92),"",('Original Budget'!E92-Actuals!E92)/ABS('Original Budget'!E92)),"")</f>
        <v>0</v>
      </c>
      <c r="N77" s="109">
        <f>'Original Budget'!F92</f>
        <v>-366.3</v>
      </c>
      <c r="O77" s="109">
        <f>IF(ISBLANK(Actuals!F92),"",Actuals!F92)</f>
        <v>-399.98</v>
      </c>
      <c r="P77" s="110">
        <f>IF(ISBLANK(Actuals!F92),"",'Original Budget'!F92-Actuals!F92)</f>
        <v>33.680000000000007</v>
      </c>
      <c r="Q77" s="110">
        <f>IFERROR(IF(ISBLANK(Actuals!F92),"",('Original Budget'!F92-Actuals!F92)/ABS('Original Budget'!F92)),"")</f>
        <v>9.1946491946491959E-2</v>
      </c>
      <c r="R77" s="109">
        <f>'Original Budget'!G92</f>
        <v>-366.3</v>
      </c>
      <c r="S77" s="109" t="str">
        <f>IF(ISBLANK(Actuals!G92),"",Actuals!G92)</f>
        <v/>
      </c>
      <c r="T77" s="110" t="str">
        <f>IF(ISBLANK(Actuals!G92),"",'Original Budget'!G92-Actuals!G92)</f>
        <v/>
      </c>
      <c r="U77" s="110" t="str">
        <f>IFERROR(IF(ISBLANK(Actuals!G92),"",('Original Budget'!G92-Actuals!G92)/ABS('Original Budget'!G92)),"")</f>
        <v/>
      </c>
      <c r="V77" s="109">
        <f>'Original Budget'!H92</f>
        <v>-366.3</v>
      </c>
      <c r="W77" s="109" t="str">
        <f>IF(ISBLANK(Actuals!H92),"",Actuals!H92)</f>
        <v/>
      </c>
      <c r="X77" s="110" t="str">
        <f>IF(ISBLANK(Actuals!H92),"",'Original Budget'!H92-Actuals!H92)</f>
        <v/>
      </c>
      <c r="Y77" s="110" t="str">
        <f>IFERROR(IF(ISBLANK(Actuals!H92),"",('Original Budget'!H92-Actuals!H92)/ABS('Original Budget'!H92)),"")</f>
        <v/>
      </c>
      <c r="Z77" s="109">
        <f>'Original Budget'!I92</f>
        <v>-366.3</v>
      </c>
      <c r="AA77" s="109" t="str">
        <f>IF(ISBLANK(Actuals!I92),"",Actuals!I92)</f>
        <v/>
      </c>
      <c r="AB77" s="110" t="str">
        <f>IF(ISBLANK(Actuals!I92),"",'Original Budget'!I92-Actuals!I92)</f>
        <v/>
      </c>
      <c r="AC77" s="110" t="str">
        <f>IFERROR(IF(ISBLANK(Actuals!I92),"",('Original Budget'!I92-Actuals!I92)/ABS('Original Budget'!I92)),"")</f>
        <v/>
      </c>
      <c r="AD77" s="109">
        <f>'Original Budget'!J92</f>
        <v>-366.3</v>
      </c>
      <c r="AE77" s="109" t="str">
        <f>IF(ISBLANK(Actuals!J92),"",Actuals!J92)</f>
        <v/>
      </c>
      <c r="AF77" s="110" t="str">
        <f>IF(ISBLANK(Actuals!J92),"",'Original Budget'!J92-Actuals!J92)</f>
        <v/>
      </c>
      <c r="AG77" s="110" t="str">
        <f>IFERROR(IF(ISBLANK(Actuals!J92),"",('Original Budget'!J92-Actuals!J92)/ABS('Original Budget'!J92)),"")</f>
        <v/>
      </c>
      <c r="AH77" s="109">
        <f>'Original Budget'!K92</f>
        <v>-366.3</v>
      </c>
      <c r="AI77" s="109" t="str">
        <f>IF(ISBLANK(Actuals!K92),"",Actuals!K92)</f>
        <v/>
      </c>
      <c r="AJ77" s="110" t="str">
        <f>IF(ISBLANK(Actuals!K92),"",'Original Budget'!K92-Actuals!K92)</f>
        <v/>
      </c>
      <c r="AK77" s="110" t="str">
        <f>IFERROR(IF(ISBLANK(Actuals!K92),"",('Original Budget'!K92-Actuals!K92)/ABS('Original Budget'!K92)),"")</f>
        <v/>
      </c>
      <c r="AL77" s="109">
        <f>'Original Budget'!L92</f>
        <v>-366.3</v>
      </c>
      <c r="AM77" s="109" t="str">
        <f>IF(ISBLANK(Actuals!L92),"",Actuals!L92)</f>
        <v/>
      </c>
      <c r="AN77" s="110" t="str">
        <f>IF(ISBLANK(Actuals!L92),"",'Original Budget'!L92-Actuals!L92)</f>
        <v/>
      </c>
      <c r="AO77" s="110" t="str">
        <f>IFERROR(IF(ISBLANK(Actuals!L92),"",('Original Budget'!L92-Actuals!L92)/ABS('Original Budget'!L92)),"")</f>
        <v/>
      </c>
      <c r="AP77" s="109">
        <f>'Original Budget'!M92</f>
        <v>-366.3</v>
      </c>
      <c r="AQ77" s="109" t="str">
        <f>IF(ISBLANK(Actuals!M92),"",Actuals!M92)</f>
        <v/>
      </c>
      <c r="AR77" s="110" t="str">
        <f>IF(ISBLANK(Actuals!M92),"",'Original Budget'!M92-Actuals!M92)</f>
        <v/>
      </c>
      <c r="AS77" s="110" t="str">
        <f>IFERROR(IF(ISBLANK(Actuals!M92),"",('Original Budget'!M92-Actuals!M92)/ABS('Original Budget'!M92)),"")</f>
        <v/>
      </c>
      <c r="AT77" s="109">
        <f>'Original Budget'!N92</f>
        <v>-366.3</v>
      </c>
      <c r="AU77" s="109" t="str">
        <f>IF(ISBLANK(Actuals!N92),"",Actuals!N92)</f>
        <v/>
      </c>
      <c r="AV77" s="110" t="str">
        <f>IF(ISBLANK(Actuals!N92),"",'Original Budget'!N92-Actuals!N92)</f>
        <v/>
      </c>
      <c r="AW77" s="110" t="str">
        <f>IFERROR(IF(ISBLANK(Actuals!N92),"",('Original Budget'!N92-Actuals!N92)/ABS('Original Budget'!N92)),"")</f>
        <v/>
      </c>
      <c r="AX77" s="111">
        <f>SUMPRODUCT((Actuals!C92:N92&lt;&gt;"")*('Original Budget'!C92:N92))</f>
        <v>-1465.2</v>
      </c>
      <c r="AY77" s="111">
        <f>SUM(Actuals!C92:N92)</f>
        <v>-1498.88</v>
      </c>
      <c r="AZ77" s="112">
        <f t="shared" si="2"/>
        <v>33.680000000000064</v>
      </c>
    </row>
    <row r="78" spans="1:52" ht="15" customHeight="1" x14ac:dyDescent="0.25">
      <c r="A78" s="108" t="s">
        <v>119</v>
      </c>
      <c r="B78" s="109">
        <f>'Original Budget'!C93</f>
        <v>0</v>
      </c>
      <c r="C78" s="109">
        <f>IF(ISBLANK(Actuals!C93),"",Actuals!C93)</f>
        <v>0</v>
      </c>
      <c r="D78" s="110">
        <f>IF(ISBLANK(Actuals!C93),"",'Original Budget'!C93-Actuals!C93)</f>
        <v>0</v>
      </c>
      <c r="E78" s="110" t="str">
        <f>IFERROR(IF(ISBLANK(Actuals!C93),"",('Original Budget'!C93-Actuals!C93)/ABS('Original Budget'!C93)),"")</f>
        <v/>
      </c>
      <c r="F78" s="109">
        <f>'Original Budget'!D93</f>
        <v>-92.75</v>
      </c>
      <c r="G78" s="109">
        <f>IF(ISBLANK(Actuals!D93),"",Actuals!D93)</f>
        <v>-92.75</v>
      </c>
      <c r="H78" s="110">
        <f>IF(ISBLANK(Actuals!D93),"",'Original Budget'!D93-Actuals!D93)</f>
        <v>0</v>
      </c>
      <c r="I78" s="110">
        <f>IFERROR(IF(ISBLANK(Actuals!D93),"",('Original Budget'!D93-Actuals!D93)/ABS('Original Budget'!D93)),"")</f>
        <v>0</v>
      </c>
      <c r="J78" s="109">
        <f>'Original Budget'!E93</f>
        <v>-57.46</v>
      </c>
      <c r="K78" s="109">
        <f>IF(ISBLANK(Actuals!E93),"",Actuals!E93)</f>
        <v>-57.46</v>
      </c>
      <c r="L78" s="110">
        <f>IF(ISBLANK(Actuals!E93),"",'Original Budget'!E93-Actuals!E93)</f>
        <v>0</v>
      </c>
      <c r="M78" s="110">
        <f>IFERROR(IF(ISBLANK(Actuals!E93),"",('Original Budget'!E93-Actuals!E93)/ABS('Original Budget'!E93)),"")</f>
        <v>0</v>
      </c>
      <c r="N78" s="109">
        <f>'Original Budget'!F93</f>
        <v>-50.07</v>
      </c>
      <c r="O78" s="109">
        <f>IF(ISBLANK(Actuals!F93),"",Actuals!F93)</f>
        <v>0</v>
      </c>
      <c r="P78" s="110">
        <f>IF(ISBLANK(Actuals!F93),"",'Original Budget'!F93-Actuals!F93)</f>
        <v>-50.07</v>
      </c>
      <c r="Q78" s="110">
        <f>IFERROR(IF(ISBLANK(Actuals!F93),"",('Original Budget'!F93-Actuals!F93)/ABS('Original Budget'!F93)),"")</f>
        <v>-1</v>
      </c>
      <c r="R78" s="109">
        <f>'Original Budget'!G93</f>
        <v>-50.07</v>
      </c>
      <c r="S78" s="109" t="str">
        <f>IF(ISBLANK(Actuals!G93),"",Actuals!G93)</f>
        <v/>
      </c>
      <c r="T78" s="110" t="str">
        <f>IF(ISBLANK(Actuals!G93),"",'Original Budget'!G93-Actuals!G93)</f>
        <v/>
      </c>
      <c r="U78" s="110" t="str">
        <f>IFERROR(IF(ISBLANK(Actuals!G93),"",('Original Budget'!G93-Actuals!G93)/ABS('Original Budget'!G93)),"")</f>
        <v/>
      </c>
      <c r="V78" s="109">
        <f>'Original Budget'!H93</f>
        <v>-50.07</v>
      </c>
      <c r="W78" s="109" t="str">
        <f>IF(ISBLANK(Actuals!H93),"",Actuals!H93)</f>
        <v/>
      </c>
      <c r="X78" s="110" t="str">
        <f>IF(ISBLANK(Actuals!H93),"",'Original Budget'!H93-Actuals!H93)</f>
        <v/>
      </c>
      <c r="Y78" s="110" t="str">
        <f>IFERROR(IF(ISBLANK(Actuals!H93),"",('Original Budget'!H93-Actuals!H93)/ABS('Original Budget'!H93)),"")</f>
        <v/>
      </c>
      <c r="Z78" s="109">
        <f>'Original Budget'!I93</f>
        <v>-50.07</v>
      </c>
      <c r="AA78" s="109" t="str">
        <f>IF(ISBLANK(Actuals!I93),"",Actuals!I93)</f>
        <v/>
      </c>
      <c r="AB78" s="110" t="str">
        <f>IF(ISBLANK(Actuals!I93),"",'Original Budget'!I93-Actuals!I93)</f>
        <v/>
      </c>
      <c r="AC78" s="110" t="str">
        <f>IFERROR(IF(ISBLANK(Actuals!I93),"",('Original Budget'!I93-Actuals!I93)/ABS('Original Budget'!I93)),"")</f>
        <v/>
      </c>
      <c r="AD78" s="109">
        <f>'Original Budget'!J93</f>
        <v>-50.07</v>
      </c>
      <c r="AE78" s="109" t="str">
        <f>IF(ISBLANK(Actuals!J93),"",Actuals!J93)</f>
        <v/>
      </c>
      <c r="AF78" s="110" t="str">
        <f>IF(ISBLANK(Actuals!J93),"",'Original Budget'!J93-Actuals!J93)</f>
        <v/>
      </c>
      <c r="AG78" s="110" t="str">
        <f>IFERROR(IF(ISBLANK(Actuals!J93),"",('Original Budget'!J93-Actuals!J93)/ABS('Original Budget'!J93)),"")</f>
        <v/>
      </c>
      <c r="AH78" s="109">
        <f>'Original Budget'!K93</f>
        <v>-50.07</v>
      </c>
      <c r="AI78" s="109" t="str">
        <f>IF(ISBLANK(Actuals!K93),"",Actuals!K93)</f>
        <v/>
      </c>
      <c r="AJ78" s="110" t="str">
        <f>IF(ISBLANK(Actuals!K93),"",'Original Budget'!K93-Actuals!K93)</f>
        <v/>
      </c>
      <c r="AK78" s="110" t="str">
        <f>IFERROR(IF(ISBLANK(Actuals!K93),"",('Original Budget'!K93-Actuals!K93)/ABS('Original Budget'!K93)),"")</f>
        <v/>
      </c>
      <c r="AL78" s="109">
        <f>'Original Budget'!L93</f>
        <v>-50.07</v>
      </c>
      <c r="AM78" s="109" t="str">
        <f>IF(ISBLANK(Actuals!L93),"",Actuals!L93)</f>
        <v/>
      </c>
      <c r="AN78" s="110" t="str">
        <f>IF(ISBLANK(Actuals!L93),"",'Original Budget'!L93-Actuals!L93)</f>
        <v/>
      </c>
      <c r="AO78" s="110" t="str">
        <f>IFERROR(IF(ISBLANK(Actuals!L93),"",('Original Budget'!L93-Actuals!L93)/ABS('Original Budget'!L93)),"")</f>
        <v/>
      </c>
      <c r="AP78" s="109">
        <f>'Original Budget'!M93</f>
        <v>-50.07</v>
      </c>
      <c r="AQ78" s="109" t="str">
        <f>IF(ISBLANK(Actuals!M93),"",Actuals!M93)</f>
        <v/>
      </c>
      <c r="AR78" s="110" t="str">
        <f>IF(ISBLANK(Actuals!M93),"",'Original Budget'!M93-Actuals!M93)</f>
        <v/>
      </c>
      <c r="AS78" s="110" t="str">
        <f>IFERROR(IF(ISBLANK(Actuals!M93),"",('Original Budget'!M93-Actuals!M93)/ABS('Original Budget'!M93)),"")</f>
        <v/>
      </c>
      <c r="AT78" s="109">
        <f>'Original Budget'!N93</f>
        <v>-50.07</v>
      </c>
      <c r="AU78" s="109" t="str">
        <f>IF(ISBLANK(Actuals!N93),"",Actuals!N93)</f>
        <v/>
      </c>
      <c r="AV78" s="110" t="str">
        <f>IF(ISBLANK(Actuals!N93),"",'Original Budget'!N93-Actuals!N93)</f>
        <v/>
      </c>
      <c r="AW78" s="110" t="str">
        <f>IFERROR(IF(ISBLANK(Actuals!N93),"",('Original Budget'!N93-Actuals!N93)/ABS('Original Budget'!N93)),"")</f>
        <v/>
      </c>
      <c r="AX78" s="111">
        <f>SUMPRODUCT((Actuals!C93:N93&lt;&gt;"")*('Original Budget'!C93:N93))</f>
        <v>-200.28</v>
      </c>
      <c r="AY78" s="111">
        <f>SUM(Actuals!C93:N93)</f>
        <v>-150.21</v>
      </c>
      <c r="AZ78" s="112">
        <f t="shared" si="2"/>
        <v>-50.069999999999993</v>
      </c>
    </row>
    <row r="79" spans="1:52" ht="15" customHeight="1" x14ac:dyDescent="0.25">
      <c r="A79" s="108" t="s">
        <v>77</v>
      </c>
      <c r="B79" s="109">
        <f>'Original Budget'!C94</f>
        <v>-640.88</v>
      </c>
      <c r="C79" s="109">
        <f>IF(ISBLANK(Actuals!C94),"",Actuals!C94)</f>
        <v>-640.88</v>
      </c>
      <c r="D79" s="110">
        <f>IF(ISBLANK(Actuals!C94),"",'Original Budget'!C94-Actuals!C94)</f>
        <v>0</v>
      </c>
      <c r="E79" s="110">
        <f>IFERROR(IF(ISBLANK(Actuals!C94),"",('Original Budget'!C94-Actuals!C94)/ABS('Original Budget'!C94)),"")</f>
        <v>0</v>
      </c>
      <c r="F79" s="109">
        <f>'Original Budget'!D94</f>
        <v>-872.64</v>
      </c>
      <c r="G79" s="109">
        <f>IF(ISBLANK(Actuals!D94),"",Actuals!D94)</f>
        <v>-872.64</v>
      </c>
      <c r="H79" s="110">
        <f>IF(ISBLANK(Actuals!D94),"",'Original Budget'!D94-Actuals!D94)</f>
        <v>0</v>
      </c>
      <c r="I79" s="110">
        <f>IFERROR(IF(ISBLANK(Actuals!D94),"",('Original Budget'!D94-Actuals!D94)/ABS('Original Budget'!D94)),"")</f>
        <v>0</v>
      </c>
      <c r="J79" s="109">
        <f>'Original Budget'!E94</f>
        <v>-1175.78</v>
      </c>
      <c r="K79" s="109">
        <f>IF(ISBLANK(Actuals!E94),"",Actuals!E94)</f>
        <v>-1175.78</v>
      </c>
      <c r="L79" s="110">
        <f>IF(ISBLANK(Actuals!E94),"",'Original Budget'!E94-Actuals!E94)</f>
        <v>0</v>
      </c>
      <c r="M79" s="110">
        <f>IFERROR(IF(ISBLANK(Actuals!E94),"",('Original Budget'!E94-Actuals!E94)/ABS('Original Budget'!E94)),"")</f>
        <v>0</v>
      </c>
      <c r="N79" s="109">
        <f>'Original Budget'!F94</f>
        <v>-896.43</v>
      </c>
      <c r="O79" s="109">
        <f>IF(ISBLANK(Actuals!F94),"",Actuals!F94)</f>
        <v>-471.38</v>
      </c>
      <c r="P79" s="110">
        <f>IF(ISBLANK(Actuals!F94),"",'Original Budget'!F94-Actuals!F94)</f>
        <v>-425.04999999999995</v>
      </c>
      <c r="Q79" s="110">
        <f>IFERROR(IF(ISBLANK(Actuals!F94),"",('Original Budget'!F94-Actuals!F94)/ABS('Original Budget'!F94)),"")</f>
        <v>-0.47415860691855471</v>
      </c>
      <c r="R79" s="109">
        <f>'Original Budget'!G94</f>
        <v>-896.43</v>
      </c>
      <c r="S79" s="109" t="str">
        <f>IF(ISBLANK(Actuals!G94),"",Actuals!G94)</f>
        <v/>
      </c>
      <c r="T79" s="110" t="str">
        <f>IF(ISBLANK(Actuals!G94),"",'Original Budget'!G94-Actuals!G94)</f>
        <v/>
      </c>
      <c r="U79" s="110" t="str">
        <f>IFERROR(IF(ISBLANK(Actuals!G94),"",('Original Budget'!G94-Actuals!G94)/ABS('Original Budget'!G94)),"")</f>
        <v/>
      </c>
      <c r="V79" s="109">
        <f>'Original Budget'!H94</f>
        <v>-896.43</v>
      </c>
      <c r="W79" s="109" t="str">
        <f>IF(ISBLANK(Actuals!H94),"",Actuals!H94)</f>
        <v/>
      </c>
      <c r="X79" s="110" t="str">
        <f>IF(ISBLANK(Actuals!H94),"",'Original Budget'!H94-Actuals!H94)</f>
        <v/>
      </c>
      <c r="Y79" s="110" t="str">
        <f>IFERROR(IF(ISBLANK(Actuals!H94),"",('Original Budget'!H94-Actuals!H94)/ABS('Original Budget'!H94)),"")</f>
        <v/>
      </c>
      <c r="Z79" s="109">
        <f>'Original Budget'!I94</f>
        <v>-896.43</v>
      </c>
      <c r="AA79" s="109" t="str">
        <f>IF(ISBLANK(Actuals!I94),"",Actuals!I94)</f>
        <v/>
      </c>
      <c r="AB79" s="110" t="str">
        <f>IF(ISBLANK(Actuals!I94),"",'Original Budget'!I94-Actuals!I94)</f>
        <v/>
      </c>
      <c r="AC79" s="110" t="str">
        <f>IFERROR(IF(ISBLANK(Actuals!I94),"",('Original Budget'!I94-Actuals!I94)/ABS('Original Budget'!I94)),"")</f>
        <v/>
      </c>
      <c r="AD79" s="109">
        <f>'Original Budget'!J94</f>
        <v>-896.43</v>
      </c>
      <c r="AE79" s="109" t="str">
        <f>IF(ISBLANK(Actuals!J94),"",Actuals!J94)</f>
        <v/>
      </c>
      <c r="AF79" s="110" t="str">
        <f>IF(ISBLANK(Actuals!J94),"",'Original Budget'!J94-Actuals!J94)</f>
        <v/>
      </c>
      <c r="AG79" s="110" t="str">
        <f>IFERROR(IF(ISBLANK(Actuals!J94),"",('Original Budget'!J94-Actuals!J94)/ABS('Original Budget'!J94)),"")</f>
        <v/>
      </c>
      <c r="AH79" s="109">
        <f>'Original Budget'!K94</f>
        <v>-896.43</v>
      </c>
      <c r="AI79" s="109" t="str">
        <f>IF(ISBLANK(Actuals!K94),"",Actuals!K94)</f>
        <v/>
      </c>
      <c r="AJ79" s="110" t="str">
        <f>IF(ISBLANK(Actuals!K94),"",'Original Budget'!K94-Actuals!K94)</f>
        <v/>
      </c>
      <c r="AK79" s="110" t="str">
        <f>IFERROR(IF(ISBLANK(Actuals!K94),"",('Original Budget'!K94-Actuals!K94)/ABS('Original Budget'!K94)),"")</f>
        <v/>
      </c>
      <c r="AL79" s="109">
        <f>'Original Budget'!L94</f>
        <v>-896.43</v>
      </c>
      <c r="AM79" s="109" t="str">
        <f>IF(ISBLANK(Actuals!L94),"",Actuals!L94)</f>
        <v/>
      </c>
      <c r="AN79" s="110" t="str">
        <f>IF(ISBLANK(Actuals!L94),"",'Original Budget'!L94-Actuals!L94)</f>
        <v/>
      </c>
      <c r="AO79" s="110" t="str">
        <f>IFERROR(IF(ISBLANK(Actuals!L94),"",('Original Budget'!L94-Actuals!L94)/ABS('Original Budget'!L94)),"")</f>
        <v/>
      </c>
      <c r="AP79" s="109">
        <f>'Original Budget'!M94</f>
        <v>-896.43</v>
      </c>
      <c r="AQ79" s="109" t="str">
        <f>IF(ISBLANK(Actuals!M94),"",Actuals!M94)</f>
        <v/>
      </c>
      <c r="AR79" s="110" t="str">
        <f>IF(ISBLANK(Actuals!M94),"",'Original Budget'!M94-Actuals!M94)</f>
        <v/>
      </c>
      <c r="AS79" s="110" t="str">
        <f>IFERROR(IF(ISBLANK(Actuals!M94),"",('Original Budget'!M94-Actuals!M94)/ABS('Original Budget'!M94)),"")</f>
        <v/>
      </c>
      <c r="AT79" s="109">
        <f>'Original Budget'!N94</f>
        <v>-896.43</v>
      </c>
      <c r="AU79" s="109" t="str">
        <f>IF(ISBLANK(Actuals!N94),"",Actuals!N94)</f>
        <v/>
      </c>
      <c r="AV79" s="110" t="str">
        <f>IF(ISBLANK(Actuals!N94),"",'Original Budget'!N94-Actuals!N94)</f>
        <v/>
      </c>
      <c r="AW79" s="110" t="str">
        <f>IFERROR(IF(ISBLANK(Actuals!N94),"",('Original Budget'!N94-Actuals!N94)/ABS('Original Budget'!N94)),"")</f>
        <v/>
      </c>
      <c r="AX79" s="111">
        <f>SUMPRODUCT((Actuals!C94:N94&lt;&gt;"")*('Original Budget'!C94:N94))</f>
        <v>-3585.73</v>
      </c>
      <c r="AY79" s="111">
        <f>SUM(Actuals!C94:N94)</f>
        <v>-3160.6800000000003</v>
      </c>
      <c r="AZ79" s="112">
        <f t="shared" si="2"/>
        <v>-425.04999999999973</v>
      </c>
    </row>
    <row r="80" spans="1:52" ht="15" customHeight="1" x14ac:dyDescent="0.25">
      <c r="A80" s="108" t="s">
        <v>78</v>
      </c>
      <c r="B80" s="109">
        <f>'Original Budget'!C95</f>
        <v>0</v>
      </c>
      <c r="C80" s="109">
        <f>IF(ISBLANK(Actuals!C95),"",Actuals!C95)</f>
        <v>0</v>
      </c>
      <c r="D80" s="110">
        <f>IF(ISBLANK(Actuals!C95),"",'Original Budget'!C95-Actuals!C95)</f>
        <v>0</v>
      </c>
      <c r="E80" s="110" t="str">
        <f>IFERROR(IF(ISBLANK(Actuals!C95),"",('Original Budget'!C95-Actuals!C95)/ABS('Original Budget'!C95)),"")</f>
        <v/>
      </c>
      <c r="F80" s="109">
        <f>'Original Budget'!D95</f>
        <v>0</v>
      </c>
      <c r="G80" s="109">
        <f>IF(ISBLANK(Actuals!D95),"",Actuals!D95)</f>
        <v>0</v>
      </c>
      <c r="H80" s="110">
        <f>IF(ISBLANK(Actuals!D95),"",'Original Budget'!D95-Actuals!D95)</f>
        <v>0</v>
      </c>
      <c r="I80" s="110" t="str">
        <f>IFERROR(IF(ISBLANK(Actuals!D95),"",('Original Budget'!D95-Actuals!D95)/ABS('Original Budget'!D95)),"")</f>
        <v/>
      </c>
      <c r="J80" s="109">
        <f>'Original Budget'!E95</f>
        <v>-38050.5</v>
      </c>
      <c r="K80" s="109">
        <f>IF(ISBLANK(Actuals!E95),"",Actuals!E95)</f>
        <v>-38050.5</v>
      </c>
      <c r="L80" s="110">
        <f>IF(ISBLANK(Actuals!E95),"",'Original Budget'!E95-Actuals!E95)</f>
        <v>0</v>
      </c>
      <c r="M80" s="110">
        <f>IFERROR(IF(ISBLANK(Actuals!E95),"",('Original Budget'!E95-Actuals!E95)/ABS('Original Budget'!E95)),"")</f>
        <v>0</v>
      </c>
      <c r="N80" s="109">
        <f>'Original Budget'!F95</f>
        <v>-2000</v>
      </c>
      <c r="O80" s="109">
        <f>IF(ISBLANK(Actuals!F95),"",Actuals!F95)</f>
        <v>0</v>
      </c>
      <c r="P80" s="110">
        <f>IF(ISBLANK(Actuals!F95),"",'Original Budget'!F95-Actuals!F95)</f>
        <v>-2000</v>
      </c>
      <c r="Q80" s="110">
        <f>IFERROR(IF(ISBLANK(Actuals!F95),"",('Original Budget'!F95-Actuals!F95)/ABS('Original Budget'!F95)),"")</f>
        <v>-1</v>
      </c>
      <c r="R80" s="109">
        <f>'Original Budget'!G95</f>
        <v>-2000</v>
      </c>
      <c r="S80" s="109" t="str">
        <f>IF(ISBLANK(Actuals!G95),"",Actuals!G95)</f>
        <v/>
      </c>
      <c r="T80" s="110" t="str">
        <f>IF(ISBLANK(Actuals!G95),"",'Original Budget'!G95-Actuals!G95)</f>
        <v/>
      </c>
      <c r="U80" s="110" t="str">
        <f>IFERROR(IF(ISBLANK(Actuals!G95),"",('Original Budget'!G95-Actuals!G95)/ABS('Original Budget'!G95)),"")</f>
        <v/>
      </c>
      <c r="V80" s="109">
        <f>'Original Budget'!H95</f>
        <v>-2000</v>
      </c>
      <c r="W80" s="109" t="str">
        <f>IF(ISBLANK(Actuals!H95),"",Actuals!H95)</f>
        <v/>
      </c>
      <c r="X80" s="110" t="str">
        <f>IF(ISBLANK(Actuals!H95),"",'Original Budget'!H95-Actuals!H95)</f>
        <v/>
      </c>
      <c r="Y80" s="110" t="str">
        <f>IFERROR(IF(ISBLANK(Actuals!H95),"",('Original Budget'!H95-Actuals!H95)/ABS('Original Budget'!H95)),"")</f>
        <v/>
      </c>
      <c r="Z80" s="109">
        <f>'Original Budget'!I95</f>
        <v>-2000</v>
      </c>
      <c r="AA80" s="109" t="str">
        <f>IF(ISBLANK(Actuals!I95),"",Actuals!I95)</f>
        <v/>
      </c>
      <c r="AB80" s="110" t="str">
        <f>IF(ISBLANK(Actuals!I95),"",'Original Budget'!I95-Actuals!I95)</f>
        <v/>
      </c>
      <c r="AC80" s="110" t="str">
        <f>IFERROR(IF(ISBLANK(Actuals!I95),"",('Original Budget'!I95-Actuals!I95)/ABS('Original Budget'!I95)),"")</f>
        <v/>
      </c>
      <c r="AD80" s="109">
        <f>'Original Budget'!J95</f>
        <v>-2000</v>
      </c>
      <c r="AE80" s="109" t="str">
        <f>IF(ISBLANK(Actuals!J95),"",Actuals!J95)</f>
        <v/>
      </c>
      <c r="AF80" s="110" t="str">
        <f>IF(ISBLANK(Actuals!J95),"",'Original Budget'!J95-Actuals!J95)</f>
        <v/>
      </c>
      <c r="AG80" s="110" t="str">
        <f>IFERROR(IF(ISBLANK(Actuals!J95),"",('Original Budget'!J95-Actuals!J95)/ABS('Original Budget'!J95)),"")</f>
        <v/>
      </c>
      <c r="AH80" s="109">
        <f>'Original Budget'!K95</f>
        <v>-2000</v>
      </c>
      <c r="AI80" s="109" t="str">
        <f>IF(ISBLANK(Actuals!K95),"",Actuals!K95)</f>
        <v/>
      </c>
      <c r="AJ80" s="110" t="str">
        <f>IF(ISBLANK(Actuals!K95),"",'Original Budget'!K95-Actuals!K95)</f>
        <v/>
      </c>
      <c r="AK80" s="110" t="str">
        <f>IFERROR(IF(ISBLANK(Actuals!K95),"",('Original Budget'!K95-Actuals!K95)/ABS('Original Budget'!K95)),"")</f>
        <v/>
      </c>
      <c r="AL80" s="109">
        <f>'Original Budget'!L95</f>
        <v>-2000</v>
      </c>
      <c r="AM80" s="109" t="str">
        <f>IF(ISBLANK(Actuals!L95),"",Actuals!L95)</f>
        <v/>
      </c>
      <c r="AN80" s="110" t="str">
        <f>IF(ISBLANK(Actuals!L95),"",'Original Budget'!L95-Actuals!L95)</f>
        <v/>
      </c>
      <c r="AO80" s="110" t="str">
        <f>IFERROR(IF(ISBLANK(Actuals!L95),"",('Original Budget'!L95-Actuals!L95)/ABS('Original Budget'!L95)),"")</f>
        <v/>
      </c>
      <c r="AP80" s="109">
        <f>'Original Budget'!M95</f>
        <v>-2000</v>
      </c>
      <c r="AQ80" s="109" t="str">
        <f>IF(ISBLANK(Actuals!M95),"",Actuals!M95)</f>
        <v/>
      </c>
      <c r="AR80" s="110" t="str">
        <f>IF(ISBLANK(Actuals!M95),"",'Original Budget'!M95-Actuals!M95)</f>
        <v/>
      </c>
      <c r="AS80" s="110" t="str">
        <f>IFERROR(IF(ISBLANK(Actuals!M95),"",('Original Budget'!M95-Actuals!M95)/ABS('Original Budget'!M95)),"")</f>
        <v/>
      </c>
      <c r="AT80" s="109">
        <f>'Original Budget'!N95</f>
        <v>-2000</v>
      </c>
      <c r="AU80" s="109" t="str">
        <f>IF(ISBLANK(Actuals!N95),"",Actuals!N95)</f>
        <v/>
      </c>
      <c r="AV80" s="110" t="str">
        <f>IF(ISBLANK(Actuals!N95),"",'Original Budget'!N95-Actuals!N95)</f>
        <v/>
      </c>
      <c r="AW80" s="110" t="str">
        <f>IFERROR(IF(ISBLANK(Actuals!N95),"",('Original Budget'!N95-Actuals!N95)/ABS('Original Budget'!N95)),"")</f>
        <v/>
      </c>
      <c r="AX80" s="111">
        <f>SUMPRODUCT((Actuals!C95:N95&lt;&gt;"")*('Original Budget'!C95:N95))</f>
        <v>-40050.5</v>
      </c>
      <c r="AY80" s="111">
        <f>SUM(Actuals!C95:N95)</f>
        <v>-38050.5</v>
      </c>
      <c r="AZ80" s="112">
        <f t="shared" si="2"/>
        <v>-2000</v>
      </c>
    </row>
    <row r="81" spans="1:52" ht="15" customHeight="1" x14ac:dyDescent="0.25">
      <c r="A81" s="108" t="s">
        <v>79</v>
      </c>
      <c r="B81" s="109">
        <f>'Original Budget'!C96</f>
        <v>-4097.78</v>
      </c>
      <c r="C81" s="109">
        <f>IF(ISBLANK(Actuals!C96),"",Actuals!C96)</f>
        <v>-4097.78</v>
      </c>
      <c r="D81" s="110">
        <f>IF(ISBLANK(Actuals!C96),"",'Original Budget'!C96-Actuals!C96)</f>
        <v>0</v>
      </c>
      <c r="E81" s="110">
        <f>IFERROR(IF(ISBLANK(Actuals!C96),"",('Original Budget'!C96-Actuals!C96)/ABS('Original Budget'!C96)),"")</f>
        <v>0</v>
      </c>
      <c r="F81" s="109">
        <f>'Original Budget'!D96</f>
        <v>-1950.2</v>
      </c>
      <c r="G81" s="109">
        <f>IF(ISBLANK(Actuals!D96),"",Actuals!D96)</f>
        <v>-1950.2</v>
      </c>
      <c r="H81" s="110">
        <f>IF(ISBLANK(Actuals!D96),"",'Original Budget'!D96-Actuals!D96)</f>
        <v>0</v>
      </c>
      <c r="I81" s="110">
        <f>IFERROR(IF(ISBLANK(Actuals!D96),"",('Original Budget'!D96-Actuals!D96)/ABS('Original Budget'!D96)),"")</f>
        <v>0</v>
      </c>
      <c r="J81" s="109">
        <f>'Original Budget'!E96</f>
        <v>-1978.2</v>
      </c>
      <c r="K81" s="109">
        <f>IF(ISBLANK(Actuals!E96),"",Actuals!E96)</f>
        <v>-1978.2</v>
      </c>
      <c r="L81" s="110">
        <f>IF(ISBLANK(Actuals!E96),"",'Original Budget'!E96-Actuals!E96)</f>
        <v>0</v>
      </c>
      <c r="M81" s="110">
        <f>IFERROR(IF(ISBLANK(Actuals!E96),"",('Original Budget'!E96-Actuals!E96)/ABS('Original Budget'!E96)),"")</f>
        <v>0</v>
      </c>
      <c r="N81" s="109">
        <f>'Original Budget'!F96</f>
        <v>-2675.39</v>
      </c>
      <c r="O81" s="109">
        <f>IF(ISBLANK(Actuals!F96),"",Actuals!F96)</f>
        <v>-1970.2</v>
      </c>
      <c r="P81" s="110">
        <f>IF(ISBLANK(Actuals!F96),"",'Original Budget'!F96-Actuals!F96)</f>
        <v>-705.18999999999983</v>
      </c>
      <c r="Q81" s="110">
        <f>IFERROR(IF(ISBLANK(Actuals!F96),"",('Original Budget'!F96-Actuals!F96)/ABS('Original Budget'!F96)),"")</f>
        <v>-0.26358400083726108</v>
      </c>
      <c r="R81" s="109">
        <f>'Original Budget'!G96</f>
        <v>-2675.39</v>
      </c>
      <c r="S81" s="109" t="str">
        <f>IF(ISBLANK(Actuals!G96),"",Actuals!G96)</f>
        <v/>
      </c>
      <c r="T81" s="110" t="str">
        <f>IF(ISBLANK(Actuals!G96),"",'Original Budget'!G96-Actuals!G96)</f>
        <v/>
      </c>
      <c r="U81" s="110" t="str">
        <f>IFERROR(IF(ISBLANK(Actuals!G96),"",('Original Budget'!G96-Actuals!G96)/ABS('Original Budget'!G96)),"")</f>
        <v/>
      </c>
      <c r="V81" s="109">
        <f>'Original Budget'!H96</f>
        <v>-2675.39</v>
      </c>
      <c r="W81" s="109" t="str">
        <f>IF(ISBLANK(Actuals!H96),"",Actuals!H96)</f>
        <v/>
      </c>
      <c r="X81" s="110" t="str">
        <f>IF(ISBLANK(Actuals!H96),"",'Original Budget'!H96-Actuals!H96)</f>
        <v/>
      </c>
      <c r="Y81" s="110" t="str">
        <f>IFERROR(IF(ISBLANK(Actuals!H96),"",('Original Budget'!H96-Actuals!H96)/ABS('Original Budget'!H96)),"")</f>
        <v/>
      </c>
      <c r="Z81" s="109">
        <f>'Original Budget'!I96</f>
        <v>-2675.39</v>
      </c>
      <c r="AA81" s="109" t="str">
        <f>IF(ISBLANK(Actuals!I96),"",Actuals!I96)</f>
        <v/>
      </c>
      <c r="AB81" s="110" t="str">
        <f>IF(ISBLANK(Actuals!I96),"",'Original Budget'!I96-Actuals!I96)</f>
        <v/>
      </c>
      <c r="AC81" s="110" t="str">
        <f>IFERROR(IF(ISBLANK(Actuals!I96),"",('Original Budget'!I96-Actuals!I96)/ABS('Original Budget'!I96)),"")</f>
        <v/>
      </c>
      <c r="AD81" s="109">
        <f>'Original Budget'!J96</f>
        <v>-2675.39</v>
      </c>
      <c r="AE81" s="109" t="str">
        <f>IF(ISBLANK(Actuals!J96),"",Actuals!J96)</f>
        <v/>
      </c>
      <c r="AF81" s="110" t="str">
        <f>IF(ISBLANK(Actuals!J96),"",'Original Budget'!J96-Actuals!J96)</f>
        <v/>
      </c>
      <c r="AG81" s="110" t="str">
        <f>IFERROR(IF(ISBLANK(Actuals!J96),"",('Original Budget'!J96-Actuals!J96)/ABS('Original Budget'!J96)),"")</f>
        <v/>
      </c>
      <c r="AH81" s="109">
        <f>'Original Budget'!K96</f>
        <v>-2675.39</v>
      </c>
      <c r="AI81" s="109" t="str">
        <f>IF(ISBLANK(Actuals!K96),"",Actuals!K96)</f>
        <v/>
      </c>
      <c r="AJ81" s="110" t="str">
        <f>IF(ISBLANK(Actuals!K96),"",'Original Budget'!K96-Actuals!K96)</f>
        <v/>
      </c>
      <c r="AK81" s="110" t="str">
        <f>IFERROR(IF(ISBLANK(Actuals!K96),"",('Original Budget'!K96-Actuals!K96)/ABS('Original Budget'!K96)),"")</f>
        <v/>
      </c>
      <c r="AL81" s="109">
        <f>'Original Budget'!L96</f>
        <v>-2675.39</v>
      </c>
      <c r="AM81" s="109" t="str">
        <f>IF(ISBLANK(Actuals!L96),"",Actuals!L96)</f>
        <v/>
      </c>
      <c r="AN81" s="110" t="str">
        <f>IF(ISBLANK(Actuals!L96),"",'Original Budget'!L96-Actuals!L96)</f>
        <v/>
      </c>
      <c r="AO81" s="110" t="str">
        <f>IFERROR(IF(ISBLANK(Actuals!L96),"",('Original Budget'!L96-Actuals!L96)/ABS('Original Budget'!L96)),"")</f>
        <v/>
      </c>
      <c r="AP81" s="109">
        <f>'Original Budget'!M96</f>
        <v>-2675.39</v>
      </c>
      <c r="AQ81" s="109" t="str">
        <f>IF(ISBLANK(Actuals!M96),"",Actuals!M96)</f>
        <v/>
      </c>
      <c r="AR81" s="110" t="str">
        <f>IF(ISBLANK(Actuals!M96),"",'Original Budget'!M96-Actuals!M96)</f>
        <v/>
      </c>
      <c r="AS81" s="110" t="str">
        <f>IFERROR(IF(ISBLANK(Actuals!M96),"",('Original Budget'!M96-Actuals!M96)/ABS('Original Budget'!M96)),"")</f>
        <v/>
      </c>
      <c r="AT81" s="109">
        <f>'Original Budget'!N96</f>
        <v>-2675.39</v>
      </c>
      <c r="AU81" s="109" t="str">
        <f>IF(ISBLANK(Actuals!N96),"",Actuals!N96)</f>
        <v/>
      </c>
      <c r="AV81" s="110" t="str">
        <f>IF(ISBLANK(Actuals!N96),"",'Original Budget'!N96-Actuals!N96)</f>
        <v/>
      </c>
      <c r="AW81" s="110" t="str">
        <f>IFERROR(IF(ISBLANK(Actuals!N96),"",('Original Budget'!N96-Actuals!N96)/ABS('Original Budget'!N96)),"")</f>
        <v/>
      </c>
      <c r="AX81" s="111">
        <f>SUMPRODUCT((Actuals!C96:N96&lt;&gt;"")*('Original Budget'!C96:N96))</f>
        <v>-10701.57</v>
      </c>
      <c r="AY81" s="111">
        <f>SUM(Actuals!C96:N96)</f>
        <v>-9996.3799999999992</v>
      </c>
      <c r="AZ81" s="112">
        <f t="shared" si="2"/>
        <v>-705.19000000000051</v>
      </c>
    </row>
    <row r="82" spans="1:52" ht="15" customHeight="1" x14ac:dyDescent="0.25">
      <c r="A82" s="108" t="s">
        <v>80</v>
      </c>
      <c r="B82" s="109">
        <f>'Original Budget'!C97</f>
        <v>-28038</v>
      </c>
      <c r="C82" s="109">
        <f>IF(ISBLANK(Actuals!C97),"",Actuals!C97)</f>
        <v>-28038</v>
      </c>
      <c r="D82" s="110">
        <f>IF(ISBLANK(Actuals!C97),"",'Original Budget'!C97-Actuals!C97)</f>
        <v>0</v>
      </c>
      <c r="E82" s="110">
        <f>IFERROR(IF(ISBLANK(Actuals!C97),"",('Original Budget'!C97-Actuals!C97)/ABS('Original Budget'!C97)),"")</f>
        <v>0</v>
      </c>
      <c r="F82" s="109">
        <f>'Original Budget'!D97</f>
        <v>-29387.5</v>
      </c>
      <c r="G82" s="109">
        <f>IF(ISBLANK(Actuals!D97),"",Actuals!D97)</f>
        <v>-29387.5</v>
      </c>
      <c r="H82" s="110">
        <f>IF(ISBLANK(Actuals!D97),"",'Original Budget'!D97-Actuals!D97)</f>
        <v>0</v>
      </c>
      <c r="I82" s="110">
        <f>IFERROR(IF(ISBLANK(Actuals!D97),"",('Original Budget'!D97-Actuals!D97)/ABS('Original Budget'!D97)),"")</f>
        <v>0</v>
      </c>
      <c r="J82" s="109">
        <f>'Original Budget'!E97</f>
        <v>-28083</v>
      </c>
      <c r="K82" s="109">
        <f>IF(ISBLANK(Actuals!E97),"",Actuals!E97)</f>
        <v>-28083</v>
      </c>
      <c r="L82" s="110">
        <f>IF(ISBLANK(Actuals!E97),"",'Original Budget'!E97-Actuals!E97)</f>
        <v>0</v>
      </c>
      <c r="M82" s="110">
        <f>IFERROR(IF(ISBLANK(Actuals!E97),"",('Original Budget'!E97-Actuals!E97)/ABS('Original Budget'!E97)),"")</f>
        <v>0</v>
      </c>
      <c r="N82" s="109">
        <f>'Original Budget'!F97</f>
        <v>-8625</v>
      </c>
      <c r="O82" s="109">
        <f>IF(ISBLANK(Actuals!F97),"",Actuals!F97)</f>
        <v>-28083</v>
      </c>
      <c r="P82" s="110">
        <f>IF(ISBLANK(Actuals!F97),"",'Original Budget'!F97-Actuals!F97)</f>
        <v>19458</v>
      </c>
      <c r="Q82" s="110">
        <f>IFERROR(IF(ISBLANK(Actuals!F97),"",('Original Budget'!F97-Actuals!F97)/ABS('Original Budget'!F97)),"")</f>
        <v>2.2559999999999998</v>
      </c>
      <c r="R82" s="109">
        <f>'Original Budget'!G97</f>
        <v>-8625</v>
      </c>
      <c r="S82" s="109" t="str">
        <f>IF(ISBLANK(Actuals!G97),"",Actuals!G97)</f>
        <v/>
      </c>
      <c r="T82" s="110" t="str">
        <f>IF(ISBLANK(Actuals!G97),"",'Original Budget'!G97-Actuals!G97)</f>
        <v/>
      </c>
      <c r="U82" s="110" t="str">
        <f>IFERROR(IF(ISBLANK(Actuals!G97),"",('Original Budget'!G97-Actuals!G97)/ABS('Original Budget'!G97)),"")</f>
        <v/>
      </c>
      <c r="V82" s="109">
        <f>'Original Budget'!H97</f>
        <v>-8625</v>
      </c>
      <c r="W82" s="109" t="str">
        <f>IF(ISBLANK(Actuals!H97),"",Actuals!H97)</f>
        <v/>
      </c>
      <c r="X82" s="110" t="str">
        <f>IF(ISBLANK(Actuals!H97),"",'Original Budget'!H97-Actuals!H97)</f>
        <v/>
      </c>
      <c r="Y82" s="110" t="str">
        <f>IFERROR(IF(ISBLANK(Actuals!H97),"",('Original Budget'!H97-Actuals!H97)/ABS('Original Budget'!H97)),"")</f>
        <v/>
      </c>
      <c r="Z82" s="109">
        <f>'Original Budget'!I97</f>
        <v>-8625</v>
      </c>
      <c r="AA82" s="109" t="str">
        <f>IF(ISBLANK(Actuals!I97),"",Actuals!I97)</f>
        <v/>
      </c>
      <c r="AB82" s="110" t="str">
        <f>IF(ISBLANK(Actuals!I97),"",'Original Budget'!I97-Actuals!I97)</f>
        <v/>
      </c>
      <c r="AC82" s="110" t="str">
        <f>IFERROR(IF(ISBLANK(Actuals!I97),"",('Original Budget'!I97-Actuals!I97)/ABS('Original Budget'!I97)),"")</f>
        <v/>
      </c>
      <c r="AD82" s="109">
        <f>'Original Budget'!J97</f>
        <v>-8625</v>
      </c>
      <c r="AE82" s="109" t="str">
        <f>IF(ISBLANK(Actuals!J97),"",Actuals!J97)</f>
        <v/>
      </c>
      <c r="AF82" s="110" t="str">
        <f>IF(ISBLANK(Actuals!J97),"",'Original Budget'!J97-Actuals!J97)</f>
        <v/>
      </c>
      <c r="AG82" s="110" t="str">
        <f>IFERROR(IF(ISBLANK(Actuals!J97),"",('Original Budget'!J97-Actuals!J97)/ABS('Original Budget'!J97)),"")</f>
        <v/>
      </c>
      <c r="AH82" s="109">
        <f>'Original Budget'!K97</f>
        <v>-8625</v>
      </c>
      <c r="AI82" s="109" t="str">
        <f>IF(ISBLANK(Actuals!K97),"",Actuals!K97)</f>
        <v/>
      </c>
      <c r="AJ82" s="110" t="str">
        <f>IF(ISBLANK(Actuals!K97),"",'Original Budget'!K97-Actuals!K97)</f>
        <v/>
      </c>
      <c r="AK82" s="110" t="str">
        <f>IFERROR(IF(ISBLANK(Actuals!K97),"",('Original Budget'!K97-Actuals!K97)/ABS('Original Budget'!K97)),"")</f>
        <v/>
      </c>
      <c r="AL82" s="109">
        <f>'Original Budget'!L97</f>
        <v>-8625</v>
      </c>
      <c r="AM82" s="109" t="str">
        <f>IF(ISBLANK(Actuals!L97),"",Actuals!L97)</f>
        <v/>
      </c>
      <c r="AN82" s="110" t="str">
        <f>IF(ISBLANK(Actuals!L97),"",'Original Budget'!L97-Actuals!L97)</f>
        <v/>
      </c>
      <c r="AO82" s="110" t="str">
        <f>IFERROR(IF(ISBLANK(Actuals!L97),"",('Original Budget'!L97-Actuals!L97)/ABS('Original Budget'!L97)),"")</f>
        <v/>
      </c>
      <c r="AP82" s="109">
        <f>'Original Budget'!M97</f>
        <v>-8625</v>
      </c>
      <c r="AQ82" s="109" t="str">
        <f>IF(ISBLANK(Actuals!M97),"",Actuals!M97)</f>
        <v/>
      </c>
      <c r="AR82" s="110" t="str">
        <f>IF(ISBLANK(Actuals!M97),"",'Original Budget'!M97-Actuals!M97)</f>
        <v/>
      </c>
      <c r="AS82" s="110" t="str">
        <f>IFERROR(IF(ISBLANK(Actuals!M97),"",('Original Budget'!M97-Actuals!M97)/ABS('Original Budget'!M97)),"")</f>
        <v/>
      </c>
      <c r="AT82" s="109">
        <f>'Original Budget'!N97</f>
        <v>-8625</v>
      </c>
      <c r="AU82" s="109" t="str">
        <f>IF(ISBLANK(Actuals!N97),"",Actuals!N97)</f>
        <v/>
      </c>
      <c r="AV82" s="110" t="str">
        <f>IF(ISBLANK(Actuals!N97),"",'Original Budget'!N97-Actuals!N97)</f>
        <v/>
      </c>
      <c r="AW82" s="110" t="str">
        <f>IFERROR(IF(ISBLANK(Actuals!N97),"",('Original Budget'!N97-Actuals!N97)/ABS('Original Budget'!N97)),"")</f>
        <v/>
      </c>
      <c r="AX82" s="111">
        <f>SUMPRODUCT((Actuals!C97:N97&lt;&gt;"")*('Original Budget'!C97:N97))</f>
        <v>-94133.5</v>
      </c>
      <c r="AY82" s="111">
        <f>SUM(Actuals!C97:N97)</f>
        <v>-113591.5</v>
      </c>
      <c r="AZ82" s="112">
        <f t="shared" si="2"/>
        <v>19458</v>
      </c>
    </row>
    <row r="83" spans="1:52" ht="15" customHeight="1" x14ac:dyDescent="0.25">
      <c r="A83" s="108" t="s">
        <v>120</v>
      </c>
      <c r="B83" s="109">
        <f>'Original Budget'!C98</f>
        <v>-268</v>
      </c>
      <c r="C83" s="109">
        <f>IF(ISBLANK(Actuals!C98),"",Actuals!C98)</f>
        <v>-268</v>
      </c>
      <c r="D83" s="110">
        <f>IF(ISBLANK(Actuals!C98),"",'Original Budget'!C98-Actuals!C98)</f>
        <v>0</v>
      </c>
      <c r="E83" s="110">
        <f>IFERROR(IF(ISBLANK(Actuals!C98),"",('Original Budget'!C98-Actuals!C98)/ABS('Original Budget'!C98)),"")</f>
        <v>0</v>
      </c>
      <c r="F83" s="109">
        <f>'Original Budget'!D98</f>
        <v>-2088.75</v>
      </c>
      <c r="G83" s="109">
        <f>IF(ISBLANK(Actuals!D98),"",Actuals!D98)</f>
        <v>-2088.75</v>
      </c>
      <c r="H83" s="110">
        <f>IF(ISBLANK(Actuals!D98),"",'Original Budget'!D98-Actuals!D98)</f>
        <v>0</v>
      </c>
      <c r="I83" s="110">
        <f>IFERROR(IF(ISBLANK(Actuals!D98),"",('Original Budget'!D98-Actuals!D98)/ABS('Original Budget'!D98)),"")</f>
        <v>0</v>
      </c>
      <c r="J83" s="109">
        <f>'Original Budget'!E98</f>
        <v>-2401.75</v>
      </c>
      <c r="K83" s="109">
        <f>IF(ISBLANK(Actuals!E98),"",Actuals!E98)</f>
        <v>-2401.75</v>
      </c>
      <c r="L83" s="110">
        <f>IF(ISBLANK(Actuals!E98),"",'Original Budget'!E98-Actuals!E98)</f>
        <v>0</v>
      </c>
      <c r="M83" s="110">
        <f>IFERROR(IF(ISBLANK(Actuals!E98),"",('Original Budget'!E98-Actuals!E98)/ABS('Original Budget'!E98)),"")</f>
        <v>0</v>
      </c>
      <c r="N83" s="109">
        <f>'Original Budget'!F98</f>
        <v>-1586.17</v>
      </c>
      <c r="O83" s="109">
        <f>IF(ISBLANK(Actuals!F98),"",Actuals!F98)</f>
        <v>-4209.5</v>
      </c>
      <c r="P83" s="110">
        <f>IF(ISBLANK(Actuals!F98),"",'Original Budget'!F98-Actuals!F98)</f>
        <v>2623.33</v>
      </c>
      <c r="Q83" s="110">
        <f>IFERROR(IF(ISBLANK(Actuals!F98),"",('Original Budget'!F98-Actuals!F98)/ABS('Original Budget'!F98)),"")</f>
        <v>1.6538769488768541</v>
      </c>
      <c r="R83" s="109">
        <f>'Original Budget'!G98</f>
        <v>-1586.17</v>
      </c>
      <c r="S83" s="109" t="str">
        <f>IF(ISBLANK(Actuals!G98),"",Actuals!G98)</f>
        <v/>
      </c>
      <c r="T83" s="110" t="str">
        <f>IF(ISBLANK(Actuals!G98),"",'Original Budget'!G98-Actuals!G98)</f>
        <v/>
      </c>
      <c r="U83" s="110" t="str">
        <f>IFERROR(IF(ISBLANK(Actuals!G98),"",('Original Budget'!G98-Actuals!G98)/ABS('Original Budget'!G98)),"")</f>
        <v/>
      </c>
      <c r="V83" s="109">
        <f>'Original Budget'!H98</f>
        <v>-1586.17</v>
      </c>
      <c r="W83" s="109" t="str">
        <f>IF(ISBLANK(Actuals!H98),"",Actuals!H98)</f>
        <v/>
      </c>
      <c r="X83" s="110" t="str">
        <f>IF(ISBLANK(Actuals!H98),"",'Original Budget'!H98-Actuals!H98)</f>
        <v/>
      </c>
      <c r="Y83" s="110" t="str">
        <f>IFERROR(IF(ISBLANK(Actuals!H98),"",('Original Budget'!H98-Actuals!H98)/ABS('Original Budget'!H98)),"")</f>
        <v/>
      </c>
      <c r="Z83" s="109">
        <f>'Original Budget'!I98</f>
        <v>-1586.17</v>
      </c>
      <c r="AA83" s="109" t="str">
        <f>IF(ISBLANK(Actuals!I98),"",Actuals!I98)</f>
        <v/>
      </c>
      <c r="AB83" s="110" t="str">
        <f>IF(ISBLANK(Actuals!I98),"",'Original Budget'!I98-Actuals!I98)</f>
        <v/>
      </c>
      <c r="AC83" s="110" t="str">
        <f>IFERROR(IF(ISBLANK(Actuals!I98),"",('Original Budget'!I98-Actuals!I98)/ABS('Original Budget'!I98)),"")</f>
        <v/>
      </c>
      <c r="AD83" s="109">
        <f>'Original Budget'!J98</f>
        <v>-1586.17</v>
      </c>
      <c r="AE83" s="109" t="str">
        <f>IF(ISBLANK(Actuals!J98),"",Actuals!J98)</f>
        <v/>
      </c>
      <c r="AF83" s="110" t="str">
        <f>IF(ISBLANK(Actuals!J98),"",'Original Budget'!J98-Actuals!J98)</f>
        <v/>
      </c>
      <c r="AG83" s="110" t="str">
        <f>IFERROR(IF(ISBLANK(Actuals!J98),"",('Original Budget'!J98-Actuals!J98)/ABS('Original Budget'!J98)),"")</f>
        <v/>
      </c>
      <c r="AH83" s="109">
        <f>'Original Budget'!K98</f>
        <v>-1586.17</v>
      </c>
      <c r="AI83" s="109" t="str">
        <f>IF(ISBLANK(Actuals!K98),"",Actuals!K98)</f>
        <v/>
      </c>
      <c r="AJ83" s="110" t="str">
        <f>IF(ISBLANK(Actuals!K98),"",'Original Budget'!K98-Actuals!K98)</f>
        <v/>
      </c>
      <c r="AK83" s="110" t="str">
        <f>IFERROR(IF(ISBLANK(Actuals!K98),"",('Original Budget'!K98-Actuals!K98)/ABS('Original Budget'!K98)),"")</f>
        <v/>
      </c>
      <c r="AL83" s="109">
        <f>'Original Budget'!L98</f>
        <v>-1586.17</v>
      </c>
      <c r="AM83" s="109" t="str">
        <f>IF(ISBLANK(Actuals!L98),"",Actuals!L98)</f>
        <v/>
      </c>
      <c r="AN83" s="110" t="str">
        <f>IF(ISBLANK(Actuals!L98),"",'Original Budget'!L98-Actuals!L98)</f>
        <v/>
      </c>
      <c r="AO83" s="110" t="str">
        <f>IFERROR(IF(ISBLANK(Actuals!L98),"",('Original Budget'!L98-Actuals!L98)/ABS('Original Budget'!L98)),"")</f>
        <v/>
      </c>
      <c r="AP83" s="109">
        <f>'Original Budget'!M98</f>
        <v>-1586.17</v>
      </c>
      <c r="AQ83" s="109" t="str">
        <f>IF(ISBLANK(Actuals!M98),"",Actuals!M98)</f>
        <v/>
      </c>
      <c r="AR83" s="110" t="str">
        <f>IF(ISBLANK(Actuals!M98),"",'Original Budget'!M98-Actuals!M98)</f>
        <v/>
      </c>
      <c r="AS83" s="110" t="str">
        <f>IFERROR(IF(ISBLANK(Actuals!M98),"",('Original Budget'!M98-Actuals!M98)/ABS('Original Budget'!M98)),"")</f>
        <v/>
      </c>
      <c r="AT83" s="109">
        <f>'Original Budget'!N98</f>
        <v>-1586.17</v>
      </c>
      <c r="AU83" s="109" t="str">
        <f>IF(ISBLANK(Actuals!N98),"",Actuals!N98)</f>
        <v/>
      </c>
      <c r="AV83" s="110" t="str">
        <f>IF(ISBLANK(Actuals!N98),"",'Original Budget'!N98-Actuals!N98)</f>
        <v/>
      </c>
      <c r="AW83" s="110" t="str">
        <f>IFERROR(IF(ISBLANK(Actuals!N98),"",('Original Budget'!N98-Actuals!N98)/ABS('Original Budget'!N98)),"")</f>
        <v/>
      </c>
      <c r="AX83" s="111">
        <f>SUMPRODUCT((Actuals!C98:N98&lt;&gt;"")*('Original Budget'!C98:N98))</f>
        <v>-6344.67</v>
      </c>
      <c r="AY83" s="111">
        <f>SUM(Actuals!C98:N98)</f>
        <v>-8968</v>
      </c>
      <c r="AZ83" s="112">
        <f t="shared" si="2"/>
        <v>2623.33</v>
      </c>
    </row>
    <row r="84" spans="1:52" ht="15" customHeight="1" x14ac:dyDescent="0.25">
      <c r="A84" s="108" t="s">
        <v>121</v>
      </c>
      <c r="B84" s="109">
        <f>'Original Budget'!C99</f>
        <v>-341.83</v>
      </c>
      <c r="C84" s="109">
        <f>IF(ISBLANK(Actuals!C99),"",Actuals!C99)</f>
        <v>-341.83</v>
      </c>
      <c r="D84" s="110">
        <f>IF(ISBLANK(Actuals!C99),"",'Original Budget'!C99-Actuals!C99)</f>
        <v>0</v>
      </c>
      <c r="E84" s="110">
        <f>IFERROR(IF(ISBLANK(Actuals!C99),"",('Original Budget'!C99-Actuals!C99)/ABS('Original Budget'!C99)),"")</f>
        <v>0</v>
      </c>
      <c r="F84" s="109">
        <f>'Original Budget'!D99</f>
        <v>-728</v>
      </c>
      <c r="G84" s="109">
        <f>IF(ISBLANK(Actuals!D99),"",Actuals!D99)</f>
        <v>-728</v>
      </c>
      <c r="H84" s="110">
        <f>IF(ISBLANK(Actuals!D99),"",'Original Budget'!D99-Actuals!D99)</f>
        <v>0</v>
      </c>
      <c r="I84" s="110">
        <f>IFERROR(IF(ISBLANK(Actuals!D99),"",('Original Budget'!D99-Actuals!D99)/ABS('Original Budget'!D99)),"")</f>
        <v>0</v>
      </c>
      <c r="J84" s="109">
        <f>'Original Budget'!E99</f>
        <v>-15256.75</v>
      </c>
      <c r="K84" s="109">
        <f>IF(ISBLANK(Actuals!E99),"",Actuals!E99)</f>
        <v>-15256.75</v>
      </c>
      <c r="L84" s="110">
        <f>IF(ISBLANK(Actuals!E99),"",'Original Budget'!E99-Actuals!E99)</f>
        <v>0</v>
      </c>
      <c r="M84" s="110">
        <f>IFERROR(IF(ISBLANK(Actuals!E99),"",('Original Budget'!E99-Actuals!E99)/ABS('Original Budget'!E99)),"")</f>
        <v>0</v>
      </c>
      <c r="N84" s="109">
        <f>'Original Budget'!F99</f>
        <v>-5442.19</v>
      </c>
      <c r="O84" s="109">
        <f>IF(ISBLANK(Actuals!F99),"",Actuals!F99)</f>
        <v>-1033.4100000000001</v>
      </c>
      <c r="P84" s="110">
        <f>IF(ISBLANK(Actuals!F99),"",'Original Budget'!F99-Actuals!F99)</f>
        <v>-4408.78</v>
      </c>
      <c r="Q84" s="110">
        <f>IFERROR(IF(ISBLANK(Actuals!F99),"",('Original Budget'!F99-Actuals!F99)/ABS('Original Budget'!F99)),"")</f>
        <v>-0.81011137060631844</v>
      </c>
      <c r="R84" s="109">
        <f>'Original Budget'!G99</f>
        <v>-5442.19</v>
      </c>
      <c r="S84" s="109" t="str">
        <f>IF(ISBLANK(Actuals!G99),"",Actuals!G99)</f>
        <v/>
      </c>
      <c r="T84" s="110" t="str">
        <f>IF(ISBLANK(Actuals!G99),"",'Original Budget'!G99-Actuals!G99)</f>
        <v/>
      </c>
      <c r="U84" s="110" t="str">
        <f>IFERROR(IF(ISBLANK(Actuals!G99),"",('Original Budget'!G99-Actuals!G99)/ABS('Original Budget'!G99)),"")</f>
        <v/>
      </c>
      <c r="V84" s="109">
        <f>'Original Budget'!H99</f>
        <v>-5442.19</v>
      </c>
      <c r="W84" s="109" t="str">
        <f>IF(ISBLANK(Actuals!H99),"",Actuals!H99)</f>
        <v/>
      </c>
      <c r="X84" s="110" t="str">
        <f>IF(ISBLANK(Actuals!H99),"",'Original Budget'!H99-Actuals!H99)</f>
        <v/>
      </c>
      <c r="Y84" s="110" t="str">
        <f>IFERROR(IF(ISBLANK(Actuals!H99),"",('Original Budget'!H99-Actuals!H99)/ABS('Original Budget'!H99)),"")</f>
        <v/>
      </c>
      <c r="Z84" s="109">
        <f>'Original Budget'!I99</f>
        <v>-5442.19</v>
      </c>
      <c r="AA84" s="109" t="str">
        <f>IF(ISBLANK(Actuals!I99),"",Actuals!I99)</f>
        <v/>
      </c>
      <c r="AB84" s="110" t="str">
        <f>IF(ISBLANK(Actuals!I99),"",'Original Budget'!I99-Actuals!I99)</f>
        <v/>
      </c>
      <c r="AC84" s="110" t="str">
        <f>IFERROR(IF(ISBLANK(Actuals!I99),"",('Original Budget'!I99-Actuals!I99)/ABS('Original Budget'!I99)),"")</f>
        <v/>
      </c>
      <c r="AD84" s="109">
        <f>'Original Budget'!J99</f>
        <v>-5442.19</v>
      </c>
      <c r="AE84" s="109" t="str">
        <f>IF(ISBLANK(Actuals!J99),"",Actuals!J99)</f>
        <v/>
      </c>
      <c r="AF84" s="110" t="str">
        <f>IF(ISBLANK(Actuals!J99),"",'Original Budget'!J99-Actuals!J99)</f>
        <v/>
      </c>
      <c r="AG84" s="110" t="str">
        <f>IFERROR(IF(ISBLANK(Actuals!J99),"",('Original Budget'!J99-Actuals!J99)/ABS('Original Budget'!J99)),"")</f>
        <v/>
      </c>
      <c r="AH84" s="109">
        <f>'Original Budget'!K99</f>
        <v>-5442.19</v>
      </c>
      <c r="AI84" s="109" t="str">
        <f>IF(ISBLANK(Actuals!K99),"",Actuals!K99)</f>
        <v/>
      </c>
      <c r="AJ84" s="110" t="str">
        <f>IF(ISBLANK(Actuals!K99),"",'Original Budget'!K99-Actuals!K99)</f>
        <v/>
      </c>
      <c r="AK84" s="110" t="str">
        <f>IFERROR(IF(ISBLANK(Actuals!K99),"",('Original Budget'!K99-Actuals!K99)/ABS('Original Budget'!K99)),"")</f>
        <v/>
      </c>
      <c r="AL84" s="109">
        <f>'Original Budget'!L99</f>
        <v>-5442.19</v>
      </c>
      <c r="AM84" s="109" t="str">
        <f>IF(ISBLANK(Actuals!L99),"",Actuals!L99)</f>
        <v/>
      </c>
      <c r="AN84" s="110" t="str">
        <f>IF(ISBLANK(Actuals!L99),"",'Original Budget'!L99-Actuals!L99)</f>
        <v/>
      </c>
      <c r="AO84" s="110" t="str">
        <f>IFERROR(IF(ISBLANK(Actuals!L99),"",('Original Budget'!L99-Actuals!L99)/ABS('Original Budget'!L99)),"")</f>
        <v/>
      </c>
      <c r="AP84" s="109">
        <f>'Original Budget'!M99</f>
        <v>-5442.19</v>
      </c>
      <c r="AQ84" s="109" t="str">
        <f>IF(ISBLANK(Actuals!M99),"",Actuals!M99)</f>
        <v/>
      </c>
      <c r="AR84" s="110" t="str">
        <f>IF(ISBLANK(Actuals!M99),"",'Original Budget'!M99-Actuals!M99)</f>
        <v/>
      </c>
      <c r="AS84" s="110" t="str">
        <f>IFERROR(IF(ISBLANK(Actuals!M99),"",('Original Budget'!M99-Actuals!M99)/ABS('Original Budget'!M99)),"")</f>
        <v/>
      </c>
      <c r="AT84" s="109">
        <f>'Original Budget'!N99</f>
        <v>-5442.19</v>
      </c>
      <c r="AU84" s="109" t="str">
        <f>IF(ISBLANK(Actuals!N99),"",Actuals!N99)</f>
        <v/>
      </c>
      <c r="AV84" s="110" t="str">
        <f>IF(ISBLANK(Actuals!N99),"",'Original Budget'!N99-Actuals!N99)</f>
        <v/>
      </c>
      <c r="AW84" s="110" t="str">
        <f>IFERROR(IF(ISBLANK(Actuals!N99),"",('Original Budget'!N99-Actuals!N99)/ABS('Original Budget'!N99)),"")</f>
        <v/>
      </c>
      <c r="AX84" s="111">
        <f>SUMPRODUCT((Actuals!C99:N99&lt;&gt;"")*('Original Budget'!C99:N99))</f>
        <v>-21768.77</v>
      </c>
      <c r="AY84" s="111">
        <f>SUM(Actuals!C99:N99)</f>
        <v>-17359.990000000002</v>
      </c>
      <c r="AZ84" s="112">
        <f t="shared" si="2"/>
        <v>-4408.7799999999988</v>
      </c>
    </row>
    <row r="85" spans="1:52" ht="15" customHeight="1" x14ac:dyDescent="0.25">
      <c r="A85" s="108" t="s">
        <v>122</v>
      </c>
      <c r="B85" s="109">
        <f>'Original Budget'!C100</f>
        <v>-1905.31</v>
      </c>
      <c r="C85" s="109">
        <f>IF(ISBLANK(Actuals!C100),"",Actuals!C100)</f>
        <v>-1905.31</v>
      </c>
      <c r="D85" s="110">
        <f>IF(ISBLANK(Actuals!C100),"",'Original Budget'!C100-Actuals!C100)</f>
        <v>0</v>
      </c>
      <c r="E85" s="110">
        <f>IFERROR(IF(ISBLANK(Actuals!C100),"",('Original Budget'!C100-Actuals!C100)/ABS('Original Budget'!C100)),"")</f>
        <v>0</v>
      </c>
      <c r="F85" s="109">
        <f>'Original Budget'!D100</f>
        <v>-1905.31</v>
      </c>
      <c r="G85" s="109">
        <f>IF(ISBLANK(Actuals!D100),"",Actuals!D100)</f>
        <v>-1905.31</v>
      </c>
      <c r="H85" s="110">
        <f>IF(ISBLANK(Actuals!D100),"",'Original Budget'!D100-Actuals!D100)</f>
        <v>0</v>
      </c>
      <c r="I85" s="110">
        <f>IFERROR(IF(ISBLANK(Actuals!D100),"",('Original Budget'!D100-Actuals!D100)/ABS('Original Budget'!D100)),"")</f>
        <v>0</v>
      </c>
      <c r="J85" s="109">
        <f>'Original Budget'!E100</f>
        <v>-1905.31</v>
      </c>
      <c r="K85" s="109">
        <f>IF(ISBLANK(Actuals!E100),"",Actuals!E100)</f>
        <v>-1905.31</v>
      </c>
      <c r="L85" s="110">
        <f>IF(ISBLANK(Actuals!E100),"",'Original Budget'!E100-Actuals!E100)</f>
        <v>0</v>
      </c>
      <c r="M85" s="110">
        <f>IFERROR(IF(ISBLANK(Actuals!E100),"",('Original Budget'!E100-Actuals!E100)/ABS('Original Budget'!E100)),"")</f>
        <v>0</v>
      </c>
      <c r="N85" s="109">
        <f>'Original Budget'!F100</f>
        <v>-1905.31</v>
      </c>
      <c r="O85" s="109">
        <f>IF(ISBLANK(Actuals!F100),"",Actuals!F100)</f>
        <v>-1905.31</v>
      </c>
      <c r="P85" s="110">
        <f>IF(ISBLANK(Actuals!F100),"",'Original Budget'!F100-Actuals!F100)</f>
        <v>0</v>
      </c>
      <c r="Q85" s="110">
        <f>IFERROR(IF(ISBLANK(Actuals!F100),"",('Original Budget'!F100-Actuals!F100)/ABS('Original Budget'!F100)),"")</f>
        <v>0</v>
      </c>
      <c r="R85" s="109">
        <f>'Original Budget'!G100</f>
        <v>-1905.31</v>
      </c>
      <c r="S85" s="109" t="str">
        <f>IF(ISBLANK(Actuals!G100),"",Actuals!G100)</f>
        <v/>
      </c>
      <c r="T85" s="110" t="str">
        <f>IF(ISBLANK(Actuals!G100),"",'Original Budget'!G100-Actuals!G100)</f>
        <v/>
      </c>
      <c r="U85" s="110" t="str">
        <f>IFERROR(IF(ISBLANK(Actuals!G100),"",('Original Budget'!G100-Actuals!G100)/ABS('Original Budget'!G100)),"")</f>
        <v/>
      </c>
      <c r="V85" s="109">
        <f>'Original Budget'!H100</f>
        <v>-1905.31</v>
      </c>
      <c r="W85" s="109" t="str">
        <f>IF(ISBLANK(Actuals!H100),"",Actuals!H100)</f>
        <v/>
      </c>
      <c r="X85" s="110" t="str">
        <f>IF(ISBLANK(Actuals!H100),"",'Original Budget'!H100-Actuals!H100)</f>
        <v/>
      </c>
      <c r="Y85" s="110" t="str">
        <f>IFERROR(IF(ISBLANK(Actuals!H100),"",('Original Budget'!H100-Actuals!H100)/ABS('Original Budget'!H100)),"")</f>
        <v/>
      </c>
      <c r="Z85" s="109">
        <f>'Original Budget'!I100</f>
        <v>-1905.31</v>
      </c>
      <c r="AA85" s="109" t="str">
        <f>IF(ISBLANK(Actuals!I100),"",Actuals!I100)</f>
        <v/>
      </c>
      <c r="AB85" s="110" t="str">
        <f>IF(ISBLANK(Actuals!I100),"",'Original Budget'!I100-Actuals!I100)</f>
        <v/>
      </c>
      <c r="AC85" s="110" t="str">
        <f>IFERROR(IF(ISBLANK(Actuals!I100),"",('Original Budget'!I100-Actuals!I100)/ABS('Original Budget'!I100)),"")</f>
        <v/>
      </c>
      <c r="AD85" s="109">
        <f>'Original Budget'!J100</f>
        <v>-1905.31</v>
      </c>
      <c r="AE85" s="109" t="str">
        <f>IF(ISBLANK(Actuals!J100),"",Actuals!J100)</f>
        <v/>
      </c>
      <c r="AF85" s="110" t="str">
        <f>IF(ISBLANK(Actuals!J100),"",'Original Budget'!J100-Actuals!J100)</f>
        <v/>
      </c>
      <c r="AG85" s="110" t="str">
        <f>IFERROR(IF(ISBLANK(Actuals!J100),"",('Original Budget'!J100-Actuals!J100)/ABS('Original Budget'!J100)),"")</f>
        <v/>
      </c>
      <c r="AH85" s="109">
        <f>'Original Budget'!K100</f>
        <v>-1905.31</v>
      </c>
      <c r="AI85" s="109" t="str">
        <f>IF(ISBLANK(Actuals!K100),"",Actuals!K100)</f>
        <v/>
      </c>
      <c r="AJ85" s="110" t="str">
        <f>IF(ISBLANK(Actuals!K100),"",'Original Budget'!K100-Actuals!K100)</f>
        <v/>
      </c>
      <c r="AK85" s="110" t="str">
        <f>IFERROR(IF(ISBLANK(Actuals!K100),"",('Original Budget'!K100-Actuals!K100)/ABS('Original Budget'!K100)),"")</f>
        <v/>
      </c>
      <c r="AL85" s="109">
        <f>'Original Budget'!L100</f>
        <v>-1905.31</v>
      </c>
      <c r="AM85" s="109" t="str">
        <f>IF(ISBLANK(Actuals!L100),"",Actuals!L100)</f>
        <v/>
      </c>
      <c r="AN85" s="110" t="str">
        <f>IF(ISBLANK(Actuals!L100),"",'Original Budget'!L100-Actuals!L100)</f>
        <v/>
      </c>
      <c r="AO85" s="110" t="str">
        <f>IFERROR(IF(ISBLANK(Actuals!L100),"",('Original Budget'!L100-Actuals!L100)/ABS('Original Budget'!L100)),"")</f>
        <v/>
      </c>
      <c r="AP85" s="109">
        <f>'Original Budget'!M100</f>
        <v>-1905.31</v>
      </c>
      <c r="AQ85" s="109" t="str">
        <f>IF(ISBLANK(Actuals!M100),"",Actuals!M100)</f>
        <v/>
      </c>
      <c r="AR85" s="110" t="str">
        <f>IF(ISBLANK(Actuals!M100),"",'Original Budget'!M100-Actuals!M100)</f>
        <v/>
      </c>
      <c r="AS85" s="110" t="str">
        <f>IFERROR(IF(ISBLANK(Actuals!M100),"",('Original Budget'!M100-Actuals!M100)/ABS('Original Budget'!M100)),"")</f>
        <v/>
      </c>
      <c r="AT85" s="109">
        <f>'Original Budget'!N100</f>
        <v>-1905.31</v>
      </c>
      <c r="AU85" s="109" t="str">
        <f>IF(ISBLANK(Actuals!N100),"",Actuals!N100)</f>
        <v/>
      </c>
      <c r="AV85" s="110" t="str">
        <f>IF(ISBLANK(Actuals!N100),"",'Original Budget'!N100-Actuals!N100)</f>
        <v/>
      </c>
      <c r="AW85" s="110" t="str">
        <f>IFERROR(IF(ISBLANK(Actuals!N100),"",('Original Budget'!N100-Actuals!N100)/ABS('Original Budget'!N100)),"")</f>
        <v/>
      </c>
      <c r="AX85" s="111">
        <f>SUMPRODUCT((Actuals!C100:N100&lt;&gt;"")*('Original Budget'!C100:N100))</f>
        <v>-7621.24</v>
      </c>
      <c r="AY85" s="111">
        <f>SUM(Actuals!C100:N100)</f>
        <v>-7621.24</v>
      </c>
      <c r="AZ85" s="112">
        <f t="shared" si="2"/>
        <v>0</v>
      </c>
    </row>
    <row r="86" spans="1:52" ht="15" customHeight="1" x14ac:dyDescent="0.25">
      <c r="A86" s="108" t="s">
        <v>123</v>
      </c>
      <c r="B86" s="109">
        <f>'Original Budget'!C101</f>
        <v>-2100</v>
      </c>
      <c r="C86" s="109">
        <f>IF(ISBLANK(Actuals!C101),"",Actuals!C101)</f>
        <v>-2100</v>
      </c>
      <c r="D86" s="110">
        <f>IF(ISBLANK(Actuals!C101),"",'Original Budget'!C101-Actuals!C101)</f>
        <v>0</v>
      </c>
      <c r="E86" s="110">
        <f>IFERROR(IF(ISBLANK(Actuals!C101),"",('Original Budget'!C101-Actuals!C101)/ABS('Original Budget'!C101)),"")</f>
        <v>0</v>
      </c>
      <c r="F86" s="109">
        <f>'Original Budget'!D101</f>
        <v>-2100</v>
      </c>
      <c r="G86" s="109">
        <f>IF(ISBLANK(Actuals!D101),"",Actuals!D101)</f>
        <v>-2100</v>
      </c>
      <c r="H86" s="110">
        <f>IF(ISBLANK(Actuals!D101),"",'Original Budget'!D101-Actuals!D101)</f>
        <v>0</v>
      </c>
      <c r="I86" s="110">
        <f>IFERROR(IF(ISBLANK(Actuals!D101),"",('Original Budget'!D101-Actuals!D101)/ABS('Original Budget'!D101)),"")</f>
        <v>0</v>
      </c>
      <c r="J86" s="109">
        <f>'Original Budget'!E101</f>
        <v>-2100</v>
      </c>
      <c r="K86" s="109">
        <f>IF(ISBLANK(Actuals!E101),"",Actuals!E101)</f>
        <v>-2100</v>
      </c>
      <c r="L86" s="110">
        <f>IF(ISBLANK(Actuals!E101),"",'Original Budget'!E101-Actuals!E101)</f>
        <v>0</v>
      </c>
      <c r="M86" s="110">
        <f>IFERROR(IF(ISBLANK(Actuals!E101),"",('Original Budget'!E101-Actuals!E101)/ABS('Original Budget'!E101)),"")</f>
        <v>0</v>
      </c>
      <c r="N86" s="109">
        <f>'Original Budget'!F101</f>
        <v>-2100</v>
      </c>
      <c r="O86" s="109">
        <f>IF(ISBLANK(Actuals!F101),"",Actuals!F101)</f>
        <v>-2100</v>
      </c>
      <c r="P86" s="110">
        <f>IF(ISBLANK(Actuals!F101),"",'Original Budget'!F101-Actuals!F101)</f>
        <v>0</v>
      </c>
      <c r="Q86" s="110">
        <f>IFERROR(IF(ISBLANK(Actuals!F101),"",('Original Budget'!F101-Actuals!F101)/ABS('Original Budget'!F101)),"")</f>
        <v>0</v>
      </c>
      <c r="R86" s="109">
        <f>'Original Budget'!G101</f>
        <v>-2100</v>
      </c>
      <c r="S86" s="109" t="str">
        <f>IF(ISBLANK(Actuals!G101),"",Actuals!G101)</f>
        <v/>
      </c>
      <c r="T86" s="110" t="str">
        <f>IF(ISBLANK(Actuals!G101),"",'Original Budget'!G101-Actuals!G101)</f>
        <v/>
      </c>
      <c r="U86" s="110" t="str">
        <f>IFERROR(IF(ISBLANK(Actuals!G101),"",('Original Budget'!G101-Actuals!G101)/ABS('Original Budget'!G101)),"")</f>
        <v/>
      </c>
      <c r="V86" s="109">
        <f>'Original Budget'!H101</f>
        <v>-2100</v>
      </c>
      <c r="W86" s="109" t="str">
        <f>IF(ISBLANK(Actuals!H101),"",Actuals!H101)</f>
        <v/>
      </c>
      <c r="X86" s="110" t="str">
        <f>IF(ISBLANK(Actuals!H101),"",'Original Budget'!H101-Actuals!H101)</f>
        <v/>
      </c>
      <c r="Y86" s="110" t="str">
        <f>IFERROR(IF(ISBLANK(Actuals!H101),"",('Original Budget'!H101-Actuals!H101)/ABS('Original Budget'!H101)),"")</f>
        <v/>
      </c>
      <c r="Z86" s="109">
        <f>'Original Budget'!I101</f>
        <v>-2100</v>
      </c>
      <c r="AA86" s="109" t="str">
        <f>IF(ISBLANK(Actuals!I101),"",Actuals!I101)</f>
        <v/>
      </c>
      <c r="AB86" s="110" t="str">
        <f>IF(ISBLANK(Actuals!I101),"",'Original Budget'!I101-Actuals!I101)</f>
        <v/>
      </c>
      <c r="AC86" s="110" t="str">
        <f>IFERROR(IF(ISBLANK(Actuals!I101),"",('Original Budget'!I101-Actuals!I101)/ABS('Original Budget'!I101)),"")</f>
        <v/>
      </c>
      <c r="AD86" s="109">
        <f>'Original Budget'!J101</f>
        <v>-2100</v>
      </c>
      <c r="AE86" s="109" t="str">
        <f>IF(ISBLANK(Actuals!J101),"",Actuals!J101)</f>
        <v/>
      </c>
      <c r="AF86" s="110" t="str">
        <f>IF(ISBLANK(Actuals!J101),"",'Original Budget'!J101-Actuals!J101)</f>
        <v/>
      </c>
      <c r="AG86" s="110" t="str">
        <f>IFERROR(IF(ISBLANK(Actuals!J101),"",('Original Budget'!J101-Actuals!J101)/ABS('Original Budget'!J101)),"")</f>
        <v/>
      </c>
      <c r="AH86" s="109">
        <f>'Original Budget'!K101</f>
        <v>-2100</v>
      </c>
      <c r="AI86" s="109" t="str">
        <f>IF(ISBLANK(Actuals!K101),"",Actuals!K101)</f>
        <v/>
      </c>
      <c r="AJ86" s="110" t="str">
        <f>IF(ISBLANK(Actuals!K101),"",'Original Budget'!K101-Actuals!K101)</f>
        <v/>
      </c>
      <c r="AK86" s="110" t="str">
        <f>IFERROR(IF(ISBLANK(Actuals!K101),"",('Original Budget'!K101-Actuals!K101)/ABS('Original Budget'!K101)),"")</f>
        <v/>
      </c>
      <c r="AL86" s="109">
        <f>'Original Budget'!L101</f>
        <v>-2100</v>
      </c>
      <c r="AM86" s="109" t="str">
        <f>IF(ISBLANK(Actuals!L101),"",Actuals!L101)</f>
        <v/>
      </c>
      <c r="AN86" s="110" t="str">
        <f>IF(ISBLANK(Actuals!L101),"",'Original Budget'!L101-Actuals!L101)</f>
        <v/>
      </c>
      <c r="AO86" s="110" t="str">
        <f>IFERROR(IF(ISBLANK(Actuals!L101),"",('Original Budget'!L101-Actuals!L101)/ABS('Original Budget'!L101)),"")</f>
        <v/>
      </c>
      <c r="AP86" s="109">
        <f>'Original Budget'!M101</f>
        <v>-2100</v>
      </c>
      <c r="AQ86" s="109" t="str">
        <f>IF(ISBLANK(Actuals!M101),"",Actuals!M101)</f>
        <v/>
      </c>
      <c r="AR86" s="110" t="str">
        <f>IF(ISBLANK(Actuals!M101),"",'Original Budget'!M101-Actuals!M101)</f>
        <v/>
      </c>
      <c r="AS86" s="110" t="str">
        <f>IFERROR(IF(ISBLANK(Actuals!M101),"",('Original Budget'!M101-Actuals!M101)/ABS('Original Budget'!M101)),"")</f>
        <v/>
      </c>
      <c r="AT86" s="109">
        <f>'Original Budget'!N101</f>
        <v>-2100</v>
      </c>
      <c r="AU86" s="109" t="str">
        <f>IF(ISBLANK(Actuals!N101),"",Actuals!N101)</f>
        <v/>
      </c>
      <c r="AV86" s="110" t="str">
        <f>IF(ISBLANK(Actuals!N101),"",'Original Budget'!N101-Actuals!N101)</f>
        <v/>
      </c>
      <c r="AW86" s="110" t="str">
        <f>IFERROR(IF(ISBLANK(Actuals!N101),"",('Original Budget'!N101-Actuals!N101)/ABS('Original Budget'!N101)),"")</f>
        <v/>
      </c>
      <c r="AX86" s="111">
        <f>SUMPRODUCT((Actuals!C101:N101&lt;&gt;"")*('Original Budget'!C101:N101))</f>
        <v>-8400</v>
      </c>
      <c r="AY86" s="111">
        <f>SUM(Actuals!C101:N101)</f>
        <v>-8400</v>
      </c>
      <c r="AZ86" s="112">
        <f t="shared" si="2"/>
        <v>0</v>
      </c>
    </row>
    <row r="87" spans="1:52" ht="15" customHeight="1" x14ac:dyDescent="0.25">
      <c r="A87" s="108" t="s">
        <v>83</v>
      </c>
      <c r="B87" s="109">
        <f>'Original Budget'!C102</f>
        <v>-66666.66</v>
      </c>
      <c r="C87" s="109">
        <f>IF(ISBLANK(Actuals!C102),"",Actuals!C102)</f>
        <v>-66666.66</v>
      </c>
      <c r="D87" s="110">
        <f>IF(ISBLANK(Actuals!C102),"",'Original Budget'!C102-Actuals!C102)</f>
        <v>0</v>
      </c>
      <c r="E87" s="110">
        <f>IFERROR(IF(ISBLANK(Actuals!C102),"",('Original Budget'!C102-Actuals!C102)/ABS('Original Budget'!C102)),"")</f>
        <v>0</v>
      </c>
      <c r="F87" s="109">
        <f>'Original Budget'!D102</f>
        <v>-66666.66</v>
      </c>
      <c r="G87" s="109">
        <f>IF(ISBLANK(Actuals!D102),"",Actuals!D102)</f>
        <v>-66666.66</v>
      </c>
      <c r="H87" s="110">
        <f>IF(ISBLANK(Actuals!D102),"",'Original Budget'!D102-Actuals!D102)</f>
        <v>0</v>
      </c>
      <c r="I87" s="110">
        <f>IFERROR(IF(ISBLANK(Actuals!D102),"",('Original Budget'!D102-Actuals!D102)/ABS('Original Budget'!D102)),"")</f>
        <v>0</v>
      </c>
      <c r="J87" s="109">
        <f>'Original Budget'!E102</f>
        <v>-66666.66</v>
      </c>
      <c r="K87" s="109">
        <f>IF(ISBLANK(Actuals!E102),"",Actuals!E102)</f>
        <v>-66666.66</v>
      </c>
      <c r="L87" s="110">
        <f>IF(ISBLANK(Actuals!E102),"",'Original Budget'!E102-Actuals!E102)</f>
        <v>0</v>
      </c>
      <c r="M87" s="110">
        <f>IFERROR(IF(ISBLANK(Actuals!E102),"",('Original Budget'!E102-Actuals!E102)/ABS('Original Budget'!E102)),"")</f>
        <v>0</v>
      </c>
      <c r="N87" s="109">
        <f>'Original Budget'!F102</f>
        <v>-25000</v>
      </c>
      <c r="O87" s="109">
        <f>IF(ISBLANK(Actuals!F102),"",Actuals!F102)</f>
        <v>-66666.66</v>
      </c>
      <c r="P87" s="110">
        <f>IF(ISBLANK(Actuals!F102),"",'Original Budget'!F102-Actuals!F102)</f>
        <v>41666.660000000003</v>
      </c>
      <c r="Q87" s="110">
        <f>IFERROR(IF(ISBLANK(Actuals!F102),"",('Original Budget'!F102-Actuals!F102)/ABS('Original Budget'!F102)),"")</f>
        <v>1.6666664000000002</v>
      </c>
      <c r="R87" s="109">
        <f>'Original Budget'!G102</f>
        <v>-25000</v>
      </c>
      <c r="S87" s="109" t="str">
        <f>IF(ISBLANK(Actuals!G102),"",Actuals!G102)</f>
        <v/>
      </c>
      <c r="T87" s="110" t="str">
        <f>IF(ISBLANK(Actuals!G102),"",'Original Budget'!G102-Actuals!G102)</f>
        <v/>
      </c>
      <c r="U87" s="110" t="str">
        <f>IFERROR(IF(ISBLANK(Actuals!G102),"",('Original Budget'!G102-Actuals!G102)/ABS('Original Budget'!G102)),"")</f>
        <v/>
      </c>
      <c r="V87" s="109">
        <f>'Original Budget'!H102</f>
        <v>-25000</v>
      </c>
      <c r="W87" s="109" t="str">
        <f>IF(ISBLANK(Actuals!H102),"",Actuals!H102)</f>
        <v/>
      </c>
      <c r="X87" s="110" t="str">
        <f>IF(ISBLANK(Actuals!H102),"",'Original Budget'!H102-Actuals!H102)</f>
        <v/>
      </c>
      <c r="Y87" s="110" t="str">
        <f>IFERROR(IF(ISBLANK(Actuals!H102),"",('Original Budget'!H102-Actuals!H102)/ABS('Original Budget'!H102)),"")</f>
        <v/>
      </c>
      <c r="Z87" s="109">
        <f>'Original Budget'!I102</f>
        <v>-25000</v>
      </c>
      <c r="AA87" s="109" t="str">
        <f>IF(ISBLANK(Actuals!I102),"",Actuals!I102)</f>
        <v/>
      </c>
      <c r="AB87" s="110" t="str">
        <f>IF(ISBLANK(Actuals!I102),"",'Original Budget'!I102-Actuals!I102)</f>
        <v/>
      </c>
      <c r="AC87" s="110" t="str">
        <f>IFERROR(IF(ISBLANK(Actuals!I102),"",('Original Budget'!I102-Actuals!I102)/ABS('Original Budget'!I102)),"")</f>
        <v/>
      </c>
      <c r="AD87" s="109">
        <f>'Original Budget'!J102</f>
        <v>-25000</v>
      </c>
      <c r="AE87" s="109" t="str">
        <f>IF(ISBLANK(Actuals!J102),"",Actuals!J102)</f>
        <v/>
      </c>
      <c r="AF87" s="110" t="str">
        <f>IF(ISBLANK(Actuals!J102),"",'Original Budget'!J102-Actuals!J102)</f>
        <v/>
      </c>
      <c r="AG87" s="110" t="str">
        <f>IFERROR(IF(ISBLANK(Actuals!J102),"",('Original Budget'!J102-Actuals!J102)/ABS('Original Budget'!J102)),"")</f>
        <v/>
      </c>
      <c r="AH87" s="109">
        <f>'Original Budget'!K102</f>
        <v>-25000</v>
      </c>
      <c r="AI87" s="109" t="str">
        <f>IF(ISBLANK(Actuals!K102),"",Actuals!K102)</f>
        <v/>
      </c>
      <c r="AJ87" s="110" t="str">
        <f>IF(ISBLANK(Actuals!K102),"",'Original Budget'!K102-Actuals!K102)</f>
        <v/>
      </c>
      <c r="AK87" s="110" t="str">
        <f>IFERROR(IF(ISBLANK(Actuals!K102),"",('Original Budget'!K102-Actuals!K102)/ABS('Original Budget'!K102)),"")</f>
        <v/>
      </c>
      <c r="AL87" s="109">
        <f>'Original Budget'!L102</f>
        <v>-25000</v>
      </c>
      <c r="AM87" s="109" t="str">
        <f>IF(ISBLANK(Actuals!L102),"",Actuals!L102)</f>
        <v/>
      </c>
      <c r="AN87" s="110" t="str">
        <f>IF(ISBLANK(Actuals!L102),"",'Original Budget'!L102-Actuals!L102)</f>
        <v/>
      </c>
      <c r="AO87" s="110" t="str">
        <f>IFERROR(IF(ISBLANK(Actuals!L102),"",('Original Budget'!L102-Actuals!L102)/ABS('Original Budget'!L102)),"")</f>
        <v/>
      </c>
      <c r="AP87" s="109">
        <f>'Original Budget'!M102</f>
        <v>-25000</v>
      </c>
      <c r="AQ87" s="109" t="str">
        <f>IF(ISBLANK(Actuals!M102),"",Actuals!M102)</f>
        <v/>
      </c>
      <c r="AR87" s="110" t="str">
        <f>IF(ISBLANK(Actuals!M102),"",'Original Budget'!M102-Actuals!M102)</f>
        <v/>
      </c>
      <c r="AS87" s="110" t="str">
        <f>IFERROR(IF(ISBLANK(Actuals!M102),"",('Original Budget'!M102-Actuals!M102)/ABS('Original Budget'!M102)),"")</f>
        <v/>
      </c>
      <c r="AT87" s="109">
        <f>'Original Budget'!N102</f>
        <v>-25000</v>
      </c>
      <c r="AU87" s="109" t="str">
        <f>IF(ISBLANK(Actuals!N102),"",Actuals!N102)</f>
        <v/>
      </c>
      <c r="AV87" s="110" t="str">
        <f>IF(ISBLANK(Actuals!N102),"",'Original Budget'!N102-Actuals!N102)</f>
        <v/>
      </c>
      <c r="AW87" s="110" t="str">
        <f>IFERROR(IF(ISBLANK(Actuals!N102),"",('Original Budget'!N102-Actuals!N102)/ABS('Original Budget'!N102)),"")</f>
        <v/>
      </c>
      <c r="AX87" s="111">
        <f>SUMPRODUCT((Actuals!C102:N102&lt;&gt;"")*('Original Budget'!C102:N102))</f>
        <v>-224999.98</v>
      </c>
      <c r="AY87" s="111">
        <f>SUM(Actuals!C102:N102)</f>
        <v>-266666.64</v>
      </c>
      <c r="AZ87" s="112">
        <f t="shared" si="2"/>
        <v>41666.660000000003</v>
      </c>
    </row>
    <row r="88" spans="1:52" ht="15" customHeight="1" x14ac:dyDescent="0.25">
      <c r="A88" s="108" t="s">
        <v>91</v>
      </c>
      <c r="B88" s="109">
        <f>'Original Budget'!C103</f>
        <v>-4731.96</v>
      </c>
      <c r="C88" s="109">
        <f>IF(ISBLANK(Actuals!C103),"",Actuals!C103)</f>
        <v>-4731.96</v>
      </c>
      <c r="D88" s="110">
        <f>IF(ISBLANK(Actuals!C103),"",'Original Budget'!C103-Actuals!C103)</f>
        <v>0</v>
      </c>
      <c r="E88" s="110">
        <f>IFERROR(IF(ISBLANK(Actuals!C103),"",('Original Budget'!C103-Actuals!C103)/ABS('Original Budget'!C103)),"")</f>
        <v>0</v>
      </c>
      <c r="F88" s="109">
        <f>'Original Budget'!D103</f>
        <v>-5</v>
      </c>
      <c r="G88" s="109">
        <f>IF(ISBLANK(Actuals!D103),"",Actuals!D103)</f>
        <v>-5</v>
      </c>
      <c r="H88" s="110">
        <f>IF(ISBLANK(Actuals!D103),"",'Original Budget'!D103-Actuals!D103)</f>
        <v>0</v>
      </c>
      <c r="I88" s="110">
        <f>IFERROR(IF(ISBLANK(Actuals!D103),"",('Original Budget'!D103-Actuals!D103)/ABS('Original Budget'!D103)),"")</f>
        <v>0</v>
      </c>
      <c r="J88" s="109">
        <f>'Original Budget'!E103</f>
        <v>-5</v>
      </c>
      <c r="K88" s="109">
        <f>IF(ISBLANK(Actuals!E103),"",Actuals!E103)</f>
        <v>-5</v>
      </c>
      <c r="L88" s="110">
        <f>IF(ISBLANK(Actuals!E103),"",'Original Budget'!E103-Actuals!E103)</f>
        <v>0</v>
      </c>
      <c r="M88" s="110">
        <f>IFERROR(IF(ISBLANK(Actuals!E103),"",('Original Budget'!E103-Actuals!E103)/ABS('Original Budget'!E103)),"")</f>
        <v>0</v>
      </c>
      <c r="N88" s="109">
        <f>'Original Budget'!F103</f>
        <v>-1580.65</v>
      </c>
      <c r="O88" s="109">
        <f>IF(ISBLANK(Actuals!F103),"",Actuals!F103)</f>
        <v>-5</v>
      </c>
      <c r="P88" s="110">
        <f>IF(ISBLANK(Actuals!F103),"",'Original Budget'!F103-Actuals!F103)</f>
        <v>-1575.65</v>
      </c>
      <c r="Q88" s="110">
        <f>IFERROR(IF(ISBLANK(Actuals!F103),"",('Original Budget'!F103-Actuals!F103)/ABS('Original Budget'!F103)),"")</f>
        <v>-0.99683674437731318</v>
      </c>
      <c r="R88" s="109">
        <f>'Original Budget'!G103</f>
        <v>-1580.65</v>
      </c>
      <c r="S88" s="109" t="str">
        <f>IF(ISBLANK(Actuals!G103),"",Actuals!G103)</f>
        <v/>
      </c>
      <c r="T88" s="110" t="str">
        <f>IF(ISBLANK(Actuals!G103),"",'Original Budget'!G103-Actuals!G103)</f>
        <v/>
      </c>
      <c r="U88" s="110" t="str">
        <f>IFERROR(IF(ISBLANK(Actuals!G103),"",('Original Budget'!G103-Actuals!G103)/ABS('Original Budget'!G103)),"")</f>
        <v/>
      </c>
      <c r="V88" s="109">
        <f>'Original Budget'!H103</f>
        <v>-1580.65</v>
      </c>
      <c r="W88" s="109" t="str">
        <f>IF(ISBLANK(Actuals!H103),"",Actuals!H103)</f>
        <v/>
      </c>
      <c r="X88" s="110" t="str">
        <f>IF(ISBLANK(Actuals!H103),"",'Original Budget'!H103-Actuals!H103)</f>
        <v/>
      </c>
      <c r="Y88" s="110" t="str">
        <f>IFERROR(IF(ISBLANK(Actuals!H103),"",('Original Budget'!H103-Actuals!H103)/ABS('Original Budget'!H103)),"")</f>
        <v/>
      </c>
      <c r="Z88" s="109">
        <f>'Original Budget'!I103</f>
        <v>-1580.65</v>
      </c>
      <c r="AA88" s="109" t="str">
        <f>IF(ISBLANK(Actuals!I103),"",Actuals!I103)</f>
        <v/>
      </c>
      <c r="AB88" s="110" t="str">
        <f>IF(ISBLANK(Actuals!I103),"",'Original Budget'!I103-Actuals!I103)</f>
        <v/>
      </c>
      <c r="AC88" s="110" t="str">
        <f>IFERROR(IF(ISBLANK(Actuals!I103),"",('Original Budget'!I103-Actuals!I103)/ABS('Original Budget'!I103)),"")</f>
        <v/>
      </c>
      <c r="AD88" s="109">
        <f>'Original Budget'!J103</f>
        <v>-1580.65</v>
      </c>
      <c r="AE88" s="109" t="str">
        <f>IF(ISBLANK(Actuals!J103),"",Actuals!J103)</f>
        <v/>
      </c>
      <c r="AF88" s="110" t="str">
        <f>IF(ISBLANK(Actuals!J103),"",'Original Budget'!J103-Actuals!J103)</f>
        <v/>
      </c>
      <c r="AG88" s="110" t="str">
        <f>IFERROR(IF(ISBLANK(Actuals!J103),"",('Original Budget'!J103-Actuals!J103)/ABS('Original Budget'!J103)),"")</f>
        <v/>
      </c>
      <c r="AH88" s="109">
        <f>'Original Budget'!K103</f>
        <v>-1580.65</v>
      </c>
      <c r="AI88" s="109" t="str">
        <f>IF(ISBLANK(Actuals!K103),"",Actuals!K103)</f>
        <v/>
      </c>
      <c r="AJ88" s="110" t="str">
        <f>IF(ISBLANK(Actuals!K103),"",'Original Budget'!K103-Actuals!K103)</f>
        <v/>
      </c>
      <c r="AK88" s="110" t="str">
        <f>IFERROR(IF(ISBLANK(Actuals!K103),"",('Original Budget'!K103-Actuals!K103)/ABS('Original Budget'!K103)),"")</f>
        <v/>
      </c>
      <c r="AL88" s="109">
        <f>'Original Budget'!L103</f>
        <v>-1580.65</v>
      </c>
      <c r="AM88" s="109" t="str">
        <f>IF(ISBLANK(Actuals!L103),"",Actuals!L103)</f>
        <v/>
      </c>
      <c r="AN88" s="110" t="str">
        <f>IF(ISBLANK(Actuals!L103),"",'Original Budget'!L103-Actuals!L103)</f>
        <v/>
      </c>
      <c r="AO88" s="110" t="str">
        <f>IFERROR(IF(ISBLANK(Actuals!L103),"",('Original Budget'!L103-Actuals!L103)/ABS('Original Budget'!L103)),"")</f>
        <v/>
      </c>
      <c r="AP88" s="109">
        <f>'Original Budget'!M103</f>
        <v>-1580.65</v>
      </c>
      <c r="AQ88" s="109" t="str">
        <f>IF(ISBLANK(Actuals!M103),"",Actuals!M103)</f>
        <v/>
      </c>
      <c r="AR88" s="110" t="str">
        <f>IF(ISBLANK(Actuals!M103),"",'Original Budget'!M103-Actuals!M103)</f>
        <v/>
      </c>
      <c r="AS88" s="110" t="str">
        <f>IFERROR(IF(ISBLANK(Actuals!M103),"",('Original Budget'!M103-Actuals!M103)/ABS('Original Budget'!M103)),"")</f>
        <v/>
      </c>
      <c r="AT88" s="109">
        <f>'Original Budget'!N103</f>
        <v>-1580.65</v>
      </c>
      <c r="AU88" s="109" t="str">
        <f>IF(ISBLANK(Actuals!N103),"",Actuals!N103)</f>
        <v/>
      </c>
      <c r="AV88" s="110" t="str">
        <f>IF(ISBLANK(Actuals!N103),"",'Original Budget'!N103-Actuals!N103)</f>
        <v/>
      </c>
      <c r="AW88" s="110" t="str">
        <f>IFERROR(IF(ISBLANK(Actuals!N103),"",('Original Budget'!N103-Actuals!N103)/ABS('Original Budget'!N103)),"")</f>
        <v/>
      </c>
      <c r="AX88" s="111">
        <f>SUMPRODUCT((Actuals!C103:N103&lt;&gt;"")*('Original Budget'!C103:N103))</f>
        <v>-6322.6100000000006</v>
      </c>
      <c r="AY88" s="111">
        <f>SUM(Actuals!C103:N103)</f>
        <v>-4746.96</v>
      </c>
      <c r="AZ88" s="112">
        <f t="shared" si="2"/>
        <v>-1575.6500000000005</v>
      </c>
    </row>
    <row r="89" spans="1:52" ht="15" customHeight="1" x14ac:dyDescent="0.25">
      <c r="A89" s="108" t="s">
        <v>92</v>
      </c>
      <c r="B89" s="109">
        <f>'Original Budget'!C104</f>
        <v>-658.14</v>
      </c>
      <c r="C89" s="109">
        <f>IF(ISBLANK(Actuals!C104),"",Actuals!C104)</f>
        <v>-658.14</v>
      </c>
      <c r="D89" s="110">
        <f>IF(ISBLANK(Actuals!C104),"",'Original Budget'!C104-Actuals!C104)</f>
        <v>0</v>
      </c>
      <c r="E89" s="110">
        <f>IFERROR(IF(ISBLANK(Actuals!C104),"",('Original Budget'!C104-Actuals!C104)/ABS('Original Budget'!C104)),"")</f>
        <v>0</v>
      </c>
      <c r="F89" s="109">
        <f>'Original Budget'!D104</f>
        <v>-310</v>
      </c>
      <c r="G89" s="109">
        <f>IF(ISBLANK(Actuals!D104),"",Actuals!D104)</f>
        <v>-310</v>
      </c>
      <c r="H89" s="110">
        <f>IF(ISBLANK(Actuals!D104),"",'Original Budget'!D104-Actuals!D104)</f>
        <v>0</v>
      </c>
      <c r="I89" s="110">
        <f>IFERROR(IF(ISBLANK(Actuals!D104),"",('Original Budget'!D104-Actuals!D104)/ABS('Original Budget'!D104)),"")</f>
        <v>0</v>
      </c>
      <c r="J89" s="109">
        <f>'Original Budget'!E104</f>
        <v>-371.74</v>
      </c>
      <c r="K89" s="109">
        <f>IF(ISBLANK(Actuals!E104),"",Actuals!E104)</f>
        <v>-371.74</v>
      </c>
      <c r="L89" s="110">
        <f>IF(ISBLANK(Actuals!E104),"",'Original Budget'!E104-Actuals!E104)</f>
        <v>0</v>
      </c>
      <c r="M89" s="110">
        <f>IFERROR(IF(ISBLANK(Actuals!E104),"",('Original Budget'!E104-Actuals!E104)/ABS('Original Budget'!E104)),"")</f>
        <v>0</v>
      </c>
      <c r="N89" s="109">
        <f>'Original Budget'!F104</f>
        <v>-446.63</v>
      </c>
      <c r="O89" s="109">
        <f>IF(ISBLANK(Actuals!F104),"",Actuals!F104)</f>
        <v>-857.33</v>
      </c>
      <c r="P89" s="110">
        <f>IF(ISBLANK(Actuals!F104),"",'Original Budget'!F104-Actuals!F104)</f>
        <v>410.70000000000005</v>
      </c>
      <c r="Q89" s="110">
        <f>IFERROR(IF(ISBLANK(Actuals!F104),"",('Original Budget'!F104-Actuals!F104)/ABS('Original Budget'!F104)),"")</f>
        <v>0.91955309764234383</v>
      </c>
      <c r="R89" s="109">
        <f>'Original Budget'!G104</f>
        <v>-446.63</v>
      </c>
      <c r="S89" s="109" t="str">
        <f>IF(ISBLANK(Actuals!G104),"",Actuals!G104)</f>
        <v/>
      </c>
      <c r="T89" s="110" t="str">
        <f>IF(ISBLANK(Actuals!G104),"",'Original Budget'!G104-Actuals!G104)</f>
        <v/>
      </c>
      <c r="U89" s="110" t="str">
        <f>IFERROR(IF(ISBLANK(Actuals!G104),"",('Original Budget'!G104-Actuals!G104)/ABS('Original Budget'!G104)),"")</f>
        <v/>
      </c>
      <c r="V89" s="109">
        <f>'Original Budget'!H104</f>
        <v>-446.63</v>
      </c>
      <c r="W89" s="109" t="str">
        <f>IF(ISBLANK(Actuals!H104),"",Actuals!H104)</f>
        <v/>
      </c>
      <c r="X89" s="110" t="str">
        <f>IF(ISBLANK(Actuals!H104),"",'Original Budget'!H104-Actuals!H104)</f>
        <v/>
      </c>
      <c r="Y89" s="110" t="str">
        <f>IFERROR(IF(ISBLANK(Actuals!H104),"",('Original Budget'!H104-Actuals!H104)/ABS('Original Budget'!H104)),"")</f>
        <v/>
      </c>
      <c r="Z89" s="109">
        <f>'Original Budget'!I104</f>
        <v>-446.63</v>
      </c>
      <c r="AA89" s="109" t="str">
        <f>IF(ISBLANK(Actuals!I104),"",Actuals!I104)</f>
        <v/>
      </c>
      <c r="AB89" s="110" t="str">
        <f>IF(ISBLANK(Actuals!I104),"",'Original Budget'!I104-Actuals!I104)</f>
        <v/>
      </c>
      <c r="AC89" s="110" t="str">
        <f>IFERROR(IF(ISBLANK(Actuals!I104),"",('Original Budget'!I104-Actuals!I104)/ABS('Original Budget'!I104)),"")</f>
        <v/>
      </c>
      <c r="AD89" s="109">
        <f>'Original Budget'!J104</f>
        <v>-446.63</v>
      </c>
      <c r="AE89" s="109" t="str">
        <f>IF(ISBLANK(Actuals!J104),"",Actuals!J104)</f>
        <v/>
      </c>
      <c r="AF89" s="110" t="str">
        <f>IF(ISBLANK(Actuals!J104),"",'Original Budget'!J104-Actuals!J104)</f>
        <v/>
      </c>
      <c r="AG89" s="110" t="str">
        <f>IFERROR(IF(ISBLANK(Actuals!J104),"",('Original Budget'!J104-Actuals!J104)/ABS('Original Budget'!J104)),"")</f>
        <v/>
      </c>
      <c r="AH89" s="109">
        <f>'Original Budget'!K104</f>
        <v>-446.63</v>
      </c>
      <c r="AI89" s="109" t="str">
        <f>IF(ISBLANK(Actuals!K104),"",Actuals!K104)</f>
        <v/>
      </c>
      <c r="AJ89" s="110" t="str">
        <f>IF(ISBLANK(Actuals!K104),"",'Original Budget'!K104-Actuals!K104)</f>
        <v/>
      </c>
      <c r="AK89" s="110" t="str">
        <f>IFERROR(IF(ISBLANK(Actuals!K104),"",('Original Budget'!K104-Actuals!K104)/ABS('Original Budget'!K104)),"")</f>
        <v/>
      </c>
      <c r="AL89" s="109">
        <f>'Original Budget'!L104</f>
        <v>-446.63</v>
      </c>
      <c r="AM89" s="109" t="str">
        <f>IF(ISBLANK(Actuals!L104),"",Actuals!L104)</f>
        <v/>
      </c>
      <c r="AN89" s="110" t="str">
        <f>IF(ISBLANK(Actuals!L104),"",'Original Budget'!L104-Actuals!L104)</f>
        <v/>
      </c>
      <c r="AO89" s="110" t="str">
        <f>IFERROR(IF(ISBLANK(Actuals!L104),"",('Original Budget'!L104-Actuals!L104)/ABS('Original Budget'!L104)),"")</f>
        <v/>
      </c>
      <c r="AP89" s="109">
        <f>'Original Budget'!M104</f>
        <v>-446.63</v>
      </c>
      <c r="AQ89" s="109" t="str">
        <f>IF(ISBLANK(Actuals!M104),"",Actuals!M104)</f>
        <v/>
      </c>
      <c r="AR89" s="110" t="str">
        <f>IF(ISBLANK(Actuals!M104),"",'Original Budget'!M104-Actuals!M104)</f>
        <v/>
      </c>
      <c r="AS89" s="110" t="str">
        <f>IFERROR(IF(ISBLANK(Actuals!M104),"",('Original Budget'!M104-Actuals!M104)/ABS('Original Budget'!M104)),"")</f>
        <v/>
      </c>
      <c r="AT89" s="109">
        <f>'Original Budget'!N104</f>
        <v>-446.63</v>
      </c>
      <c r="AU89" s="109" t="str">
        <f>IF(ISBLANK(Actuals!N104),"",Actuals!N104)</f>
        <v/>
      </c>
      <c r="AV89" s="110" t="str">
        <f>IF(ISBLANK(Actuals!N104),"",'Original Budget'!N104-Actuals!N104)</f>
        <v/>
      </c>
      <c r="AW89" s="110" t="str">
        <f>IFERROR(IF(ISBLANK(Actuals!N104),"",('Original Budget'!N104-Actuals!N104)/ABS('Original Budget'!N104)),"")</f>
        <v/>
      </c>
      <c r="AX89" s="111">
        <f>SUMPRODUCT((Actuals!C104:N104&lt;&gt;"")*('Original Budget'!C104:N104))</f>
        <v>-1786.5100000000002</v>
      </c>
      <c r="AY89" s="111">
        <f>SUM(Actuals!C104:N104)</f>
        <v>-2197.21</v>
      </c>
      <c r="AZ89" s="112">
        <f t="shared" si="2"/>
        <v>410.69999999999982</v>
      </c>
    </row>
    <row r="90" spans="1:52" ht="15" customHeight="1" x14ac:dyDescent="0.25">
      <c r="A90" s="108" t="s">
        <v>124</v>
      </c>
      <c r="B90" s="109">
        <f>'Original Budget'!C105</f>
        <v>0</v>
      </c>
      <c r="C90" s="109" t="str">
        <f>IF(ISBLANK(Actuals!C105),"",Actuals!C105)</f>
        <v/>
      </c>
      <c r="D90" s="110" t="str">
        <f>IF(ISBLANK(Actuals!C105),"",'Original Budget'!C105-Actuals!C105)</f>
        <v/>
      </c>
      <c r="E90" s="110" t="str">
        <f>IFERROR(IF(ISBLANK(Actuals!C105),"",('Original Budget'!C105-Actuals!C105)/ABS('Original Budget'!C105)),"")</f>
        <v/>
      </c>
      <c r="F90" s="109">
        <f>'Original Budget'!D105</f>
        <v>0</v>
      </c>
      <c r="G90" s="109" t="str">
        <f>IF(ISBLANK(Actuals!D105),"",Actuals!D105)</f>
        <v/>
      </c>
      <c r="H90" s="110" t="str">
        <f>IF(ISBLANK(Actuals!D105),"",'Original Budget'!D105-Actuals!D105)</f>
        <v/>
      </c>
      <c r="I90" s="110" t="str">
        <f>IFERROR(IF(ISBLANK(Actuals!D105),"",('Original Budget'!D105-Actuals!D105)/ABS('Original Budget'!D105)),"")</f>
        <v/>
      </c>
      <c r="J90" s="109">
        <f>'Original Budget'!E105</f>
        <v>0</v>
      </c>
      <c r="K90" s="109" t="str">
        <f>IF(ISBLANK(Actuals!E105),"",Actuals!E105)</f>
        <v/>
      </c>
      <c r="L90" s="110" t="str">
        <f>IF(ISBLANK(Actuals!E105),"",'Original Budget'!E105-Actuals!E105)</f>
        <v/>
      </c>
      <c r="M90" s="110" t="str">
        <f>IFERROR(IF(ISBLANK(Actuals!E105),"",('Original Budget'!E105-Actuals!E105)/ABS('Original Budget'!E105)),"")</f>
        <v/>
      </c>
      <c r="N90" s="109">
        <f>'Original Budget'!F105</f>
        <v>0</v>
      </c>
      <c r="O90" s="109" t="str">
        <f>IF(ISBLANK(Actuals!F105),"",Actuals!F105)</f>
        <v/>
      </c>
      <c r="P90" s="110" t="str">
        <f>IF(ISBLANK(Actuals!F105),"",'Original Budget'!F105-Actuals!F105)</f>
        <v/>
      </c>
      <c r="Q90" s="110" t="str">
        <f>IFERROR(IF(ISBLANK(Actuals!F105),"",('Original Budget'!F105-Actuals!F105)/ABS('Original Budget'!F105)),"")</f>
        <v/>
      </c>
      <c r="R90" s="109">
        <f>'Original Budget'!G105</f>
        <v>0</v>
      </c>
      <c r="S90" s="109" t="str">
        <f>IF(ISBLANK(Actuals!G105),"",Actuals!G105)</f>
        <v/>
      </c>
      <c r="T90" s="110" t="str">
        <f>IF(ISBLANK(Actuals!G105),"",'Original Budget'!G105-Actuals!G105)</f>
        <v/>
      </c>
      <c r="U90" s="110" t="str">
        <f>IFERROR(IF(ISBLANK(Actuals!G105),"",('Original Budget'!G105-Actuals!G105)/ABS('Original Budget'!G105)),"")</f>
        <v/>
      </c>
      <c r="V90" s="109">
        <f>'Original Budget'!H105</f>
        <v>0</v>
      </c>
      <c r="W90" s="109" t="str">
        <f>IF(ISBLANK(Actuals!H105),"",Actuals!H105)</f>
        <v/>
      </c>
      <c r="X90" s="110" t="str">
        <f>IF(ISBLANK(Actuals!H105),"",'Original Budget'!H105-Actuals!H105)</f>
        <v/>
      </c>
      <c r="Y90" s="110" t="str">
        <f>IFERROR(IF(ISBLANK(Actuals!H105),"",('Original Budget'!H105-Actuals!H105)/ABS('Original Budget'!H105)),"")</f>
        <v/>
      </c>
      <c r="Z90" s="109">
        <f>'Original Budget'!I105</f>
        <v>0</v>
      </c>
      <c r="AA90" s="109" t="str">
        <f>IF(ISBLANK(Actuals!I105),"",Actuals!I105)</f>
        <v/>
      </c>
      <c r="AB90" s="110" t="str">
        <f>IF(ISBLANK(Actuals!I105),"",'Original Budget'!I105-Actuals!I105)</f>
        <v/>
      </c>
      <c r="AC90" s="110" t="str">
        <f>IFERROR(IF(ISBLANK(Actuals!I105),"",('Original Budget'!I105-Actuals!I105)/ABS('Original Budget'!I105)),"")</f>
        <v/>
      </c>
      <c r="AD90" s="109">
        <f>'Original Budget'!J105</f>
        <v>0</v>
      </c>
      <c r="AE90" s="109" t="str">
        <f>IF(ISBLANK(Actuals!J105),"",Actuals!J105)</f>
        <v/>
      </c>
      <c r="AF90" s="110" t="str">
        <f>IF(ISBLANK(Actuals!J105),"",'Original Budget'!J105-Actuals!J105)</f>
        <v/>
      </c>
      <c r="AG90" s="110" t="str">
        <f>IFERROR(IF(ISBLANK(Actuals!J105),"",('Original Budget'!J105-Actuals!J105)/ABS('Original Budget'!J105)),"")</f>
        <v/>
      </c>
      <c r="AH90" s="109">
        <f>'Original Budget'!K105</f>
        <v>0</v>
      </c>
      <c r="AI90" s="109" t="str">
        <f>IF(ISBLANK(Actuals!K105),"",Actuals!K105)</f>
        <v/>
      </c>
      <c r="AJ90" s="110" t="str">
        <f>IF(ISBLANK(Actuals!K105),"",'Original Budget'!K105-Actuals!K105)</f>
        <v/>
      </c>
      <c r="AK90" s="110" t="str">
        <f>IFERROR(IF(ISBLANK(Actuals!K105),"",('Original Budget'!K105-Actuals!K105)/ABS('Original Budget'!K105)),"")</f>
        <v/>
      </c>
      <c r="AL90" s="109">
        <f>'Original Budget'!L105</f>
        <v>0</v>
      </c>
      <c r="AM90" s="109" t="str">
        <f>IF(ISBLANK(Actuals!L105),"",Actuals!L105)</f>
        <v/>
      </c>
      <c r="AN90" s="110" t="str">
        <f>IF(ISBLANK(Actuals!L105),"",'Original Budget'!L105-Actuals!L105)</f>
        <v/>
      </c>
      <c r="AO90" s="110" t="str">
        <f>IFERROR(IF(ISBLANK(Actuals!L105),"",('Original Budget'!L105-Actuals!L105)/ABS('Original Budget'!L105)),"")</f>
        <v/>
      </c>
      <c r="AP90" s="109">
        <f>'Original Budget'!M105</f>
        <v>0</v>
      </c>
      <c r="AQ90" s="109" t="str">
        <f>IF(ISBLANK(Actuals!M105),"",Actuals!M105)</f>
        <v/>
      </c>
      <c r="AR90" s="110" t="str">
        <f>IF(ISBLANK(Actuals!M105),"",'Original Budget'!M105-Actuals!M105)</f>
        <v/>
      </c>
      <c r="AS90" s="110" t="str">
        <f>IFERROR(IF(ISBLANK(Actuals!M105),"",('Original Budget'!M105-Actuals!M105)/ABS('Original Budget'!M105)),"")</f>
        <v/>
      </c>
      <c r="AT90" s="109">
        <f>'Original Budget'!N105</f>
        <v>0</v>
      </c>
      <c r="AU90" s="109" t="str">
        <f>IF(ISBLANK(Actuals!N105),"",Actuals!N105)</f>
        <v/>
      </c>
      <c r="AV90" s="110" t="str">
        <f>IF(ISBLANK(Actuals!N105),"",'Original Budget'!N105-Actuals!N105)</f>
        <v/>
      </c>
      <c r="AW90" s="110" t="str">
        <f>IFERROR(IF(ISBLANK(Actuals!N105),"",('Original Budget'!N105-Actuals!N105)/ABS('Original Budget'!N105)),"")</f>
        <v/>
      </c>
      <c r="AX90" s="111">
        <f>SUMPRODUCT((Actuals!C105:N105&lt;&gt;"")*('Original Budget'!C105:N105))</f>
        <v>0</v>
      </c>
      <c r="AY90" s="111">
        <f>SUM(Actuals!C105:N105)</f>
        <v>0</v>
      </c>
      <c r="AZ90" s="112">
        <f t="shared" si="2"/>
        <v>0</v>
      </c>
    </row>
    <row r="91" spans="1:52" ht="15" customHeight="1" x14ac:dyDescent="0.25">
      <c r="A91" s="108" t="s">
        <v>125</v>
      </c>
      <c r="B91" s="109">
        <f>'Original Budget'!C106</f>
        <v>0</v>
      </c>
      <c r="C91" s="109" t="str">
        <f>IF(ISBLANK(Actuals!C106),"",Actuals!C106)</f>
        <v/>
      </c>
      <c r="D91" s="110" t="str">
        <f>IF(ISBLANK(Actuals!C106),"",'Original Budget'!C106-Actuals!C106)</f>
        <v/>
      </c>
      <c r="E91" s="110" t="str">
        <f>IFERROR(IF(ISBLANK(Actuals!C106),"",('Original Budget'!C106-Actuals!C106)/ABS('Original Budget'!C106)),"")</f>
        <v/>
      </c>
      <c r="F91" s="109">
        <f>'Original Budget'!D106</f>
        <v>0</v>
      </c>
      <c r="G91" s="109" t="str">
        <f>IF(ISBLANK(Actuals!D106),"",Actuals!D106)</f>
        <v/>
      </c>
      <c r="H91" s="110" t="str">
        <f>IF(ISBLANK(Actuals!D106),"",'Original Budget'!D106-Actuals!D106)</f>
        <v/>
      </c>
      <c r="I91" s="110" t="str">
        <f>IFERROR(IF(ISBLANK(Actuals!D106),"",('Original Budget'!D106-Actuals!D106)/ABS('Original Budget'!D106)),"")</f>
        <v/>
      </c>
      <c r="J91" s="109">
        <f>'Original Budget'!E106</f>
        <v>0</v>
      </c>
      <c r="K91" s="109" t="str">
        <f>IF(ISBLANK(Actuals!E106),"",Actuals!E106)</f>
        <v/>
      </c>
      <c r="L91" s="110" t="str">
        <f>IF(ISBLANK(Actuals!E106),"",'Original Budget'!E106-Actuals!E106)</f>
        <v/>
      </c>
      <c r="M91" s="110" t="str">
        <f>IFERROR(IF(ISBLANK(Actuals!E106),"",('Original Budget'!E106-Actuals!E106)/ABS('Original Budget'!E106)),"")</f>
        <v/>
      </c>
      <c r="N91" s="109">
        <f>'Original Budget'!F106</f>
        <v>0</v>
      </c>
      <c r="O91" s="109" t="str">
        <f>IF(ISBLANK(Actuals!F106),"",Actuals!F106)</f>
        <v/>
      </c>
      <c r="P91" s="110" t="str">
        <f>IF(ISBLANK(Actuals!F106),"",'Original Budget'!F106-Actuals!F106)</f>
        <v/>
      </c>
      <c r="Q91" s="110" t="str">
        <f>IFERROR(IF(ISBLANK(Actuals!F106),"",('Original Budget'!F106-Actuals!F106)/ABS('Original Budget'!F106)),"")</f>
        <v/>
      </c>
      <c r="R91" s="109">
        <f>'Original Budget'!G106</f>
        <v>0</v>
      </c>
      <c r="S91" s="109" t="str">
        <f>IF(ISBLANK(Actuals!G106),"",Actuals!G106)</f>
        <v/>
      </c>
      <c r="T91" s="110" t="str">
        <f>IF(ISBLANK(Actuals!G106),"",'Original Budget'!G106-Actuals!G106)</f>
        <v/>
      </c>
      <c r="U91" s="110" t="str">
        <f>IFERROR(IF(ISBLANK(Actuals!G106),"",('Original Budget'!G106-Actuals!G106)/ABS('Original Budget'!G106)),"")</f>
        <v/>
      </c>
      <c r="V91" s="109">
        <f>'Original Budget'!H106</f>
        <v>0</v>
      </c>
      <c r="W91" s="109" t="str">
        <f>IF(ISBLANK(Actuals!H106),"",Actuals!H106)</f>
        <v/>
      </c>
      <c r="X91" s="110" t="str">
        <f>IF(ISBLANK(Actuals!H106),"",'Original Budget'!H106-Actuals!H106)</f>
        <v/>
      </c>
      <c r="Y91" s="110" t="str">
        <f>IFERROR(IF(ISBLANK(Actuals!H106),"",('Original Budget'!H106-Actuals!H106)/ABS('Original Budget'!H106)),"")</f>
        <v/>
      </c>
      <c r="Z91" s="109">
        <f>'Original Budget'!I106</f>
        <v>0</v>
      </c>
      <c r="AA91" s="109" t="str">
        <f>IF(ISBLANK(Actuals!I106),"",Actuals!I106)</f>
        <v/>
      </c>
      <c r="AB91" s="110" t="str">
        <f>IF(ISBLANK(Actuals!I106),"",'Original Budget'!I106-Actuals!I106)</f>
        <v/>
      </c>
      <c r="AC91" s="110" t="str">
        <f>IFERROR(IF(ISBLANK(Actuals!I106),"",('Original Budget'!I106-Actuals!I106)/ABS('Original Budget'!I106)),"")</f>
        <v/>
      </c>
      <c r="AD91" s="109">
        <f>'Original Budget'!J106</f>
        <v>0</v>
      </c>
      <c r="AE91" s="109" t="str">
        <f>IF(ISBLANK(Actuals!J106),"",Actuals!J106)</f>
        <v/>
      </c>
      <c r="AF91" s="110" t="str">
        <f>IF(ISBLANK(Actuals!J106),"",'Original Budget'!J106-Actuals!J106)</f>
        <v/>
      </c>
      <c r="AG91" s="110" t="str">
        <f>IFERROR(IF(ISBLANK(Actuals!J106),"",('Original Budget'!J106-Actuals!J106)/ABS('Original Budget'!J106)),"")</f>
        <v/>
      </c>
      <c r="AH91" s="109">
        <f>'Original Budget'!K106</f>
        <v>0</v>
      </c>
      <c r="AI91" s="109" t="str">
        <f>IF(ISBLANK(Actuals!K106),"",Actuals!K106)</f>
        <v/>
      </c>
      <c r="AJ91" s="110" t="str">
        <f>IF(ISBLANK(Actuals!K106),"",'Original Budget'!K106-Actuals!K106)</f>
        <v/>
      </c>
      <c r="AK91" s="110" t="str">
        <f>IFERROR(IF(ISBLANK(Actuals!K106),"",('Original Budget'!K106-Actuals!K106)/ABS('Original Budget'!K106)),"")</f>
        <v/>
      </c>
      <c r="AL91" s="109">
        <f>'Original Budget'!L106</f>
        <v>0</v>
      </c>
      <c r="AM91" s="109" t="str">
        <f>IF(ISBLANK(Actuals!L106),"",Actuals!L106)</f>
        <v/>
      </c>
      <c r="AN91" s="110" t="str">
        <f>IF(ISBLANK(Actuals!L106),"",'Original Budget'!L106-Actuals!L106)</f>
        <v/>
      </c>
      <c r="AO91" s="110" t="str">
        <f>IFERROR(IF(ISBLANK(Actuals!L106),"",('Original Budget'!L106-Actuals!L106)/ABS('Original Budget'!L106)),"")</f>
        <v/>
      </c>
      <c r="AP91" s="109">
        <f>'Original Budget'!M106</f>
        <v>0</v>
      </c>
      <c r="AQ91" s="109" t="str">
        <f>IF(ISBLANK(Actuals!M106),"",Actuals!M106)</f>
        <v/>
      </c>
      <c r="AR91" s="110" t="str">
        <f>IF(ISBLANK(Actuals!M106),"",'Original Budget'!M106-Actuals!M106)</f>
        <v/>
      </c>
      <c r="AS91" s="110" t="str">
        <f>IFERROR(IF(ISBLANK(Actuals!M106),"",('Original Budget'!M106-Actuals!M106)/ABS('Original Budget'!M106)),"")</f>
        <v/>
      </c>
      <c r="AT91" s="109">
        <f>'Original Budget'!N106</f>
        <v>0</v>
      </c>
      <c r="AU91" s="109" t="str">
        <f>IF(ISBLANK(Actuals!N106),"",Actuals!N106)</f>
        <v/>
      </c>
      <c r="AV91" s="110" t="str">
        <f>IF(ISBLANK(Actuals!N106),"",'Original Budget'!N106-Actuals!N106)</f>
        <v/>
      </c>
      <c r="AW91" s="110" t="str">
        <f>IFERROR(IF(ISBLANK(Actuals!N106),"",('Original Budget'!N106-Actuals!N106)/ABS('Original Budget'!N106)),"")</f>
        <v/>
      </c>
      <c r="AX91" s="111">
        <f>SUMPRODUCT((Actuals!C106:N106&lt;&gt;"")*('Original Budget'!C106:N106))</f>
        <v>0</v>
      </c>
      <c r="AY91" s="111">
        <f>SUM(Actuals!C106:N106)</f>
        <v>0</v>
      </c>
      <c r="AZ91" s="112">
        <f t="shared" si="2"/>
        <v>0</v>
      </c>
    </row>
    <row r="92" spans="1:52" ht="15" customHeight="1" x14ac:dyDescent="0.25">
      <c r="A92" s="108" t="s">
        <v>126</v>
      </c>
      <c r="B92" s="109">
        <f>'Original Budget'!C107</f>
        <v>0</v>
      </c>
      <c r="C92" s="109" t="str">
        <f>IF(ISBLANK(Actuals!C107),"",Actuals!C107)</f>
        <v/>
      </c>
      <c r="D92" s="110" t="str">
        <f>IF(ISBLANK(Actuals!C107),"",'Original Budget'!C107-Actuals!C107)</f>
        <v/>
      </c>
      <c r="E92" s="110" t="str">
        <f>IFERROR(IF(ISBLANK(Actuals!C107),"",('Original Budget'!C107-Actuals!C107)/ABS('Original Budget'!C107)),"")</f>
        <v/>
      </c>
      <c r="F92" s="109">
        <f>'Original Budget'!D107</f>
        <v>0</v>
      </c>
      <c r="G92" s="109" t="str">
        <f>IF(ISBLANK(Actuals!D107),"",Actuals!D107)</f>
        <v/>
      </c>
      <c r="H92" s="110" t="str">
        <f>IF(ISBLANK(Actuals!D107),"",'Original Budget'!D107-Actuals!D107)</f>
        <v/>
      </c>
      <c r="I92" s="110" t="str">
        <f>IFERROR(IF(ISBLANK(Actuals!D107),"",('Original Budget'!D107-Actuals!D107)/ABS('Original Budget'!D107)),"")</f>
        <v/>
      </c>
      <c r="J92" s="109">
        <f>'Original Budget'!E107</f>
        <v>0</v>
      </c>
      <c r="K92" s="109" t="str">
        <f>IF(ISBLANK(Actuals!E107),"",Actuals!E107)</f>
        <v/>
      </c>
      <c r="L92" s="110" t="str">
        <f>IF(ISBLANK(Actuals!E107),"",'Original Budget'!E107-Actuals!E107)</f>
        <v/>
      </c>
      <c r="M92" s="110" t="str">
        <f>IFERROR(IF(ISBLANK(Actuals!E107),"",('Original Budget'!E107-Actuals!E107)/ABS('Original Budget'!E107)),"")</f>
        <v/>
      </c>
      <c r="N92" s="109">
        <f>'Original Budget'!F107</f>
        <v>0</v>
      </c>
      <c r="O92" s="109" t="str">
        <f>IF(ISBLANK(Actuals!F107),"",Actuals!F107)</f>
        <v/>
      </c>
      <c r="P92" s="110" t="str">
        <f>IF(ISBLANK(Actuals!F107),"",'Original Budget'!F107-Actuals!F107)</f>
        <v/>
      </c>
      <c r="Q92" s="110" t="str">
        <f>IFERROR(IF(ISBLANK(Actuals!F107),"",('Original Budget'!F107-Actuals!F107)/ABS('Original Budget'!F107)),"")</f>
        <v/>
      </c>
      <c r="R92" s="109">
        <f>'Original Budget'!G107</f>
        <v>0</v>
      </c>
      <c r="S92" s="109" t="str">
        <f>IF(ISBLANK(Actuals!G107),"",Actuals!G107)</f>
        <v/>
      </c>
      <c r="T92" s="110" t="str">
        <f>IF(ISBLANK(Actuals!G107),"",'Original Budget'!G107-Actuals!G107)</f>
        <v/>
      </c>
      <c r="U92" s="110" t="str">
        <f>IFERROR(IF(ISBLANK(Actuals!G107),"",('Original Budget'!G107-Actuals!G107)/ABS('Original Budget'!G107)),"")</f>
        <v/>
      </c>
      <c r="V92" s="109">
        <f>'Original Budget'!H107</f>
        <v>0</v>
      </c>
      <c r="W92" s="109" t="str">
        <f>IF(ISBLANK(Actuals!H107),"",Actuals!H107)</f>
        <v/>
      </c>
      <c r="X92" s="110" t="str">
        <f>IF(ISBLANK(Actuals!H107),"",'Original Budget'!H107-Actuals!H107)</f>
        <v/>
      </c>
      <c r="Y92" s="110" t="str">
        <f>IFERROR(IF(ISBLANK(Actuals!H107),"",('Original Budget'!H107-Actuals!H107)/ABS('Original Budget'!H107)),"")</f>
        <v/>
      </c>
      <c r="Z92" s="109">
        <f>'Original Budget'!I107</f>
        <v>0</v>
      </c>
      <c r="AA92" s="109" t="str">
        <f>IF(ISBLANK(Actuals!I107),"",Actuals!I107)</f>
        <v/>
      </c>
      <c r="AB92" s="110" t="str">
        <f>IF(ISBLANK(Actuals!I107),"",'Original Budget'!I107-Actuals!I107)</f>
        <v/>
      </c>
      <c r="AC92" s="110" t="str">
        <f>IFERROR(IF(ISBLANK(Actuals!I107),"",('Original Budget'!I107-Actuals!I107)/ABS('Original Budget'!I107)),"")</f>
        <v/>
      </c>
      <c r="AD92" s="109">
        <f>'Original Budget'!J107</f>
        <v>0</v>
      </c>
      <c r="AE92" s="109" t="str">
        <f>IF(ISBLANK(Actuals!J107),"",Actuals!J107)</f>
        <v/>
      </c>
      <c r="AF92" s="110" t="str">
        <f>IF(ISBLANK(Actuals!J107),"",'Original Budget'!J107-Actuals!J107)</f>
        <v/>
      </c>
      <c r="AG92" s="110" t="str">
        <f>IFERROR(IF(ISBLANK(Actuals!J107),"",('Original Budget'!J107-Actuals!J107)/ABS('Original Budget'!J107)),"")</f>
        <v/>
      </c>
      <c r="AH92" s="109">
        <f>'Original Budget'!K107</f>
        <v>0</v>
      </c>
      <c r="AI92" s="109" t="str">
        <f>IF(ISBLANK(Actuals!K107),"",Actuals!K107)</f>
        <v/>
      </c>
      <c r="AJ92" s="110" t="str">
        <f>IF(ISBLANK(Actuals!K107),"",'Original Budget'!K107-Actuals!K107)</f>
        <v/>
      </c>
      <c r="AK92" s="110" t="str">
        <f>IFERROR(IF(ISBLANK(Actuals!K107),"",('Original Budget'!K107-Actuals!K107)/ABS('Original Budget'!K107)),"")</f>
        <v/>
      </c>
      <c r="AL92" s="109">
        <f>'Original Budget'!L107</f>
        <v>0</v>
      </c>
      <c r="AM92" s="109" t="str">
        <f>IF(ISBLANK(Actuals!L107),"",Actuals!L107)</f>
        <v/>
      </c>
      <c r="AN92" s="110" t="str">
        <f>IF(ISBLANK(Actuals!L107),"",'Original Budget'!L107-Actuals!L107)</f>
        <v/>
      </c>
      <c r="AO92" s="110" t="str">
        <f>IFERROR(IF(ISBLANK(Actuals!L107),"",('Original Budget'!L107-Actuals!L107)/ABS('Original Budget'!L107)),"")</f>
        <v/>
      </c>
      <c r="AP92" s="109">
        <f>'Original Budget'!M107</f>
        <v>0</v>
      </c>
      <c r="AQ92" s="109" t="str">
        <f>IF(ISBLANK(Actuals!M107),"",Actuals!M107)</f>
        <v/>
      </c>
      <c r="AR92" s="110" t="str">
        <f>IF(ISBLANK(Actuals!M107),"",'Original Budget'!M107-Actuals!M107)</f>
        <v/>
      </c>
      <c r="AS92" s="110" t="str">
        <f>IFERROR(IF(ISBLANK(Actuals!M107),"",('Original Budget'!M107-Actuals!M107)/ABS('Original Budget'!M107)),"")</f>
        <v/>
      </c>
      <c r="AT92" s="109">
        <f>'Original Budget'!N107</f>
        <v>0</v>
      </c>
      <c r="AU92" s="109" t="str">
        <f>IF(ISBLANK(Actuals!N107),"",Actuals!N107)</f>
        <v/>
      </c>
      <c r="AV92" s="110" t="str">
        <f>IF(ISBLANK(Actuals!N107),"",'Original Budget'!N107-Actuals!N107)</f>
        <v/>
      </c>
      <c r="AW92" s="110" t="str">
        <f>IFERROR(IF(ISBLANK(Actuals!N107),"",('Original Budget'!N107-Actuals!N107)/ABS('Original Budget'!N107)),"")</f>
        <v/>
      </c>
      <c r="AX92" s="111">
        <f>SUMPRODUCT((Actuals!C107:N107&lt;&gt;"")*('Original Budget'!C107:N107))</f>
        <v>0</v>
      </c>
      <c r="AY92" s="111">
        <f>SUM(Actuals!C107:N107)</f>
        <v>0</v>
      </c>
      <c r="AZ92" s="112">
        <f t="shared" si="2"/>
        <v>0</v>
      </c>
    </row>
    <row r="93" spans="1:52" ht="15" customHeight="1" x14ac:dyDescent="0.25">
      <c r="A93" s="108" t="s">
        <v>127</v>
      </c>
      <c r="B93" s="109">
        <f>'Original Budget'!C108</f>
        <v>0</v>
      </c>
      <c r="C93" s="109" t="str">
        <f>IF(ISBLANK(Actuals!C108),"",Actuals!C108)</f>
        <v/>
      </c>
      <c r="D93" s="110" t="str">
        <f>IF(ISBLANK(Actuals!C108),"",'Original Budget'!C108-Actuals!C108)</f>
        <v/>
      </c>
      <c r="E93" s="110" t="str">
        <f>IFERROR(IF(ISBLANK(Actuals!C108),"",('Original Budget'!C108-Actuals!C108)/ABS('Original Budget'!C108)),"")</f>
        <v/>
      </c>
      <c r="F93" s="109">
        <f>'Original Budget'!D108</f>
        <v>0</v>
      </c>
      <c r="G93" s="109" t="str">
        <f>IF(ISBLANK(Actuals!D108),"",Actuals!D108)</f>
        <v/>
      </c>
      <c r="H93" s="110" t="str">
        <f>IF(ISBLANK(Actuals!D108),"",'Original Budget'!D108-Actuals!D108)</f>
        <v/>
      </c>
      <c r="I93" s="110" t="str">
        <f>IFERROR(IF(ISBLANK(Actuals!D108),"",('Original Budget'!D108-Actuals!D108)/ABS('Original Budget'!D108)),"")</f>
        <v/>
      </c>
      <c r="J93" s="109">
        <f>'Original Budget'!E108</f>
        <v>0</v>
      </c>
      <c r="K93" s="109" t="str">
        <f>IF(ISBLANK(Actuals!E108),"",Actuals!E108)</f>
        <v/>
      </c>
      <c r="L93" s="110" t="str">
        <f>IF(ISBLANK(Actuals!E108),"",'Original Budget'!E108-Actuals!E108)</f>
        <v/>
      </c>
      <c r="M93" s="110" t="str">
        <f>IFERROR(IF(ISBLANK(Actuals!E108),"",('Original Budget'!E108-Actuals!E108)/ABS('Original Budget'!E108)),"")</f>
        <v/>
      </c>
      <c r="N93" s="109">
        <f>'Original Budget'!F108</f>
        <v>0</v>
      </c>
      <c r="O93" s="109" t="str">
        <f>IF(ISBLANK(Actuals!F108),"",Actuals!F108)</f>
        <v/>
      </c>
      <c r="P93" s="110" t="str">
        <f>IF(ISBLANK(Actuals!F108),"",'Original Budget'!F108-Actuals!F108)</f>
        <v/>
      </c>
      <c r="Q93" s="110" t="str">
        <f>IFERROR(IF(ISBLANK(Actuals!F108),"",('Original Budget'!F108-Actuals!F108)/ABS('Original Budget'!F108)),"")</f>
        <v/>
      </c>
      <c r="R93" s="109">
        <f>'Original Budget'!G108</f>
        <v>0</v>
      </c>
      <c r="S93" s="109" t="str">
        <f>IF(ISBLANK(Actuals!G108),"",Actuals!G108)</f>
        <v/>
      </c>
      <c r="T93" s="110" t="str">
        <f>IF(ISBLANK(Actuals!G108),"",'Original Budget'!G108-Actuals!G108)</f>
        <v/>
      </c>
      <c r="U93" s="110" t="str">
        <f>IFERROR(IF(ISBLANK(Actuals!G108),"",('Original Budget'!G108-Actuals!G108)/ABS('Original Budget'!G108)),"")</f>
        <v/>
      </c>
      <c r="V93" s="109">
        <f>'Original Budget'!H108</f>
        <v>0</v>
      </c>
      <c r="W93" s="109" t="str">
        <f>IF(ISBLANK(Actuals!H108),"",Actuals!H108)</f>
        <v/>
      </c>
      <c r="X93" s="110" t="str">
        <f>IF(ISBLANK(Actuals!H108),"",'Original Budget'!H108-Actuals!H108)</f>
        <v/>
      </c>
      <c r="Y93" s="110" t="str">
        <f>IFERROR(IF(ISBLANK(Actuals!H108),"",('Original Budget'!H108-Actuals!H108)/ABS('Original Budget'!H108)),"")</f>
        <v/>
      </c>
      <c r="Z93" s="109">
        <f>'Original Budget'!I108</f>
        <v>0</v>
      </c>
      <c r="AA93" s="109" t="str">
        <f>IF(ISBLANK(Actuals!I108),"",Actuals!I108)</f>
        <v/>
      </c>
      <c r="AB93" s="110" t="str">
        <f>IF(ISBLANK(Actuals!I108),"",'Original Budget'!I108-Actuals!I108)</f>
        <v/>
      </c>
      <c r="AC93" s="110" t="str">
        <f>IFERROR(IF(ISBLANK(Actuals!I108),"",('Original Budget'!I108-Actuals!I108)/ABS('Original Budget'!I108)),"")</f>
        <v/>
      </c>
      <c r="AD93" s="109">
        <f>'Original Budget'!J108</f>
        <v>0</v>
      </c>
      <c r="AE93" s="109" t="str">
        <f>IF(ISBLANK(Actuals!J108),"",Actuals!J108)</f>
        <v/>
      </c>
      <c r="AF93" s="110" t="str">
        <f>IF(ISBLANK(Actuals!J108),"",'Original Budget'!J108-Actuals!J108)</f>
        <v/>
      </c>
      <c r="AG93" s="110" t="str">
        <f>IFERROR(IF(ISBLANK(Actuals!J108),"",('Original Budget'!J108-Actuals!J108)/ABS('Original Budget'!J108)),"")</f>
        <v/>
      </c>
      <c r="AH93" s="109">
        <f>'Original Budget'!K108</f>
        <v>0</v>
      </c>
      <c r="AI93" s="109" t="str">
        <f>IF(ISBLANK(Actuals!K108),"",Actuals!K108)</f>
        <v/>
      </c>
      <c r="AJ93" s="110" t="str">
        <f>IF(ISBLANK(Actuals!K108),"",'Original Budget'!K108-Actuals!K108)</f>
        <v/>
      </c>
      <c r="AK93" s="110" t="str">
        <f>IFERROR(IF(ISBLANK(Actuals!K108),"",('Original Budget'!K108-Actuals!K108)/ABS('Original Budget'!K108)),"")</f>
        <v/>
      </c>
      <c r="AL93" s="109">
        <f>'Original Budget'!L108</f>
        <v>0</v>
      </c>
      <c r="AM93" s="109" t="str">
        <f>IF(ISBLANK(Actuals!L108),"",Actuals!L108)</f>
        <v/>
      </c>
      <c r="AN93" s="110" t="str">
        <f>IF(ISBLANK(Actuals!L108),"",'Original Budget'!L108-Actuals!L108)</f>
        <v/>
      </c>
      <c r="AO93" s="110" t="str">
        <f>IFERROR(IF(ISBLANK(Actuals!L108),"",('Original Budget'!L108-Actuals!L108)/ABS('Original Budget'!L108)),"")</f>
        <v/>
      </c>
      <c r="AP93" s="109">
        <f>'Original Budget'!M108</f>
        <v>0</v>
      </c>
      <c r="AQ93" s="109" t="str">
        <f>IF(ISBLANK(Actuals!M108),"",Actuals!M108)</f>
        <v/>
      </c>
      <c r="AR93" s="110" t="str">
        <f>IF(ISBLANK(Actuals!M108),"",'Original Budget'!M108-Actuals!M108)</f>
        <v/>
      </c>
      <c r="AS93" s="110" t="str">
        <f>IFERROR(IF(ISBLANK(Actuals!M108),"",('Original Budget'!M108-Actuals!M108)/ABS('Original Budget'!M108)),"")</f>
        <v/>
      </c>
      <c r="AT93" s="109">
        <f>'Original Budget'!N108</f>
        <v>0</v>
      </c>
      <c r="AU93" s="109" t="str">
        <f>IF(ISBLANK(Actuals!N108),"",Actuals!N108)</f>
        <v/>
      </c>
      <c r="AV93" s="110" t="str">
        <f>IF(ISBLANK(Actuals!N108),"",'Original Budget'!N108-Actuals!N108)</f>
        <v/>
      </c>
      <c r="AW93" s="110" t="str">
        <f>IFERROR(IF(ISBLANK(Actuals!N108),"",('Original Budget'!N108-Actuals!N108)/ABS('Original Budget'!N108)),"")</f>
        <v/>
      </c>
      <c r="AX93" s="111">
        <f>SUMPRODUCT((Actuals!C108:N108&lt;&gt;"")*('Original Budget'!C108:N108))</f>
        <v>0</v>
      </c>
      <c r="AY93" s="111">
        <f>SUM(Actuals!C108:N108)</f>
        <v>0</v>
      </c>
      <c r="AZ93" s="112">
        <f t="shared" si="2"/>
        <v>0</v>
      </c>
    </row>
    <row r="94" spans="1:52" ht="15" customHeight="1" x14ac:dyDescent="0.25">
      <c r="A94" s="108" t="s">
        <v>128</v>
      </c>
      <c r="B94" s="109">
        <f>'Original Budget'!C109</f>
        <v>0</v>
      </c>
      <c r="C94" s="109" t="str">
        <f>IF(ISBLANK(Actuals!C109),"",Actuals!C109)</f>
        <v/>
      </c>
      <c r="D94" s="110" t="str">
        <f>IF(ISBLANK(Actuals!C109),"",'Original Budget'!C109-Actuals!C109)</f>
        <v/>
      </c>
      <c r="E94" s="110" t="str">
        <f>IFERROR(IF(ISBLANK(Actuals!C109),"",('Original Budget'!C109-Actuals!C109)/ABS('Original Budget'!C109)),"")</f>
        <v/>
      </c>
      <c r="F94" s="109">
        <f>'Original Budget'!D109</f>
        <v>0</v>
      </c>
      <c r="G94" s="109" t="str">
        <f>IF(ISBLANK(Actuals!D109),"",Actuals!D109)</f>
        <v/>
      </c>
      <c r="H94" s="110" t="str">
        <f>IF(ISBLANK(Actuals!D109),"",'Original Budget'!D109-Actuals!D109)</f>
        <v/>
      </c>
      <c r="I94" s="110" t="str">
        <f>IFERROR(IF(ISBLANK(Actuals!D109),"",('Original Budget'!D109-Actuals!D109)/ABS('Original Budget'!D109)),"")</f>
        <v/>
      </c>
      <c r="J94" s="109">
        <f>'Original Budget'!E109</f>
        <v>0</v>
      </c>
      <c r="K94" s="109" t="str">
        <f>IF(ISBLANK(Actuals!E109),"",Actuals!E109)</f>
        <v/>
      </c>
      <c r="L94" s="110" t="str">
        <f>IF(ISBLANK(Actuals!E109),"",'Original Budget'!E109-Actuals!E109)</f>
        <v/>
      </c>
      <c r="M94" s="110" t="str">
        <f>IFERROR(IF(ISBLANK(Actuals!E109),"",('Original Budget'!E109-Actuals!E109)/ABS('Original Budget'!E109)),"")</f>
        <v/>
      </c>
      <c r="N94" s="109">
        <f>'Original Budget'!F109</f>
        <v>0</v>
      </c>
      <c r="O94" s="109" t="str">
        <f>IF(ISBLANK(Actuals!F109),"",Actuals!F109)</f>
        <v/>
      </c>
      <c r="P94" s="110" t="str">
        <f>IF(ISBLANK(Actuals!F109),"",'Original Budget'!F109-Actuals!F109)</f>
        <v/>
      </c>
      <c r="Q94" s="110" t="str">
        <f>IFERROR(IF(ISBLANK(Actuals!F109),"",('Original Budget'!F109-Actuals!F109)/ABS('Original Budget'!F109)),"")</f>
        <v/>
      </c>
      <c r="R94" s="109">
        <f>'Original Budget'!G109</f>
        <v>0</v>
      </c>
      <c r="S94" s="109" t="str">
        <f>IF(ISBLANK(Actuals!G109),"",Actuals!G109)</f>
        <v/>
      </c>
      <c r="T94" s="110" t="str">
        <f>IF(ISBLANK(Actuals!G109),"",'Original Budget'!G109-Actuals!G109)</f>
        <v/>
      </c>
      <c r="U94" s="110" t="str">
        <f>IFERROR(IF(ISBLANK(Actuals!G109),"",('Original Budget'!G109-Actuals!G109)/ABS('Original Budget'!G109)),"")</f>
        <v/>
      </c>
      <c r="V94" s="109">
        <f>'Original Budget'!H109</f>
        <v>0</v>
      </c>
      <c r="W94" s="109" t="str">
        <f>IF(ISBLANK(Actuals!H109),"",Actuals!H109)</f>
        <v/>
      </c>
      <c r="X94" s="110" t="str">
        <f>IF(ISBLANK(Actuals!H109),"",'Original Budget'!H109-Actuals!H109)</f>
        <v/>
      </c>
      <c r="Y94" s="110" t="str">
        <f>IFERROR(IF(ISBLANK(Actuals!H109),"",('Original Budget'!H109-Actuals!H109)/ABS('Original Budget'!H109)),"")</f>
        <v/>
      </c>
      <c r="Z94" s="109">
        <f>'Original Budget'!I109</f>
        <v>0</v>
      </c>
      <c r="AA94" s="109" t="str">
        <f>IF(ISBLANK(Actuals!I109),"",Actuals!I109)</f>
        <v/>
      </c>
      <c r="AB94" s="110" t="str">
        <f>IF(ISBLANK(Actuals!I109),"",'Original Budget'!I109-Actuals!I109)</f>
        <v/>
      </c>
      <c r="AC94" s="110" t="str">
        <f>IFERROR(IF(ISBLANK(Actuals!I109),"",('Original Budget'!I109-Actuals!I109)/ABS('Original Budget'!I109)),"")</f>
        <v/>
      </c>
      <c r="AD94" s="109">
        <f>'Original Budget'!J109</f>
        <v>0</v>
      </c>
      <c r="AE94" s="109" t="str">
        <f>IF(ISBLANK(Actuals!J109),"",Actuals!J109)</f>
        <v/>
      </c>
      <c r="AF94" s="110" t="str">
        <f>IF(ISBLANK(Actuals!J109),"",'Original Budget'!J109-Actuals!J109)</f>
        <v/>
      </c>
      <c r="AG94" s="110" t="str">
        <f>IFERROR(IF(ISBLANK(Actuals!J109),"",('Original Budget'!J109-Actuals!J109)/ABS('Original Budget'!J109)),"")</f>
        <v/>
      </c>
      <c r="AH94" s="109">
        <f>'Original Budget'!K109</f>
        <v>0</v>
      </c>
      <c r="AI94" s="109" t="str">
        <f>IF(ISBLANK(Actuals!K109),"",Actuals!K109)</f>
        <v/>
      </c>
      <c r="AJ94" s="110" t="str">
        <f>IF(ISBLANK(Actuals!K109),"",'Original Budget'!K109-Actuals!K109)</f>
        <v/>
      </c>
      <c r="AK94" s="110" t="str">
        <f>IFERROR(IF(ISBLANK(Actuals!K109),"",('Original Budget'!K109-Actuals!K109)/ABS('Original Budget'!K109)),"")</f>
        <v/>
      </c>
      <c r="AL94" s="109">
        <f>'Original Budget'!L109</f>
        <v>0</v>
      </c>
      <c r="AM94" s="109" t="str">
        <f>IF(ISBLANK(Actuals!L109),"",Actuals!L109)</f>
        <v/>
      </c>
      <c r="AN94" s="110" t="str">
        <f>IF(ISBLANK(Actuals!L109),"",'Original Budget'!L109-Actuals!L109)</f>
        <v/>
      </c>
      <c r="AO94" s="110" t="str">
        <f>IFERROR(IF(ISBLANK(Actuals!L109),"",('Original Budget'!L109-Actuals!L109)/ABS('Original Budget'!L109)),"")</f>
        <v/>
      </c>
      <c r="AP94" s="109">
        <f>'Original Budget'!M109</f>
        <v>0</v>
      </c>
      <c r="AQ94" s="109" t="str">
        <f>IF(ISBLANK(Actuals!M109),"",Actuals!M109)</f>
        <v/>
      </c>
      <c r="AR94" s="110" t="str">
        <f>IF(ISBLANK(Actuals!M109),"",'Original Budget'!M109-Actuals!M109)</f>
        <v/>
      </c>
      <c r="AS94" s="110" t="str">
        <f>IFERROR(IF(ISBLANK(Actuals!M109),"",('Original Budget'!M109-Actuals!M109)/ABS('Original Budget'!M109)),"")</f>
        <v/>
      </c>
      <c r="AT94" s="109">
        <f>'Original Budget'!N109</f>
        <v>0</v>
      </c>
      <c r="AU94" s="109" t="str">
        <f>IF(ISBLANK(Actuals!N109),"",Actuals!N109)</f>
        <v/>
      </c>
      <c r="AV94" s="110" t="str">
        <f>IF(ISBLANK(Actuals!N109),"",'Original Budget'!N109-Actuals!N109)</f>
        <v/>
      </c>
      <c r="AW94" s="110" t="str">
        <f>IFERROR(IF(ISBLANK(Actuals!N109),"",('Original Budget'!N109-Actuals!N109)/ABS('Original Budget'!N109)),"")</f>
        <v/>
      </c>
      <c r="AX94" s="111">
        <f>SUMPRODUCT((Actuals!C109:N109&lt;&gt;"")*('Original Budget'!C109:N109))</f>
        <v>0</v>
      </c>
      <c r="AY94" s="111">
        <f>SUM(Actuals!C109:N109)</f>
        <v>0</v>
      </c>
      <c r="AZ94" s="112">
        <f t="shared" si="2"/>
        <v>0</v>
      </c>
    </row>
    <row r="95" spans="1:52" ht="15" customHeight="1" x14ac:dyDescent="0.25">
      <c r="B95" s="336"/>
      <c r="C95" s="336"/>
      <c r="D95" s="336"/>
      <c r="E95" s="336"/>
      <c r="F95" s="336"/>
      <c r="G95" s="336"/>
      <c r="H95" s="336"/>
      <c r="I95" s="336"/>
      <c r="J95" s="336"/>
      <c r="K95" s="336"/>
      <c r="L95" s="336"/>
      <c r="M95" s="336"/>
      <c r="N95" s="336"/>
      <c r="O95" s="336"/>
      <c r="P95" s="336"/>
      <c r="Q95" s="336"/>
      <c r="R95" s="336"/>
      <c r="S95" s="336"/>
      <c r="T95" s="336"/>
      <c r="U95" s="336"/>
      <c r="V95" s="336"/>
      <c r="W95" s="336"/>
      <c r="X95" s="336"/>
      <c r="Y95" s="336"/>
      <c r="Z95" s="336"/>
      <c r="AA95" s="336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</row>
    <row r="96" spans="1:52" ht="15" customHeight="1" x14ac:dyDescent="0.25">
      <c r="A96" s="113" t="s">
        <v>260</v>
      </c>
      <c r="B96" s="114">
        <f>SUMIFS(B6:B94,B6:B94,"&lt;&gt;")</f>
        <v>8985.5100000001185</v>
      </c>
      <c r="C96" s="114">
        <f>SUMIFS(C6:C94,C6:C94,"&lt;&gt;")</f>
        <v>8985.5100000001185</v>
      </c>
      <c r="D96" s="114">
        <f>SUMIFS(D6:D94,D6:D94,"&lt;&gt;")</f>
        <v>0</v>
      </c>
      <c r="E96" s="114"/>
      <c r="F96" s="114">
        <f>SUMIFS(F6:F94,F6:F94,"&lt;&gt;")</f>
        <v>-153210.22999999957</v>
      </c>
      <c r="G96" s="114">
        <f>SUMIFS(G6:G94,G6:G94,"&lt;&gt;")</f>
        <v>-153210.22999999957</v>
      </c>
      <c r="H96" s="114">
        <f>SUMIFS(H6:H94,H6:H94,"&lt;&gt;")</f>
        <v>0</v>
      </c>
      <c r="I96" s="114"/>
      <c r="J96" s="114">
        <f>SUMIFS(J6:J94,J6:J94,"&lt;&gt;")</f>
        <v>305647.78000000026</v>
      </c>
      <c r="K96" s="114">
        <f>SUMIFS(K6:K94,K6:K94,"&lt;&gt;")</f>
        <v>305647.78000000026</v>
      </c>
      <c r="L96" s="114">
        <f>SUMIFS(L6:L94,L6:L94,"&lt;&gt;")</f>
        <v>0</v>
      </c>
      <c r="M96" s="114"/>
      <c r="N96" s="114">
        <f>SUMIFS(N6:N94,N6:N94,"&lt;&gt;")</f>
        <v>511603.06250853301</v>
      </c>
      <c r="O96" s="114">
        <f>SUMIFS(O6:O94,O6:O94,"&lt;&gt;")</f>
        <v>596272.33000000007</v>
      </c>
      <c r="P96" s="114">
        <f>SUMIFS(P6:P94,P6:P94,"&lt;&gt;")</f>
        <v>-94169.267491466642</v>
      </c>
      <c r="Q96" s="114"/>
      <c r="R96" s="114">
        <f>SUMIFS(R6:R94,R6:R94,"&lt;&gt;")</f>
        <v>439205.14584185585</v>
      </c>
      <c r="S96" s="114">
        <f>SUMIFS(S6:S94,S6:S94,"&lt;&gt;")</f>
        <v>0</v>
      </c>
      <c r="T96" s="114">
        <f>SUMIFS(T6:T94,T6:T94,"&lt;&gt;")</f>
        <v>0</v>
      </c>
      <c r="U96" s="114"/>
      <c r="V96" s="114">
        <f>SUMIFS(V6:V94,V6:V94,"&lt;&gt;")</f>
        <v>409830.14584185637</v>
      </c>
      <c r="W96" s="114">
        <f>SUMIFS(W6:W94,W6:W94,"&lt;&gt;")</f>
        <v>0</v>
      </c>
      <c r="X96" s="114">
        <f>SUMIFS(X6:X94,X6:X94,"&lt;&gt;")</f>
        <v>0</v>
      </c>
      <c r="Y96" s="114"/>
      <c r="Z96" s="114">
        <f>SUMIFS(Z6:Z94,Z6:Z94,"&lt;&gt;")</f>
        <v>1077110.4307758291</v>
      </c>
      <c r="AA96" s="114">
        <f>SUMIFS(AA6:AA94,AA6:AA94,"&lt;&gt;")</f>
        <v>0</v>
      </c>
      <c r="AB96" s="114">
        <f>SUMIFS(AB6:AB94,AB6:AB94,"&lt;&gt;")</f>
        <v>0</v>
      </c>
      <c r="AC96" s="114"/>
      <c r="AD96" s="114">
        <f>SUMIFS(AD6:AD94,AD6:AD94,"&lt;&gt;")</f>
        <v>770050.22597582964</v>
      </c>
      <c r="AE96" s="114">
        <f>SUMIFS(AE6:AE94,AE6:AE94,"&lt;&gt;")</f>
        <v>0</v>
      </c>
      <c r="AF96" s="114">
        <f>SUMIFS(AF6:AF94,AF6:AF94,"&lt;&gt;")</f>
        <v>0</v>
      </c>
      <c r="AG96" s="114"/>
      <c r="AH96" s="114">
        <f>SUMIFS(AH6:AH94,AH6:AH94,"&lt;&gt;")</f>
        <v>769216.89597582968</v>
      </c>
      <c r="AI96" s="114">
        <f>SUMIFS(AI6:AI94,AI6:AI94,"&lt;&gt;")</f>
        <v>0</v>
      </c>
      <c r="AJ96" s="114">
        <f>SUMIFS(AJ6:AJ94,AJ6:AJ94,"&lt;&gt;")</f>
        <v>0</v>
      </c>
      <c r="AK96" s="114"/>
      <c r="AL96" s="114">
        <f>SUMIFS(AL6:AL94,AL6:AL94,"&lt;&gt;")</f>
        <v>1216695.2219137207</v>
      </c>
      <c r="AM96" s="114">
        <f>SUMIFS(AM6:AM94,AM6:AM94,"&lt;&gt;")</f>
        <v>0</v>
      </c>
      <c r="AN96" s="114">
        <f>SUMIFS(AN6:AN94,AN6:AN94,"&lt;&gt;")</f>
        <v>0</v>
      </c>
      <c r="AO96" s="114"/>
      <c r="AP96" s="114">
        <f>SUMIFS(AP6:AP94,AP6:AP94,"&lt;&gt;")</f>
        <v>1382547.1899284862</v>
      </c>
      <c r="AQ96" s="114">
        <f>SUMIFS(AQ6:AQ94,AQ6:AQ94,"&lt;&gt;")</f>
        <v>0</v>
      </c>
      <c r="AR96" s="114">
        <f>SUMIFS(AR6:AR94,AR6:AR94,"&lt;&gt;")</f>
        <v>0</v>
      </c>
      <c r="AS96" s="114"/>
      <c r="AT96" s="114">
        <f>SUMIFS(AT6:AT94,AT6:AT94,"&lt;&gt;")</f>
        <v>985398.89975630317</v>
      </c>
      <c r="AU96" s="114">
        <f>SUMIFS(AU6:AU94,AU6:AU94,"&lt;&gt;")</f>
        <v>0</v>
      </c>
      <c r="AV96" s="114">
        <f>SUMIFS(AV6:AV94,AV6:AV94,"&lt;&gt;")</f>
        <v>0</v>
      </c>
      <c r="AW96" s="114"/>
      <c r="AX96" s="114">
        <f>SUM(AX6:AX94)</f>
        <v>663526.12250853411</v>
      </c>
      <c r="AY96" s="114">
        <f>SUM(AY6:AY94)</f>
        <v>757695.38999999955</v>
      </c>
      <c r="AZ96" s="114">
        <f>SUM(AZ6:AZ94)</f>
        <v>-94169.267491465798</v>
      </c>
    </row>
    <row r="97" spans="2:52" ht="15" customHeight="1" x14ac:dyDescent="0.25"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7"/>
      <c r="AI97" s="337"/>
      <c r="AJ97" s="337"/>
      <c r="AK97" s="337"/>
      <c r="AL97" s="337"/>
      <c r="AM97" s="337"/>
      <c r="AN97" s="337"/>
      <c r="AO97" s="337"/>
      <c r="AP97" s="337"/>
      <c r="AQ97" s="337"/>
      <c r="AR97" s="337"/>
      <c r="AS97" s="337"/>
      <c r="AT97" s="337"/>
      <c r="AU97" s="337"/>
      <c r="AV97" s="337"/>
      <c r="AW97" s="337"/>
      <c r="AX97" s="337"/>
      <c r="AY97" s="337"/>
      <c r="AZ97" s="337"/>
    </row>
    <row r="98" spans="2:52" ht="15" customHeight="1" x14ac:dyDescent="0.25">
      <c r="B98" s="337"/>
      <c r="C98" s="337"/>
      <c r="D98" s="337"/>
      <c r="E98" s="337"/>
      <c r="F98" s="337"/>
      <c r="G98" s="337"/>
      <c r="H98" s="337"/>
      <c r="I98" s="337"/>
      <c r="J98" s="337"/>
      <c r="K98" s="337"/>
      <c r="L98" s="337"/>
      <c r="M98" s="337"/>
      <c r="N98" s="337"/>
      <c r="O98" s="337"/>
      <c r="P98" s="337"/>
      <c r="Q98" s="337"/>
      <c r="R98" s="337"/>
      <c r="S98" s="337"/>
      <c r="T98" s="337"/>
      <c r="U98" s="337"/>
      <c r="V98" s="337"/>
      <c r="W98" s="337"/>
      <c r="X98" s="337"/>
      <c r="Y98" s="337"/>
      <c r="Z98" s="337"/>
      <c r="AA98" s="337"/>
      <c r="AB98" s="337"/>
      <c r="AC98" s="337"/>
      <c r="AD98" s="337"/>
      <c r="AE98" s="337"/>
      <c r="AF98" s="337"/>
      <c r="AG98" s="337"/>
      <c r="AH98" s="337"/>
      <c r="AI98" s="337"/>
      <c r="AJ98" s="337"/>
      <c r="AK98" s="337"/>
      <c r="AL98" s="337"/>
      <c r="AM98" s="337"/>
      <c r="AN98" s="337"/>
      <c r="AO98" s="337"/>
      <c r="AP98" s="337"/>
      <c r="AQ98" s="337"/>
      <c r="AR98" s="337"/>
      <c r="AS98" s="337"/>
      <c r="AT98" s="337"/>
      <c r="AU98" s="337"/>
      <c r="AV98" s="337"/>
      <c r="AW98" s="337"/>
      <c r="AX98" s="337"/>
      <c r="AY98" s="337"/>
      <c r="AZ98" s="337"/>
    </row>
    <row r="99" spans="2:52" ht="15" customHeight="1" x14ac:dyDescent="0.25">
      <c r="B99" s="337"/>
      <c r="C99" s="337"/>
      <c r="D99" s="337"/>
      <c r="E99" s="337"/>
      <c r="F99" s="337"/>
      <c r="G99" s="337"/>
      <c r="H99" s="337"/>
      <c r="I99" s="337"/>
      <c r="J99" s="337"/>
      <c r="K99" s="337"/>
      <c r="L99" s="337"/>
      <c r="M99" s="337"/>
      <c r="N99" s="337"/>
      <c r="O99" s="337"/>
      <c r="P99" s="337"/>
      <c r="Q99" s="337"/>
      <c r="R99" s="337"/>
      <c r="S99" s="337"/>
      <c r="T99" s="337"/>
      <c r="U99" s="337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  <c r="AN99" s="337"/>
      <c r="AO99" s="337"/>
      <c r="AP99" s="337"/>
      <c r="AQ99" s="337"/>
      <c r="AR99" s="337"/>
      <c r="AS99" s="337"/>
      <c r="AT99" s="337"/>
      <c r="AU99" s="337"/>
      <c r="AV99" s="337"/>
      <c r="AW99" s="337"/>
      <c r="AX99" s="337"/>
      <c r="AY99" s="337"/>
      <c r="AZ99" s="337"/>
    </row>
    <row r="100" spans="2:52" ht="15" customHeight="1" x14ac:dyDescent="0.25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37"/>
      <c r="Z100" s="337"/>
      <c r="AA100" s="337"/>
      <c r="AB100" s="337"/>
      <c r="AC100" s="337"/>
      <c r="AD100" s="337"/>
      <c r="AE100" s="337"/>
      <c r="AF100" s="337"/>
      <c r="AG100" s="337"/>
      <c r="AH100" s="337"/>
      <c r="AI100" s="337"/>
      <c r="AJ100" s="337"/>
      <c r="AK100" s="337"/>
      <c r="AL100" s="337"/>
      <c r="AM100" s="337"/>
      <c r="AN100" s="337"/>
      <c r="AO100" s="337"/>
      <c r="AP100" s="337"/>
      <c r="AQ100" s="337"/>
      <c r="AR100" s="337"/>
      <c r="AS100" s="337"/>
      <c r="AT100" s="337"/>
      <c r="AU100" s="337"/>
      <c r="AV100" s="337"/>
      <c r="AW100" s="337"/>
      <c r="AX100" s="337"/>
      <c r="AY100" s="337"/>
      <c r="AZ100" s="337"/>
    </row>
    <row r="101" spans="2:52" ht="15" customHeight="1" x14ac:dyDescent="0.25">
      <c r="B101" s="337"/>
      <c r="C101" s="337"/>
      <c r="D101" s="337"/>
      <c r="E101" s="337"/>
      <c r="F101" s="337"/>
      <c r="G101" s="337"/>
      <c r="H101" s="337"/>
      <c r="I101" s="337"/>
      <c r="J101" s="337"/>
      <c r="K101" s="337"/>
      <c r="L101" s="337"/>
      <c r="M101" s="337"/>
      <c r="N101" s="337"/>
      <c r="O101" s="337"/>
      <c r="P101" s="337"/>
      <c r="Q101" s="337"/>
      <c r="R101" s="337"/>
      <c r="S101" s="337"/>
      <c r="T101" s="337"/>
      <c r="U101" s="337"/>
      <c r="V101" s="337"/>
      <c r="W101" s="337"/>
      <c r="X101" s="337"/>
      <c r="Y101" s="337"/>
      <c r="Z101" s="337"/>
      <c r="AA101" s="337"/>
      <c r="AB101" s="337"/>
      <c r="AC101" s="337"/>
      <c r="AD101" s="337"/>
      <c r="AE101" s="337"/>
      <c r="AF101" s="337"/>
      <c r="AG101" s="337"/>
      <c r="AH101" s="337"/>
      <c r="AI101" s="337"/>
      <c r="AJ101" s="337"/>
      <c r="AK101" s="337"/>
      <c r="AL101" s="337"/>
      <c r="AM101" s="337"/>
      <c r="AN101" s="337"/>
      <c r="AO101" s="337"/>
      <c r="AP101" s="337"/>
      <c r="AQ101" s="337"/>
      <c r="AR101" s="337"/>
      <c r="AS101" s="337"/>
      <c r="AT101" s="337"/>
      <c r="AU101" s="337"/>
      <c r="AV101" s="337"/>
      <c r="AW101" s="337"/>
      <c r="AX101" s="337"/>
      <c r="AY101" s="337"/>
      <c r="AZ101" s="337"/>
    </row>
    <row r="102" spans="2:52" ht="15" customHeight="1" x14ac:dyDescent="0.25">
      <c r="B102" s="337"/>
      <c r="C102" s="337"/>
      <c r="D102" s="337"/>
      <c r="E102" s="337"/>
      <c r="F102" s="337"/>
      <c r="G102" s="337"/>
      <c r="H102" s="337"/>
      <c r="I102" s="337"/>
      <c r="J102" s="337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7"/>
      <c r="AI102" s="337"/>
      <c r="AJ102" s="337"/>
      <c r="AK102" s="337"/>
      <c r="AL102" s="337"/>
      <c r="AM102" s="337"/>
      <c r="AN102" s="337"/>
      <c r="AO102" s="337"/>
      <c r="AP102" s="337"/>
      <c r="AQ102" s="337"/>
      <c r="AR102" s="337"/>
      <c r="AS102" s="337"/>
      <c r="AT102" s="337"/>
      <c r="AU102" s="337"/>
      <c r="AV102" s="337"/>
      <c r="AW102" s="337"/>
      <c r="AX102" s="337"/>
      <c r="AY102" s="337"/>
      <c r="AZ102" s="337"/>
    </row>
    <row r="103" spans="2:52" ht="15" customHeight="1" x14ac:dyDescent="0.25"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  <c r="Q103" s="337"/>
      <c r="R103" s="337"/>
      <c r="S103" s="337"/>
      <c r="T103" s="337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337"/>
      <c r="AL103" s="337"/>
      <c r="AM103" s="337"/>
      <c r="AN103" s="337"/>
      <c r="AO103" s="337"/>
      <c r="AP103" s="337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</row>
    <row r="104" spans="2:52" ht="15" customHeight="1" x14ac:dyDescent="0.25">
      <c r="B104" s="337"/>
      <c r="C104" s="337"/>
      <c r="D104" s="337"/>
      <c r="E104" s="337"/>
      <c r="F104" s="337"/>
      <c r="G104" s="337"/>
      <c r="H104" s="337"/>
      <c r="I104" s="337"/>
      <c r="J104" s="337"/>
      <c r="K104" s="337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37"/>
      <c r="AE104" s="337"/>
      <c r="AF104" s="337"/>
      <c r="AG104" s="337"/>
      <c r="AH104" s="337"/>
      <c r="AI104" s="337"/>
      <c r="AJ104" s="337"/>
      <c r="AK104" s="337"/>
      <c r="AL104" s="337"/>
      <c r="AM104" s="337"/>
      <c r="AN104" s="337"/>
      <c r="AO104" s="337"/>
      <c r="AP104" s="337"/>
      <c r="AQ104" s="337"/>
      <c r="AR104" s="337"/>
      <c r="AS104" s="337"/>
      <c r="AT104" s="337"/>
      <c r="AU104" s="337"/>
      <c r="AV104" s="337"/>
      <c r="AW104" s="337"/>
      <c r="AX104" s="337"/>
      <c r="AY104" s="337"/>
      <c r="AZ104" s="337"/>
    </row>
    <row r="105" spans="2:52" ht="15" customHeight="1" x14ac:dyDescent="0.25">
      <c r="B105" s="337"/>
      <c r="C105" s="337"/>
      <c r="D105" s="337"/>
      <c r="E105" s="337"/>
      <c r="F105" s="337"/>
      <c r="G105" s="337"/>
      <c r="H105" s="337"/>
      <c r="I105" s="337"/>
      <c r="J105" s="337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7"/>
      <c r="AI105" s="337"/>
      <c r="AJ105" s="337"/>
      <c r="AK105" s="337"/>
      <c r="AL105" s="337"/>
      <c r="AM105" s="337"/>
      <c r="AN105" s="337"/>
      <c r="AO105" s="337"/>
      <c r="AP105" s="337"/>
      <c r="AQ105" s="337"/>
      <c r="AR105" s="337"/>
      <c r="AS105" s="337"/>
      <c r="AT105" s="337"/>
      <c r="AU105" s="337"/>
      <c r="AV105" s="337"/>
      <c r="AW105" s="337"/>
      <c r="AX105" s="337"/>
      <c r="AY105" s="337"/>
      <c r="AZ105" s="337"/>
    </row>
    <row r="106" spans="2:52" ht="15" customHeight="1" x14ac:dyDescent="0.25">
      <c r="B106" s="337"/>
      <c r="C106" s="337"/>
      <c r="D106" s="337"/>
      <c r="E106" s="337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37"/>
      <c r="AE106" s="337"/>
      <c r="AF106" s="337"/>
      <c r="AG106" s="337"/>
      <c r="AH106" s="337"/>
      <c r="AI106" s="337"/>
      <c r="AJ106" s="337"/>
      <c r="AK106" s="337"/>
      <c r="AL106" s="337"/>
      <c r="AM106" s="337"/>
      <c r="AN106" s="337"/>
      <c r="AO106" s="337"/>
      <c r="AP106" s="337"/>
      <c r="AQ106" s="337"/>
      <c r="AR106" s="337"/>
      <c r="AS106" s="337"/>
      <c r="AT106" s="337"/>
      <c r="AU106" s="337"/>
      <c r="AV106" s="337"/>
      <c r="AW106" s="337"/>
      <c r="AX106" s="337"/>
      <c r="AY106" s="337"/>
      <c r="AZ106" s="337"/>
    </row>
    <row r="107" spans="2:52" ht="15" customHeight="1" x14ac:dyDescent="0.25">
      <c r="B107" s="337"/>
      <c r="C107" s="337"/>
      <c r="D107" s="337"/>
      <c r="E107" s="337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  <c r="AN107" s="337"/>
      <c r="AO107" s="337"/>
      <c r="AP107" s="337"/>
      <c r="AQ107" s="337"/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2:52" ht="15" customHeight="1" x14ac:dyDescent="0.25">
      <c r="B108" s="337"/>
      <c r="C108" s="337"/>
      <c r="D108" s="337"/>
      <c r="E108" s="337"/>
      <c r="F108" s="337"/>
      <c r="G108" s="337"/>
      <c r="H108" s="337"/>
      <c r="I108" s="337"/>
      <c r="J108" s="337"/>
      <c r="K108" s="337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37"/>
      <c r="AE108" s="337"/>
      <c r="AF108" s="337"/>
      <c r="AG108" s="337"/>
      <c r="AH108" s="337"/>
      <c r="AI108" s="337"/>
      <c r="AJ108" s="337"/>
      <c r="AK108" s="337"/>
      <c r="AL108" s="337"/>
      <c r="AM108" s="337"/>
      <c r="AN108" s="337"/>
      <c r="AO108" s="337"/>
      <c r="AP108" s="337"/>
      <c r="AQ108" s="337"/>
      <c r="AR108" s="337"/>
      <c r="AS108" s="337"/>
      <c r="AT108" s="337"/>
      <c r="AU108" s="337"/>
      <c r="AV108" s="337"/>
      <c r="AW108" s="337"/>
      <c r="AX108" s="337"/>
      <c r="AY108" s="337"/>
      <c r="AZ108" s="337"/>
    </row>
  </sheetData>
  <mergeCells count="13">
    <mergeCell ref="AX4:AZ4"/>
    <mergeCell ref="AD4:AG4"/>
    <mergeCell ref="B4:E4"/>
    <mergeCell ref="R4:U4"/>
    <mergeCell ref="AT4:AW4"/>
    <mergeCell ref="F4:I4"/>
    <mergeCell ref="V4:Y4"/>
    <mergeCell ref="J4:M4"/>
    <mergeCell ref="Z4:AC4"/>
    <mergeCell ref="N4:Q4"/>
    <mergeCell ref="AH4:AK4"/>
    <mergeCell ref="AL4:AO4"/>
    <mergeCell ref="AP4:AS4"/>
  </mergeCells>
  <conditionalFormatting sqref="D6:D94">
    <cfRule type="cellIs" dxfId="23" priority="2" operator="greaterThan">
      <formula>0</formula>
    </cfRule>
    <cfRule type="cellIs" dxfId="22" priority="3" operator="lessThan">
      <formula>0</formula>
    </cfRule>
  </conditionalFormatting>
  <conditionalFormatting sqref="H6:H94">
    <cfRule type="cellIs" dxfId="21" priority="4" operator="greaterThan">
      <formula>0</formula>
    </cfRule>
    <cfRule type="cellIs" dxfId="20" priority="5" operator="lessThan">
      <formula>0</formula>
    </cfRule>
  </conditionalFormatting>
  <conditionalFormatting sqref="L6:L94">
    <cfRule type="cellIs" dxfId="19" priority="6" operator="greaterThan">
      <formula>0</formula>
    </cfRule>
    <cfRule type="cellIs" dxfId="18" priority="7" operator="lessThan">
      <formula>0</formula>
    </cfRule>
  </conditionalFormatting>
  <conditionalFormatting sqref="P6:P94">
    <cfRule type="cellIs" dxfId="17" priority="8" operator="greaterThan">
      <formula>0</formula>
    </cfRule>
    <cfRule type="cellIs" dxfId="16" priority="9" operator="lessThan">
      <formula>0</formula>
    </cfRule>
  </conditionalFormatting>
  <conditionalFormatting sqref="T6:T94">
    <cfRule type="cellIs" dxfId="15" priority="10" operator="greaterThan">
      <formula>0</formula>
    </cfRule>
    <cfRule type="cellIs" dxfId="14" priority="11" operator="lessThan">
      <formula>0</formula>
    </cfRule>
  </conditionalFormatting>
  <conditionalFormatting sqref="X6:X94">
    <cfRule type="cellIs" dxfId="13" priority="12" operator="greaterThan">
      <formula>0</formula>
    </cfRule>
    <cfRule type="cellIs" dxfId="12" priority="13" operator="lessThan">
      <formula>0</formula>
    </cfRule>
  </conditionalFormatting>
  <conditionalFormatting sqref="AB6:AB94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AF6:AF94">
    <cfRule type="cellIs" dxfId="9" priority="16" operator="greaterThan">
      <formula>0</formula>
    </cfRule>
    <cfRule type="cellIs" dxfId="8" priority="17" operator="lessThan">
      <formula>0</formula>
    </cfRule>
  </conditionalFormatting>
  <conditionalFormatting sqref="AJ6:AJ94">
    <cfRule type="cellIs" dxfId="7" priority="18" operator="greaterThan">
      <formula>0</formula>
    </cfRule>
    <cfRule type="cellIs" dxfId="6" priority="19" operator="lessThan">
      <formula>0</formula>
    </cfRule>
  </conditionalFormatting>
  <conditionalFormatting sqref="AN6:AN94">
    <cfRule type="cellIs" dxfId="5" priority="20" operator="greaterThan">
      <formula>0</formula>
    </cfRule>
    <cfRule type="cellIs" dxfId="4" priority="21" operator="lessThan">
      <formula>0</formula>
    </cfRule>
  </conditionalFormatting>
  <conditionalFormatting sqref="AR6:AR94">
    <cfRule type="cellIs" dxfId="3" priority="22" operator="greaterThan">
      <formula>0</formula>
    </cfRule>
    <cfRule type="cellIs" dxfId="2" priority="23" operator="lessThan">
      <formula>0</formula>
    </cfRule>
  </conditionalFormatting>
  <conditionalFormatting sqref="AV6:AV94">
    <cfRule type="cellIs" dxfId="1" priority="24" operator="greaterThan">
      <formula>0</formula>
    </cfRule>
    <cfRule type="cellIs" dxfId="0" priority="2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C3A51"/>
  </sheetPr>
  <dimension ref="A1:S25"/>
  <sheetViews>
    <sheetView zoomScale="85" zoomScaleNormal="85" workbookViewId="0">
      <selection activeCell="D38" sqref="D38"/>
    </sheetView>
  </sheetViews>
  <sheetFormatPr defaultColWidth="8.7109375" defaultRowHeight="15" x14ac:dyDescent="0.25"/>
  <cols>
    <col min="1" max="1" width="14" customWidth="1"/>
    <col min="2" max="4" width="17" customWidth="1"/>
    <col min="5" max="5" width="13" hidden="1" customWidth="1"/>
    <col min="6" max="13" width="17" customWidth="1"/>
    <col min="14" max="14" width="19" customWidth="1"/>
    <col min="15" max="16" width="15" customWidth="1"/>
    <col min="17" max="17" width="12" customWidth="1"/>
    <col min="18" max="18" width="17" customWidth="1"/>
    <col min="19" max="19" width="19" customWidth="1"/>
  </cols>
  <sheetData>
    <row r="1" spans="1:19" ht="17.25" customHeight="1" x14ac:dyDescent="0.3">
      <c r="A1" s="90" t="s">
        <v>261</v>
      </c>
    </row>
    <row r="2" spans="1:19" ht="15" customHeight="1" x14ac:dyDescent="0.25">
      <c r="A2" s="91" t="s">
        <v>262</v>
      </c>
    </row>
    <row r="4" spans="1:19" ht="31.5" customHeight="1" x14ac:dyDescent="0.25">
      <c r="A4" s="115" t="s">
        <v>263</v>
      </c>
      <c r="B4" s="115" t="s">
        <v>264</v>
      </c>
      <c r="C4" s="115" t="s">
        <v>265</v>
      </c>
      <c r="D4" s="115" t="s">
        <v>266</v>
      </c>
      <c r="E4" s="115" t="s">
        <v>267</v>
      </c>
      <c r="F4" s="115" t="s">
        <v>268</v>
      </c>
      <c r="G4" s="115" t="s">
        <v>269</v>
      </c>
      <c r="H4" s="115" t="s">
        <v>270</v>
      </c>
      <c r="I4" s="116" t="s">
        <v>271</v>
      </c>
      <c r="J4" s="115" t="s">
        <v>272</v>
      </c>
      <c r="K4" s="115" t="s">
        <v>273</v>
      </c>
      <c r="L4" s="115" t="s">
        <v>274</v>
      </c>
      <c r="M4" s="116" t="s">
        <v>275</v>
      </c>
      <c r="N4" s="116" t="s">
        <v>276</v>
      </c>
      <c r="O4" s="116" t="s">
        <v>277</v>
      </c>
      <c r="P4" s="116" t="s">
        <v>278</v>
      </c>
      <c r="Q4" s="116" t="s">
        <v>279</v>
      </c>
      <c r="R4" s="116" t="s">
        <v>280</v>
      </c>
      <c r="S4" s="116" t="s">
        <v>281</v>
      </c>
    </row>
    <row r="5" spans="1:19" ht="15" customHeight="1" x14ac:dyDescent="0.25">
      <c r="A5" s="117" t="s">
        <v>2</v>
      </c>
      <c r="B5" s="118">
        <f>SUM(Helpers!C96:N96)</f>
        <v>0</v>
      </c>
      <c r="C5" s="118">
        <f>(SUM(Helpers!C97:N97)-SUM(Helpers!C96:N96))*(Assumptions!$B$10+Assumptions!$B$12)/Assumptions!$B$9</f>
        <v>0</v>
      </c>
      <c r="D5" s="118">
        <f>(SUM(Helpers!C97:N97)-SUM(Helpers!C96:N96))*Assumptions!$B$11/Assumptions!$B$9</f>
        <v>0</v>
      </c>
      <c r="E5" s="118">
        <v>0</v>
      </c>
      <c r="F5" s="119">
        <f>SUM(Helpers!C97:N97)</f>
        <v>0</v>
      </c>
      <c r="G5" s="118">
        <f>SUM(Helpers!C99:N99)</f>
        <v>2312478.5750715346</v>
      </c>
      <c r="H5" s="119">
        <f>SUM(Helpers!C100:N100)</f>
        <v>0</v>
      </c>
      <c r="I5" s="120">
        <f ca="1">-SUM(Model!C54:N54)</f>
        <v>0</v>
      </c>
      <c r="J5" s="118">
        <f>Personnel!$C$38*9/12</f>
        <v>166500</v>
      </c>
      <c r="K5" s="121">
        <f t="shared" ref="K5:K12" ca="1" si="0">I5+J5</f>
        <v>166500</v>
      </c>
      <c r="L5" s="122">
        <f t="shared" ref="L5:L13" ca="1" si="1">IFERROR(I5/K5,0)</f>
        <v>0</v>
      </c>
      <c r="M5" s="120">
        <f>SUM(Helpers!C101:N101)</f>
        <v>0</v>
      </c>
      <c r="N5" s="120">
        <f t="shared" ref="N5:N12" si="2">B5-M5</f>
        <v>0</v>
      </c>
      <c r="O5" s="120">
        <f t="shared" ref="O5:O12" si="3">IFERROR(H5*M5/B5,0)</f>
        <v>0</v>
      </c>
      <c r="P5" s="120">
        <f t="shared" ref="P5:P12" si="4">H5-O5</f>
        <v>0</v>
      </c>
      <c r="Q5" s="123">
        <f>IF(N5&gt;=Assumptions!$B$86,Assumptions!$C$86,IF(N5&gt;=Assumptions!$B$85,Assumptions!$C$85,IF(N5&gt;=Assumptions!$B$84,Assumptions!$C$84,Assumptions!$C$83)))</f>
        <v>0.25</v>
      </c>
      <c r="R5" s="120">
        <f t="shared" ref="R5:R12" si="5">O5*Q5*0.1</f>
        <v>0</v>
      </c>
      <c r="S5" s="120">
        <f t="shared" ref="S5:S12" si="6">P5*0.1</f>
        <v>0</v>
      </c>
    </row>
    <row r="6" spans="1:19" ht="15" customHeight="1" x14ac:dyDescent="0.25">
      <c r="A6" s="124" t="s">
        <v>3</v>
      </c>
      <c r="B6" s="125">
        <f>SUM(Helpers!O96:Z96)</f>
        <v>0</v>
      </c>
      <c r="C6" s="125">
        <f>(SUM(Helpers!O97:Z97)-SUM(Helpers!O96:Z96))*(Assumptions!$B$10+Assumptions!$B$12)/Assumptions!$B$9</f>
        <v>0</v>
      </c>
      <c r="D6" s="125">
        <f>(SUM(Helpers!O97:Z97)-SUM(Helpers!O96:Z96))*Assumptions!$B$11/Assumptions!$B$9</f>
        <v>0</v>
      </c>
      <c r="E6" s="125">
        <v>0</v>
      </c>
      <c r="F6" s="126">
        <f>SUM(Helpers!O97:Z97)</f>
        <v>0</v>
      </c>
      <c r="G6" s="125">
        <f>SUM(Helpers!O99:Z99)</f>
        <v>1919514.2570079847</v>
      </c>
      <c r="H6" s="126">
        <f>SUM(Helpers!O100:Z100)</f>
        <v>0</v>
      </c>
      <c r="I6" s="127">
        <f ca="1">-SUM(Model!O54:Z54)</f>
        <v>0</v>
      </c>
      <c r="J6" s="125">
        <f>Personnel!$C$38</f>
        <v>222000</v>
      </c>
      <c r="K6" s="128">
        <f t="shared" ca="1" si="0"/>
        <v>222000</v>
      </c>
      <c r="L6" s="129">
        <f t="shared" ca="1" si="1"/>
        <v>0</v>
      </c>
      <c r="M6" s="120">
        <f>SUM(Helpers!O101:Z101)</f>
        <v>0</v>
      </c>
      <c r="N6" s="120">
        <f t="shared" si="2"/>
        <v>0</v>
      </c>
      <c r="O6" s="120">
        <f t="shared" si="3"/>
        <v>0</v>
      </c>
      <c r="P6" s="120">
        <f t="shared" si="4"/>
        <v>0</v>
      </c>
      <c r="Q6" s="123">
        <f>IF(N6&gt;=Assumptions!$B$86,Assumptions!$C$86,IF(N6&gt;=Assumptions!$B$85,Assumptions!$C$85,IF(N6&gt;=Assumptions!$B$84,Assumptions!$C$84,Assumptions!$C$83)))</f>
        <v>0.25</v>
      </c>
      <c r="R6" s="120">
        <f t="shared" si="5"/>
        <v>0</v>
      </c>
      <c r="S6" s="120">
        <f t="shared" si="6"/>
        <v>0</v>
      </c>
    </row>
    <row r="7" spans="1:19" ht="15" customHeight="1" x14ac:dyDescent="0.25">
      <c r="A7" s="117" t="s">
        <v>4</v>
      </c>
      <c r="B7" s="118">
        <f>SUM(Helpers!AA96:AL96)</f>
        <v>1481400</v>
      </c>
      <c r="C7" s="118">
        <f>(SUM(Helpers!AA97:AL97)-SUM(Helpers!AA96:AL96))*(Assumptions!$B$10+Assumptions!$B$12)/Assumptions!$B$9</f>
        <v>154788.75</v>
      </c>
      <c r="D7" s="118">
        <f>(SUM(Helpers!AA97:AL97)-SUM(Helpers!AA96:AL96))*Assumptions!$B$11/Assumptions!$B$9</f>
        <v>116091</v>
      </c>
      <c r="E7" s="118">
        <v>0</v>
      </c>
      <c r="F7" s="119">
        <f>SUM(Helpers!AA97:AL97)</f>
        <v>1752279.75</v>
      </c>
      <c r="G7" s="118">
        <f>SUM(Helpers!AA99:AL99)</f>
        <v>1351632.5838269116</v>
      </c>
      <c r="H7" s="119">
        <f>SUM(Helpers!AA100:AL100)</f>
        <v>81472.876787895118</v>
      </c>
      <c r="I7" s="120">
        <f ca="1">-SUM(Model!AA54:AL54)</f>
        <v>37500</v>
      </c>
      <c r="J7" s="118">
        <f>Personnel!$C$38</f>
        <v>222000</v>
      </c>
      <c r="K7" s="121">
        <f t="shared" ca="1" si="0"/>
        <v>259500</v>
      </c>
      <c r="L7" s="122">
        <f t="shared" ca="1" si="1"/>
        <v>0.14450867052023122</v>
      </c>
      <c r="M7" s="120">
        <f>SUM(Helpers!AA101:AL101)</f>
        <v>0</v>
      </c>
      <c r="N7" s="120">
        <f t="shared" si="2"/>
        <v>1481400</v>
      </c>
      <c r="O7" s="120">
        <f t="shared" si="3"/>
        <v>0</v>
      </c>
      <c r="P7" s="120">
        <f t="shared" si="4"/>
        <v>81472.876787895118</v>
      </c>
      <c r="Q7" s="123">
        <f>IF(N7&gt;=Assumptions!$B$86,Assumptions!$C$86,IF(N7&gt;=Assumptions!$B$85,Assumptions!$C$85,IF(N7&gt;=Assumptions!$B$84,Assumptions!$C$84,Assumptions!$C$83)))</f>
        <v>0.25</v>
      </c>
      <c r="R7" s="120">
        <f t="shared" si="5"/>
        <v>0</v>
      </c>
      <c r="S7" s="120">
        <f t="shared" si="6"/>
        <v>8147.287678789512</v>
      </c>
    </row>
    <row r="8" spans="1:19" ht="15" customHeight="1" x14ac:dyDescent="0.25">
      <c r="A8" s="124" t="s">
        <v>5</v>
      </c>
      <c r="B8" s="125">
        <f>SUM(Helpers!AM96:AX96)</f>
        <v>34487031</v>
      </c>
      <c r="C8" s="125">
        <f>(SUM(Helpers!AM97:AX97)-SUM(Helpers!AM96:AX96))*(Assumptions!$B$10+Assumptions!$B$12)/Assumptions!$B$9</f>
        <v>2167042.5</v>
      </c>
      <c r="D8" s="125">
        <f>(SUM(Helpers!AM97:AX97)-SUM(Helpers!AM96:AX96))*Assumptions!$B$11/Assumptions!$B$9</f>
        <v>1625274.0000000002</v>
      </c>
      <c r="E8" s="125">
        <v>0</v>
      </c>
      <c r="F8" s="126">
        <f>SUM(Helpers!AM97:AX97)</f>
        <v>38279347.5</v>
      </c>
      <c r="G8" s="125">
        <f>SUM(Helpers!AM99:AX99)</f>
        <v>1085080.0784904948</v>
      </c>
      <c r="H8" s="126">
        <f>SUM(Helpers!AM100:AX100)</f>
        <v>469738.63542037981</v>
      </c>
      <c r="I8" s="127">
        <f ca="1">-SUM(Model!AM54:AX54)</f>
        <v>127500</v>
      </c>
      <c r="J8" s="125">
        <f>Personnel!$C$38</f>
        <v>222000</v>
      </c>
      <c r="K8" s="128">
        <f t="shared" ca="1" si="0"/>
        <v>349500</v>
      </c>
      <c r="L8" s="129">
        <f t="shared" ca="1" si="1"/>
        <v>0.36480686695278969</v>
      </c>
      <c r="M8" s="120">
        <f>SUM(Helpers!AM101:AX101)</f>
        <v>10157265</v>
      </c>
      <c r="N8" s="120">
        <f t="shared" si="2"/>
        <v>24329766</v>
      </c>
      <c r="O8" s="120">
        <f t="shared" si="3"/>
        <v>138349.39286896528</v>
      </c>
      <c r="P8" s="120">
        <f t="shared" si="4"/>
        <v>331389.24255141453</v>
      </c>
      <c r="Q8" s="123">
        <f>IF(N8&gt;=Assumptions!$B$86,Assumptions!$C$86,IF(N8&gt;=Assumptions!$B$85,Assumptions!$C$85,IF(N8&gt;=Assumptions!$B$84,Assumptions!$C$84,Assumptions!$C$83)))</f>
        <v>0.5</v>
      </c>
      <c r="R8" s="120">
        <f t="shared" si="5"/>
        <v>6917.4696434482648</v>
      </c>
      <c r="S8" s="120">
        <f t="shared" si="6"/>
        <v>33138.924255141457</v>
      </c>
    </row>
    <row r="9" spans="1:19" ht="15" customHeight="1" x14ac:dyDescent="0.25">
      <c r="A9" s="117" t="s">
        <v>6</v>
      </c>
      <c r="B9" s="118">
        <f>SUM(Helpers!AY96:BJ96)</f>
        <v>45308154</v>
      </c>
      <c r="C9" s="118">
        <f>(SUM(Helpers!AY97:BJ97)-SUM(Helpers!AY96:BJ96))*(Assumptions!$B$10+Assumptions!$B$12)/Assumptions!$B$9</f>
        <v>3291840.7500000005</v>
      </c>
      <c r="D9" s="118">
        <f>(SUM(Helpers!AY97:BJ97)-SUM(Helpers!AY96:BJ96))*Assumptions!$B$11/Assumptions!$B$9</f>
        <v>2468868.600000001</v>
      </c>
      <c r="E9" s="118">
        <v>0</v>
      </c>
      <c r="F9" s="119">
        <f>SUM(Helpers!AY97:BJ97)</f>
        <v>51068863.350000001</v>
      </c>
      <c r="G9" s="118">
        <f>SUM(Helpers!AY99:BJ99)</f>
        <v>933388.75449456938</v>
      </c>
      <c r="H9" s="119">
        <f>SUM(Helpers!AY100:BJ100)</f>
        <v>638661.06768532924</v>
      </c>
      <c r="I9" s="120">
        <f ca="1">-SUM(Model!AY54:BJ54)</f>
        <v>120000</v>
      </c>
      <c r="J9" s="118">
        <f>Personnel!$C$38</f>
        <v>222000</v>
      </c>
      <c r="K9" s="121">
        <f t="shared" ca="1" si="0"/>
        <v>342000</v>
      </c>
      <c r="L9" s="122">
        <f t="shared" ca="1" si="1"/>
        <v>0.35087719298245612</v>
      </c>
      <c r="M9" s="120">
        <f>SUM(Helpers!AY101:BJ101)</f>
        <v>4842735</v>
      </c>
      <c r="N9" s="120">
        <f t="shared" si="2"/>
        <v>40465419</v>
      </c>
      <c r="O9" s="120">
        <f t="shared" si="3"/>
        <v>68262.907061212711</v>
      </c>
      <c r="P9" s="120">
        <f t="shared" si="4"/>
        <v>570398.16062411654</v>
      </c>
      <c r="Q9" s="123">
        <f>IF(N9&gt;=Assumptions!$B$86,Assumptions!$C$86,IF(N9&gt;=Assumptions!$B$85,Assumptions!$C$85,IF(N9&gt;=Assumptions!$B$84,Assumptions!$C$84,Assumptions!$C$83)))</f>
        <v>0.75</v>
      </c>
      <c r="R9" s="120">
        <f t="shared" si="5"/>
        <v>5119.7180295909538</v>
      </c>
      <c r="S9" s="120">
        <f t="shared" si="6"/>
        <v>57039.816062411657</v>
      </c>
    </row>
    <row r="10" spans="1:19" ht="15" customHeight="1" x14ac:dyDescent="0.25">
      <c r="A10" s="124" t="s">
        <v>7</v>
      </c>
      <c r="B10" s="125">
        <f>SUM(Helpers!BK96:BV96)</f>
        <v>71144460</v>
      </c>
      <c r="C10" s="125">
        <f>(SUM(Helpers!BK97:BV97)-SUM(Helpers!BK96:BV96))*(Assumptions!$B$10+Assumptions!$B$12)/Assumptions!$B$9</f>
        <v>4499193.0000000037</v>
      </c>
      <c r="D10" s="125">
        <f>(SUM(Helpers!BK97:BV97)-SUM(Helpers!BK96:BV96))*Assumptions!$B$11/Assumptions!$B$9</f>
        <v>3374378.4000000027</v>
      </c>
      <c r="E10" s="125">
        <v>0</v>
      </c>
      <c r="F10" s="126">
        <f>SUM(Helpers!BK97:BV97)</f>
        <v>79018031.400000006</v>
      </c>
      <c r="G10" s="125">
        <f>SUM(Helpers!BK99:BV99)</f>
        <v>951768.22148265608</v>
      </c>
      <c r="H10" s="126">
        <f>SUM(Helpers!BK100:BV100)</f>
        <v>951768.22148265608</v>
      </c>
      <c r="I10" s="127">
        <f ca="1">-SUM(Model!BK54:BV54)</f>
        <v>172500</v>
      </c>
      <c r="J10" s="125">
        <f>Personnel!$C$38</f>
        <v>222000</v>
      </c>
      <c r="K10" s="128">
        <f t="shared" ca="1" si="0"/>
        <v>394500</v>
      </c>
      <c r="L10" s="129">
        <f t="shared" ca="1" si="1"/>
        <v>0.43726235741444869</v>
      </c>
      <c r="M10" s="120">
        <f>SUM(Helpers!BK101:BV101)</f>
        <v>12188718</v>
      </c>
      <c r="N10" s="120">
        <f t="shared" si="2"/>
        <v>58955742</v>
      </c>
      <c r="O10" s="120">
        <f t="shared" si="3"/>
        <v>163060.26432716809</v>
      </c>
      <c r="P10" s="120">
        <f t="shared" si="4"/>
        <v>788707.95715548797</v>
      </c>
      <c r="Q10" s="123">
        <f>IF(N10&gt;=Assumptions!$B$86,Assumptions!$C$86,IF(N10&gt;=Assumptions!$B$85,Assumptions!$C$85,IF(N10&gt;=Assumptions!$B$84,Assumptions!$C$84,Assumptions!$C$83)))</f>
        <v>0.75</v>
      </c>
      <c r="R10" s="120">
        <f t="shared" si="5"/>
        <v>12229.519824537607</v>
      </c>
      <c r="S10" s="120">
        <f t="shared" si="6"/>
        <v>78870.795715548797</v>
      </c>
    </row>
    <row r="11" spans="1:19" ht="15" customHeight="1" x14ac:dyDescent="0.25">
      <c r="A11" s="117" t="s">
        <v>8</v>
      </c>
      <c r="B11" s="118">
        <f>SUM(Helpers!BW96:CH96)</f>
        <v>56176353</v>
      </c>
      <c r="C11" s="118">
        <f>(SUM(Helpers!BW97:CH97)-SUM(Helpers!BW96:CH96))*(Assumptions!$B$10+Assumptions!$B$12)/Assumptions!$B$9</f>
        <v>4272169.5000000047</v>
      </c>
      <c r="D11" s="118">
        <f>(SUM(Helpers!BW97:CH97)-SUM(Helpers!BW96:CH96))*Assumptions!$B$11/Assumptions!$B$9</f>
        <v>3204111.6000000043</v>
      </c>
      <c r="E11" s="118">
        <v>0</v>
      </c>
      <c r="F11" s="119">
        <f>SUM(Helpers!BW97:CH97)</f>
        <v>63652634.100000009</v>
      </c>
      <c r="G11" s="118">
        <f>SUM(Helpers!BW99:CH99)</f>
        <v>440961.85791231308</v>
      </c>
      <c r="H11" s="119">
        <f>SUM(Helpers!BW100:CH100)</f>
        <v>440961.85791231296</v>
      </c>
      <c r="I11" s="120">
        <f ca="1">-SUM(Model!BW54:CH54)</f>
        <v>146212.14909414636</v>
      </c>
      <c r="J11" s="118">
        <f>Personnel!$C$38</f>
        <v>222000</v>
      </c>
      <c r="K11" s="121">
        <f t="shared" ca="1" si="0"/>
        <v>368212.14909414633</v>
      </c>
      <c r="L11" s="122">
        <f t="shared" ca="1" si="1"/>
        <v>0.39708670518843231</v>
      </c>
      <c r="M11" s="120">
        <f>SUM(Helpers!BW101:CH101)</f>
        <v>5811282</v>
      </c>
      <c r="N11" s="120">
        <f t="shared" si="2"/>
        <v>50365071</v>
      </c>
      <c r="O11" s="120">
        <f t="shared" si="3"/>
        <v>45616.23478071604</v>
      </c>
      <c r="P11" s="120">
        <f t="shared" si="4"/>
        <v>395345.62313159695</v>
      </c>
      <c r="Q11" s="123">
        <f>IF(N11&gt;=Assumptions!$B$86,Assumptions!$C$86,IF(N11&gt;=Assumptions!$B$85,Assumptions!$C$85,IF(N11&gt;=Assumptions!$B$84,Assumptions!$C$84,Assumptions!$C$83)))</f>
        <v>0.75</v>
      </c>
      <c r="R11" s="120">
        <f t="shared" si="5"/>
        <v>3421.217608553703</v>
      </c>
      <c r="S11" s="120">
        <f t="shared" si="6"/>
        <v>39534.562313159695</v>
      </c>
    </row>
    <row r="12" spans="1:19" ht="15" customHeight="1" x14ac:dyDescent="0.25">
      <c r="A12" s="124" t="s">
        <v>9</v>
      </c>
      <c r="B12" s="125">
        <f>SUM(Helpers!CI96:CT96)</f>
        <v>60109692</v>
      </c>
      <c r="C12" s="125">
        <f>(SUM(Helpers!CI97:CT97)-SUM(Helpers!CI96:CT96))*(Assumptions!$B$10+Assumptions!$B$12)/Assumptions!$B$9</f>
        <v>3714929.9999999953</v>
      </c>
      <c r="D12" s="125">
        <f>(SUM(Helpers!CI97:CT97)-SUM(Helpers!CI96:CT96))*Assumptions!$B$11/Assumptions!$B$9</f>
        <v>2786183.9999999972</v>
      </c>
      <c r="E12" s="125">
        <v>0</v>
      </c>
      <c r="F12" s="126">
        <f>SUM(Helpers!CI97:CT97)</f>
        <v>66610805.999999993</v>
      </c>
      <c r="G12" s="125">
        <f>SUM(Helpers!CI99:CT99)</f>
        <v>-649991.62692944705</v>
      </c>
      <c r="H12" s="126">
        <f>SUM(Helpers!CI100:CT100)</f>
        <v>-649991.62692944694</v>
      </c>
      <c r="I12" s="127">
        <f ca="1">-SUM(Model!CI54:CT54)</f>
        <v>37500</v>
      </c>
      <c r="J12" s="125">
        <f>Personnel!$C$38</f>
        <v>222000</v>
      </c>
      <c r="K12" s="128">
        <f t="shared" ca="1" si="0"/>
        <v>259500</v>
      </c>
      <c r="L12" s="129">
        <f t="shared" ca="1" si="1"/>
        <v>0.14450867052023122</v>
      </c>
      <c r="M12" s="120">
        <f>SUM(Helpers!CI101:CT101)</f>
        <v>10157265</v>
      </c>
      <c r="N12" s="120">
        <f t="shared" si="2"/>
        <v>49952427</v>
      </c>
      <c r="O12" s="120">
        <f t="shared" si="3"/>
        <v>-109834.82002375806</v>
      </c>
      <c r="P12" s="120">
        <f t="shared" si="4"/>
        <v>-540156.80690568883</v>
      </c>
      <c r="Q12" s="123">
        <f>IF(N12&gt;=Assumptions!$B$86,Assumptions!$C$86,IF(N12&gt;=Assumptions!$B$85,Assumptions!$C$85,IF(N12&gt;=Assumptions!$B$84,Assumptions!$C$84,Assumptions!$C$83)))</f>
        <v>0.75</v>
      </c>
      <c r="R12" s="120">
        <f t="shared" si="5"/>
        <v>-8237.6115017818556</v>
      </c>
      <c r="S12" s="120">
        <f t="shared" si="6"/>
        <v>-54015.680690568886</v>
      </c>
    </row>
    <row r="13" spans="1:19" ht="15" customHeight="1" x14ac:dyDescent="0.25">
      <c r="A13" s="113" t="s">
        <v>282</v>
      </c>
      <c r="B13" s="130">
        <f t="shared" ref="B13:K13" si="7">SUM(B5:B12)</f>
        <v>268707090</v>
      </c>
      <c r="C13" s="130">
        <f t="shared" si="7"/>
        <v>18099964.500000004</v>
      </c>
      <c r="D13" s="130">
        <f t="shared" si="7"/>
        <v>13574907.600000005</v>
      </c>
      <c r="E13" s="130">
        <f t="shared" si="7"/>
        <v>0</v>
      </c>
      <c r="F13" s="130">
        <f t="shared" si="7"/>
        <v>300381962.10000002</v>
      </c>
      <c r="G13" s="130">
        <f t="shared" si="7"/>
        <v>8344832.7013570182</v>
      </c>
      <c r="H13" s="130">
        <f t="shared" si="7"/>
        <v>1932611.032359126</v>
      </c>
      <c r="I13" s="131">
        <f t="shared" ca="1" si="7"/>
        <v>641212.14909414633</v>
      </c>
      <c r="J13" s="130">
        <f t="shared" si="7"/>
        <v>1720500</v>
      </c>
      <c r="K13" s="130">
        <f t="shared" ca="1" si="7"/>
        <v>2361712.1490941462</v>
      </c>
      <c r="L13" s="132">
        <f t="shared" ca="1" si="1"/>
        <v>0.27150309123831556</v>
      </c>
      <c r="M13" s="133">
        <f>SUM(M5:M12)</f>
        <v>43157265</v>
      </c>
      <c r="N13" s="133">
        <f>SUM(N5:N12)</f>
        <v>225549825</v>
      </c>
      <c r="O13" s="133">
        <f>SUM(O5:O12)</f>
        <v>305453.97901430406</v>
      </c>
      <c r="P13" s="133">
        <f>SUM(P5:P12)</f>
        <v>1627157.0533448225</v>
      </c>
      <c r="Q13" s="134">
        <f>IFERROR(R13/O13,0)</f>
        <v>6.3676740002256899E-2</v>
      </c>
      <c r="R13" s="133">
        <f>SUM(R5:R12)</f>
        <v>19450.313604348674</v>
      </c>
      <c r="S13" s="133">
        <f>SUM(S5:S12)</f>
        <v>162715.70533448225</v>
      </c>
    </row>
    <row r="15" spans="1:19" ht="15" customHeight="1" x14ac:dyDescent="0.25">
      <c r="A15" s="99" t="s">
        <v>187</v>
      </c>
    </row>
    <row r="16" spans="1:19" ht="15" customHeight="1" x14ac:dyDescent="0.25">
      <c r="A16" s="360" t="s">
        <v>283</v>
      </c>
      <c r="B16" s="356"/>
      <c r="C16" s="356"/>
      <c r="D16" s="356"/>
      <c r="E16" s="356"/>
      <c r="F16" s="356"/>
      <c r="G16" s="356"/>
      <c r="H16" s="356"/>
    </row>
    <row r="17" spans="1:8" ht="15" customHeight="1" x14ac:dyDescent="0.25">
      <c r="A17" s="360" t="s">
        <v>284</v>
      </c>
      <c r="B17" s="356"/>
      <c r="C17" s="356"/>
      <c r="D17" s="356"/>
      <c r="E17" s="356"/>
      <c r="F17" s="356"/>
      <c r="G17" s="356"/>
      <c r="H17" s="356"/>
    </row>
    <row r="18" spans="1:8" ht="15" customHeight="1" x14ac:dyDescent="0.25">
      <c r="A18" s="360" t="s">
        <v>285</v>
      </c>
      <c r="B18" s="356"/>
      <c r="C18" s="356"/>
      <c r="D18" s="356"/>
      <c r="E18" s="356"/>
      <c r="F18" s="356"/>
      <c r="G18" s="356"/>
      <c r="H18" s="356"/>
    </row>
    <row r="19" spans="1:8" ht="15" customHeight="1" x14ac:dyDescent="0.25">
      <c r="A19" s="360" t="s">
        <v>286</v>
      </c>
      <c r="B19" s="356"/>
      <c r="C19" s="356"/>
      <c r="D19" s="356"/>
      <c r="E19" s="356"/>
      <c r="F19" s="356"/>
      <c r="G19" s="356"/>
      <c r="H19" s="356"/>
    </row>
    <row r="20" spans="1:8" ht="15" customHeight="1" x14ac:dyDescent="0.25">
      <c r="A20" s="360" t="s">
        <v>287</v>
      </c>
      <c r="B20" s="356"/>
      <c r="C20" s="356"/>
      <c r="D20" s="356"/>
      <c r="E20" s="356"/>
      <c r="F20" s="356"/>
      <c r="G20" s="356"/>
      <c r="H20" s="356"/>
    </row>
    <row r="21" spans="1:8" ht="15" customHeight="1" x14ac:dyDescent="0.25">
      <c r="A21" s="56" t="s">
        <v>288</v>
      </c>
    </row>
    <row r="22" spans="1:8" ht="15" customHeight="1" x14ac:dyDescent="0.25">
      <c r="A22" s="56" t="s">
        <v>289</v>
      </c>
    </row>
    <row r="23" spans="1:8" ht="15" customHeight="1" x14ac:dyDescent="0.25">
      <c r="A23" s="56" t="s">
        <v>290</v>
      </c>
    </row>
    <row r="24" spans="1:8" ht="15" customHeight="1" x14ac:dyDescent="0.25">
      <c r="A24" s="56" t="s">
        <v>291</v>
      </c>
    </row>
    <row r="25" spans="1:8" ht="15" customHeight="1" x14ac:dyDescent="0.25">
      <c r="A25" s="56" t="s">
        <v>292</v>
      </c>
    </row>
  </sheetData>
  <mergeCells count="5">
    <mergeCell ref="A18:H18"/>
    <mergeCell ref="A20:H20"/>
    <mergeCell ref="A16:H16"/>
    <mergeCell ref="A19:H19"/>
    <mergeCell ref="A17:H17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B1833"/>
  </sheetPr>
  <dimension ref="A1:DF112"/>
  <sheetViews>
    <sheetView zoomScale="85" zoomScaleNormal="85" workbookViewId="0">
      <selection activeCell="S35" sqref="S35"/>
    </sheetView>
  </sheetViews>
  <sheetFormatPr defaultColWidth="8.7109375" defaultRowHeight="15" x14ac:dyDescent="0.25"/>
  <cols>
    <col min="1" max="1" width="38" customWidth="1"/>
    <col min="2" max="110" width="13" customWidth="1"/>
  </cols>
  <sheetData>
    <row r="1" spans="1:110" ht="17.25" customHeight="1" x14ac:dyDescent="0.3">
      <c r="A1" s="90" t="s">
        <v>293</v>
      </c>
    </row>
    <row r="2" spans="1:110" ht="15" customHeight="1" x14ac:dyDescent="0.25">
      <c r="A2" s="91" t="s">
        <v>294</v>
      </c>
      <c r="C2" s="92">
        <v>46023</v>
      </c>
      <c r="D2" s="92">
        <v>46054</v>
      </c>
      <c r="E2" s="92">
        <v>46082</v>
      </c>
      <c r="F2" s="92">
        <v>46113</v>
      </c>
      <c r="G2" s="92">
        <v>46143</v>
      </c>
      <c r="H2" s="92">
        <v>46174</v>
      </c>
      <c r="I2" s="92">
        <v>46204</v>
      </c>
      <c r="J2" s="92">
        <v>46235</v>
      </c>
      <c r="K2" s="92">
        <v>46266</v>
      </c>
      <c r="L2" s="92">
        <v>46296</v>
      </c>
      <c r="M2" s="92">
        <v>46327</v>
      </c>
      <c r="N2" s="92">
        <v>46357</v>
      </c>
      <c r="O2" s="92">
        <v>46388</v>
      </c>
      <c r="P2" s="92">
        <v>46419</v>
      </c>
      <c r="Q2" s="92">
        <v>46447</v>
      </c>
      <c r="R2" s="92">
        <v>46478</v>
      </c>
      <c r="S2" s="92">
        <v>46508</v>
      </c>
      <c r="T2" s="92">
        <v>46539</v>
      </c>
      <c r="U2" s="92">
        <v>46569</v>
      </c>
      <c r="V2" s="92">
        <v>46600</v>
      </c>
      <c r="W2" s="92">
        <v>46631</v>
      </c>
      <c r="X2" s="92">
        <v>46661</v>
      </c>
      <c r="Y2" s="92">
        <v>46692</v>
      </c>
      <c r="Z2" s="92">
        <v>46722</v>
      </c>
      <c r="AA2" s="92">
        <v>46753</v>
      </c>
      <c r="AB2" s="92">
        <v>46784</v>
      </c>
      <c r="AC2" s="92">
        <v>46813</v>
      </c>
      <c r="AD2" s="92">
        <v>46844</v>
      </c>
      <c r="AE2" s="92">
        <v>46874</v>
      </c>
      <c r="AF2" s="92">
        <v>46905</v>
      </c>
      <c r="AG2" s="92">
        <v>46935</v>
      </c>
      <c r="AH2" s="92">
        <v>46966</v>
      </c>
      <c r="AI2" s="92">
        <v>46997</v>
      </c>
      <c r="AJ2" s="92">
        <v>47027</v>
      </c>
      <c r="AK2" s="92">
        <v>47058</v>
      </c>
      <c r="AL2" s="92">
        <v>47088</v>
      </c>
      <c r="AM2" s="92">
        <v>47119</v>
      </c>
      <c r="AN2" s="92">
        <v>47150</v>
      </c>
      <c r="AO2" s="92">
        <v>47178</v>
      </c>
      <c r="AP2" s="92">
        <v>47209</v>
      </c>
      <c r="AQ2" s="92">
        <v>47239</v>
      </c>
      <c r="AR2" s="92">
        <v>47270</v>
      </c>
      <c r="AS2" s="92">
        <v>47300</v>
      </c>
      <c r="AT2" s="92">
        <v>47331</v>
      </c>
      <c r="AU2" s="92">
        <v>47362</v>
      </c>
      <c r="AV2" s="92">
        <v>47392</v>
      </c>
      <c r="AW2" s="92">
        <v>47423</v>
      </c>
      <c r="AX2" s="92">
        <v>47453</v>
      </c>
      <c r="AY2" s="92">
        <v>47484</v>
      </c>
      <c r="AZ2" s="92">
        <v>47515</v>
      </c>
      <c r="BA2" s="92">
        <v>47543</v>
      </c>
      <c r="BB2" s="92">
        <v>47574</v>
      </c>
      <c r="BC2" s="92">
        <v>47604</v>
      </c>
      <c r="BD2" s="92">
        <v>47635</v>
      </c>
      <c r="BE2" s="92">
        <v>47665</v>
      </c>
      <c r="BF2" s="92">
        <v>47696</v>
      </c>
      <c r="BG2" s="92">
        <v>47727</v>
      </c>
      <c r="BH2" s="92">
        <v>47757</v>
      </c>
      <c r="BI2" s="92">
        <v>47788</v>
      </c>
      <c r="BJ2" s="92">
        <v>47818</v>
      </c>
      <c r="BK2" s="92">
        <v>47849</v>
      </c>
      <c r="BL2" s="92">
        <v>47880</v>
      </c>
      <c r="BM2" s="92">
        <v>47908</v>
      </c>
      <c r="BN2" s="92">
        <v>47939</v>
      </c>
      <c r="BO2" s="92">
        <v>47969</v>
      </c>
      <c r="BP2" s="92">
        <v>48000</v>
      </c>
      <c r="BQ2" s="92">
        <v>48030</v>
      </c>
      <c r="BR2" s="92">
        <v>48061</v>
      </c>
      <c r="BS2" s="92">
        <v>48092</v>
      </c>
      <c r="BT2" s="92">
        <v>48122</v>
      </c>
      <c r="BU2" s="92">
        <v>48153</v>
      </c>
      <c r="BV2" s="92">
        <v>48183</v>
      </c>
      <c r="BW2" s="92">
        <v>48214</v>
      </c>
      <c r="BX2" s="92">
        <v>48245</v>
      </c>
      <c r="BY2" s="92">
        <v>48274</v>
      </c>
      <c r="BZ2" s="92">
        <v>48305</v>
      </c>
      <c r="CA2" s="92">
        <v>48335</v>
      </c>
      <c r="CB2" s="92">
        <v>48366</v>
      </c>
      <c r="CC2" s="92">
        <v>48396</v>
      </c>
      <c r="CD2" s="92">
        <v>48427</v>
      </c>
      <c r="CE2" s="92">
        <v>48458</v>
      </c>
      <c r="CF2" s="92">
        <v>48488</v>
      </c>
      <c r="CG2" s="92">
        <v>48519</v>
      </c>
      <c r="CH2" s="92">
        <v>48549</v>
      </c>
      <c r="CI2" s="92">
        <v>48580</v>
      </c>
      <c r="CJ2" s="92">
        <v>48611</v>
      </c>
      <c r="CK2" s="92">
        <v>48639</v>
      </c>
      <c r="CL2" s="92">
        <v>48670</v>
      </c>
      <c r="CM2" s="92">
        <v>48700</v>
      </c>
      <c r="CN2" s="92">
        <v>48731</v>
      </c>
      <c r="CO2" s="92">
        <v>48761</v>
      </c>
      <c r="CP2" s="92">
        <v>48792</v>
      </c>
      <c r="CQ2" s="92">
        <v>48823</v>
      </c>
      <c r="CR2" s="92">
        <v>48853</v>
      </c>
      <c r="CS2" s="92">
        <v>48884</v>
      </c>
      <c r="CT2" s="92">
        <v>48914</v>
      </c>
      <c r="CU2" s="92">
        <v>48945</v>
      </c>
      <c r="CV2" s="92">
        <v>48976</v>
      </c>
      <c r="CW2" s="92">
        <v>49004</v>
      </c>
      <c r="CX2" s="92">
        <v>49035</v>
      </c>
      <c r="CY2" s="92">
        <v>49065</v>
      </c>
      <c r="CZ2" s="92">
        <v>49096</v>
      </c>
      <c r="DA2" s="92">
        <v>49126</v>
      </c>
      <c r="DB2" s="92">
        <v>49157</v>
      </c>
      <c r="DC2" s="92">
        <v>49188</v>
      </c>
      <c r="DD2" s="92">
        <v>49218</v>
      </c>
      <c r="DE2" s="92">
        <v>49249</v>
      </c>
      <c r="DF2" s="92">
        <v>49279</v>
      </c>
    </row>
    <row r="3" spans="1:110" ht="15" customHeight="1" x14ac:dyDescent="0.25">
      <c r="A3" s="135" t="s">
        <v>53</v>
      </c>
      <c r="C3" s="135">
        <v>-2</v>
      </c>
      <c r="D3" s="135">
        <v>-1</v>
      </c>
      <c r="E3" s="135">
        <v>0</v>
      </c>
      <c r="F3" s="135">
        <v>1</v>
      </c>
      <c r="G3" s="135">
        <v>2</v>
      </c>
      <c r="H3" s="135">
        <v>3</v>
      </c>
      <c r="I3" s="135">
        <v>4</v>
      </c>
      <c r="J3" s="135">
        <v>5</v>
      </c>
      <c r="K3" s="135">
        <v>6</v>
      </c>
      <c r="L3" s="135">
        <v>7</v>
      </c>
      <c r="M3" s="135">
        <v>8</v>
      </c>
      <c r="N3" s="135">
        <v>9</v>
      </c>
      <c r="O3" s="135">
        <v>10</v>
      </c>
      <c r="P3" s="135">
        <v>11</v>
      </c>
      <c r="Q3" s="135">
        <v>12</v>
      </c>
      <c r="R3" s="135">
        <v>13</v>
      </c>
      <c r="S3" s="135">
        <v>14</v>
      </c>
      <c r="T3" s="135">
        <v>15</v>
      </c>
      <c r="U3" s="135">
        <v>16</v>
      </c>
      <c r="V3" s="135">
        <v>17</v>
      </c>
      <c r="W3" s="135">
        <v>18</v>
      </c>
      <c r="X3" s="135">
        <v>19</v>
      </c>
      <c r="Y3" s="135">
        <v>20</v>
      </c>
      <c r="Z3" s="135">
        <v>21</v>
      </c>
      <c r="AA3" s="135">
        <v>22</v>
      </c>
      <c r="AB3" s="135">
        <v>23</v>
      </c>
      <c r="AC3" s="135">
        <v>24</v>
      </c>
      <c r="AD3" s="135">
        <v>25</v>
      </c>
      <c r="AE3" s="135">
        <v>26</v>
      </c>
      <c r="AF3" s="135">
        <v>27</v>
      </c>
      <c r="AG3" s="135">
        <v>28</v>
      </c>
      <c r="AH3" s="135">
        <v>29</v>
      </c>
      <c r="AI3" s="135">
        <v>30</v>
      </c>
      <c r="AJ3" s="135">
        <v>31</v>
      </c>
      <c r="AK3" s="135">
        <v>32</v>
      </c>
      <c r="AL3" s="135">
        <v>33</v>
      </c>
      <c r="AM3" s="135">
        <v>34</v>
      </c>
      <c r="AN3" s="135">
        <v>35</v>
      </c>
      <c r="AO3" s="135">
        <v>36</v>
      </c>
      <c r="AP3" s="135">
        <v>37</v>
      </c>
      <c r="AQ3" s="135">
        <v>38</v>
      </c>
      <c r="AR3" s="135">
        <v>39</v>
      </c>
      <c r="AS3" s="135">
        <v>40</v>
      </c>
      <c r="AT3" s="135">
        <v>41</v>
      </c>
      <c r="AU3" s="135">
        <v>42</v>
      </c>
      <c r="AV3" s="135">
        <v>43</v>
      </c>
      <c r="AW3" s="135">
        <v>44</v>
      </c>
      <c r="AX3" s="135">
        <v>45</v>
      </c>
      <c r="AY3" s="135">
        <v>46</v>
      </c>
      <c r="AZ3" s="135">
        <v>47</v>
      </c>
      <c r="BA3" s="135">
        <v>48</v>
      </c>
      <c r="BB3" s="135">
        <v>49</v>
      </c>
      <c r="BC3" s="135">
        <v>50</v>
      </c>
      <c r="BD3" s="135">
        <v>51</v>
      </c>
      <c r="BE3" s="135">
        <v>52</v>
      </c>
      <c r="BF3" s="135">
        <v>53</v>
      </c>
      <c r="BG3" s="135">
        <v>54</v>
      </c>
      <c r="BH3" s="135">
        <v>55</v>
      </c>
      <c r="BI3" s="135">
        <v>56</v>
      </c>
      <c r="BJ3" s="135">
        <v>57</v>
      </c>
      <c r="BK3" s="135">
        <v>58</v>
      </c>
      <c r="BL3" s="135">
        <v>59</v>
      </c>
      <c r="BM3" s="135">
        <v>60</v>
      </c>
      <c r="BN3" s="135">
        <v>61</v>
      </c>
      <c r="BO3" s="135">
        <v>62</v>
      </c>
      <c r="BP3" s="135">
        <v>63</v>
      </c>
      <c r="BQ3" s="135">
        <v>64</v>
      </c>
      <c r="BR3" s="135">
        <v>65</v>
      </c>
      <c r="BS3" s="135">
        <v>66</v>
      </c>
      <c r="BT3" s="135">
        <v>67</v>
      </c>
      <c r="BU3" s="135">
        <v>68</v>
      </c>
      <c r="BV3" s="135">
        <v>69</v>
      </c>
      <c r="BW3" s="135">
        <v>70</v>
      </c>
      <c r="BX3" s="135">
        <v>71</v>
      </c>
      <c r="BY3" s="135">
        <v>72</v>
      </c>
      <c r="BZ3" s="135">
        <v>73</v>
      </c>
      <c r="CA3" s="135">
        <v>74</v>
      </c>
      <c r="CB3" s="135">
        <v>75</v>
      </c>
      <c r="CC3" s="135">
        <v>76</v>
      </c>
      <c r="CD3" s="135">
        <v>77</v>
      </c>
      <c r="CE3" s="135">
        <v>78</v>
      </c>
      <c r="CF3" s="135">
        <v>79</v>
      </c>
      <c r="CG3" s="135">
        <v>80</v>
      </c>
      <c r="CH3" s="135">
        <v>81</v>
      </c>
      <c r="CI3" s="135">
        <v>82</v>
      </c>
      <c r="CJ3" s="135">
        <v>83</v>
      </c>
      <c r="CK3" s="135">
        <v>84</v>
      </c>
      <c r="CL3" s="135">
        <v>85</v>
      </c>
      <c r="CM3" s="135">
        <v>86</v>
      </c>
      <c r="CN3" s="135">
        <v>87</v>
      </c>
      <c r="CO3" s="135">
        <v>88</v>
      </c>
      <c r="CP3" s="135">
        <v>89</v>
      </c>
      <c r="CQ3" s="135">
        <v>90</v>
      </c>
      <c r="CR3" s="135">
        <v>91</v>
      </c>
      <c r="CS3" s="135">
        <v>92</v>
      </c>
      <c r="CT3" s="135">
        <v>93</v>
      </c>
      <c r="CU3" s="135">
        <v>94</v>
      </c>
      <c r="CV3" s="135">
        <v>95</v>
      </c>
      <c r="CW3" s="135">
        <v>96</v>
      </c>
      <c r="CX3" s="135">
        <v>97</v>
      </c>
      <c r="CY3" s="135">
        <v>98</v>
      </c>
      <c r="CZ3" s="135">
        <v>99</v>
      </c>
      <c r="DA3" s="135">
        <v>100</v>
      </c>
      <c r="DB3" s="135">
        <v>101</v>
      </c>
      <c r="DC3" s="135">
        <v>102</v>
      </c>
      <c r="DD3" s="135">
        <v>103</v>
      </c>
      <c r="DE3" s="135">
        <v>104</v>
      </c>
      <c r="DF3" s="135">
        <v>105</v>
      </c>
    </row>
    <row r="7" spans="1:110" ht="15" customHeight="1" x14ac:dyDescent="0.25">
      <c r="A7" s="136"/>
      <c r="C7" s="335"/>
      <c r="D7" s="335"/>
      <c r="E7" s="335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</row>
    <row r="8" spans="1:110" ht="15" customHeight="1" x14ac:dyDescent="0.25">
      <c r="A8" s="136" t="s">
        <v>11</v>
      </c>
      <c r="C8" s="335">
        <v>1453786.74</v>
      </c>
      <c r="D8" s="335">
        <v>3022518.89</v>
      </c>
      <c r="E8" s="335">
        <v>2672216.16</v>
      </c>
      <c r="F8" s="137">
        <v>4454367.6502882903</v>
      </c>
      <c r="G8" s="137">
        <v>4647327.0009306697</v>
      </c>
      <c r="H8" s="137">
        <v>4783559.04804755</v>
      </c>
      <c r="I8" s="137">
        <v>5733416.5938398698</v>
      </c>
      <c r="J8" s="137">
        <v>5892911.4458942898</v>
      </c>
      <c r="K8" s="137">
        <v>5985551.5079940297</v>
      </c>
      <c r="L8" s="137">
        <v>6624695.0930872401</v>
      </c>
      <c r="M8" s="137">
        <v>7264827.1133561702</v>
      </c>
      <c r="N8" s="137">
        <v>6982817.0374313602</v>
      </c>
      <c r="O8" s="137">
        <v>7170303.4392183302</v>
      </c>
      <c r="P8" s="137">
        <v>7301293.3837315403</v>
      </c>
      <c r="Q8" s="137">
        <v>7372857.54005187</v>
      </c>
      <c r="R8" s="137">
        <v>8110312.2309200903</v>
      </c>
      <c r="S8" s="137">
        <v>8161675.8743467098</v>
      </c>
      <c r="T8" s="137">
        <v>8150103.6855197204</v>
      </c>
      <c r="U8" s="137">
        <v>7426580.2764052805</v>
      </c>
      <c r="V8" s="137">
        <v>6953679.6521709999</v>
      </c>
      <c r="W8" s="137">
        <v>6952865.2381720003</v>
      </c>
      <c r="X8" s="137">
        <v>6855721.4881119998</v>
      </c>
      <c r="Y8" s="137">
        <v>6596426.2375600003</v>
      </c>
      <c r="Z8" s="137">
        <v>6358183.9050899995</v>
      </c>
      <c r="AA8" s="137">
        <v>6061199.8681680001</v>
      </c>
      <c r="AB8" s="137">
        <v>5722621.2391489996</v>
      </c>
      <c r="AC8" s="137">
        <v>5359200.3904109998</v>
      </c>
      <c r="AD8" s="137">
        <v>4985653.1301840004</v>
      </c>
      <c r="AE8" s="137">
        <v>4328879.6518400004</v>
      </c>
      <c r="AF8" s="137">
        <v>4254502.3354639998</v>
      </c>
      <c r="AG8" s="137">
        <v>3437241.436803</v>
      </c>
      <c r="AH8" s="137">
        <v>3482913.0020099999</v>
      </c>
      <c r="AI8" s="137">
        <v>3510945.612952</v>
      </c>
      <c r="AJ8" s="137">
        <v>3521789.4714790001</v>
      </c>
      <c r="AK8" s="137">
        <v>3516138.2097709998</v>
      </c>
      <c r="AL8" s="137">
        <v>3494716.3298229999</v>
      </c>
      <c r="AM8" s="137">
        <v>3458324.4702150002</v>
      </c>
      <c r="AN8" s="137">
        <v>3407772.1144420002</v>
      </c>
      <c r="AO8" s="137">
        <v>3343852.4738269998</v>
      </c>
      <c r="AP8" s="137">
        <v>3047668.8332779999</v>
      </c>
      <c r="AQ8" s="137">
        <v>2991602.5343900002</v>
      </c>
      <c r="AR8" s="137">
        <v>2921081.1206260002</v>
      </c>
      <c r="AS8" s="137">
        <v>2836713.7452059998</v>
      </c>
      <c r="AT8" s="137">
        <v>2739322.4799000002</v>
      </c>
      <c r="AU8" s="137">
        <v>2629912.6968100001</v>
      </c>
      <c r="AV8" s="137">
        <v>1882173.3662159999</v>
      </c>
      <c r="AW8" s="137">
        <v>1844954.1974160001</v>
      </c>
      <c r="AX8" s="137">
        <v>1790448.79244</v>
      </c>
      <c r="AY8" s="137">
        <v>1720311.336568</v>
      </c>
      <c r="AZ8" s="137">
        <v>1636485.4975040001</v>
      </c>
      <c r="BA8" s="137">
        <v>1541245.7800080001</v>
      </c>
      <c r="BB8" s="137">
        <v>1437156.171264</v>
      </c>
      <c r="BC8" s="137">
        <v>1326739.3038240001</v>
      </c>
      <c r="BD8" s="137">
        <v>1212641.8741359999</v>
      </c>
      <c r="BE8" s="137">
        <v>1097345.1601199999</v>
      </c>
      <c r="BF8" s="137">
        <v>983123.66653599998</v>
      </c>
      <c r="BG8" s="137">
        <v>872045.12498399999</v>
      </c>
      <c r="BH8" s="137">
        <v>765805.07537600002</v>
      </c>
      <c r="BI8" s="137">
        <v>665850.92983200005</v>
      </c>
      <c r="BJ8" s="137">
        <v>0</v>
      </c>
      <c r="BK8" s="137">
        <v>0</v>
      </c>
      <c r="BL8" s="137">
        <v>0</v>
      </c>
      <c r="BM8" s="137">
        <v>0</v>
      </c>
      <c r="BN8" s="137">
        <v>0</v>
      </c>
      <c r="BO8" s="137">
        <v>0</v>
      </c>
      <c r="BP8" s="137">
        <v>0</v>
      </c>
      <c r="BQ8" s="137">
        <v>0</v>
      </c>
      <c r="BR8" s="137">
        <v>0</v>
      </c>
      <c r="BS8" s="137">
        <v>0</v>
      </c>
      <c r="BT8" s="137">
        <v>0</v>
      </c>
      <c r="BU8" s="137">
        <v>0</v>
      </c>
      <c r="BV8" s="137">
        <v>0</v>
      </c>
      <c r="BW8" s="137">
        <v>0</v>
      </c>
      <c r="BX8" s="137">
        <v>0</v>
      </c>
      <c r="BY8" s="137">
        <v>0</v>
      </c>
      <c r="BZ8" s="137">
        <v>0</v>
      </c>
      <c r="CA8" s="137">
        <v>0</v>
      </c>
      <c r="CB8" s="137">
        <v>0</v>
      </c>
      <c r="CC8" s="137">
        <v>0</v>
      </c>
      <c r="CD8" s="137">
        <v>0</v>
      </c>
      <c r="CE8" s="137">
        <v>0</v>
      </c>
      <c r="CF8" s="137">
        <v>0</v>
      </c>
      <c r="CG8" s="137">
        <v>0</v>
      </c>
      <c r="CH8" s="137">
        <v>0</v>
      </c>
      <c r="CI8" s="137">
        <v>0</v>
      </c>
      <c r="CJ8" s="137">
        <v>0</v>
      </c>
      <c r="CK8" s="137">
        <v>0</v>
      </c>
      <c r="CL8" s="137">
        <v>0</v>
      </c>
      <c r="CM8" s="137">
        <v>0</v>
      </c>
      <c r="CN8" s="137">
        <v>0</v>
      </c>
      <c r="CO8" s="137">
        <v>0</v>
      </c>
      <c r="CP8" s="137">
        <v>0</v>
      </c>
      <c r="CQ8" s="137">
        <v>0</v>
      </c>
      <c r="CR8" s="137">
        <v>0</v>
      </c>
      <c r="CS8" s="137">
        <v>0</v>
      </c>
      <c r="CT8" s="137">
        <v>0</v>
      </c>
      <c r="CU8" s="137">
        <v>0</v>
      </c>
      <c r="CV8" s="137">
        <v>0</v>
      </c>
      <c r="CW8" s="137">
        <v>0</v>
      </c>
      <c r="CX8" s="137">
        <v>0</v>
      </c>
      <c r="CY8" s="137">
        <v>0</v>
      </c>
      <c r="CZ8" s="137">
        <v>0</v>
      </c>
      <c r="DA8" s="137">
        <v>0</v>
      </c>
      <c r="DB8" s="137">
        <v>0</v>
      </c>
      <c r="DC8" s="137">
        <v>0</v>
      </c>
      <c r="DD8" s="137">
        <v>0</v>
      </c>
      <c r="DE8" s="137">
        <v>0</v>
      </c>
      <c r="DF8" s="137">
        <v>0</v>
      </c>
    </row>
    <row r="9" spans="1:110" ht="15" customHeight="1" x14ac:dyDescent="0.25">
      <c r="A9" s="96" t="s">
        <v>56</v>
      </c>
      <c r="C9" s="138">
        <v>116363.3</v>
      </c>
      <c r="D9" s="138">
        <v>138801.51999999999</v>
      </c>
      <c r="E9" s="138">
        <v>219366.88</v>
      </c>
      <c r="F9" s="139">
        <v>267934.87995748903</v>
      </c>
      <c r="G9" s="139">
        <v>267934.87995748903</v>
      </c>
      <c r="H9" s="139">
        <v>267934.87995748903</v>
      </c>
      <c r="I9" s="139">
        <v>361542.001995889</v>
      </c>
      <c r="J9" s="139">
        <v>361542.001995889</v>
      </c>
      <c r="K9" s="139">
        <v>361542.001995889</v>
      </c>
      <c r="L9" s="139">
        <v>442929.46088908002</v>
      </c>
      <c r="M9" s="139">
        <v>525344.50860475702</v>
      </c>
      <c r="N9" s="139">
        <v>442616.79048053903</v>
      </c>
      <c r="O9" s="139">
        <v>442616.79048053903</v>
      </c>
      <c r="P9" s="139">
        <v>442616.79048053903</v>
      </c>
      <c r="Q9" s="139">
        <v>442616.79048053903</v>
      </c>
      <c r="R9" s="139">
        <v>541230.82614862197</v>
      </c>
      <c r="S9" s="139">
        <v>541230.82614862197</v>
      </c>
      <c r="T9" s="139">
        <v>631894.94486762199</v>
      </c>
      <c r="U9" s="139">
        <v>495791.54955230502</v>
      </c>
      <c r="V9" s="139">
        <v>343974.80482285202</v>
      </c>
      <c r="W9" s="139">
        <v>343974.80482285202</v>
      </c>
      <c r="X9" s="139">
        <v>356437.86181160202</v>
      </c>
      <c r="Y9" s="139">
        <v>331511.74783410202</v>
      </c>
      <c r="Z9" s="139">
        <v>331511.74783410202</v>
      </c>
      <c r="AA9" s="139">
        <v>331511.74783410202</v>
      </c>
      <c r="AB9" s="139">
        <v>331511.74783410202</v>
      </c>
      <c r="AC9" s="139">
        <v>331511.74783410202</v>
      </c>
      <c r="AD9" s="139">
        <v>378380.99707110203</v>
      </c>
      <c r="AE9" s="139">
        <v>284642.49859710201</v>
      </c>
      <c r="AF9" s="139">
        <v>374733.90903103497</v>
      </c>
      <c r="AG9" s="139">
        <v>374733.90903103497</v>
      </c>
      <c r="AH9" s="139">
        <v>374733.90903103497</v>
      </c>
      <c r="AI9" s="139">
        <v>374733.90903103497</v>
      </c>
      <c r="AJ9" s="139">
        <v>447874.70637978503</v>
      </c>
      <c r="AK9" s="139">
        <v>316830.77779660799</v>
      </c>
      <c r="AL9" s="139">
        <v>464631.49680460797</v>
      </c>
      <c r="AM9" s="139">
        <v>223223.65575820801</v>
      </c>
      <c r="AN9" s="139">
        <v>223223.65575820801</v>
      </c>
      <c r="AO9" s="139">
        <v>277726.09205745801</v>
      </c>
      <c r="AP9" s="139">
        <v>188705.44610201701</v>
      </c>
      <c r="AQ9" s="139">
        <v>188705.44610201701</v>
      </c>
      <c r="AR9" s="139">
        <v>188705.44610201701</v>
      </c>
      <c r="AS9" s="139">
        <v>188705.44610201701</v>
      </c>
      <c r="AT9" s="139">
        <v>188705.44610201701</v>
      </c>
      <c r="AU9" s="139">
        <v>344411.81820951699</v>
      </c>
      <c r="AV9" s="139">
        <v>90091.410433933299</v>
      </c>
      <c r="AW9" s="139">
        <v>90091.410433933299</v>
      </c>
      <c r="AX9" s="139">
        <v>90091.410433933299</v>
      </c>
      <c r="AY9" s="139">
        <v>90091.410433933299</v>
      </c>
      <c r="AZ9" s="139">
        <v>90091.410433933299</v>
      </c>
      <c r="BA9" s="139">
        <v>90091.410433933299</v>
      </c>
      <c r="BB9" s="139">
        <v>90091.410433933299</v>
      </c>
      <c r="BC9" s="139">
        <v>90091.410433933299</v>
      </c>
      <c r="BD9" s="139">
        <v>90091.410433933299</v>
      </c>
      <c r="BE9" s="139">
        <v>90091.410433933299</v>
      </c>
      <c r="BF9" s="139">
        <v>90091.410433933299</v>
      </c>
      <c r="BG9" s="139">
        <v>90091.410433933299</v>
      </c>
      <c r="BH9" s="139">
        <v>90091.410433933299</v>
      </c>
      <c r="BI9" s="139">
        <v>232341.00585593301</v>
      </c>
      <c r="BJ9" s="139">
        <v>0</v>
      </c>
      <c r="BK9" s="139">
        <v>0</v>
      </c>
      <c r="BL9" s="139">
        <v>0</v>
      </c>
      <c r="BM9" s="139">
        <v>0</v>
      </c>
      <c r="BN9" s="139">
        <v>0</v>
      </c>
      <c r="BO9" s="139">
        <v>0</v>
      </c>
      <c r="BP9" s="139">
        <v>0</v>
      </c>
      <c r="BQ9" s="139">
        <v>0</v>
      </c>
      <c r="BR9" s="139">
        <v>0</v>
      </c>
      <c r="BS9" s="139">
        <v>0</v>
      </c>
      <c r="BT9" s="139">
        <v>0</v>
      </c>
      <c r="BU9" s="139">
        <v>0</v>
      </c>
      <c r="BV9" s="139">
        <v>0</v>
      </c>
      <c r="BW9" s="139">
        <v>0</v>
      </c>
      <c r="BX9" s="139">
        <v>0</v>
      </c>
      <c r="BY9" s="139">
        <v>0</v>
      </c>
      <c r="BZ9" s="139">
        <v>0</v>
      </c>
      <c r="CA9" s="139">
        <v>0</v>
      </c>
      <c r="CB9" s="139">
        <v>0</v>
      </c>
      <c r="CC9" s="139">
        <v>0</v>
      </c>
      <c r="CD9" s="139">
        <v>0</v>
      </c>
      <c r="CE9" s="139">
        <v>0</v>
      </c>
      <c r="CF9" s="139">
        <v>0</v>
      </c>
      <c r="CG9" s="139">
        <v>0</v>
      </c>
      <c r="CH9" s="139">
        <v>0</v>
      </c>
      <c r="CI9" s="139">
        <v>0</v>
      </c>
      <c r="CJ9" s="139">
        <v>0</v>
      </c>
      <c r="CK9" s="139">
        <v>0</v>
      </c>
      <c r="CL9" s="139">
        <v>0</v>
      </c>
      <c r="CM9" s="139">
        <v>0</v>
      </c>
      <c r="CN9" s="139">
        <v>0</v>
      </c>
      <c r="CO9" s="139">
        <v>0</v>
      </c>
      <c r="CP9" s="139">
        <v>0</v>
      </c>
      <c r="CQ9" s="139">
        <v>0</v>
      </c>
      <c r="CR9" s="139">
        <v>0</v>
      </c>
      <c r="CS9" s="139">
        <v>0</v>
      </c>
      <c r="CT9" s="139">
        <v>0</v>
      </c>
      <c r="CU9" s="139">
        <v>0</v>
      </c>
      <c r="CV9" s="139">
        <v>0</v>
      </c>
      <c r="CW9" s="139">
        <v>0</v>
      </c>
      <c r="CX9" s="139">
        <v>0</v>
      </c>
      <c r="CY9" s="139">
        <v>0</v>
      </c>
      <c r="CZ9" s="139">
        <v>0</v>
      </c>
      <c r="DA9" s="139">
        <v>0</v>
      </c>
      <c r="DB9" s="139">
        <v>0</v>
      </c>
      <c r="DC9" s="139">
        <v>0</v>
      </c>
      <c r="DD9" s="139">
        <v>0</v>
      </c>
      <c r="DE9" s="139">
        <v>0</v>
      </c>
      <c r="DF9" s="139">
        <v>0</v>
      </c>
    </row>
    <row r="10" spans="1:110" ht="15" customHeight="1" x14ac:dyDescent="0.25">
      <c r="A10" s="136" t="s">
        <v>57</v>
      </c>
      <c r="C10" s="335">
        <v>0</v>
      </c>
      <c r="D10" s="335">
        <v>0</v>
      </c>
      <c r="E10" s="335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v>0</v>
      </c>
      <c r="R10" s="137">
        <v>0</v>
      </c>
      <c r="S10" s="137">
        <v>0</v>
      </c>
      <c r="T10" s="137">
        <v>0</v>
      </c>
      <c r="U10" s="137">
        <v>0</v>
      </c>
      <c r="V10" s="137">
        <v>0</v>
      </c>
      <c r="W10" s="137">
        <v>0</v>
      </c>
      <c r="X10" s="137">
        <v>0</v>
      </c>
      <c r="Y10" s="137">
        <v>0</v>
      </c>
      <c r="Z10" s="137">
        <v>0</v>
      </c>
      <c r="AA10" s="137">
        <v>0</v>
      </c>
      <c r="AB10" s="137">
        <v>0</v>
      </c>
      <c r="AC10" s="137">
        <v>0</v>
      </c>
      <c r="AD10" s="137">
        <v>0</v>
      </c>
      <c r="AE10" s="137">
        <v>0</v>
      </c>
      <c r="AF10" s="137">
        <v>0</v>
      </c>
      <c r="AG10" s="137">
        <v>0</v>
      </c>
      <c r="AH10" s="137">
        <v>0</v>
      </c>
      <c r="AI10" s="137">
        <v>0</v>
      </c>
      <c r="AJ10" s="137">
        <v>0</v>
      </c>
      <c r="AK10" s="137">
        <v>0</v>
      </c>
      <c r="AL10" s="137">
        <v>0</v>
      </c>
      <c r="AM10" s="137">
        <v>0</v>
      </c>
      <c r="AN10" s="137">
        <v>0</v>
      </c>
      <c r="AO10" s="137">
        <v>0</v>
      </c>
      <c r="AP10" s="137">
        <v>0</v>
      </c>
      <c r="AQ10" s="137">
        <v>0</v>
      </c>
      <c r="AR10" s="137">
        <v>0</v>
      </c>
      <c r="AS10" s="137">
        <v>0</v>
      </c>
      <c r="AT10" s="137">
        <v>0</v>
      </c>
      <c r="AU10" s="137">
        <v>0</v>
      </c>
      <c r="AV10" s="137">
        <v>0</v>
      </c>
      <c r="AW10" s="137">
        <v>0</v>
      </c>
      <c r="AX10" s="137">
        <v>0</v>
      </c>
      <c r="AY10" s="137">
        <v>0</v>
      </c>
      <c r="AZ10" s="137">
        <v>0</v>
      </c>
      <c r="BA10" s="137">
        <v>0</v>
      </c>
      <c r="BB10" s="137">
        <v>0</v>
      </c>
      <c r="BC10" s="137">
        <v>0</v>
      </c>
      <c r="BD10" s="137">
        <v>0</v>
      </c>
      <c r="BE10" s="137">
        <v>0</v>
      </c>
      <c r="BF10" s="137">
        <v>0</v>
      </c>
      <c r="BG10" s="137">
        <v>0</v>
      </c>
      <c r="BH10" s="137">
        <v>0</v>
      </c>
      <c r="BI10" s="137">
        <v>0</v>
      </c>
      <c r="BJ10" s="137">
        <v>0</v>
      </c>
      <c r="BK10" s="137">
        <v>0</v>
      </c>
      <c r="BL10" s="137">
        <v>0</v>
      </c>
      <c r="BM10" s="137">
        <v>0</v>
      </c>
      <c r="BN10" s="137">
        <v>0</v>
      </c>
      <c r="BO10" s="137">
        <v>0</v>
      </c>
      <c r="BP10" s="137">
        <v>0</v>
      </c>
      <c r="BQ10" s="137">
        <v>0</v>
      </c>
      <c r="BR10" s="137">
        <v>0</v>
      </c>
      <c r="BS10" s="137">
        <v>0</v>
      </c>
      <c r="BT10" s="137">
        <v>0</v>
      </c>
      <c r="BU10" s="137">
        <v>0</v>
      </c>
      <c r="BV10" s="137">
        <v>0</v>
      </c>
      <c r="BW10" s="137">
        <v>0</v>
      </c>
      <c r="BX10" s="137">
        <v>0</v>
      </c>
      <c r="BY10" s="137">
        <v>0</v>
      </c>
      <c r="BZ10" s="137">
        <v>0</v>
      </c>
      <c r="CA10" s="137">
        <v>0</v>
      </c>
      <c r="CB10" s="137">
        <v>0</v>
      </c>
      <c r="CC10" s="137">
        <v>0</v>
      </c>
      <c r="CD10" s="137">
        <v>0</v>
      </c>
      <c r="CE10" s="137">
        <v>0</v>
      </c>
      <c r="CF10" s="137">
        <v>0</v>
      </c>
      <c r="CG10" s="137">
        <v>0</v>
      </c>
      <c r="CH10" s="137">
        <v>0</v>
      </c>
      <c r="CI10" s="137">
        <v>0</v>
      </c>
      <c r="CJ10" s="137">
        <v>0</v>
      </c>
      <c r="CK10" s="137">
        <v>0</v>
      </c>
      <c r="CL10" s="137">
        <v>0</v>
      </c>
      <c r="CM10" s="137">
        <v>0</v>
      </c>
      <c r="CN10" s="137">
        <v>0</v>
      </c>
      <c r="CO10" s="137">
        <v>0</v>
      </c>
      <c r="CP10" s="137">
        <v>0</v>
      </c>
      <c r="CQ10" s="137">
        <v>0</v>
      </c>
      <c r="CR10" s="137">
        <v>0</v>
      </c>
      <c r="CS10" s="137">
        <v>0</v>
      </c>
      <c r="CT10" s="137">
        <v>0</v>
      </c>
      <c r="CU10" s="137">
        <v>0</v>
      </c>
      <c r="CV10" s="137">
        <v>0</v>
      </c>
      <c r="CW10" s="137">
        <v>0</v>
      </c>
      <c r="CX10" s="137">
        <v>0</v>
      </c>
      <c r="CY10" s="137">
        <v>0</v>
      </c>
      <c r="CZ10" s="137">
        <v>0</v>
      </c>
      <c r="DA10" s="137">
        <v>0</v>
      </c>
      <c r="DB10" s="137">
        <v>0</v>
      </c>
      <c r="DC10" s="137">
        <v>0</v>
      </c>
      <c r="DD10" s="137">
        <v>0</v>
      </c>
      <c r="DE10" s="137">
        <v>0</v>
      </c>
      <c r="DF10" s="137">
        <v>0</v>
      </c>
    </row>
    <row r="11" spans="1:110" ht="15" customHeight="1" x14ac:dyDescent="0.25">
      <c r="A11" s="136" t="s">
        <v>258</v>
      </c>
      <c r="C11" s="335">
        <v>95370.25</v>
      </c>
      <c r="D11" s="335">
        <v>173282.89</v>
      </c>
      <c r="E11" s="335">
        <v>50438.85</v>
      </c>
      <c r="F11" s="137">
        <v>200950.18629677399</v>
      </c>
      <c r="G11" s="137">
        <v>200950.18629677399</v>
      </c>
      <c r="H11" s="137">
        <v>200950.18629677399</v>
      </c>
      <c r="I11" s="137">
        <v>271155.18765869399</v>
      </c>
      <c r="J11" s="137">
        <v>271155.18765869399</v>
      </c>
      <c r="K11" s="137">
        <v>271155.18765869399</v>
      </c>
      <c r="L11" s="137">
        <v>332195.48606778099</v>
      </c>
      <c r="M11" s="137">
        <v>394006.47235948901</v>
      </c>
      <c r="N11" s="137">
        <v>331960.98439761403</v>
      </c>
      <c r="O11" s="137">
        <v>331960.98439761403</v>
      </c>
      <c r="P11" s="137">
        <v>331960.98439761403</v>
      </c>
      <c r="Q11" s="137">
        <v>331960.98439761403</v>
      </c>
      <c r="R11" s="137">
        <v>405921.15278674802</v>
      </c>
      <c r="S11" s="137">
        <v>405921.15278674802</v>
      </c>
      <c r="T11" s="137">
        <v>473918.91235394799</v>
      </c>
      <c r="U11" s="137">
        <v>371841.86046516098</v>
      </c>
      <c r="V11" s="137">
        <v>257979.85361784801</v>
      </c>
      <c r="W11" s="137">
        <v>257979.85361784801</v>
      </c>
      <c r="X11" s="137">
        <v>267327.10106884799</v>
      </c>
      <c r="Y11" s="137">
        <v>248632.60616684801</v>
      </c>
      <c r="Z11" s="137">
        <v>248632.60616684801</v>
      </c>
      <c r="AA11" s="137">
        <v>248632.60616684801</v>
      </c>
      <c r="AB11" s="137">
        <v>248632.60616684801</v>
      </c>
      <c r="AC11" s="137">
        <v>248632.60616684801</v>
      </c>
      <c r="AD11" s="137">
        <v>283784.372772448</v>
      </c>
      <c r="AE11" s="137">
        <v>213480.83956124799</v>
      </c>
      <c r="AF11" s="137">
        <v>281049.06999586202</v>
      </c>
      <c r="AG11" s="137">
        <v>281049.06999586202</v>
      </c>
      <c r="AH11" s="137">
        <v>281049.06999586202</v>
      </c>
      <c r="AI11" s="137">
        <v>281049.06999586202</v>
      </c>
      <c r="AJ11" s="137">
        <v>335904.402214862</v>
      </c>
      <c r="AK11" s="137">
        <v>237621.931989153</v>
      </c>
      <c r="AL11" s="137">
        <v>348471.93413955299</v>
      </c>
      <c r="AM11" s="137">
        <v>167416.930627233</v>
      </c>
      <c r="AN11" s="137">
        <v>167416.930627233</v>
      </c>
      <c r="AO11" s="137">
        <v>208293.55979063301</v>
      </c>
      <c r="AP11" s="137">
        <v>141528.398823747</v>
      </c>
      <c r="AQ11" s="137">
        <v>141528.398823747</v>
      </c>
      <c r="AR11" s="137">
        <v>141528.398823747</v>
      </c>
      <c r="AS11" s="137">
        <v>141528.398823747</v>
      </c>
      <c r="AT11" s="137">
        <v>141528.398823747</v>
      </c>
      <c r="AU11" s="137">
        <v>258307.612069747</v>
      </c>
      <c r="AV11" s="137">
        <v>67568.230434613404</v>
      </c>
      <c r="AW11" s="137">
        <v>67568.230434613404</v>
      </c>
      <c r="AX11" s="137">
        <v>67568.230434613404</v>
      </c>
      <c r="AY11" s="137">
        <v>67568.230434613404</v>
      </c>
      <c r="AZ11" s="137">
        <v>67568.230434613404</v>
      </c>
      <c r="BA11" s="137">
        <v>67568.230434613404</v>
      </c>
      <c r="BB11" s="137">
        <v>67568.230434613404</v>
      </c>
      <c r="BC11" s="137">
        <v>67568.230434613404</v>
      </c>
      <c r="BD11" s="137">
        <v>67568.230434613404</v>
      </c>
      <c r="BE11" s="137">
        <v>67568.230434613404</v>
      </c>
      <c r="BF11" s="137">
        <v>67568.230434613404</v>
      </c>
      <c r="BG11" s="137">
        <v>67568.230434613404</v>
      </c>
      <c r="BH11" s="137">
        <v>67568.230434613404</v>
      </c>
      <c r="BI11" s="137">
        <v>174254.91006821301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  <c r="CO11" s="137">
        <v>0</v>
      </c>
      <c r="CP11" s="137">
        <v>0</v>
      </c>
      <c r="CQ11" s="137">
        <v>0</v>
      </c>
      <c r="CR11" s="137">
        <v>0</v>
      </c>
      <c r="CS11" s="137">
        <v>0</v>
      </c>
      <c r="CT11" s="137">
        <v>0</v>
      </c>
      <c r="CU11" s="137">
        <v>0</v>
      </c>
      <c r="CV11" s="137">
        <v>0</v>
      </c>
      <c r="CW11" s="137">
        <v>0</v>
      </c>
      <c r="CX11" s="137">
        <v>0</v>
      </c>
      <c r="CY11" s="137">
        <v>0</v>
      </c>
      <c r="CZ11" s="137">
        <v>0</v>
      </c>
      <c r="DA11" s="137">
        <v>0</v>
      </c>
      <c r="DB11" s="137">
        <v>0</v>
      </c>
      <c r="DC11" s="137">
        <v>0</v>
      </c>
      <c r="DD11" s="137">
        <v>0</v>
      </c>
      <c r="DE11" s="137">
        <v>0</v>
      </c>
      <c r="DF11" s="137">
        <v>0</v>
      </c>
    </row>
    <row r="12" spans="1:110" ht="15" customHeight="1" x14ac:dyDescent="0.25">
      <c r="A12" s="136" t="s">
        <v>59</v>
      </c>
      <c r="C12" s="339">
        <v>0</v>
      </c>
      <c r="D12" s="339">
        <v>0</v>
      </c>
      <c r="E12" s="339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  <c r="CO12" s="137">
        <v>0</v>
      </c>
      <c r="CP12" s="137">
        <v>0</v>
      </c>
      <c r="CQ12" s="137">
        <v>0</v>
      </c>
      <c r="CR12" s="137">
        <v>0</v>
      </c>
      <c r="CS12" s="137">
        <v>0</v>
      </c>
      <c r="CT12" s="137">
        <v>0</v>
      </c>
      <c r="CU12" s="137">
        <v>0</v>
      </c>
      <c r="CV12" s="137">
        <v>0</v>
      </c>
      <c r="CW12" s="137">
        <v>0</v>
      </c>
      <c r="CX12" s="137">
        <v>0</v>
      </c>
      <c r="CY12" s="137">
        <v>0</v>
      </c>
      <c r="CZ12" s="137">
        <v>0</v>
      </c>
      <c r="DA12" s="137">
        <v>0</v>
      </c>
      <c r="DB12" s="137">
        <v>0</v>
      </c>
      <c r="DC12" s="137">
        <v>0</v>
      </c>
      <c r="DD12" s="137">
        <v>0</v>
      </c>
      <c r="DE12" s="137">
        <v>0</v>
      </c>
      <c r="DF12" s="137">
        <v>0</v>
      </c>
    </row>
    <row r="13" spans="1:110" ht="15" customHeight="1" x14ac:dyDescent="0.25">
      <c r="A13" s="97" t="s">
        <v>231</v>
      </c>
      <c r="C13" s="339">
        <v>-1233067.43</v>
      </c>
      <c r="D13" s="339">
        <v>-3073522.36</v>
      </c>
      <c r="E13" s="339">
        <v>-2078031.64</v>
      </c>
      <c r="F13" s="140">
        <v>-3985482.5840340201</v>
      </c>
      <c r="G13" s="140">
        <v>-4178441.9346764102</v>
      </c>
      <c r="H13" s="140">
        <v>-4314673.98179329</v>
      </c>
      <c r="I13" s="140">
        <v>-5100719.4041852904</v>
      </c>
      <c r="J13" s="140">
        <v>-5260214.2562397104</v>
      </c>
      <c r="K13" s="140">
        <v>-5352854.3183394503</v>
      </c>
      <c r="L13" s="140">
        <v>-5849570.1461303802</v>
      </c>
      <c r="M13" s="140">
        <v>-6345476.1323919296</v>
      </c>
      <c r="N13" s="140">
        <v>-6208239.2625532104</v>
      </c>
      <c r="O13" s="140">
        <v>-6395725.6643401701</v>
      </c>
      <c r="P13" s="140">
        <v>-6526715.6088533802</v>
      </c>
      <c r="Q13" s="140">
        <v>-6598279.7651737202</v>
      </c>
      <c r="R13" s="140">
        <v>-7163160.2519847201</v>
      </c>
      <c r="S13" s="140">
        <v>-7214523.8954113498</v>
      </c>
      <c r="T13" s="140">
        <v>-7044289.8282981496</v>
      </c>
      <c r="U13" s="140">
        <v>-6558946.8663878199</v>
      </c>
      <c r="V13" s="140">
        <v>-6351724.9937303001</v>
      </c>
      <c r="W13" s="140">
        <v>-6350910.5797312995</v>
      </c>
      <c r="X13" s="140">
        <v>-6231956.5252315504</v>
      </c>
      <c r="Y13" s="140">
        <v>-6016281.88355905</v>
      </c>
      <c r="Z13" s="140">
        <v>-5778039.5510890502</v>
      </c>
      <c r="AA13" s="140">
        <v>-5481055.5141670499</v>
      </c>
      <c r="AB13" s="140">
        <v>-5142476.8851480503</v>
      </c>
      <c r="AC13" s="140">
        <v>-4779056.0364100495</v>
      </c>
      <c r="AD13" s="140">
        <v>-4323487.7603404503</v>
      </c>
      <c r="AE13" s="140">
        <v>-3830756.31368165</v>
      </c>
      <c r="AF13" s="140">
        <v>-3598719.3564371001</v>
      </c>
      <c r="AG13" s="140">
        <v>-2781458.4577760999</v>
      </c>
      <c r="AH13" s="140">
        <v>-2827130.0229830998</v>
      </c>
      <c r="AI13" s="140">
        <v>-2855162.6339250999</v>
      </c>
      <c r="AJ13" s="140">
        <v>-2738010.3628843501</v>
      </c>
      <c r="AK13" s="140">
        <v>-2961685.4999852399</v>
      </c>
      <c r="AL13" s="140">
        <v>-2681612.8988788398</v>
      </c>
      <c r="AM13" s="140">
        <v>-3067683.8838295601</v>
      </c>
      <c r="AN13" s="140">
        <v>-3017131.5280565601</v>
      </c>
      <c r="AO13" s="140">
        <v>-2857832.8219789099</v>
      </c>
      <c r="AP13" s="140">
        <v>-2717434.9883522401</v>
      </c>
      <c r="AQ13" s="140">
        <v>-2661368.6894642399</v>
      </c>
      <c r="AR13" s="140">
        <v>-2590847.2757002399</v>
      </c>
      <c r="AS13" s="140">
        <v>-2506479.90028024</v>
      </c>
      <c r="AT13" s="140">
        <v>-2409088.6349742399</v>
      </c>
      <c r="AU13" s="140">
        <v>-2027193.2665307401</v>
      </c>
      <c r="AV13" s="140">
        <v>-1724513.72534745</v>
      </c>
      <c r="AW13" s="140">
        <v>-1687294.5565474499</v>
      </c>
      <c r="AX13" s="140">
        <v>-1632789.1515714501</v>
      </c>
      <c r="AY13" s="140">
        <v>-1562651.6956994501</v>
      </c>
      <c r="AZ13" s="140">
        <v>-1478825.8566354499</v>
      </c>
      <c r="BA13" s="140">
        <v>-1383586.1391394499</v>
      </c>
      <c r="BB13" s="140">
        <v>-1279496.5303954501</v>
      </c>
      <c r="BC13" s="140">
        <v>-1169079.6629554499</v>
      </c>
      <c r="BD13" s="140">
        <v>-1054982.23326745</v>
      </c>
      <c r="BE13" s="140">
        <v>-939685.51925145299</v>
      </c>
      <c r="BF13" s="140">
        <v>-825464.02566745295</v>
      </c>
      <c r="BG13" s="140">
        <v>-714385.48411545297</v>
      </c>
      <c r="BH13" s="140">
        <v>-608145.434507453</v>
      </c>
      <c r="BI13" s="140">
        <v>-259255.01390785299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</row>
    <row r="14" spans="1:110" ht="15" customHeight="1" x14ac:dyDescent="0.25">
      <c r="A14" s="98" t="s">
        <v>232</v>
      </c>
      <c r="C14" s="340">
        <v>0</v>
      </c>
      <c r="D14" s="340">
        <v>0</v>
      </c>
      <c r="E14" s="340">
        <v>0</v>
      </c>
      <c r="F14" s="340">
        <v>0</v>
      </c>
      <c r="G14" s="340">
        <v>0</v>
      </c>
      <c r="H14" s="340">
        <v>0</v>
      </c>
      <c r="I14" s="340">
        <v>0</v>
      </c>
      <c r="J14" s="340">
        <v>0</v>
      </c>
      <c r="K14" s="340">
        <v>0</v>
      </c>
      <c r="L14" s="340">
        <v>0</v>
      </c>
      <c r="M14" s="340">
        <v>0</v>
      </c>
      <c r="N14" s="340">
        <v>0</v>
      </c>
      <c r="O14" s="340">
        <v>0</v>
      </c>
      <c r="P14" s="340">
        <v>0</v>
      </c>
      <c r="Q14" s="340">
        <v>0</v>
      </c>
      <c r="R14" s="340">
        <v>0</v>
      </c>
      <c r="S14" s="340">
        <v>0</v>
      </c>
      <c r="T14" s="340">
        <v>0</v>
      </c>
      <c r="U14" s="340">
        <v>0</v>
      </c>
      <c r="V14" s="340">
        <v>0</v>
      </c>
      <c r="W14" s="340">
        <v>0</v>
      </c>
      <c r="X14" s="340">
        <v>0</v>
      </c>
      <c r="Y14" s="340">
        <v>0</v>
      </c>
      <c r="Z14" s="340">
        <v>0</v>
      </c>
      <c r="AA14" s="340">
        <v>0</v>
      </c>
      <c r="AB14" s="340">
        <v>0</v>
      </c>
      <c r="AC14" s="340">
        <v>0</v>
      </c>
      <c r="AD14" s="340">
        <v>0</v>
      </c>
      <c r="AE14" s="340">
        <v>0</v>
      </c>
      <c r="AF14" s="340">
        <v>0</v>
      </c>
      <c r="AG14" s="340">
        <v>0</v>
      </c>
      <c r="AH14" s="340">
        <v>0</v>
      </c>
      <c r="AI14" s="340">
        <v>0</v>
      </c>
      <c r="AJ14" s="340">
        <v>0</v>
      </c>
      <c r="AK14" s="340">
        <v>0</v>
      </c>
      <c r="AL14" s="340">
        <v>0</v>
      </c>
      <c r="AM14" s="340">
        <v>0</v>
      </c>
      <c r="AN14" s="340">
        <v>0</v>
      </c>
      <c r="AO14" s="340">
        <v>0</v>
      </c>
      <c r="AP14" s="340">
        <v>0</v>
      </c>
      <c r="AQ14" s="340">
        <v>0</v>
      </c>
      <c r="AR14" s="340">
        <v>0</v>
      </c>
      <c r="AS14" s="340">
        <v>0</v>
      </c>
      <c r="AT14" s="340">
        <v>0</v>
      </c>
      <c r="AU14" s="340">
        <v>0</v>
      </c>
      <c r="AV14" s="340">
        <v>0</v>
      </c>
      <c r="AW14" s="340">
        <v>0</v>
      </c>
      <c r="AX14" s="340">
        <v>0</v>
      </c>
      <c r="AY14" s="340">
        <v>0</v>
      </c>
      <c r="AZ14" s="340">
        <v>0</v>
      </c>
      <c r="BA14" s="340">
        <v>0</v>
      </c>
      <c r="BB14" s="340">
        <v>0</v>
      </c>
      <c r="BC14" s="340">
        <v>0</v>
      </c>
      <c r="BD14" s="340">
        <v>0</v>
      </c>
      <c r="BE14" s="340">
        <v>0</v>
      </c>
      <c r="BF14" s="340">
        <v>0</v>
      </c>
      <c r="BG14" s="340">
        <v>0</v>
      </c>
      <c r="BH14" s="340">
        <v>0</v>
      </c>
      <c r="BI14" s="340">
        <v>0</v>
      </c>
      <c r="BJ14" s="340">
        <v>0</v>
      </c>
      <c r="BK14" s="340">
        <v>0</v>
      </c>
      <c r="BL14" s="340">
        <v>0</v>
      </c>
      <c r="BM14" s="340">
        <v>0</v>
      </c>
      <c r="BN14" s="340">
        <v>0</v>
      </c>
      <c r="BO14" s="340">
        <v>0</v>
      </c>
      <c r="BP14" s="340">
        <v>0</v>
      </c>
      <c r="BQ14" s="340">
        <v>0</v>
      </c>
      <c r="BR14" s="340">
        <v>0</v>
      </c>
      <c r="BS14" s="340">
        <v>0</v>
      </c>
      <c r="BT14" s="340">
        <v>0</v>
      </c>
      <c r="BU14" s="340">
        <v>0</v>
      </c>
      <c r="BV14" s="340">
        <v>0</v>
      </c>
      <c r="BW14" s="340">
        <v>0</v>
      </c>
      <c r="BX14" s="340">
        <v>0</v>
      </c>
      <c r="BY14" s="340">
        <v>0</v>
      </c>
      <c r="BZ14" s="340">
        <v>0</v>
      </c>
      <c r="CA14" s="340">
        <v>0</v>
      </c>
      <c r="CB14" s="340">
        <v>0</v>
      </c>
      <c r="CC14" s="340">
        <v>0</v>
      </c>
      <c r="CD14" s="340">
        <v>0</v>
      </c>
      <c r="CE14" s="340">
        <v>0</v>
      </c>
      <c r="CF14" s="340">
        <v>0</v>
      </c>
      <c r="CG14" s="340">
        <v>0</v>
      </c>
      <c r="CH14" s="340">
        <v>0</v>
      </c>
      <c r="CI14" s="340">
        <v>0</v>
      </c>
      <c r="CJ14" s="340">
        <v>0</v>
      </c>
      <c r="CK14" s="340">
        <v>0</v>
      </c>
      <c r="CL14" s="340">
        <v>0</v>
      </c>
      <c r="CM14" s="340">
        <v>0</v>
      </c>
      <c r="CN14" s="340">
        <v>0</v>
      </c>
      <c r="CO14" s="340">
        <v>0</v>
      </c>
      <c r="CP14" s="340">
        <v>0</v>
      </c>
      <c r="CQ14" s="340">
        <v>0</v>
      </c>
      <c r="CR14" s="340">
        <v>0</v>
      </c>
      <c r="CS14" s="340">
        <v>0</v>
      </c>
      <c r="CT14" s="340">
        <v>0</v>
      </c>
      <c r="CU14" s="340">
        <v>0</v>
      </c>
      <c r="CV14" s="340">
        <v>0</v>
      </c>
      <c r="CW14" s="340">
        <v>0</v>
      </c>
      <c r="CX14" s="340">
        <v>0</v>
      </c>
      <c r="CY14" s="340">
        <v>0</v>
      </c>
      <c r="CZ14" s="340">
        <v>0</v>
      </c>
      <c r="DA14" s="340">
        <v>0</v>
      </c>
      <c r="DB14" s="340">
        <v>0</v>
      </c>
      <c r="DC14" s="340">
        <v>0</v>
      </c>
      <c r="DD14" s="340">
        <v>0</v>
      </c>
      <c r="DE14" s="340">
        <v>0</v>
      </c>
      <c r="DF14" s="340">
        <v>0</v>
      </c>
    </row>
    <row r="15" spans="1:110" ht="15" customHeight="1" x14ac:dyDescent="0.25">
      <c r="A15" s="136" t="s">
        <v>61</v>
      </c>
      <c r="C15" s="335">
        <v>0</v>
      </c>
      <c r="D15" s="335">
        <v>0</v>
      </c>
      <c r="E15" s="335">
        <v>0</v>
      </c>
      <c r="F15" s="137">
        <v>0</v>
      </c>
      <c r="G15" s="137">
        <v>0</v>
      </c>
      <c r="H15" s="137">
        <v>0</v>
      </c>
      <c r="I15" s="137">
        <v>644526.72</v>
      </c>
      <c r="J15" s="137">
        <v>0</v>
      </c>
      <c r="K15" s="137">
        <v>0</v>
      </c>
      <c r="L15" s="137">
        <v>442059.82500000001</v>
      </c>
      <c r="M15" s="137">
        <v>318951.07500000001</v>
      </c>
      <c r="N15" s="137">
        <v>0</v>
      </c>
      <c r="O15" s="137">
        <v>0</v>
      </c>
      <c r="P15" s="137">
        <v>0</v>
      </c>
      <c r="Q15" s="137">
        <v>0</v>
      </c>
      <c r="R15" s="137">
        <v>679001.55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137">
        <v>0</v>
      </c>
      <c r="AB15" s="137">
        <v>0</v>
      </c>
      <c r="AC15" s="137">
        <v>0</v>
      </c>
      <c r="AD15" s="137">
        <v>0</v>
      </c>
      <c r="AE15" s="137">
        <v>0</v>
      </c>
      <c r="AF15" s="137">
        <v>620319.48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137">
        <v>0</v>
      </c>
      <c r="AP15" s="137">
        <v>0</v>
      </c>
      <c r="AQ15" s="137">
        <v>0</v>
      </c>
      <c r="AR15" s="137">
        <v>0</v>
      </c>
      <c r="AS15" s="137">
        <v>0</v>
      </c>
      <c r="AT15" s="137">
        <v>0</v>
      </c>
      <c r="AU15" s="137">
        <v>0</v>
      </c>
      <c r="AV15" s="137">
        <v>0</v>
      </c>
      <c r="AW15" s="137">
        <v>0</v>
      </c>
      <c r="AX15" s="137">
        <v>0</v>
      </c>
      <c r="AY15" s="137">
        <v>0</v>
      </c>
      <c r="AZ15" s="137">
        <v>0</v>
      </c>
      <c r="BA15" s="137">
        <v>0</v>
      </c>
      <c r="BB15" s="137">
        <v>0</v>
      </c>
      <c r="BC15" s="137">
        <v>0</v>
      </c>
      <c r="BD15" s="137">
        <v>0</v>
      </c>
      <c r="BE15" s="137">
        <v>0</v>
      </c>
      <c r="BF15" s="137">
        <v>0</v>
      </c>
      <c r="BG15" s="137">
        <v>0</v>
      </c>
      <c r="BH15" s="137">
        <v>0</v>
      </c>
      <c r="BI15" s="137">
        <v>0</v>
      </c>
      <c r="BJ15" s="137">
        <v>0</v>
      </c>
      <c r="BK15" s="137">
        <v>0</v>
      </c>
      <c r="BL15" s="137">
        <v>0</v>
      </c>
      <c r="BM15" s="137">
        <v>0</v>
      </c>
      <c r="BN15" s="137">
        <v>0</v>
      </c>
      <c r="BO15" s="137">
        <v>0</v>
      </c>
      <c r="BP15" s="137">
        <v>0</v>
      </c>
      <c r="BQ15" s="137">
        <v>0</v>
      </c>
      <c r="BR15" s="137">
        <v>0</v>
      </c>
      <c r="BS15" s="137">
        <v>0</v>
      </c>
      <c r="BT15" s="137">
        <v>0</v>
      </c>
      <c r="BU15" s="137">
        <v>0</v>
      </c>
      <c r="BV15" s="137">
        <v>0</v>
      </c>
      <c r="BW15" s="137">
        <v>0</v>
      </c>
      <c r="BX15" s="137">
        <v>0</v>
      </c>
      <c r="BY15" s="137">
        <v>0</v>
      </c>
      <c r="BZ15" s="137">
        <v>0</v>
      </c>
      <c r="CA15" s="137">
        <v>0</v>
      </c>
      <c r="CB15" s="137">
        <v>0</v>
      </c>
      <c r="CC15" s="137">
        <v>0</v>
      </c>
      <c r="CD15" s="137">
        <v>0</v>
      </c>
      <c r="CE15" s="137">
        <v>0</v>
      </c>
      <c r="CF15" s="137">
        <v>0</v>
      </c>
      <c r="CG15" s="137">
        <v>0</v>
      </c>
      <c r="CH15" s="137">
        <v>0</v>
      </c>
      <c r="CI15" s="137">
        <v>0</v>
      </c>
      <c r="CJ15" s="137">
        <v>0</v>
      </c>
      <c r="CK15" s="137">
        <v>0</v>
      </c>
      <c r="CL15" s="137">
        <v>0</v>
      </c>
      <c r="CM15" s="137">
        <v>0</v>
      </c>
      <c r="CN15" s="137">
        <v>0</v>
      </c>
      <c r="CO15" s="137">
        <v>0</v>
      </c>
      <c r="CP15" s="137">
        <v>0</v>
      </c>
      <c r="CQ15" s="137">
        <v>0</v>
      </c>
      <c r="CR15" s="137">
        <v>0</v>
      </c>
      <c r="CS15" s="137">
        <v>0</v>
      </c>
      <c r="CT15" s="137">
        <v>0</v>
      </c>
      <c r="CU15" s="137">
        <v>0</v>
      </c>
      <c r="CV15" s="137">
        <v>0</v>
      </c>
      <c r="CW15" s="137">
        <v>0</v>
      </c>
      <c r="CX15" s="137">
        <v>0</v>
      </c>
      <c r="CY15" s="137">
        <v>0</v>
      </c>
      <c r="CZ15" s="137">
        <v>0</v>
      </c>
      <c r="DA15" s="137">
        <v>0</v>
      </c>
      <c r="DB15" s="137">
        <v>0</v>
      </c>
      <c r="DC15" s="137">
        <v>0</v>
      </c>
      <c r="DD15" s="137">
        <v>0</v>
      </c>
      <c r="DE15" s="137">
        <v>0</v>
      </c>
      <c r="DF15" s="137">
        <v>0</v>
      </c>
    </row>
    <row r="16" spans="1:110" ht="15" customHeight="1" x14ac:dyDescent="0.25">
      <c r="A16" s="136" t="s">
        <v>62</v>
      </c>
      <c r="C16" s="141">
        <v>-1966.5</v>
      </c>
      <c r="D16" s="141">
        <v>0</v>
      </c>
      <c r="E16" s="141">
        <v>0</v>
      </c>
      <c r="F16" s="137">
        <v>0</v>
      </c>
      <c r="G16" s="137">
        <v>0</v>
      </c>
      <c r="H16" s="137">
        <v>0</v>
      </c>
      <c r="I16" s="137">
        <v>-317966.51520000002</v>
      </c>
      <c r="J16" s="137">
        <v>0</v>
      </c>
      <c r="K16" s="137">
        <v>0</v>
      </c>
      <c r="L16" s="137">
        <v>-218082.84700000001</v>
      </c>
      <c r="M16" s="137">
        <v>-157349.19699999999</v>
      </c>
      <c r="N16" s="137">
        <v>0</v>
      </c>
      <c r="O16" s="137">
        <v>0</v>
      </c>
      <c r="P16" s="137">
        <v>0</v>
      </c>
      <c r="Q16" s="137">
        <v>0</v>
      </c>
      <c r="R16" s="137">
        <v>-1471170.0249999999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137">
        <v>0</v>
      </c>
      <c r="AB16" s="137">
        <v>0</v>
      </c>
      <c r="AC16" s="137">
        <v>0</v>
      </c>
      <c r="AD16" s="137">
        <v>0</v>
      </c>
      <c r="AE16" s="137">
        <v>0</v>
      </c>
      <c r="AF16" s="137">
        <v>-1344025.54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  <c r="AQ16" s="137">
        <v>0</v>
      </c>
      <c r="AR16" s="137">
        <v>0</v>
      </c>
      <c r="AS16" s="137">
        <v>0</v>
      </c>
      <c r="AT16" s="137">
        <v>0</v>
      </c>
      <c r="AU16" s="137">
        <v>0</v>
      </c>
      <c r="AV16" s="137">
        <v>0</v>
      </c>
      <c r="AW16" s="137">
        <v>0</v>
      </c>
      <c r="AX16" s="137">
        <v>0</v>
      </c>
      <c r="AY16" s="137">
        <v>0</v>
      </c>
      <c r="AZ16" s="137">
        <v>0</v>
      </c>
      <c r="BA16" s="137">
        <v>0</v>
      </c>
      <c r="BB16" s="137">
        <v>0</v>
      </c>
      <c r="BC16" s="137">
        <v>0</v>
      </c>
      <c r="BD16" s="137">
        <v>0</v>
      </c>
      <c r="BE16" s="137">
        <v>0</v>
      </c>
      <c r="BF16" s="137">
        <v>0</v>
      </c>
      <c r="BG16" s="137">
        <v>0</v>
      </c>
      <c r="BH16" s="137">
        <v>0</v>
      </c>
      <c r="BI16" s="137">
        <v>0</v>
      </c>
      <c r="BJ16" s="137">
        <v>0</v>
      </c>
      <c r="BK16" s="137">
        <v>0</v>
      </c>
      <c r="BL16" s="137">
        <v>0</v>
      </c>
      <c r="BM16" s="137">
        <v>0</v>
      </c>
      <c r="BN16" s="137">
        <v>0</v>
      </c>
      <c r="BO16" s="137">
        <v>0</v>
      </c>
      <c r="BP16" s="137">
        <v>0</v>
      </c>
      <c r="BQ16" s="137">
        <v>0</v>
      </c>
      <c r="BR16" s="137">
        <v>0</v>
      </c>
      <c r="BS16" s="137">
        <v>0</v>
      </c>
      <c r="BT16" s="137">
        <v>0</v>
      </c>
      <c r="BU16" s="137">
        <v>0</v>
      </c>
      <c r="BV16" s="137">
        <v>0</v>
      </c>
      <c r="BW16" s="137">
        <v>0</v>
      </c>
      <c r="BX16" s="137">
        <v>0</v>
      </c>
      <c r="BY16" s="137">
        <v>0</v>
      </c>
      <c r="BZ16" s="137">
        <v>0</v>
      </c>
      <c r="CA16" s="137">
        <v>0</v>
      </c>
      <c r="CB16" s="137">
        <v>0</v>
      </c>
      <c r="CC16" s="137">
        <v>0</v>
      </c>
      <c r="CD16" s="137">
        <v>0</v>
      </c>
      <c r="CE16" s="137">
        <v>0</v>
      </c>
      <c r="CF16" s="137">
        <v>0</v>
      </c>
      <c r="CG16" s="137">
        <v>0</v>
      </c>
      <c r="CH16" s="137">
        <v>0</v>
      </c>
      <c r="CI16" s="137">
        <v>0</v>
      </c>
      <c r="CJ16" s="137">
        <v>0</v>
      </c>
      <c r="CK16" s="137">
        <v>0</v>
      </c>
      <c r="CL16" s="137">
        <v>0</v>
      </c>
      <c r="CM16" s="137">
        <v>0</v>
      </c>
      <c r="CN16" s="137">
        <v>0</v>
      </c>
      <c r="CO16" s="137">
        <v>0</v>
      </c>
      <c r="CP16" s="137">
        <v>0</v>
      </c>
      <c r="CQ16" s="137">
        <v>0</v>
      </c>
      <c r="CR16" s="137">
        <v>0</v>
      </c>
      <c r="CS16" s="137">
        <v>0</v>
      </c>
      <c r="CT16" s="137">
        <v>0</v>
      </c>
      <c r="CU16" s="137">
        <v>0</v>
      </c>
      <c r="CV16" s="137">
        <v>0</v>
      </c>
      <c r="CW16" s="137">
        <v>0</v>
      </c>
      <c r="CX16" s="137">
        <v>0</v>
      </c>
      <c r="CY16" s="137">
        <v>0</v>
      </c>
      <c r="CZ16" s="137">
        <v>0</v>
      </c>
      <c r="DA16" s="137">
        <v>0</v>
      </c>
      <c r="DB16" s="137">
        <v>0</v>
      </c>
      <c r="DC16" s="137">
        <v>0</v>
      </c>
      <c r="DD16" s="137">
        <v>0</v>
      </c>
      <c r="DE16" s="137">
        <v>0</v>
      </c>
      <c r="DF16" s="137">
        <v>0</v>
      </c>
    </row>
    <row r="17" spans="1:110" ht="15" customHeight="1" x14ac:dyDescent="0.25">
      <c r="A17" s="99" t="s">
        <v>233</v>
      </c>
      <c r="C17" s="141">
        <v>218752.81000000011</v>
      </c>
      <c r="D17" s="141">
        <v>-51003.469999999739</v>
      </c>
      <c r="E17" s="141">
        <v>594184.52000000025</v>
      </c>
      <c r="F17" s="142">
        <v>468885.06625427032</v>
      </c>
      <c r="G17" s="142">
        <v>468885.06625425961</v>
      </c>
      <c r="H17" s="142">
        <v>468885.06625426002</v>
      </c>
      <c r="I17" s="142">
        <v>959257.39445457933</v>
      </c>
      <c r="J17" s="142">
        <v>632697.18965457939</v>
      </c>
      <c r="K17" s="142">
        <v>632697.18965457939</v>
      </c>
      <c r="L17" s="142">
        <v>999101.92495685979</v>
      </c>
      <c r="M17" s="142">
        <v>1080952.8589642411</v>
      </c>
      <c r="N17" s="142">
        <v>774577.77487814985</v>
      </c>
      <c r="O17" s="142">
        <v>774577.7748781601</v>
      </c>
      <c r="P17" s="142">
        <v>774577.7748781601</v>
      </c>
      <c r="Q17" s="142">
        <v>774577.77487814985</v>
      </c>
      <c r="R17" s="142">
        <v>154983.50393537039</v>
      </c>
      <c r="S17" s="142">
        <v>947151.97893535998</v>
      </c>
      <c r="T17" s="142">
        <v>1105813.857221571</v>
      </c>
      <c r="U17" s="142">
        <v>867633.41001746058</v>
      </c>
      <c r="V17" s="142">
        <v>601954.6584406998</v>
      </c>
      <c r="W17" s="142">
        <v>601954.65844070073</v>
      </c>
      <c r="X17" s="142">
        <v>623764.96288044937</v>
      </c>
      <c r="Y17" s="142">
        <v>580144.35400095023</v>
      </c>
      <c r="Z17" s="142">
        <v>580144.3540009493</v>
      </c>
      <c r="AA17" s="142">
        <v>580144.35400095023</v>
      </c>
      <c r="AB17" s="142">
        <v>580144.3540009493</v>
      </c>
      <c r="AC17" s="142">
        <v>580144.35400095023</v>
      </c>
      <c r="AD17" s="142">
        <v>662165.36984355003</v>
      </c>
      <c r="AE17" s="142">
        <v>498123.33815835038</v>
      </c>
      <c r="AF17" s="142">
        <v>-67923.080973100383</v>
      </c>
      <c r="AG17" s="142">
        <v>655782.97902690014</v>
      </c>
      <c r="AH17" s="142">
        <v>655782.97902690014</v>
      </c>
      <c r="AI17" s="142">
        <v>655782.97902690014</v>
      </c>
      <c r="AJ17" s="142">
        <v>783779.10859464994</v>
      </c>
      <c r="AK17" s="142">
        <v>554452.70978575991</v>
      </c>
      <c r="AL17" s="142">
        <v>813103.43094416009</v>
      </c>
      <c r="AM17" s="142">
        <v>390640.58638544008</v>
      </c>
      <c r="AN17" s="142">
        <v>390640.58638544008</v>
      </c>
      <c r="AO17" s="142">
        <v>486019.65184808988</v>
      </c>
      <c r="AP17" s="142">
        <v>330233.84492575983</v>
      </c>
      <c r="AQ17" s="142">
        <v>330233.84492576029</v>
      </c>
      <c r="AR17" s="142">
        <v>330233.84492576029</v>
      </c>
      <c r="AS17" s="142">
        <v>330233.84492575983</v>
      </c>
      <c r="AT17" s="142">
        <v>330233.84492576029</v>
      </c>
      <c r="AU17" s="142">
        <v>602719.43027926004</v>
      </c>
      <c r="AV17" s="142">
        <v>157659.6408685499</v>
      </c>
      <c r="AW17" s="142">
        <v>157659.6408685502</v>
      </c>
      <c r="AX17" s="142">
        <v>157659.6408685499</v>
      </c>
      <c r="AY17" s="142">
        <v>157659.6408685499</v>
      </c>
      <c r="AZ17" s="142">
        <v>157659.6408685502</v>
      </c>
      <c r="BA17" s="142">
        <v>157659.6408685502</v>
      </c>
      <c r="BB17" s="142">
        <v>157659.6408685499</v>
      </c>
      <c r="BC17" s="142">
        <v>157659.6408685502</v>
      </c>
      <c r="BD17" s="142">
        <v>157659.6408685499</v>
      </c>
      <c r="BE17" s="142">
        <v>157659.64086854691</v>
      </c>
      <c r="BF17" s="142">
        <v>157659.64086854699</v>
      </c>
      <c r="BG17" s="142">
        <v>157659.64086854699</v>
      </c>
      <c r="BH17" s="142">
        <v>157659.64086854699</v>
      </c>
      <c r="BI17" s="142">
        <v>406595.91592414712</v>
      </c>
      <c r="BJ17" s="142">
        <v>0</v>
      </c>
      <c r="BK17" s="142">
        <v>0</v>
      </c>
      <c r="BL17" s="142">
        <v>0</v>
      </c>
      <c r="BM17" s="142">
        <v>0</v>
      </c>
      <c r="BN17" s="142">
        <v>0</v>
      </c>
      <c r="BO17" s="142">
        <v>0</v>
      </c>
      <c r="BP17" s="142">
        <v>0</v>
      </c>
      <c r="BQ17" s="142">
        <v>0</v>
      </c>
      <c r="BR17" s="142">
        <v>0</v>
      </c>
      <c r="BS17" s="142">
        <v>0</v>
      </c>
      <c r="BT17" s="142">
        <v>0</v>
      </c>
      <c r="BU17" s="142">
        <v>0</v>
      </c>
      <c r="BV17" s="142">
        <v>0</v>
      </c>
      <c r="BW17" s="142">
        <v>0</v>
      </c>
      <c r="BX17" s="142">
        <v>0</v>
      </c>
      <c r="BY17" s="142">
        <v>0</v>
      </c>
      <c r="BZ17" s="142">
        <v>0</v>
      </c>
      <c r="CA17" s="142">
        <v>0</v>
      </c>
      <c r="CB17" s="142">
        <v>0</v>
      </c>
      <c r="CC17" s="142">
        <v>0</v>
      </c>
      <c r="CD17" s="142">
        <v>0</v>
      </c>
      <c r="CE17" s="142">
        <v>0</v>
      </c>
      <c r="CF17" s="142">
        <v>0</v>
      </c>
      <c r="CG17" s="142">
        <v>0</v>
      </c>
      <c r="CH17" s="142">
        <v>0</v>
      </c>
      <c r="CI17" s="142">
        <v>0</v>
      </c>
      <c r="CJ17" s="142">
        <v>0</v>
      </c>
      <c r="CK17" s="142">
        <v>0</v>
      </c>
      <c r="CL17" s="142">
        <v>0</v>
      </c>
      <c r="CM17" s="142">
        <v>0</v>
      </c>
      <c r="CN17" s="142">
        <v>0</v>
      </c>
      <c r="CO17" s="142">
        <v>0</v>
      </c>
      <c r="CP17" s="142">
        <v>0</v>
      </c>
      <c r="CQ17" s="142">
        <v>0</v>
      </c>
      <c r="CR17" s="142">
        <v>0</v>
      </c>
      <c r="CS17" s="142">
        <v>0</v>
      </c>
      <c r="CT17" s="142">
        <v>0</v>
      </c>
      <c r="CU17" s="142">
        <v>0</v>
      </c>
      <c r="CV17" s="142">
        <v>0</v>
      </c>
      <c r="CW17" s="142">
        <v>0</v>
      </c>
      <c r="CX17" s="142">
        <v>0</v>
      </c>
      <c r="CY17" s="142">
        <v>0</v>
      </c>
      <c r="CZ17" s="142">
        <v>0</v>
      </c>
      <c r="DA17" s="142">
        <v>0</v>
      </c>
      <c r="DB17" s="142">
        <v>0</v>
      </c>
      <c r="DC17" s="142">
        <v>0</v>
      </c>
      <c r="DD17" s="142">
        <v>0</v>
      </c>
      <c r="DE17" s="142">
        <v>0</v>
      </c>
      <c r="DF17" s="142">
        <v>0</v>
      </c>
    </row>
    <row r="18" spans="1:110" ht="15" customHeight="1" x14ac:dyDescent="0.25">
      <c r="A18" s="136"/>
      <c r="C18" s="335"/>
      <c r="D18" s="335"/>
      <c r="E18" s="335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</row>
    <row r="19" spans="1:110" ht="15" customHeight="1" x14ac:dyDescent="0.25">
      <c r="A19" s="136"/>
      <c r="C19" s="335"/>
      <c r="D19" s="335"/>
      <c r="E19" s="335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37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</row>
    <row r="20" spans="1:110" ht="15" customHeight="1" x14ac:dyDescent="0.25">
      <c r="A20" s="136" t="s">
        <v>63</v>
      </c>
      <c r="C20" s="335">
        <v>-144550.9</v>
      </c>
      <c r="D20" s="335">
        <v>-150672.84</v>
      </c>
      <c r="E20" s="335">
        <v>-178867.86</v>
      </c>
      <c r="F20" s="137">
        <v>-164791.66666666701</v>
      </c>
      <c r="G20" s="137">
        <v>-189375</v>
      </c>
      <c r="H20" s="137">
        <v>-214375</v>
      </c>
      <c r="I20" s="137">
        <v>-225208.33333333299</v>
      </c>
      <c r="J20" s="137">
        <v>-225208.33333333299</v>
      </c>
      <c r="K20" s="137">
        <v>-225208.33333333299</v>
      </c>
      <c r="L20" s="137">
        <v>-246041.66666666701</v>
      </c>
      <c r="M20" s="137">
        <v>-276041.66666666698</v>
      </c>
      <c r="N20" s="137">
        <v>-276041.66666666698</v>
      </c>
      <c r="O20" s="137">
        <v>-276041.66666666698</v>
      </c>
      <c r="P20" s="137">
        <v>-276041.66666666698</v>
      </c>
      <c r="Q20" s="137">
        <v>-276041.66666666698</v>
      </c>
      <c r="R20" s="137">
        <v>-295162.5</v>
      </c>
      <c r="S20" s="137">
        <v>-295162.5</v>
      </c>
      <c r="T20" s="137">
        <v>-295162.5</v>
      </c>
      <c r="U20" s="137">
        <v>-295162.5</v>
      </c>
      <c r="V20" s="137">
        <v>-295162.5</v>
      </c>
      <c r="W20" s="137">
        <v>-295162.5</v>
      </c>
      <c r="X20" s="137">
        <v>-295162.5</v>
      </c>
      <c r="Y20" s="137">
        <v>-295162.5</v>
      </c>
      <c r="Z20" s="137">
        <v>-295162.5</v>
      </c>
      <c r="AA20" s="137">
        <v>-295162.5</v>
      </c>
      <c r="AB20" s="137">
        <v>-295162.5</v>
      </c>
      <c r="AC20" s="137">
        <v>-295162.5</v>
      </c>
      <c r="AD20" s="137">
        <v>-301065.75</v>
      </c>
      <c r="AE20" s="137">
        <v>-301065.75</v>
      </c>
      <c r="AF20" s="137">
        <v>-301065.75</v>
      </c>
      <c r="AG20" s="137">
        <v>-301065.75</v>
      </c>
      <c r="AH20" s="137">
        <v>-301065.75</v>
      </c>
      <c r="AI20" s="137">
        <v>-301065.75</v>
      </c>
      <c r="AJ20" s="137">
        <v>-301065.75</v>
      </c>
      <c r="AK20" s="137">
        <v>-301065.75</v>
      </c>
      <c r="AL20" s="137">
        <v>-301065.75</v>
      </c>
      <c r="AM20" s="137">
        <v>-301065.75</v>
      </c>
      <c r="AN20" s="137">
        <v>-301065.75</v>
      </c>
      <c r="AO20" s="137">
        <v>-301065.75</v>
      </c>
      <c r="AP20" s="137">
        <v>-307087.065</v>
      </c>
      <c r="AQ20" s="137">
        <v>-307087.065</v>
      </c>
      <c r="AR20" s="137">
        <v>-307087.065</v>
      </c>
      <c r="AS20" s="137">
        <v>-307087.065</v>
      </c>
      <c r="AT20" s="137">
        <v>-307087.065</v>
      </c>
      <c r="AU20" s="137">
        <v>-307087.065</v>
      </c>
      <c r="AV20" s="137">
        <v>-307087.065</v>
      </c>
      <c r="AW20" s="137">
        <v>-307087.065</v>
      </c>
      <c r="AX20" s="137">
        <v>-307087.065</v>
      </c>
      <c r="AY20" s="137">
        <v>-307087.065</v>
      </c>
      <c r="AZ20" s="137">
        <v>-307087.065</v>
      </c>
      <c r="BA20" s="137">
        <v>-307087.065</v>
      </c>
      <c r="BB20" s="137">
        <v>-313228.8063</v>
      </c>
      <c r="BC20" s="137">
        <v>-313228.8063</v>
      </c>
      <c r="BD20" s="137">
        <v>-313228.8063</v>
      </c>
      <c r="BE20" s="137">
        <v>-313228.8063</v>
      </c>
      <c r="BF20" s="137">
        <v>-313228.8063</v>
      </c>
      <c r="BG20" s="137">
        <v>-313228.8063</v>
      </c>
      <c r="BH20" s="137">
        <v>-313228.8063</v>
      </c>
      <c r="BI20" s="137">
        <v>-313228.8063</v>
      </c>
      <c r="BJ20" s="137">
        <v>-313228.8063</v>
      </c>
      <c r="BK20" s="137">
        <v>-313228.8063</v>
      </c>
      <c r="BL20" s="137">
        <v>-313228.8063</v>
      </c>
      <c r="BM20" s="137">
        <v>-313228.8063</v>
      </c>
      <c r="BN20" s="137">
        <v>-319493.38242600003</v>
      </c>
      <c r="BO20" s="137">
        <v>-319493.38242600003</v>
      </c>
      <c r="BP20" s="137">
        <v>-319493.38242600003</v>
      </c>
      <c r="BQ20" s="137">
        <v>-319493.38242600003</v>
      </c>
      <c r="BR20" s="137">
        <v>-319493.38242600003</v>
      </c>
      <c r="BS20" s="137">
        <v>-319493.38242600003</v>
      </c>
      <c r="BT20" s="137">
        <v>-319493.38242600003</v>
      </c>
      <c r="BU20" s="137">
        <v>-319493.38242600003</v>
      </c>
      <c r="BV20" s="137">
        <v>-319493.38242600003</v>
      </c>
      <c r="BW20" s="137">
        <v>-319493.38242600003</v>
      </c>
      <c r="BX20" s="137">
        <v>-319493.38242600003</v>
      </c>
      <c r="BY20" s="137">
        <v>-319493.38242600003</v>
      </c>
      <c r="BZ20" s="137">
        <v>-325883.25007452001</v>
      </c>
      <c r="CA20" s="137">
        <v>-325883.25007452001</v>
      </c>
      <c r="CB20" s="137">
        <v>-325883.25007452001</v>
      </c>
      <c r="CC20" s="137">
        <v>-325883.25007452001</v>
      </c>
      <c r="CD20" s="137">
        <v>-325883.25007452001</v>
      </c>
      <c r="CE20" s="137">
        <v>-325883.25007452001</v>
      </c>
      <c r="CF20" s="137">
        <v>-325883.25007452001</v>
      </c>
      <c r="CG20" s="137">
        <v>-325883.25007452001</v>
      </c>
      <c r="CH20" s="137">
        <v>-325883.25007452001</v>
      </c>
      <c r="CI20" s="137">
        <v>-325883.25007452001</v>
      </c>
      <c r="CJ20" s="137">
        <v>-325883.25007452001</v>
      </c>
      <c r="CK20" s="137">
        <v>-325883.25007452001</v>
      </c>
      <c r="CL20" s="137">
        <v>-332400.91507600999</v>
      </c>
      <c r="CM20" s="137">
        <v>-332400.91507600999</v>
      </c>
      <c r="CN20" s="137">
        <v>-332400.91507600999</v>
      </c>
      <c r="CO20" s="137">
        <v>-332400.91507600999</v>
      </c>
      <c r="CP20" s="137">
        <v>-332400.91507600999</v>
      </c>
      <c r="CQ20" s="137">
        <v>-332400.91507600999</v>
      </c>
      <c r="CR20" s="137">
        <v>-332400.91507600999</v>
      </c>
      <c r="CS20" s="137">
        <v>-332400.91507600999</v>
      </c>
      <c r="CT20" s="137">
        <v>-332400.91507600999</v>
      </c>
      <c r="CU20" s="137">
        <v>-332400.91507600999</v>
      </c>
      <c r="CV20" s="137">
        <v>-332400.91507600999</v>
      </c>
      <c r="CW20" s="137">
        <v>-332400.91507600999</v>
      </c>
      <c r="CX20" s="137">
        <v>-339048.93337753101</v>
      </c>
      <c r="CY20" s="137">
        <v>-339048.93337753101</v>
      </c>
      <c r="CZ20" s="137">
        <v>-339048.93337753101</v>
      </c>
      <c r="DA20" s="137">
        <v>-339048.93337753101</v>
      </c>
      <c r="DB20" s="137">
        <v>-339048.93337753101</v>
      </c>
      <c r="DC20" s="137">
        <v>-339048.93337753101</v>
      </c>
      <c r="DD20" s="137">
        <v>-339048.93337753101</v>
      </c>
      <c r="DE20" s="137">
        <v>-339048.93337753101</v>
      </c>
      <c r="DF20" s="137">
        <v>-339048.93337753101</v>
      </c>
    </row>
    <row r="21" spans="1:110" ht="15" customHeight="1" x14ac:dyDescent="0.25">
      <c r="A21" s="136" t="s">
        <v>64</v>
      </c>
      <c r="C21" s="335">
        <v>-7450.37</v>
      </c>
      <c r="D21" s="335">
        <v>-10567.2</v>
      </c>
      <c r="E21" s="335">
        <v>-17033.3</v>
      </c>
      <c r="F21" s="137">
        <v>-15327.083333333299</v>
      </c>
      <c r="G21" s="137">
        <v>-17047.916666666701</v>
      </c>
      <c r="H21" s="137">
        <v>-18797.916666666701</v>
      </c>
      <c r="I21" s="137">
        <v>-19556.25</v>
      </c>
      <c r="J21" s="137">
        <v>-19556.25</v>
      </c>
      <c r="K21" s="137">
        <v>-19556.25</v>
      </c>
      <c r="L21" s="137">
        <v>-21014.583333333299</v>
      </c>
      <c r="M21" s="137">
        <v>-23114.583333333299</v>
      </c>
      <c r="N21" s="137">
        <v>-23114.583333333299</v>
      </c>
      <c r="O21" s="137">
        <v>-23114.583333333299</v>
      </c>
      <c r="P21" s="137">
        <v>-23114.583333333299</v>
      </c>
      <c r="Q21" s="137">
        <v>-23114.583333333299</v>
      </c>
      <c r="R21" s="137">
        <v>-24528.875</v>
      </c>
      <c r="S21" s="137">
        <v>-24528.875</v>
      </c>
      <c r="T21" s="137">
        <v>-24528.875</v>
      </c>
      <c r="U21" s="137">
        <v>-24528.875</v>
      </c>
      <c r="V21" s="137">
        <v>-24528.875</v>
      </c>
      <c r="W21" s="137">
        <v>-24528.875</v>
      </c>
      <c r="X21" s="137">
        <v>-24528.875</v>
      </c>
      <c r="Y21" s="137">
        <v>-24528.875</v>
      </c>
      <c r="Z21" s="137">
        <v>-24528.875</v>
      </c>
      <c r="AA21" s="137">
        <v>-24528.875</v>
      </c>
      <c r="AB21" s="137">
        <v>-24528.875</v>
      </c>
      <c r="AC21" s="137">
        <v>-24528.875</v>
      </c>
      <c r="AD21" s="137">
        <v>-25019.452499999999</v>
      </c>
      <c r="AE21" s="137">
        <v>-25019.452499999999</v>
      </c>
      <c r="AF21" s="137">
        <v>-25019.452499999999</v>
      </c>
      <c r="AG21" s="137">
        <v>-25019.452499999999</v>
      </c>
      <c r="AH21" s="137">
        <v>-25019.452499999999</v>
      </c>
      <c r="AI21" s="137">
        <v>-25019.452499999999</v>
      </c>
      <c r="AJ21" s="137">
        <v>-25019.452499999999</v>
      </c>
      <c r="AK21" s="137">
        <v>-25019.452499999999</v>
      </c>
      <c r="AL21" s="137">
        <v>-25019.452499999999</v>
      </c>
      <c r="AM21" s="137">
        <v>-25019.452499999999</v>
      </c>
      <c r="AN21" s="137">
        <v>-25019.452499999999</v>
      </c>
      <c r="AO21" s="137">
        <v>-25019.452499999999</v>
      </c>
      <c r="AP21" s="137">
        <v>-25519.841550000001</v>
      </c>
      <c r="AQ21" s="137">
        <v>-25519.841550000001</v>
      </c>
      <c r="AR21" s="137">
        <v>-25519.841550000001</v>
      </c>
      <c r="AS21" s="137">
        <v>-25519.841550000001</v>
      </c>
      <c r="AT21" s="137">
        <v>-25519.841550000001</v>
      </c>
      <c r="AU21" s="137">
        <v>-25519.841550000001</v>
      </c>
      <c r="AV21" s="137">
        <v>-25519.841550000001</v>
      </c>
      <c r="AW21" s="137">
        <v>-25519.841550000001</v>
      </c>
      <c r="AX21" s="137">
        <v>-25519.841550000001</v>
      </c>
      <c r="AY21" s="137">
        <v>-25519.841550000001</v>
      </c>
      <c r="AZ21" s="137">
        <v>-25519.841550000001</v>
      </c>
      <c r="BA21" s="137">
        <v>-25519.841550000001</v>
      </c>
      <c r="BB21" s="137">
        <v>-26030.238380999999</v>
      </c>
      <c r="BC21" s="137">
        <v>-26030.238380999999</v>
      </c>
      <c r="BD21" s="137">
        <v>-26030.238380999999</v>
      </c>
      <c r="BE21" s="137">
        <v>-26030.238380999999</v>
      </c>
      <c r="BF21" s="137">
        <v>-26030.238380999999</v>
      </c>
      <c r="BG21" s="137">
        <v>-26030.238380999999</v>
      </c>
      <c r="BH21" s="137">
        <v>-26030.238380999999</v>
      </c>
      <c r="BI21" s="137">
        <v>-26030.238380999999</v>
      </c>
      <c r="BJ21" s="137">
        <v>-26030.238380999999</v>
      </c>
      <c r="BK21" s="137">
        <v>-26030.238380999999</v>
      </c>
      <c r="BL21" s="137">
        <v>-26030.238380999999</v>
      </c>
      <c r="BM21" s="137">
        <v>-26030.238380999999</v>
      </c>
      <c r="BN21" s="137">
        <v>-26550.843148619999</v>
      </c>
      <c r="BO21" s="137">
        <v>-26550.843148619999</v>
      </c>
      <c r="BP21" s="137">
        <v>-26550.843148619999</v>
      </c>
      <c r="BQ21" s="137">
        <v>-26550.843148619999</v>
      </c>
      <c r="BR21" s="137">
        <v>-26550.843148619999</v>
      </c>
      <c r="BS21" s="137">
        <v>-26550.843148619999</v>
      </c>
      <c r="BT21" s="137">
        <v>-26550.843148619999</v>
      </c>
      <c r="BU21" s="137">
        <v>-26550.843148619999</v>
      </c>
      <c r="BV21" s="137">
        <v>-26550.843148619999</v>
      </c>
      <c r="BW21" s="137">
        <v>-26550.843148619999</v>
      </c>
      <c r="BX21" s="137">
        <v>-26550.843148619999</v>
      </c>
      <c r="BY21" s="137">
        <v>-26550.843148619999</v>
      </c>
      <c r="BZ21" s="137">
        <v>-27081.860011592398</v>
      </c>
      <c r="CA21" s="137">
        <v>-27081.860011592398</v>
      </c>
      <c r="CB21" s="137">
        <v>-27081.860011592398</v>
      </c>
      <c r="CC21" s="137">
        <v>-27081.860011592398</v>
      </c>
      <c r="CD21" s="137">
        <v>-27081.860011592398</v>
      </c>
      <c r="CE21" s="137">
        <v>-27081.860011592398</v>
      </c>
      <c r="CF21" s="137">
        <v>-27081.860011592398</v>
      </c>
      <c r="CG21" s="137">
        <v>-27081.860011592398</v>
      </c>
      <c r="CH21" s="137">
        <v>-27081.860011592398</v>
      </c>
      <c r="CI21" s="137">
        <v>-27081.860011592398</v>
      </c>
      <c r="CJ21" s="137">
        <v>-27081.860011592398</v>
      </c>
      <c r="CK21" s="137">
        <v>-27081.860011592398</v>
      </c>
      <c r="CL21" s="137">
        <v>-27623.4972118242</v>
      </c>
      <c r="CM21" s="137">
        <v>-27623.4972118242</v>
      </c>
      <c r="CN21" s="137">
        <v>-27623.4972118242</v>
      </c>
      <c r="CO21" s="137">
        <v>-27623.4972118242</v>
      </c>
      <c r="CP21" s="137">
        <v>-27623.4972118242</v>
      </c>
      <c r="CQ21" s="137">
        <v>-27623.4972118242</v>
      </c>
      <c r="CR21" s="137">
        <v>-27623.4972118242</v>
      </c>
      <c r="CS21" s="137">
        <v>-27623.4972118242</v>
      </c>
      <c r="CT21" s="137">
        <v>-27623.4972118242</v>
      </c>
      <c r="CU21" s="137">
        <v>0</v>
      </c>
      <c r="CV21" s="137">
        <v>0</v>
      </c>
      <c r="CW21" s="137">
        <v>0</v>
      </c>
      <c r="CX21" s="137">
        <v>0</v>
      </c>
      <c r="CY21" s="137">
        <v>0</v>
      </c>
      <c r="CZ21" s="137">
        <v>0</v>
      </c>
      <c r="DA21" s="137">
        <v>0</v>
      </c>
      <c r="DB21" s="137">
        <v>0</v>
      </c>
      <c r="DC21" s="137">
        <v>0</v>
      </c>
      <c r="DD21" s="137">
        <v>0</v>
      </c>
      <c r="DE21" s="137">
        <v>0</v>
      </c>
      <c r="DF21" s="137">
        <v>0</v>
      </c>
    </row>
    <row r="22" spans="1:110" ht="15" customHeight="1" x14ac:dyDescent="0.25">
      <c r="A22" s="136" t="s">
        <v>65</v>
      </c>
      <c r="C22" s="335">
        <v>0</v>
      </c>
      <c r="D22" s="335">
        <v>0</v>
      </c>
      <c r="E22" s="335">
        <v>0</v>
      </c>
      <c r="F22" s="137">
        <v>-103833.33333333299</v>
      </c>
      <c r="G22" s="137">
        <v>-103833.33333333299</v>
      </c>
      <c r="H22" s="137">
        <v>-103833.33333333299</v>
      </c>
      <c r="I22" s="137">
        <v>-103833.33333333299</v>
      </c>
      <c r="J22" s="137">
        <v>-103833.33333333299</v>
      </c>
      <c r="K22" s="137">
        <v>-103833.33333333299</v>
      </c>
      <c r="L22" s="137">
        <v>-103833.33333333299</v>
      </c>
      <c r="M22" s="137">
        <v>-103833.33333333299</v>
      </c>
      <c r="N22" s="137">
        <v>-103833.33333333299</v>
      </c>
      <c r="O22" s="137">
        <v>-103833.33333333299</v>
      </c>
      <c r="P22" s="137">
        <v>-103833.33333333299</v>
      </c>
      <c r="Q22" s="137">
        <v>-103833.33333333299</v>
      </c>
      <c r="R22" s="137">
        <v>-103833.33333333299</v>
      </c>
      <c r="S22" s="137">
        <v>-103833.33333333299</v>
      </c>
      <c r="T22" s="137">
        <v>-103833.33333333299</v>
      </c>
      <c r="U22" s="137">
        <v>-103833.33333333299</v>
      </c>
      <c r="V22" s="137">
        <v>-103833.33333333299</v>
      </c>
      <c r="W22" s="137">
        <v>-103833.33333333299</v>
      </c>
      <c r="X22" s="137">
        <v>-103833.33333333299</v>
      </c>
      <c r="Y22" s="137">
        <v>-103833.33333333299</v>
      </c>
      <c r="Z22" s="137">
        <v>-103833.33333333299</v>
      </c>
      <c r="AA22" s="137">
        <v>-103833.33333333299</v>
      </c>
      <c r="AB22" s="137">
        <v>-103833.33333333299</v>
      </c>
      <c r="AC22" s="137">
        <v>-103833.33333333299</v>
      </c>
      <c r="AD22" s="137">
        <v>-103833.33333333299</v>
      </c>
      <c r="AE22" s="137">
        <v>-103833.33333333299</v>
      </c>
      <c r="AF22" s="137">
        <v>-103833.33333333299</v>
      </c>
      <c r="AG22" s="137">
        <v>-103833.33333333299</v>
      </c>
      <c r="AH22" s="137">
        <v>-103833.33333333299</v>
      </c>
      <c r="AI22" s="137">
        <v>-103833.33333333299</v>
      </c>
      <c r="AJ22" s="137">
        <v>-103833.33333333299</v>
      </c>
      <c r="AK22" s="137">
        <v>-103833.33333333299</v>
      </c>
      <c r="AL22" s="137">
        <v>-103833.33333333299</v>
      </c>
      <c r="AM22" s="137">
        <v>-103833.33333333299</v>
      </c>
      <c r="AN22" s="137">
        <v>-103833.33333333299</v>
      </c>
      <c r="AO22" s="137">
        <v>-103833.33333333299</v>
      </c>
      <c r="AP22" s="137">
        <v>-103833.33333333299</v>
      </c>
      <c r="AQ22" s="137">
        <v>-103833.33333333299</v>
      </c>
      <c r="AR22" s="137">
        <v>-103833.33333333299</v>
      </c>
      <c r="AS22" s="137">
        <v>-103833.33333333299</v>
      </c>
      <c r="AT22" s="137">
        <v>-103833.33333333299</v>
      </c>
      <c r="AU22" s="137">
        <v>-103833.33333333299</v>
      </c>
      <c r="AV22" s="137">
        <v>-103833.33333333299</v>
      </c>
      <c r="AW22" s="137">
        <v>-103833.33333333299</v>
      </c>
      <c r="AX22" s="137">
        <v>-103833.33333333299</v>
      </c>
      <c r="AY22" s="137">
        <v>-103833.33333333299</v>
      </c>
      <c r="AZ22" s="137">
        <v>-103833.33333333299</v>
      </c>
      <c r="BA22" s="137">
        <v>-103833.33333333299</v>
      </c>
      <c r="BB22" s="137">
        <v>-103833.33333333299</v>
      </c>
      <c r="BC22" s="137">
        <v>-103833.33333333299</v>
      </c>
      <c r="BD22" s="137">
        <v>-103833.33333333299</v>
      </c>
      <c r="BE22" s="137">
        <v>-103833.33333333299</v>
      </c>
      <c r="BF22" s="137">
        <v>-103833.33333333299</v>
      </c>
      <c r="BG22" s="137">
        <v>-103833.33333333299</v>
      </c>
      <c r="BH22" s="137">
        <v>-103833.33333333299</v>
      </c>
      <c r="BI22" s="137">
        <v>-103833.33333333299</v>
      </c>
      <c r="BJ22" s="137">
        <v>-103833.33333333299</v>
      </c>
      <c r="BK22" s="137">
        <v>-103833.33333333299</v>
      </c>
      <c r="BL22" s="137">
        <v>-103833.33333333299</v>
      </c>
      <c r="BM22" s="137">
        <v>-103833.33333333299</v>
      </c>
      <c r="BN22" s="137">
        <v>-103833.33333333299</v>
      </c>
      <c r="BO22" s="137">
        <v>-103833.33333333299</v>
      </c>
      <c r="BP22" s="137">
        <v>-103833.33333333299</v>
      </c>
      <c r="BQ22" s="137">
        <v>-103833.33333333299</v>
      </c>
      <c r="BR22" s="137">
        <v>-103833.33333333299</v>
      </c>
      <c r="BS22" s="137">
        <v>-103833.33333333299</v>
      </c>
      <c r="BT22" s="137">
        <v>-103833.33333333299</v>
      </c>
      <c r="BU22" s="137">
        <v>-103833.33333333299</v>
      </c>
      <c r="BV22" s="137">
        <v>-103833.33333333299</v>
      </c>
      <c r="BW22" s="137">
        <v>-103833.33333333299</v>
      </c>
      <c r="BX22" s="137">
        <v>-103833.33333333299</v>
      </c>
      <c r="BY22" s="137">
        <v>-103833.33333333299</v>
      </c>
      <c r="BZ22" s="137">
        <v>-103833.33333333299</v>
      </c>
      <c r="CA22" s="137">
        <v>-103833.33333333299</v>
      </c>
      <c r="CB22" s="137">
        <v>-103833.33333333299</v>
      </c>
      <c r="CC22" s="137">
        <v>-103833.33333333299</v>
      </c>
      <c r="CD22" s="137">
        <v>-103833.33333333299</v>
      </c>
      <c r="CE22" s="137">
        <v>-103833.33333333299</v>
      </c>
      <c r="CF22" s="137">
        <v>-103833.33333333299</v>
      </c>
      <c r="CG22" s="137">
        <v>-103833.33333333299</v>
      </c>
      <c r="CH22" s="137">
        <v>-103833.33333333299</v>
      </c>
      <c r="CI22" s="137">
        <v>-103833.33333333299</v>
      </c>
      <c r="CJ22" s="137">
        <v>-103833.33333333299</v>
      </c>
      <c r="CK22" s="137">
        <v>-103833.33333333299</v>
      </c>
      <c r="CL22" s="137">
        <v>-103833.33333333299</v>
      </c>
      <c r="CM22" s="137">
        <v>-103833.33333333299</v>
      </c>
      <c r="CN22" s="137">
        <v>-103833.33333333299</v>
      </c>
      <c r="CO22" s="137">
        <v>-103833.33333333299</v>
      </c>
      <c r="CP22" s="137">
        <v>-103833.33333333299</v>
      </c>
      <c r="CQ22" s="137">
        <v>-103833.33333333299</v>
      </c>
      <c r="CR22" s="137">
        <v>-103833.33333333299</v>
      </c>
      <c r="CS22" s="137">
        <v>-103833.33333333299</v>
      </c>
      <c r="CT22" s="137">
        <v>-103833.33333333299</v>
      </c>
      <c r="CU22" s="137">
        <v>-103833.33333333299</v>
      </c>
      <c r="CV22" s="137">
        <v>-103833.33333333299</v>
      </c>
      <c r="CW22" s="137">
        <v>-103833.33333333299</v>
      </c>
      <c r="CX22" s="137">
        <v>-103833.33333333299</v>
      </c>
      <c r="CY22" s="137">
        <v>-103833.33333333299</v>
      </c>
      <c r="CZ22" s="137">
        <v>-103833.33333333299</v>
      </c>
      <c r="DA22" s="137">
        <v>-103833.33333333299</v>
      </c>
      <c r="DB22" s="137">
        <v>-103833.33333333299</v>
      </c>
      <c r="DC22" s="137">
        <v>-103833.33333333299</v>
      </c>
      <c r="DD22" s="137">
        <v>-103833.33333333299</v>
      </c>
      <c r="DE22" s="137">
        <v>-103833.33333333299</v>
      </c>
      <c r="DF22" s="137">
        <v>-103833.33333333299</v>
      </c>
    </row>
    <row r="23" spans="1:110" ht="15" customHeight="1" x14ac:dyDescent="0.25">
      <c r="A23" s="136" t="s">
        <v>66</v>
      </c>
      <c r="C23" s="335">
        <v>-9482.9699999999993</v>
      </c>
      <c r="D23" s="335">
        <v>-10343.290000000001</v>
      </c>
      <c r="E23" s="335">
        <v>-3729.48</v>
      </c>
      <c r="F23" s="137">
        <v>-10947.916666666701</v>
      </c>
      <c r="G23" s="137">
        <v>-12177.083333333299</v>
      </c>
      <c r="H23" s="137">
        <v>-13427.083333333299</v>
      </c>
      <c r="I23" s="137">
        <v>-13968.75</v>
      </c>
      <c r="J23" s="137">
        <v>-13968.75</v>
      </c>
      <c r="K23" s="137">
        <v>-13968.75</v>
      </c>
      <c r="L23" s="137">
        <v>-15010.416666666701</v>
      </c>
      <c r="M23" s="137">
        <v>-16510.416666666701</v>
      </c>
      <c r="N23" s="137">
        <v>-16510.416666666701</v>
      </c>
      <c r="O23" s="137">
        <v>-16510.416666666701</v>
      </c>
      <c r="P23" s="137">
        <v>-16510.416666666701</v>
      </c>
      <c r="Q23" s="137">
        <v>-16510.416666666701</v>
      </c>
      <c r="R23" s="137">
        <v>-17520.625</v>
      </c>
      <c r="S23" s="137">
        <v>-17520.625</v>
      </c>
      <c r="T23" s="137">
        <v>-17520.625</v>
      </c>
      <c r="U23" s="137">
        <v>-17520.625</v>
      </c>
      <c r="V23" s="137">
        <v>-17520.625</v>
      </c>
      <c r="W23" s="137">
        <v>-17520.625</v>
      </c>
      <c r="X23" s="137">
        <v>-17520.625</v>
      </c>
      <c r="Y23" s="137">
        <v>-17520.625</v>
      </c>
      <c r="Z23" s="137">
        <v>-17520.625</v>
      </c>
      <c r="AA23" s="137">
        <v>-17520.625</v>
      </c>
      <c r="AB23" s="137">
        <v>-17520.625</v>
      </c>
      <c r="AC23" s="137">
        <v>-17520.625</v>
      </c>
      <c r="AD23" s="137">
        <v>-17871.037499999999</v>
      </c>
      <c r="AE23" s="137">
        <v>-17871.037499999999</v>
      </c>
      <c r="AF23" s="137">
        <v>-17871.037499999999</v>
      </c>
      <c r="AG23" s="137">
        <v>-17871.037499999999</v>
      </c>
      <c r="AH23" s="137">
        <v>-17871.037499999999</v>
      </c>
      <c r="AI23" s="137">
        <v>-17871.037499999999</v>
      </c>
      <c r="AJ23" s="137">
        <v>-17871.037499999999</v>
      </c>
      <c r="AK23" s="137">
        <v>-17871.037499999999</v>
      </c>
      <c r="AL23" s="137">
        <v>-17871.037499999999</v>
      </c>
      <c r="AM23" s="137">
        <v>-17871.037499999999</v>
      </c>
      <c r="AN23" s="137">
        <v>-17871.037499999999</v>
      </c>
      <c r="AO23" s="137">
        <v>-17871.037499999999</v>
      </c>
      <c r="AP23" s="137">
        <v>-18228.45825</v>
      </c>
      <c r="AQ23" s="137">
        <v>-18228.45825</v>
      </c>
      <c r="AR23" s="137">
        <v>-18228.45825</v>
      </c>
      <c r="AS23" s="137">
        <v>-18228.45825</v>
      </c>
      <c r="AT23" s="137">
        <v>-18228.45825</v>
      </c>
      <c r="AU23" s="137">
        <v>-18228.45825</v>
      </c>
      <c r="AV23" s="137">
        <v>-18228.45825</v>
      </c>
      <c r="AW23" s="137">
        <v>-18228.45825</v>
      </c>
      <c r="AX23" s="137">
        <v>-18228.45825</v>
      </c>
      <c r="AY23" s="137">
        <v>-18228.45825</v>
      </c>
      <c r="AZ23" s="137">
        <v>-18228.45825</v>
      </c>
      <c r="BA23" s="137">
        <v>-18228.45825</v>
      </c>
      <c r="BB23" s="137">
        <v>-18593.027415</v>
      </c>
      <c r="BC23" s="137">
        <v>-18593.027415</v>
      </c>
      <c r="BD23" s="137">
        <v>-18593.027415</v>
      </c>
      <c r="BE23" s="137">
        <v>-18593.027415</v>
      </c>
      <c r="BF23" s="137">
        <v>-18593.027415</v>
      </c>
      <c r="BG23" s="137">
        <v>-18593.027415</v>
      </c>
      <c r="BH23" s="137">
        <v>-18593.027415</v>
      </c>
      <c r="BI23" s="137">
        <v>-18593.027415</v>
      </c>
      <c r="BJ23" s="137">
        <v>-18593.027415</v>
      </c>
      <c r="BK23" s="137">
        <v>-18593.027415</v>
      </c>
      <c r="BL23" s="137">
        <v>-18593.027415</v>
      </c>
      <c r="BM23" s="137">
        <v>-18593.027415</v>
      </c>
      <c r="BN23" s="137">
        <v>-18964.8879633</v>
      </c>
      <c r="BO23" s="137">
        <v>-18964.8879633</v>
      </c>
      <c r="BP23" s="137">
        <v>-18964.8879633</v>
      </c>
      <c r="BQ23" s="137">
        <v>-18964.8879633</v>
      </c>
      <c r="BR23" s="137">
        <v>-18964.8879633</v>
      </c>
      <c r="BS23" s="137">
        <v>-18964.8879633</v>
      </c>
      <c r="BT23" s="137">
        <v>-18964.8879633</v>
      </c>
      <c r="BU23" s="137">
        <v>-18964.8879633</v>
      </c>
      <c r="BV23" s="137">
        <v>-18964.8879633</v>
      </c>
      <c r="BW23" s="137">
        <v>-18964.8879633</v>
      </c>
      <c r="BX23" s="137">
        <v>-18964.8879633</v>
      </c>
      <c r="BY23" s="137">
        <v>-18964.8879633</v>
      </c>
      <c r="BZ23" s="137">
        <v>-19344.185722565999</v>
      </c>
      <c r="CA23" s="137">
        <v>-19344.185722565999</v>
      </c>
      <c r="CB23" s="137">
        <v>-19344.185722565999</v>
      </c>
      <c r="CC23" s="137">
        <v>-19344.185722565999</v>
      </c>
      <c r="CD23" s="137">
        <v>-19344.185722565999</v>
      </c>
      <c r="CE23" s="137">
        <v>-19344.185722565999</v>
      </c>
      <c r="CF23" s="137">
        <v>-19344.185722565999</v>
      </c>
      <c r="CG23" s="137">
        <v>-19344.185722565999</v>
      </c>
      <c r="CH23" s="137">
        <v>-19344.185722565999</v>
      </c>
      <c r="CI23" s="137">
        <v>-19344.185722565999</v>
      </c>
      <c r="CJ23" s="137">
        <v>-19344.185722565999</v>
      </c>
      <c r="CK23" s="137">
        <v>-19344.185722565999</v>
      </c>
      <c r="CL23" s="137">
        <v>-19731.069437017301</v>
      </c>
      <c r="CM23" s="137">
        <v>-19731.069437017301</v>
      </c>
      <c r="CN23" s="137">
        <v>-19731.069437017301</v>
      </c>
      <c r="CO23" s="137">
        <v>-19731.069437017301</v>
      </c>
      <c r="CP23" s="137">
        <v>-19731.069437017301</v>
      </c>
      <c r="CQ23" s="137">
        <v>-19731.069437017301</v>
      </c>
      <c r="CR23" s="137">
        <v>-19731.069437017301</v>
      </c>
      <c r="CS23" s="137">
        <v>-19731.069437017301</v>
      </c>
      <c r="CT23" s="137">
        <v>-19731.069437017301</v>
      </c>
      <c r="CU23" s="137">
        <v>0</v>
      </c>
      <c r="CV23" s="137">
        <v>0</v>
      </c>
      <c r="CW23" s="137">
        <v>0</v>
      </c>
      <c r="CX23" s="137">
        <v>0</v>
      </c>
      <c r="CY23" s="137">
        <v>0</v>
      </c>
      <c r="CZ23" s="137">
        <v>0</v>
      </c>
      <c r="DA23" s="137">
        <v>0</v>
      </c>
      <c r="DB23" s="137">
        <v>0</v>
      </c>
      <c r="DC23" s="137">
        <v>0</v>
      </c>
      <c r="DD23" s="137">
        <v>0</v>
      </c>
      <c r="DE23" s="137">
        <v>0</v>
      </c>
      <c r="DF23" s="137">
        <v>0</v>
      </c>
    </row>
    <row r="24" spans="1:110" ht="15" customHeight="1" x14ac:dyDescent="0.25">
      <c r="A24" s="136" t="s">
        <v>67</v>
      </c>
      <c r="C24" s="335">
        <v>-2542.4699999999998</v>
      </c>
      <c r="D24" s="335">
        <v>-1618.75</v>
      </c>
      <c r="E24" s="335">
        <v>3406.77</v>
      </c>
      <c r="F24" s="137">
        <v>-4379.1666666666697</v>
      </c>
      <c r="G24" s="137">
        <v>-4870.8333333333303</v>
      </c>
      <c r="H24" s="137">
        <v>-5370.8333333333303</v>
      </c>
      <c r="I24" s="137">
        <v>-5587.5</v>
      </c>
      <c r="J24" s="137">
        <v>-5587.5</v>
      </c>
      <c r="K24" s="137">
        <v>-5587.5</v>
      </c>
      <c r="L24" s="137">
        <v>-6004.1666666666697</v>
      </c>
      <c r="M24" s="137">
        <v>-6604.1666666666597</v>
      </c>
      <c r="N24" s="137">
        <v>-6604.1666666666597</v>
      </c>
      <c r="O24" s="137">
        <v>-6604.1666666666597</v>
      </c>
      <c r="P24" s="137">
        <v>-6604.1666666666597</v>
      </c>
      <c r="Q24" s="137">
        <v>-6604.1666666666597</v>
      </c>
      <c r="R24" s="137">
        <v>-7008.25</v>
      </c>
      <c r="S24" s="137">
        <v>-7008.25</v>
      </c>
      <c r="T24" s="137">
        <v>-7008.25</v>
      </c>
      <c r="U24" s="137">
        <v>-7008.25</v>
      </c>
      <c r="V24" s="137">
        <v>-7008.25</v>
      </c>
      <c r="W24" s="137">
        <v>-7008.25</v>
      </c>
      <c r="X24" s="137">
        <v>-7008.25</v>
      </c>
      <c r="Y24" s="137">
        <v>-7008.25</v>
      </c>
      <c r="Z24" s="137">
        <v>-7008.25</v>
      </c>
      <c r="AA24" s="137">
        <v>-7008.25</v>
      </c>
      <c r="AB24" s="137">
        <v>-7008.25</v>
      </c>
      <c r="AC24" s="137">
        <v>-7008.25</v>
      </c>
      <c r="AD24" s="137">
        <v>-7148.415</v>
      </c>
      <c r="AE24" s="137">
        <v>-7148.415</v>
      </c>
      <c r="AF24" s="137">
        <v>-7148.415</v>
      </c>
      <c r="AG24" s="137">
        <v>-7148.415</v>
      </c>
      <c r="AH24" s="137">
        <v>-7148.415</v>
      </c>
      <c r="AI24" s="137">
        <v>-7148.415</v>
      </c>
      <c r="AJ24" s="137">
        <v>-7148.415</v>
      </c>
      <c r="AK24" s="137">
        <v>-7148.415</v>
      </c>
      <c r="AL24" s="137">
        <v>-7148.415</v>
      </c>
      <c r="AM24" s="137">
        <v>-7148.415</v>
      </c>
      <c r="AN24" s="137">
        <v>-7148.415</v>
      </c>
      <c r="AO24" s="137">
        <v>-7148.415</v>
      </c>
      <c r="AP24" s="137">
        <v>-7291.3833000000004</v>
      </c>
      <c r="AQ24" s="137">
        <v>-7291.3833000000004</v>
      </c>
      <c r="AR24" s="137">
        <v>-7291.3833000000004</v>
      </c>
      <c r="AS24" s="137">
        <v>-7291.3833000000004</v>
      </c>
      <c r="AT24" s="137">
        <v>-7291.3833000000004</v>
      </c>
      <c r="AU24" s="137">
        <v>-7291.3833000000004</v>
      </c>
      <c r="AV24" s="137">
        <v>-7291.3833000000004</v>
      </c>
      <c r="AW24" s="137">
        <v>-7291.3833000000004</v>
      </c>
      <c r="AX24" s="137">
        <v>-7291.3833000000004</v>
      </c>
      <c r="AY24" s="137">
        <v>-7291.3833000000004</v>
      </c>
      <c r="AZ24" s="137">
        <v>-7291.3833000000004</v>
      </c>
      <c r="BA24" s="137">
        <v>-7291.3833000000004</v>
      </c>
      <c r="BB24" s="137">
        <v>-7437.2109659999996</v>
      </c>
      <c r="BC24" s="137">
        <v>-7437.2109659999996</v>
      </c>
      <c r="BD24" s="137">
        <v>-7437.2109659999996</v>
      </c>
      <c r="BE24" s="137">
        <v>-7437.2109659999996</v>
      </c>
      <c r="BF24" s="137">
        <v>-7437.2109659999996</v>
      </c>
      <c r="BG24" s="137">
        <v>-7437.2109659999996</v>
      </c>
      <c r="BH24" s="137">
        <v>-7437.2109659999996</v>
      </c>
      <c r="BI24" s="137">
        <v>-7437.2109659999996</v>
      </c>
      <c r="BJ24" s="137">
        <v>-7437.2109659999996</v>
      </c>
      <c r="BK24" s="137">
        <v>-7437.2109659999996</v>
      </c>
      <c r="BL24" s="137">
        <v>-7437.2109659999996</v>
      </c>
      <c r="BM24" s="137">
        <v>-7437.2109659999996</v>
      </c>
      <c r="BN24" s="137">
        <v>-7585.9551853200001</v>
      </c>
      <c r="BO24" s="137">
        <v>-7585.9551853200001</v>
      </c>
      <c r="BP24" s="137">
        <v>-7585.9551853200001</v>
      </c>
      <c r="BQ24" s="137">
        <v>-7585.9551853200001</v>
      </c>
      <c r="BR24" s="137">
        <v>-7585.9551853200001</v>
      </c>
      <c r="BS24" s="137">
        <v>-7585.9551853200001</v>
      </c>
      <c r="BT24" s="137">
        <v>-7585.9551853200001</v>
      </c>
      <c r="BU24" s="137">
        <v>-7585.9551853200001</v>
      </c>
      <c r="BV24" s="137">
        <v>-7585.9551853200001</v>
      </c>
      <c r="BW24" s="137">
        <v>-7585.9551853200001</v>
      </c>
      <c r="BX24" s="137">
        <v>-7585.9551853200001</v>
      </c>
      <c r="BY24" s="137">
        <v>-7585.9551853200001</v>
      </c>
      <c r="BZ24" s="137">
        <v>-7737.6742890264004</v>
      </c>
      <c r="CA24" s="137">
        <v>-7737.6742890264004</v>
      </c>
      <c r="CB24" s="137">
        <v>-7737.6742890264004</v>
      </c>
      <c r="CC24" s="137">
        <v>-7737.6742890264004</v>
      </c>
      <c r="CD24" s="137">
        <v>-7737.6742890264004</v>
      </c>
      <c r="CE24" s="137">
        <v>-7737.6742890264004</v>
      </c>
      <c r="CF24" s="137">
        <v>-7737.6742890264004</v>
      </c>
      <c r="CG24" s="137">
        <v>-7737.6742890264004</v>
      </c>
      <c r="CH24" s="137">
        <v>-7737.6742890264004</v>
      </c>
      <c r="CI24" s="137">
        <v>-7737.6742890264004</v>
      </c>
      <c r="CJ24" s="137">
        <v>-7737.6742890264004</v>
      </c>
      <c r="CK24" s="137">
        <v>-7737.6742890264004</v>
      </c>
      <c r="CL24" s="137">
        <v>-7892.4277748069298</v>
      </c>
      <c r="CM24" s="137">
        <v>-7892.4277748069298</v>
      </c>
      <c r="CN24" s="137">
        <v>-7892.4277748069298</v>
      </c>
      <c r="CO24" s="137">
        <v>-7892.4277748069298</v>
      </c>
      <c r="CP24" s="137">
        <v>-7892.4277748069298</v>
      </c>
      <c r="CQ24" s="137">
        <v>-7892.4277748069298</v>
      </c>
      <c r="CR24" s="137">
        <v>-7892.4277748069298</v>
      </c>
      <c r="CS24" s="137">
        <v>-7892.4277748069298</v>
      </c>
      <c r="CT24" s="137">
        <v>-7892.4277748069298</v>
      </c>
      <c r="CU24" s="137">
        <v>0</v>
      </c>
      <c r="CV24" s="137">
        <v>0</v>
      </c>
      <c r="CW24" s="137">
        <v>0</v>
      </c>
      <c r="CX24" s="137">
        <v>0</v>
      </c>
      <c r="CY24" s="137">
        <v>0</v>
      </c>
      <c r="CZ24" s="137">
        <v>0</v>
      </c>
      <c r="DA24" s="137">
        <v>0</v>
      </c>
      <c r="DB24" s="137">
        <v>0</v>
      </c>
      <c r="DC24" s="137">
        <v>0</v>
      </c>
      <c r="DD24" s="137">
        <v>0</v>
      </c>
      <c r="DE24" s="137">
        <v>0</v>
      </c>
      <c r="DF24" s="137">
        <v>0</v>
      </c>
    </row>
    <row r="25" spans="1:110" ht="15" customHeight="1" x14ac:dyDescent="0.25">
      <c r="A25" s="136" t="s">
        <v>68</v>
      </c>
      <c r="C25" s="335">
        <v>-195</v>
      </c>
      <c r="D25" s="335">
        <v>-200</v>
      </c>
      <c r="E25" s="335">
        <v>0</v>
      </c>
      <c r="F25" s="137">
        <v>-1094.7916666666699</v>
      </c>
      <c r="G25" s="137">
        <v>-1217.7083333333301</v>
      </c>
      <c r="H25" s="137">
        <v>-1342.7083333333301</v>
      </c>
      <c r="I25" s="137">
        <v>-1396.875</v>
      </c>
      <c r="J25" s="137">
        <v>-1396.875</v>
      </c>
      <c r="K25" s="137">
        <v>-1396.875</v>
      </c>
      <c r="L25" s="137">
        <v>-1501.0416666666699</v>
      </c>
      <c r="M25" s="137">
        <v>-1651.0416666666699</v>
      </c>
      <c r="N25" s="137">
        <v>-1651.0416666666699</v>
      </c>
      <c r="O25" s="137">
        <v>-1651.0416666666699</v>
      </c>
      <c r="P25" s="137">
        <v>-1651.0416666666699</v>
      </c>
      <c r="Q25" s="137">
        <v>-1651.0416666666699</v>
      </c>
      <c r="R25" s="137">
        <v>-1752.0625</v>
      </c>
      <c r="S25" s="137">
        <v>-1752.0625</v>
      </c>
      <c r="T25" s="137">
        <v>-1752.0625</v>
      </c>
      <c r="U25" s="137">
        <v>-1752.0625</v>
      </c>
      <c r="V25" s="137">
        <v>-1752.0625</v>
      </c>
      <c r="W25" s="137">
        <v>-1752.0625</v>
      </c>
      <c r="X25" s="137">
        <v>-1752.0625</v>
      </c>
      <c r="Y25" s="137">
        <v>-1752.0625</v>
      </c>
      <c r="Z25" s="137">
        <v>-1752.0625</v>
      </c>
      <c r="AA25" s="137">
        <v>-1752.0625</v>
      </c>
      <c r="AB25" s="137">
        <v>-1752.0625</v>
      </c>
      <c r="AC25" s="137">
        <v>-1752.0625</v>
      </c>
      <c r="AD25" s="137">
        <v>-1787.10375</v>
      </c>
      <c r="AE25" s="137">
        <v>-1787.10375</v>
      </c>
      <c r="AF25" s="137">
        <v>-1787.10375</v>
      </c>
      <c r="AG25" s="137">
        <v>-1787.10375</v>
      </c>
      <c r="AH25" s="137">
        <v>-1787.10375</v>
      </c>
      <c r="AI25" s="137">
        <v>-1787.10375</v>
      </c>
      <c r="AJ25" s="137">
        <v>-1787.10375</v>
      </c>
      <c r="AK25" s="137">
        <v>-1787.10375</v>
      </c>
      <c r="AL25" s="137">
        <v>-1787.10375</v>
      </c>
      <c r="AM25" s="137">
        <v>-1787.10375</v>
      </c>
      <c r="AN25" s="137">
        <v>-1787.10375</v>
      </c>
      <c r="AO25" s="137">
        <v>-1787.10375</v>
      </c>
      <c r="AP25" s="137">
        <v>-1822.8458250000001</v>
      </c>
      <c r="AQ25" s="137">
        <v>-1822.8458250000001</v>
      </c>
      <c r="AR25" s="137">
        <v>-1822.8458250000001</v>
      </c>
      <c r="AS25" s="137">
        <v>-1822.8458250000001</v>
      </c>
      <c r="AT25" s="137">
        <v>-1822.8458250000001</v>
      </c>
      <c r="AU25" s="137">
        <v>-1822.8458250000001</v>
      </c>
      <c r="AV25" s="137">
        <v>-1822.8458250000001</v>
      </c>
      <c r="AW25" s="137">
        <v>-1822.8458250000001</v>
      </c>
      <c r="AX25" s="137">
        <v>-1822.8458250000001</v>
      </c>
      <c r="AY25" s="137">
        <v>-1822.8458250000001</v>
      </c>
      <c r="AZ25" s="137">
        <v>-1822.8458250000001</v>
      </c>
      <c r="BA25" s="137">
        <v>-1822.8458250000001</v>
      </c>
      <c r="BB25" s="137">
        <v>-1859.3027414999999</v>
      </c>
      <c r="BC25" s="137">
        <v>-1859.3027414999999</v>
      </c>
      <c r="BD25" s="137">
        <v>-1859.3027414999999</v>
      </c>
      <c r="BE25" s="137">
        <v>-1859.3027414999999</v>
      </c>
      <c r="BF25" s="137">
        <v>-1859.3027414999999</v>
      </c>
      <c r="BG25" s="137">
        <v>-1859.3027414999999</v>
      </c>
      <c r="BH25" s="137">
        <v>-1859.3027414999999</v>
      </c>
      <c r="BI25" s="137">
        <v>-1859.3027414999999</v>
      </c>
      <c r="BJ25" s="137">
        <v>-1859.3027414999999</v>
      </c>
      <c r="BK25" s="137">
        <v>-1859.3027414999999</v>
      </c>
      <c r="BL25" s="137">
        <v>-1859.3027414999999</v>
      </c>
      <c r="BM25" s="137">
        <v>-1859.3027414999999</v>
      </c>
      <c r="BN25" s="137">
        <v>-1896.48879633</v>
      </c>
      <c r="BO25" s="137">
        <v>-1896.48879633</v>
      </c>
      <c r="BP25" s="137">
        <v>-1896.48879633</v>
      </c>
      <c r="BQ25" s="137">
        <v>-1896.48879633</v>
      </c>
      <c r="BR25" s="137">
        <v>-1896.48879633</v>
      </c>
      <c r="BS25" s="137">
        <v>-1896.48879633</v>
      </c>
      <c r="BT25" s="137">
        <v>-1896.48879633</v>
      </c>
      <c r="BU25" s="137">
        <v>-1896.48879633</v>
      </c>
      <c r="BV25" s="137">
        <v>-1896.48879633</v>
      </c>
      <c r="BW25" s="137">
        <v>-1896.48879633</v>
      </c>
      <c r="BX25" s="137">
        <v>-1896.48879633</v>
      </c>
      <c r="BY25" s="137">
        <v>-1896.48879633</v>
      </c>
      <c r="BZ25" s="137">
        <v>-1934.4185722566001</v>
      </c>
      <c r="CA25" s="137">
        <v>-1934.4185722566001</v>
      </c>
      <c r="CB25" s="137">
        <v>-1934.4185722566001</v>
      </c>
      <c r="CC25" s="137">
        <v>-1934.4185722566001</v>
      </c>
      <c r="CD25" s="137">
        <v>-1934.4185722566001</v>
      </c>
      <c r="CE25" s="137">
        <v>-1934.4185722566001</v>
      </c>
      <c r="CF25" s="137">
        <v>-1934.4185722566001</v>
      </c>
      <c r="CG25" s="137">
        <v>-1934.4185722566001</v>
      </c>
      <c r="CH25" s="137">
        <v>-1934.4185722566001</v>
      </c>
      <c r="CI25" s="137">
        <v>-1934.4185722566001</v>
      </c>
      <c r="CJ25" s="137">
        <v>-1934.4185722566001</v>
      </c>
      <c r="CK25" s="137">
        <v>-1934.4185722566001</v>
      </c>
      <c r="CL25" s="137">
        <v>-1973.10694370173</v>
      </c>
      <c r="CM25" s="137">
        <v>-1973.10694370173</v>
      </c>
      <c r="CN25" s="137">
        <v>-1973.10694370173</v>
      </c>
      <c r="CO25" s="137">
        <v>-1973.10694370173</v>
      </c>
      <c r="CP25" s="137">
        <v>-1973.10694370173</v>
      </c>
      <c r="CQ25" s="137">
        <v>-1973.10694370173</v>
      </c>
      <c r="CR25" s="137">
        <v>-1973.10694370173</v>
      </c>
      <c r="CS25" s="137">
        <v>-1973.10694370173</v>
      </c>
      <c r="CT25" s="137">
        <v>-1973.10694370173</v>
      </c>
      <c r="CU25" s="137">
        <v>0</v>
      </c>
      <c r="CV25" s="137">
        <v>0</v>
      </c>
      <c r="CW25" s="137">
        <v>0</v>
      </c>
      <c r="CX25" s="137">
        <v>0</v>
      </c>
      <c r="CY25" s="137">
        <v>0</v>
      </c>
      <c r="CZ25" s="137">
        <v>0</v>
      </c>
      <c r="DA25" s="137">
        <v>0</v>
      </c>
      <c r="DB25" s="137">
        <v>0</v>
      </c>
      <c r="DC25" s="137">
        <v>0</v>
      </c>
      <c r="DD25" s="137">
        <v>0</v>
      </c>
      <c r="DE25" s="137">
        <v>0</v>
      </c>
      <c r="DF25" s="137">
        <v>0</v>
      </c>
    </row>
    <row r="26" spans="1:110" ht="15" customHeight="1" x14ac:dyDescent="0.25">
      <c r="A26" s="136" t="s">
        <v>69</v>
      </c>
      <c r="C26" s="335">
        <v>-33002.28</v>
      </c>
      <c r="D26" s="335">
        <v>-29166.66</v>
      </c>
      <c r="E26" s="335">
        <v>-41666.660000000003</v>
      </c>
      <c r="F26" s="137">
        <v>-29166.66</v>
      </c>
      <c r="G26" s="137">
        <v>-29166.66</v>
      </c>
      <c r="H26" s="137">
        <v>-29166.66</v>
      </c>
      <c r="I26" s="137">
        <v>-29166.66</v>
      </c>
      <c r="J26" s="137">
        <v>-29166.66</v>
      </c>
      <c r="K26" s="137">
        <v>-29166.66</v>
      </c>
      <c r="L26" s="137">
        <v>-29166.66</v>
      </c>
      <c r="M26" s="137">
        <v>-29166.66</v>
      </c>
      <c r="N26" s="137">
        <v>-29166.66</v>
      </c>
      <c r="O26" s="137">
        <v>-29166.66</v>
      </c>
      <c r="P26" s="137">
        <v>-29166.66</v>
      </c>
      <c r="Q26" s="137">
        <v>-29166.66</v>
      </c>
      <c r="R26" s="137">
        <v>-29749.993200000001</v>
      </c>
      <c r="S26" s="137">
        <v>-29749.993200000001</v>
      </c>
      <c r="T26" s="137">
        <v>-29749.993200000001</v>
      </c>
      <c r="U26" s="137">
        <v>-29749.993200000001</v>
      </c>
      <c r="V26" s="137">
        <v>-29749.993200000001</v>
      </c>
      <c r="W26" s="137">
        <v>-29749.993200000001</v>
      </c>
      <c r="X26" s="137">
        <v>-29749.993200000001</v>
      </c>
      <c r="Y26" s="137">
        <v>-29749.993200000001</v>
      </c>
      <c r="Z26" s="137">
        <v>-29749.993200000001</v>
      </c>
      <c r="AA26" s="137">
        <v>-29749.993200000001</v>
      </c>
      <c r="AB26" s="137">
        <v>-29749.993200000001</v>
      </c>
      <c r="AC26" s="137">
        <v>-29749.993200000001</v>
      </c>
      <c r="AD26" s="137">
        <v>-30344.993063999998</v>
      </c>
      <c r="AE26" s="137">
        <v>-30344.993063999998</v>
      </c>
      <c r="AF26" s="137">
        <v>-30344.993063999998</v>
      </c>
      <c r="AG26" s="137">
        <v>-30344.993063999998</v>
      </c>
      <c r="AH26" s="137">
        <v>-30344.993063999998</v>
      </c>
      <c r="AI26" s="137">
        <v>-30344.993063999998</v>
      </c>
      <c r="AJ26" s="137">
        <v>-30344.993063999998</v>
      </c>
      <c r="AK26" s="137">
        <v>-30344.993063999998</v>
      </c>
      <c r="AL26" s="137">
        <v>-30344.993063999998</v>
      </c>
      <c r="AM26" s="137">
        <v>-30344.993063999998</v>
      </c>
      <c r="AN26" s="137">
        <v>-30344.993063999998</v>
      </c>
      <c r="AO26" s="137">
        <v>-30344.993063999998</v>
      </c>
      <c r="AP26" s="137">
        <v>-30951.892925280001</v>
      </c>
      <c r="AQ26" s="137">
        <v>-30951.892925280001</v>
      </c>
      <c r="AR26" s="137">
        <v>-30951.892925280001</v>
      </c>
      <c r="AS26" s="137">
        <v>-30951.892925280001</v>
      </c>
      <c r="AT26" s="137">
        <v>-30951.892925280001</v>
      </c>
      <c r="AU26" s="137">
        <v>-30951.892925280001</v>
      </c>
      <c r="AV26" s="137">
        <v>-30951.892925280001</v>
      </c>
      <c r="AW26" s="137">
        <v>-30951.892925280001</v>
      </c>
      <c r="AX26" s="137">
        <v>-30951.892925280001</v>
      </c>
      <c r="AY26" s="137">
        <v>-30951.892925280001</v>
      </c>
      <c r="AZ26" s="137">
        <v>-30951.892925280001</v>
      </c>
      <c r="BA26" s="137">
        <v>-30951.892925280001</v>
      </c>
      <c r="BB26" s="137">
        <v>-31570.930783785599</v>
      </c>
      <c r="BC26" s="137">
        <v>-31570.930783785599</v>
      </c>
      <c r="BD26" s="137">
        <v>-31570.930783785599</v>
      </c>
      <c r="BE26" s="137">
        <v>-31570.930783785599</v>
      </c>
      <c r="BF26" s="137">
        <v>-31570.930783785599</v>
      </c>
      <c r="BG26" s="137">
        <v>-31570.930783785599</v>
      </c>
      <c r="BH26" s="137">
        <v>-31570.930783785599</v>
      </c>
      <c r="BI26" s="137">
        <v>-31570.930783785599</v>
      </c>
      <c r="BJ26" s="137">
        <v>-31570.930783785599</v>
      </c>
      <c r="BK26" s="137">
        <v>-31570.930783785599</v>
      </c>
      <c r="BL26" s="137">
        <v>-31570.930783785599</v>
      </c>
      <c r="BM26" s="137">
        <v>-31570.930783785599</v>
      </c>
      <c r="BN26" s="137">
        <v>-32202.349399461302</v>
      </c>
      <c r="BO26" s="137">
        <v>-32202.349399461302</v>
      </c>
      <c r="BP26" s="137">
        <v>-32202.349399461302</v>
      </c>
      <c r="BQ26" s="137">
        <v>-32202.349399461302</v>
      </c>
      <c r="BR26" s="137">
        <v>-32202.349399461302</v>
      </c>
      <c r="BS26" s="137">
        <v>-32202.349399461302</v>
      </c>
      <c r="BT26" s="137">
        <v>-32202.349399461302</v>
      </c>
      <c r="BU26" s="137">
        <v>-32202.349399461302</v>
      </c>
      <c r="BV26" s="137">
        <v>-32202.349399461302</v>
      </c>
      <c r="BW26" s="137">
        <v>-32202.349399461302</v>
      </c>
      <c r="BX26" s="137">
        <v>-32202.349399461302</v>
      </c>
      <c r="BY26" s="137">
        <v>-32202.349399461302</v>
      </c>
      <c r="BZ26" s="137">
        <v>-32846.396387450499</v>
      </c>
      <c r="CA26" s="137">
        <v>-32846.396387450499</v>
      </c>
      <c r="CB26" s="137">
        <v>-32846.396387450499</v>
      </c>
      <c r="CC26" s="137">
        <v>-32846.396387450499</v>
      </c>
      <c r="CD26" s="137">
        <v>-32846.396387450499</v>
      </c>
      <c r="CE26" s="137">
        <v>-32846.396387450499</v>
      </c>
      <c r="CF26" s="137">
        <v>-32846.396387450499</v>
      </c>
      <c r="CG26" s="137">
        <v>-32846.396387450499</v>
      </c>
      <c r="CH26" s="137">
        <v>-32846.396387450499</v>
      </c>
      <c r="CI26" s="137">
        <v>-32846.396387450499</v>
      </c>
      <c r="CJ26" s="137">
        <v>-32846.396387450499</v>
      </c>
      <c r="CK26" s="137">
        <v>-32846.396387450499</v>
      </c>
      <c r="CL26" s="137">
        <v>-33503.324315199599</v>
      </c>
      <c r="CM26" s="137">
        <v>-33503.324315199599</v>
      </c>
      <c r="CN26" s="137">
        <v>-33503.324315199599</v>
      </c>
      <c r="CO26" s="137">
        <v>-33503.324315199599</v>
      </c>
      <c r="CP26" s="137">
        <v>-33503.324315199599</v>
      </c>
      <c r="CQ26" s="137">
        <v>-33503.324315199599</v>
      </c>
      <c r="CR26" s="137">
        <v>-33503.324315199599</v>
      </c>
      <c r="CS26" s="137">
        <v>-33503.324315199599</v>
      </c>
      <c r="CT26" s="137">
        <v>-33503.324315199599</v>
      </c>
      <c r="CU26" s="137">
        <v>-33503.324315199599</v>
      </c>
      <c r="CV26" s="137">
        <v>-33503.324315199599</v>
      </c>
      <c r="CW26" s="137">
        <v>-33503.324315199599</v>
      </c>
      <c r="CX26" s="137">
        <v>-34173.390801503498</v>
      </c>
      <c r="CY26" s="137">
        <v>-34173.390801503498</v>
      </c>
      <c r="CZ26" s="137">
        <v>-34173.390801503498</v>
      </c>
      <c r="DA26" s="137">
        <v>-34173.390801503498</v>
      </c>
      <c r="DB26" s="137">
        <v>-34173.390801503498</v>
      </c>
      <c r="DC26" s="137">
        <v>-34173.390801503498</v>
      </c>
      <c r="DD26" s="137">
        <v>-34173.390801503498</v>
      </c>
      <c r="DE26" s="137">
        <v>-34173.390801503498</v>
      </c>
      <c r="DF26" s="137">
        <v>-34173.390801503498</v>
      </c>
    </row>
    <row r="27" spans="1:110" ht="15" customHeight="1" x14ac:dyDescent="0.25">
      <c r="A27" s="136" t="s">
        <v>70</v>
      </c>
      <c r="C27" s="335">
        <v>0</v>
      </c>
      <c r="D27" s="335">
        <v>0</v>
      </c>
      <c r="E27" s="335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137">
        <v>0</v>
      </c>
      <c r="AB27" s="137"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137">
        <v>0</v>
      </c>
      <c r="AN27" s="137">
        <v>0</v>
      </c>
      <c r="AO27" s="137">
        <v>0</v>
      </c>
      <c r="AP27" s="137">
        <v>0</v>
      </c>
      <c r="AQ27" s="137">
        <v>0</v>
      </c>
      <c r="AR27" s="137">
        <v>0</v>
      </c>
      <c r="AS27" s="137">
        <v>0</v>
      </c>
      <c r="AT27" s="137">
        <v>0</v>
      </c>
      <c r="AU27" s="137">
        <v>0</v>
      </c>
      <c r="AV27" s="137">
        <v>0</v>
      </c>
      <c r="AW27" s="137">
        <v>0</v>
      </c>
      <c r="AX27" s="137">
        <v>0</v>
      </c>
      <c r="AY27" s="137">
        <v>0</v>
      </c>
      <c r="AZ27" s="137">
        <v>0</v>
      </c>
      <c r="BA27" s="137">
        <v>0</v>
      </c>
      <c r="BB27" s="137">
        <v>0</v>
      </c>
      <c r="BC27" s="137">
        <v>0</v>
      </c>
      <c r="BD27" s="137">
        <v>0</v>
      </c>
      <c r="BE27" s="137">
        <v>0</v>
      </c>
      <c r="BF27" s="137">
        <v>0</v>
      </c>
      <c r="BG27" s="137">
        <v>0</v>
      </c>
      <c r="BH27" s="137">
        <v>0</v>
      </c>
      <c r="BI27" s="137">
        <v>0</v>
      </c>
      <c r="BJ27" s="137">
        <v>0</v>
      </c>
      <c r="BK27" s="137">
        <v>0</v>
      </c>
      <c r="BL27" s="137">
        <v>0</v>
      </c>
      <c r="BM27" s="137">
        <v>0</v>
      </c>
      <c r="BN27" s="137">
        <v>0</v>
      </c>
      <c r="BO27" s="137">
        <v>0</v>
      </c>
      <c r="BP27" s="137">
        <v>0</v>
      </c>
      <c r="BQ27" s="137">
        <v>0</v>
      </c>
      <c r="BR27" s="137">
        <v>0</v>
      </c>
      <c r="BS27" s="137">
        <v>0</v>
      </c>
      <c r="BT27" s="137">
        <v>0</v>
      </c>
      <c r="BU27" s="137">
        <v>0</v>
      </c>
      <c r="BV27" s="137">
        <v>0</v>
      </c>
      <c r="BW27" s="137">
        <v>0</v>
      </c>
      <c r="BX27" s="137">
        <v>0</v>
      </c>
      <c r="BY27" s="137">
        <v>0</v>
      </c>
      <c r="BZ27" s="137">
        <v>0</v>
      </c>
      <c r="CA27" s="137">
        <v>0</v>
      </c>
      <c r="CB27" s="137">
        <v>0</v>
      </c>
      <c r="CC27" s="137">
        <v>0</v>
      </c>
      <c r="CD27" s="137">
        <v>0</v>
      </c>
      <c r="CE27" s="137">
        <v>0</v>
      </c>
      <c r="CF27" s="137">
        <v>0</v>
      </c>
      <c r="CG27" s="137">
        <v>0</v>
      </c>
      <c r="CH27" s="137">
        <v>0</v>
      </c>
      <c r="CI27" s="137">
        <v>0</v>
      </c>
      <c r="CJ27" s="137">
        <v>0</v>
      </c>
      <c r="CK27" s="137">
        <v>0</v>
      </c>
      <c r="CL27" s="137">
        <v>0</v>
      </c>
      <c r="CM27" s="137">
        <v>0</v>
      </c>
      <c r="CN27" s="137">
        <v>0</v>
      </c>
      <c r="CO27" s="137">
        <v>0</v>
      </c>
      <c r="CP27" s="137">
        <v>0</v>
      </c>
      <c r="CQ27" s="137">
        <v>0</v>
      </c>
      <c r="CR27" s="137">
        <v>0</v>
      </c>
      <c r="CS27" s="137">
        <v>0</v>
      </c>
      <c r="CT27" s="137">
        <v>0</v>
      </c>
      <c r="CU27" s="137">
        <v>0</v>
      </c>
      <c r="CV27" s="137">
        <v>0</v>
      </c>
      <c r="CW27" s="137">
        <v>0</v>
      </c>
      <c r="CX27" s="137">
        <v>0</v>
      </c>
      <c r="CY27" s="137">
        <v>0</v>
      </c>
      <c r="CZ27" s="137">
        <v>0</v>
      </c>
      <c r="DA27" s="137">
        <v>0</v>
      </c>
      <c r="DB27" s="137">
        <v>0</v>
      </c>
      <c r="DC27" s="137">
        <v>0</v>
      </c>
      <c r="DD27" s="137">
        <v>0</v>
      </c>
      <c r="DE27" s="137">
        <v>0</v>
      </c>
      <c r="DF27" s="137">
        <v>0</v>
      </c>
    </row>
    <row r="28" spans="1:110" ht="15" customHeight="1" x14ac:dyDescent="0.25">
      <c r="A28" s="136" t="s">
        <v>71</v>
      </c>
      <c r="C28" s="335">
        <v>-10400</v>
      </c>
      <c r="D28" s="335">
        <v>-10400</v>
      </c>
      <c r="E28" s="335">
        <v>-400</v>
      </c>
      <c r="F28" s="137">
        <v>-10400</v>
      </c>
      <c r="G28" s="137">
        <v>-10400</v>
      </c>
      <c r="H28" s="137">
        <v>-10400</v>
      </c>
      <c r="I28" s="137">
        <v>-10400</v>
      </c>
      <c r="J28" s="137">
        <v>-10400</v>
      </c>
      <c r="K28" s="137">
        <v>-10400</v>
      </c>
      <c r="L28" s="137">
        <v>-10400</v>
      </c>
      <c r="M28" s="137">
        <v>-10400</v>
      </c>
      <c r="N28" s="137">
        <v>-10400</v>
      </c>
      <c r="O28" s="137">
        <v>-10400</v>
      </c>
      <c r="P28" s="137">
        <v>-10400</v>
      </c>
      <c r="Q28" s="137">
        <v>-10400</v>
      </c>
      <c r="R28" s="137">
        <v>-10608</v>
      </c>
      <c r="S28" s="137">
        <v>-10608</v>
      </c>
      <c r="T28" s="137">
        <v>-10608</v>
      </c>
      <c r="U28" s="137">
        <v>-10608</v>
      </c>
      <c r="V28" s="137">
        <v>-10608</v>
      </c>
      <c r="W28" s="137">
        <v>-10608</v>
      </c>
      <c r="X28" s="137">
        <v>-10608</v>
      </c>
      <c r="Y28" s="137">
        <v>-10608</v>
      </c>
      <c r="Z28" s="137">
        <v>-10608</v>
      </c>
      <c r="AA28" s="137">
        <v>-10608</v>
      </c>
      <c r="AB28" s="137">
        <v>-10608</v>
      </c>
      <c r="AC28" s="137">
        <v>-10608</v>
      </c>
      <c r="AD28" s="137">
        <v>-10820.16</v>
      </c>
      <c r="AE28" s="137">
        <v>-10820.16</v>
      </c>
      <c r="AF28" s="137">
        <v>-10820.16</v>
      </c>
      <c r="AG28" s="137">
        <v>-10820.16</v>
      </c>
      <c r="AH28" s="137">
        <v>-10820.16</v>
      </c>
      <c r="AI28" s="137">
        <v>-10820.16</v>
      </c>
      <c r="AJ28" s="137">
        <v>-10820.16</v>
      </c>
      <c r="AK28" s="137">
        <v>-10820.16</v>
      </c>
      <c r="AL28" s="137">
        <v>-10820.16</v>
      </c>
      <c r="AM28" s="137">
        <v>-10820.16</v>
      </c>
      <c r="AN28" s="137">
        <v>-10820.16</v>
      </c>
      <c r="AO28" s="137">
        <v>-10820.16</v>
      </c>
      <c r="AP28" s="137">
        <v>-11036.563200000001</v>
      </c>
      <c r="AQ28" s="137">
        <v>-11036.563200000001</v>
      </c>
      <c r="AR28" s="137">
        <v>-11036.563200000001</v>
      </c>
      <c r="AS28" s="137">
        <v>-11036.563200000001</v>
      </c>
      <c r="AT28" s="137">
        <v>-11036.563200000001</v>
      </c>
      <c r="AU28" s="137">
        <v>-11036.563200000001</v>
      </c>
      <c r="AV28" s="137">
        <v>-11036.563200000001</v>
      </c>
      <c r="AW28" s="137">
        <v>-11036.563200000001</v>
      </c>
      <c r="AX28" s="137">
        <v>-11036.563200000001</v>
      </c>
      <c r="AY28" s="137">
        <v>-11036.563200000001</v>
      </c>
      <c r="AZ28" s="137">
        <v>-11036.563200000001</v>
      </c>
      <c r="BA28" s="137">
        <v>-11036.563200000001</v>
      </c>
      <c r="BB28" s="137">
        <v>-11257.294464000001</v>
      </c>
      <c r="BC28" s="137">
        <v>-11257.294464000001</v>
      </c>
      <c r="BD28" s="137">
        <v>-11257.294464000001</v>
      </c>
      <c r="BE28" s="137">
        <v>-11257.294464000001</v>
      </c>
      <c r="BF28" s="137">
        <v>-11257.294464000001</v>
      </c>
      <c r="BG28" s="137">
        <v>-11257.294464000001</v>
      </c>
      <c r="BH28" s="137">
        <v>-11257.294464000001</v>
      </c>
      <c r="BI28" s="137">
        <v>-11257.294464000001</v>
      </c>
      <c r="BJ28" s="137">
        <v>-11257.294464000001</v>
      </c>
      <c r="BK28" s="137">
        <v>-11257.294464000001</v>
      </c>
      <c r="BL28" s="137">
        <v>-11257.294464000001</v>
      </c>
      <c r="BM28" s="137">
        <v>-11257.294464000001</v>
      </c>
      <c r="BN28" s="137">
        <v>-11482.440353280001</v>
      </c>
      <c r="BO28" s="137">
        <v>-11482.440353280001</v>
      </c>
      <c r="BP28" s="137">
        <v>-11482.440353280001</v>
      </c>
      <c r="BQ28" s="137">
        <v>-11482.440353280001</v>
      </c>
      <c r="BR28" s="137">
        <v>-11482.440353280001</v>
      </c>
      <c r="BS28" s="137">
        <v>-11482.440353280001</v>
      </c>
      <c r="BT28" s="137">
        <v>-11482.440353280001</v>
      </c>
      <c r="BU28" s="137">
        <v>-11482.440353280001</v>
      </c>
      <c r="BV28" s="137">
        <v>-11482.440353280001</v>
      </c>
      <c r="BW28" s="137">
        <v>-11482.440353280001</v>
      </c>
      <c r="BX28" s="137">
        <v>-11482.440353280001</v>
      </c>
      <c r="BY28" s="137">
        <v>-11482.440353280001</v>
      </c>
      <c r="BZ28" s="137">
        <v>-11712.0891603456</v>
      </c>
      <c r="CA28" s="137">
        <v>-11712.0891603456</v>
      </c>
      <c r="CB28" s="137">
        <v>-11712.0891603456</v>
      </c>
      <c r="CC28" s="137">
        <v>-11712.0891603456</v>
      </c>
      <c r="CD28" s="137">
        <v>-11712.0891603456</v>
      </c>
      <c r="CE28" s="137">
        <v>-11712.0891603456</v>
      </c>
      <c r="CF28" s="137">
        <v>-11712.0891603456</v>
      </c>
      <c r="CG28" s="137">
        <v>-11712.0891603456</v>
      </c>
      <c r="CH28" s="137">
        <v>-11712.0891603456</v>
      </c>
      <c r="CI28" s="137">
        <v>-11712.0891603456</v>
      </c>
      <c r="CJ28" s="137">
        <v>-11712.0891603456</v>
      </c>
      <c r="CK28" s="137">
        <v>-11712.0891603456</v>
      </c>
      <c r="CL28" s="137">
        <v>-11946.330943552501</v>
      </c>
      <c r="CM28" s="137">
        <v>-11946.330943552501</v>
      </c>
      <c r="CN28" s="137">
        <v>-11946.330943552501</v>
      </c>
      <c r="CO28" s="137">
        <v>-11946.330943552501</v>
      </c>
      <c r="CP28" s="137">
        <v>-11946.330943552501</v>
      </c>
      <c r="CQ28" s="137">
        <v>-11946.330943552501</v>
      </c>
      <c r="CR28" s="137">
        <v>-11946.330943552501</v>
      </c>
      <c r="CS28" s="137">
        <v>-11946.330943552501</v>
      </c>
      <c r="CT28" s="137">
        <v>-11946.330943552501</v>
      </c>
      <c r="CU28" s="137">
        <v>-11946.330943552501</v>
      </c>
      <c r="CV28" s="137">
        <v>-11946.330943552501</v>
      </c>
      <c r="CW28" s="137">
        <v>-11946.330943552501</v>
      </c>
      <c r="CX28" s="137">
        <v>-12185.2575624236</v>
      </c>
      <c r="CY28" s="137">
        <v>-12185.2575624236</v>
      </c>
      <c r="CZ28" s="137">
        <v>-12185.2575624236</v>
      </c>
      <c r="DA28" s="137">
        <v>-12185.2575624236</v>
      </c>
      <c r="DB28" s="137">
        <v>-12185.2575624236</v>
      </c>
      <c r="DC28" s="137">
        <v>-12185.2575624236</v>
      </c>
      <c r="DD28" s="137">
        <v>-12185.2575624236</v>
      </c>
      <c r="DE28" s="137">
        <v>-12185.2575624236</v>
      </c>
      <c r="DF28" s="137">
        <v>-12185.2575624236</v>
      </c>
    </row>
    <row r="29" spans="1:110" ht="15" customHeight="1" x14ac:dyDescent="0.25">
      <c r="A29" s="136" t="s">
        <v>72</v>
      </c>
      <c r="C29" s="335">
        <v>-1988</v>
      </c>
      <c r="D29" s="335">
        <v>-955.32</v>
      </c>
      <c r="E29" s="335">
        <v>-9130.61</v>
      </c>
      <c r="F29" s="137">
        <v>-4024.64</v>
      </c>
      <c r="G29" s="137">
        <v>-4024.64</v>
      </c>
      <c r="H29" s="137">
        <v>-4024.64</v>
      </c>
      <c r="I29" s="137">
        <v>-4024.64</v>
      </c>
      <c r="J29" s="137">
        <v>-4024.64</v>
      </c>
      <c r="K29" s="137">
        <v>-4024.64</v>
      </c>
      <c r="L29" s="137">
        <v>-4024.64</v>
      </c>
      <c r="M29" s="137">
        <v>-4024.64</v>
      </c>
      <c r="N29" s="137">
        <v>-4024.64</v>
      </c>
      <c r="O29" s="137">
        <v>-4024.64</v>
      </c>
      <c r="P29" s="137">
        <v>-4024.64</v>
      </c>
      <c r="Q29" s="137">
        <v>-4024.64</v>
      </c>
      <c r="R29" s="137">
        <v>-4105.1328000000003</v>
      </c>
      <c r="S29" s="137">
        <v>-4105.1328000000003</v>
      </c>
      <c r="T29" s="137">
        <v>-4105.1328000000003</v>
      </c>
      <c r="U29" s="137">
        <v>-4105.1328000000003</v>
      </c>
      <c r="V29" s="137">
        <v>-4105.1328000000003</v>
      </c>
      <c r="W29" s="137">
        <v>-4105.1328000000003</v>
      </c>
      <c r="X29" s="137">
        <v>-4105.1328000000003</v>
      </c>
      <c r="Y29" s="137">
        <v>-4105.1328000000003</v>
      </c>
      <c r="Z29" s="137">
        <v>-4105.1328000000003</v>
      </c>
      <c r="AA29" s="137">
        <v>-4105.1328000000003</v>
      </c>
      <c r="AB29" s="137">
        <v>-4105.1328000000003</v>
      </c>
      <c r="AC29" s="137">
        <v>-4105.1328000000003</v>
      </c>
      <c r="AD29" s="137">
        <v>-4187.2354560000003</v>
      </c>
      <c r="AE29" s="137">
        <v>-4187.2354560000003</v>
      </c>
      <c r="AF29" s="137">
        <v>-4187.2354560000003</v>
      </c>
      <c r="AG29" s="137">
        <v>-4187.2354560000003</v>
      </c>
      <c r="AH29" s="137">
        <v>-4187.2354560000003</v>
      </c>
      <c r="AI29" s="137">
        <v>-4187.2354560000003</v>
      </c>
      <c r="AJ29" s="137">
        <v>-4187.2354560000003</v>
      </c>
      <c r="AK29" s="137">
        <v>-4187.2354560000003</v>
      </c>
      <c r="AL29" s="137">
        <v>-4187.2354560000003</v>
      </c>
      <c r="AM29" s="137">
        <v>-4187.2354560000003</v>
      </c>
      <c r="AN29" s="137">
        <v>-4187.2354560000003</v>
      </c>
      <c r="AO29" s="137">
        <v>-4187.2354560000003</v>
      </c>
      <c r="AP29" s="137">
        <v>-4270.9801651199996</v>
      </c>
      <c r="AQ29" s="137">
        <v>-4270.9801651199996</v>
      </c>
      <c r="AR29" s="137">
        <v>-4270.9801651199996</v>
      </c>
      <c r="AS29" s="137">
        <v>-4270.9801651199996</v>
      </c>
      <c r="AT29" s="137">
        <v>-4270.9801651199996</v>
      </c>
      <c r="AU29" s="137">
        <v>-4270.9801651199996</v>
      </c>
      <c r="AV29" s="137">
        <v>-4270.9801651199996</v>
      </c>
      <c r="AW29" s="137">
        <v>-4270.9801651199996</v>
      </c>
      <c r="AX29" s="137">
        <v>-4270.9801651199996</v>
      </c>
      <c r="AY29" s="137">
        <v>-4270.9801651199996</v>
      </c>
      <c r="AZ29" s="137">
        <v>-4270.9801651199996</v>
      </c>
      <c r="BA29" s="137">
        <v>-4270.9801651199996</v>
      </c>
      <c r="BB29" s="137">
        <v>-4356.3997684223996</v>
      </c>
      <c r="BC29" s="137">
        <v>-4356.3997684223996</v>
      </c>
      <c r="BD29" s="137">
        <v>-4356.3997684223996</v>
      </c>
      <c r="BE29" s="137">
        <v>-4356.3997684223996</v>
      </c>
      <c r="BF29" s="137">
        <v>-4356.3997684223996</v>
      </c>
      <c r="BG29" s="137">
        <v>-4356.3997684223996</v>
      </c>
      <c r="BH29" s="137">
        <v>-4356.3997684223996</v>
      </c>
      <c r="BI29" s="137">
        <v>-4356.3997684223996</v>
      </c>
      <c r="BJ29" s="137">
        <v>-4356.3997684223996</v>
      </c>
      <c r="BK29" s="137">
        <v>-4356.3997684223996</v>
      </c>
      <c r="BL29" s="137">
        <v>-4356.3997684223996</v>
      </c>
      <c r="BM29" s="137">
        <v>-4356.3997684223996</v>
      </c>
      <c r="BN29" s="137">
        <v>-4443.5277637908503</v>
      </c>
      <c r="BO29" s="137">
        <v>-4443.5277637908503</v>
      </c>
      <c r="BP29" s="137">
        <v>-4443.5277637908503</v>
      </c>
      <c r="BQ29" s="137">
        <v>-4443.5277637908503</v>
      </c>
      <c r="BR29" s="137">
        <v>-4443.5277637908503</v>
      </c>
      <c r="BS29" s="137">
        <v>-4443.5277637908503</v>
      </c>
      <c r="BT29" s="137">
        <v>-4443.5277637908503</v>
      </c>
      <c r="BU29" s="137">
        <v>-4443.5277637908503</v>
      </c>
      <c r="BV29" s="137">
        <v>-4443.5277637908503</v>
      </c>
      <c r="BW29" s="137">
        <v>-4443.5277637908503</v>
      </c>
      <c r="BX29" s="137">
        <v>-4443.5277637908503</v>
      </c>
      <c r="BY29" s="137">
        <v>-4443.5277637908503</v>
      </c>
      <c r="BZ29" s="137">
        <v>-4532.3983190666704</v>
      </c>
      <c r="CA29" s="137">
        <v>-4532.3983190666704</v>
      </c>
      <c r="CB29" s="137">
        <v>-4532.3983190666704</v>
      </c>
      <c r="CC29" s="137">
        <v>-4532.3983190666704</v>
      </c>
      <c r="CD29" s="137">
        <v>-4532.3983190666704</v>
      </c>
      <c r="CE29" s="137">
        <v>-4532.3983190666704</v>
      </c>
      <c r="CF29" s="137">
        <v>-4532.3983190666704</v>
      </c>
      <c r="CG29" s="137">
        <v>-4532.3983190666704</v>
      </c>
      <c r="CH29" s="137">
        <v>-4532.3983190666704</v>
      </c>
      <c r="CI29" s="137">
        <v>-4532.3983190666704</v>
      </c>
      <c r="CJ29" s="137">
        <v>-4532.3983190666704</v>
      </c>
      <c r="CK29" s="137">
        <v>-4532.3983190666704</v>
      </c>
      <c r="CL29" s="137">
        <v>-4623.0462854480002</v>
      </c>
      <c r="CM29" s="137">
        <v>-4623.0462854480002</v>
      </c>
      <c r="CN29" s="137">
        <v>-4623.0462854480002</v>
      </c>
      <c r="CO29" s="137">
        <v>-4623.0462854480002</v>
      </c>
      <c r="CP29" s="137">
        <v>-4623.0462854480002</v>
      </c>
      <c r="CQ29" s="137">
        <v>-4623.0462854480002</v>
      </c>
      <c r="CR29" s="137">
        <v>-4623.0462854480002</v>
      </c>
      <c r="CS29" s="137">
        <v>-4623.0462854480002</v>
      </c>
      <c r="CT29" s="137">
        <v>-4623.0462854480002</v>
      </c>
      <c r="CU29" s="137">
        <v>-4623.0462854480002</v>
      </c>
      <c r="CV29" s="137">
        <v>-4623.0462854480002</v>
      </c>
      <c r="CW29" s="137">
        <v>-4623.0462854480002</v>
      </c>
      <c r="CX29" s="137">
        <v>-4715.5072111569598</v>
      </c>
      <c r="CY29" s="137">
        <v>-4715.5072111569598</v>
      </c>
      <c r="CZ29" s="137">
        <v>-4715.5072111569598</v>
      </c>
      <c r="DA29" s="137">
        <v>-4715.5072111569598</v>
      </c>
      <c r="DB29" s="137">
        <v>-4715.5072111569598</v>
      </c>
      <c r="DC29" s="137">
        <v>-4715.5072111569598</v>
      </c>
      <c r="DD29" s="137">
        <v>-4715.5072111569598</v>
      </c>
      <c r="DE29" s="137">
        <v>-4715.5072111569598</v>
      </c>
      <c r="DF29" s="137">
        <v>-4715.5072111569598</v>
      </c>
    </row>
    <row r="30" spans="1:110" ht="15" customHeight="1" x14ac:dyDescent="0.25">
      <c r="A30" s="136" t="s">
        <v>73</v>
      </c>
      <c r="C30" s="335">
        <v>0</v>
      </c>
      <c r="D30" s="335">
        <v>0</v>
      </c>
      <c r="E30" s="335">
        <v>-1077.3800000000001</v>
      </c>
      <c r="F30" s="137">
        <v>-359.13</v>
      </c>
      <c r="G30" s="137">
        <v>-359.13</v>
      </c>
      <c r="H30" s="137">
        <v>-359.13</v>
      </c>
      <c r="I30" s="137">
        <v>-359.13</v>
      </c>
      <c r="J30" s="137">
        <v>-359.13</v>
      </c>
      <c r="K30" s="137">
        <v>-359.13</v>
      </c>
      <c r="L30" s="137">
        <v>-359.13</v>
      </c>
      <c r="M30" s="137">
        <v>-359.13</v>
      </c>
      <c r="N30" s="137">
        <v>-359.13</v>
      </c>
      <c r="O30" s="137">
        <v>-359.13</v>
      </c>
      <c r="P30" s="137">
        <v>-359.13</v>
      </c>
      <c r="Q30" s="137">
        <v>-359.13</v>
      </c>
      <c r="R30" s="137">
        <v>-366.31259999999997</v>
      </c>
      <c r="S30" s="137">
        <v>-366.31259999999997</v>
      </c>
      <c r="T30" s="137">
        <v>-366.31259999999997</v>
      </c>
      <c r="U30" s="137">
        <v>-366.31259999999997</v>
      </c>
      <c r="V30" s="137">
        <v>-366.31259999999997</v>
      </c>
      <c r="W30" s="137">
        <v>-366.31259999999997</v>
      </c>
      <c r="X30" s="137">
        <v>-366.31259999999997</v>
      </c>
      <c r="Y30" s="137">
        <v>-366.31259999999997</v>
      </c>
      <c r="Z30" s="137">
        <v>-366.31259999999997</v>
      </c>
      <c r="AA30" s="137">
        <v>-366.31259999999997</v>
      </c>
      <c r="AB30" s="137">
        <v>-366.31259999999997</v>
      </c>
      <c r="AC30" s="137">
        <v>-366.31259999999997</v>
      </c>
      <c r="AD30" s="137">
        <v>-373.63885199999999</v>
      </c>
      <c r="AE30" s="137">
        <v>-373.63885199999999</v>
      </c>
      <c r="AF30" s="137">
        <v>-373.63885199999999</v>
      </c>
      <c r="AG30" s="137">
        <v>-373.63885199999999</v>
      </c>
      <c r="AH30" s="137">
        <v>-373.63885199999999</v>
      </c>
      <c r="AI30" s="137">
        <v>-373.63885199999999</v>
      </c>
      <c r="AJ30" s="137">
        <v>-373.63885199999999</v>
      </c>
      <c r="AK30" s="137">
        <v>-373.63885199999999</v>
      </c>
      <c r="AL30" s="137">
        <v>-373.63885199999999</v>
      </c>
      <c r="AM30" s="137">
        <v>-373.63885199999999</v>
      </c>
      <c r="AN30" s="137">
        <v>-373.63885199999999</v>
      </c>
      <c r="AO30" s="137">
        <v>-373.63885199999999</v>
      </c>
      <c r="AP30" s="137">
        <v>-381.11162904000003</v>
      </c>
      <c r="AQ30" s="137">
        <v>-381.11162904000003</v>
      </c>
      <c r="AR30" s="137">
        <v>-381.11162904000003</v>
      </c>
      <c r="AS30" s="137">
        <v>-381.11162904000003</v>
      </c>
      <c r="AT30" s="137">
        <v>-381.11162904000003</v>
      </c>
      <c r="AU30" s="137">
        <v>-381.11162904000003</v>
      </c>
      <c r="AV30" s="137">
        <v>-381.11162904000003</v>
      </c>
      <c r="AW30" s="137">
        <v>-381.11162904000003</v>
      </c>
      <c r="AX30" s="137">
        <v>-381.11162904000003</v>
      </c>
      <c r="AY30" s="137">
        <v>-381.11162904000003</v>
      </c>
      <c r="AZ30" s="137">
        <v>-381.11162904000003</v>
      </c>
      <c r="BA30" s="137">
        <v>-381.11162904000003</v>
      </c>
      <c r="BB30" s="137">
        <v>-388.73386162079998</v>
      </c>
      <c r="BC30" s="137">
        <v>-388.73386162079998</v>
      </c>
      <c r="BD30" s="137">
        <v>-388.73386162079998</v>
      </c>
      <c r="BE30" s="137">
        <v>-388.73386162079998</v>
      </c>
      <c r="BF30" s="137">
        <v>-388.73386162079998</v>
      </c>
      <c r="BG30" s="137">
        <v>-388.73386162079998</v>
      </c>
      <c r="BH30" s="137">
        <v>-388.73386162079998</v>
      </c>
      <c r="BI30" s="137">
        <v>-388.73386162079998</v>
      </c>
      <c r="BJ30" s="137">
        <v>-388.73386162079998</v>
      </c>
      <c r="BK30" s="137">
        <v>-388.73386162079998</v>
      </c>
      <c r="BL30" s="137">
        <v>-388.73386162079998</v>
      </c>
      <c r="BM30" s="137">
        <v>-388.73386162079998</v>
      </c>
      <c r="BN30" s="137">
        <v>-396.50853885321601</v>
      </c>
      <c r="BO30" s="137">
        <v>-396.50853885321601</v>
      </c>
      <c r="BP30" s="137">
        <v>-396.50853885321601</v>
      </c>
      <c r="BQ30" s="137">
        <v>-396.50853885321601</v>
      </c>
      <c r="BR30" s="137">
        <v>-396.50853885321601</v>
      </c>
      <c r="BS30" s="137">
        <v>-396.50853885321601</v>
      </c>
      <c r="BT30" s="137">
        <v>-396.50853885321601</v>
      </c>
      <c r="BU30" s="137">
        <v>-396.50853885321601</v>
      </c>
      <c r="BV30" s="137">
        <v>-396.50853885321601</v>
      </c>
      <c r="BW30" s="137">
        <v>-396.50853885321601</v>
      </c>
      <c r="BX30" s="137">
        <v>-396.50853885321601</v>
      </c>
      <c r="BY30" s="137">
        <v>-396.50853885321601</v>
      </c>
      <c r="BZ30" s="137">
        <v>-404.43870963028002</v>
      </c>
      <c r="CA30" s="137">
        <v>-404.43870963028002</v>
      </c>
      <c r="CB30" s="137">
        <v>-404.43870963028002</v>
      </c>
      <c r="CC30" s="137">
        <v>-404.43870963028002</v>
      </c>
      <c r="CD30" s="137">
        <v>-404.43870963028002</v>
      </c>
      <c r="CE30" s="137">
        <v>-404.43870963028002</v>
      </c>
      <c r="CF30" s="137">
        <v>-404.43870963028002</v>
      </c>
      <c r="CG30" s="137">
        <v>-404.43870963028002</v>
      </c>
      <c r="CH30" s="137">
        <v>-404.43870963028002</v>
      </c>
      <c r="CI30" s="137">
        <v>-404.43870963028002</v>
      </c>
      <c r="CJ30" s="137">
        <v>-404.43870963028002</v>
      </c>
      <c r="CK30" s="137">
        <v>-404.43870963028002</v>
      </c>
      <c r="CL30" s="137">
        <v>-412.52748382288598</v>
      </c>
      <c r="CM30" s="137">
        <v>-412.52748382288598</v>
      </c>
      <c r="CN30" s="137">
        <v>-412.52748382288598</v>
      </c>
      <c r="CO30" s="137">
        <v>-412.52748382288598</v>
      </c>
      <c r="CP30" s="137">
        <v>-412.52748382288598</v>
      </c>
      <c r="CQ30" s="137">
        <v>-412.52748382288598</v>
      </c>
      <c r="CR30" s="137">
        <v>-412.52748382288598</v>
      </c>
      <c r="CS30" s="137">
        <v>-412.52748382288598</v>
      </c>
      <c r="CT30" s="137">
        <v>-412.52748382288598</v>
      </c>
      <c r="CU30" s="137">
        <v>-412.52748382288598</v>
      </c>
      <c r="CV30" s="137">
        <v>-412.52748382288598</v>
      </c>
      <c r="CW30" s="137">
        <v>-412.52748382288598</v>
      </c>
      <c r="CX30" s="137">
        <v>-420.77803349934402</v>
      </c>
      <c r="CY30" s="137">
        <v>-420.77803349934402</v>
      </c>
      <c r="CZ30" s="137">
        <v>-420.77803349934402</v>
      </c>
      <c r="DA30" s="137">
        <v>-420.77803349934402</v>
      </c>
      <c r="DB30" s="137">
        <v>-420.77803349934402</v>
      </c>
      <c r="DC30" s="137">
        <v>-420.77803349934402</v>
      </c>
      <c r="DD30" s="137">
        <v>-420.77803349934402</v>
      </c>
      <c r="DE30" s="137">
        <v>-420.77803349934402</v>
      </c>
      <c r="DF30" s="137">
        <v>-420.77803349934402</v>
      </c>
    </row>
    <row r="31" spans="1:110" ht="15" customHeight="1" x14ac:dyDescent="0.25">
      <c r="A31" s="96" t="s">
        <v>74</v>
      </c>
      <c r="C31" s="138">
        <v>-79</v>
      </c>
      <c r="D31" s="138">
        <v>0</v>
      </c>
      <c r="E31" s="138">
        <v>0</v>
      </c>
      <c r="F31" s="139">
        <v>-26.33</v>
      </c>
      <c r="G31" s="139">
        <v>-26.33</v>
      </c>
      <c r="H31" s="139">
        <v>-26.33</v>
      </c>
      <c r="I31" s="139">
        <v>-26.33</v>
      </c>
      <c r="J31" s="139">
        <v>-26.33</v>
      </c>
      <c r="K31" s="139">
        <v>-26.33</v>
      </c>
      <c r="L31" s="139">
        <v>-26.33</v>
      </c>
      <c r="M31" s="139">
        <v>-26.33</v>
      </c>
      <c r="N31" s="139">
        <v>-26.33</v>
      </c>
      <c r="O31" s="139">
        <v>-26.33</v>
      </c>
      <c r="P31" s="139">
        <v>-26.33</v>
      </c>
      <c r="Q31" s="139">
        <v>-26.33</v>
      </c>
      <c r="R31" s="139">
        <v>-26.8566</v>
      </c>
      <c r="S31" s="139">
        <v>-26.8566</v>
      </c>
      <c r="T31" s="139">
        <v>-26.8566</v>
      </c>
      <c r="U31" s="139">
        <v>-26.8566</v>
      </c>
      <c r="V31" s="139">
        <v>-26.8566</v>
      </c>
      <c r="W31" s="139">
        <v>-26.8566</v>
      </c>
      <c r="X31" s="139">
        <v>-26.8566</v>
      </c>
      <c r="Y31" s="139">
        <v>-26.8566</v>
      </c>
      <c r="Z31" s="139">
        <v>-26.8566</v>
      </c>
      <c r="AA31" s="139">
        <v>-26.8566</v>
      </c>
      <c r="AB31" s="139">
        <v>-26.8566</v>
      </c>
      <c r="AC31" s="139">
        <v>-26.8566</v>
      </c>
      <c r="AD31" s="139">
        <v>-27.393732</v>
      </c>
      <c r="AE31" s="139">
        <v>-27.393732</v>
      </c>
      <c r="AF31" s="139">
        <v>-27.393732</v>
      </c>
      <c r="AG31" s="139">
        <v>-27.393732</v>
      </c>
      <c r="AH31" s="139">
        <v>-27.393732</v>
      </c>
      <c r="AI31" s="139">
        <v>-27.393732</v>
      </c>
      <c r="AJ31" s="139">
        <v>-27.393732</v>
      </c>
      <c r="AK31" s="139">
        <v>-27.393732</v>
      </c>
      <c r="AL31" s="139">
        <v>-27.393732</v>
      </c>
      <c r="AM31" s="139">
        <v>-27.393732</v>
      </c>
      <c r="AN31" s="139">
        <v>-27.393732</v>
      </c>
      <c r="AO31" s="139">
        <v>-27.393732</v>
      </c>
      <c r="AP31" s="139">
        <v>-27.94160664</v>
      </c>
      <c r="AQ31" s="139">
        <v>-27.94160664</v>
      </c>
      <c r="AR31" s="139">
        <v>-27.94160664</v>
      </c>
      <c r="AS31" s="139">
        <v>-27.94160664</v>
      </c>
      <c r="AT31" s="139">
        <v>-27.94160664</v>
      </c>
      <c r="AU31" s="139">
        <v>-27.94160664</v>
      </c>
      <c r="AV31" s="139">
        <v>-27.94160664</v>
      </c>
      <c r="AW31" s="139">
        <v>-27.94160664</v>
      </c>
      <c r="AX31" s="139">
        <v>-27.94160664</v>
      </c>
      <c r="AY31" s="139">
        <v>-27.94160664</v>
      </c>
      <c r="AZ31" s="139">
        <v>-27.94160664</v>
      </c>
      <c r="BA31" s="139">
        <v>-27.94160664</v>
      </c>
      <c r="BB31" s="139">
        <v>-28.500438772799999</v>
      </c>
      <c r="BC31" s="139">
        <v>-28.500438772799999</v>
      </c>
      <c r="BD31" s="139">
        <v>-28.500438772799999</v>
      </c>
      <c r="BE31" s="139">
        <v>-28.500438772799999</v>
      </c>
      <c r="BF31" s="139">
        <v>-28.500438772799999</v>
      </c>
      <c r="BG31" s="139">
        <v>-28.500438772799999</v>
      </c>
      <c r="BH31" s="139">
        <v>-28.500438772799999</v>
      </c>
      <c r="BI31" s="139">
        <v>-28.500438772799999</v>
      </c>
      <c r="BJ31" s="139">
        <v>-28.500438772799999</v>
      </c>
      <c r="BK31" s="139">
        <v>-28.500438772799999</v>
      </c>
      <c r="BL31" s="139">
        <v>-28.500438772799999</v>
      </c>
      <c r="BM31" s="139">
        <v>-28.500438772799999</v>
      </c>
      <c r="BN31" s="139">
        <v>-29.070447548255999</v>
      </c>
      <c r="BO31" s="139">
        <v>-29.070447548255999</v>
      </c>
      <c r="BP31" s="139">
        <v>-29.070447548255999</v>
      </c>
      <c r="BQ31" s="139">
        <v>-29.070447548255999</v>
      </c>
      <c r="BR31" s="139">
        <v>-29.070447548255999</v>
      </c>
      <c r="BS31" s="139">
        <v>-29.070447548255999</v>
      </c>
      <c r="BT31" s="139">
        <v>-29.070447548255999</v>
      </c>
      <c r="BU31" s="139">
        <v>-29.070447548255999</v>
      </c>
      <c r="BV31" s="139">
        <v>-29.070447548255999</v>
      </c>
      <c r="BW31" s="139">
        <v>-29.070447548255999</v>
      </c>
      <c r="BX31" s="139">
        <v>-29.070447548255999</v>
      </c>
      <c r="BY31" s="139">
        <v>-29.070447548255999</v>
      </c>
      <c r="BZ31" s="139">
        <v>-29.6518564992211</v>
      </c>
      <c r="CA31" s="139">
        <v>-29.6518564992211</v>
      </c>
      <c r="CB31" s="139">
        <v>-29.6518564992211</v>
      </c>
      <c r="CC31" s="139">
        <v>-29.6518564992211</v>
      </c>
      <c r="CD31" s="139">
        <v>-29.6518564992211</v>
      </c>
      <c r="CE31" s="139">
        <v>-29.6518564992211</v>
      </c>
      <c r="CF31" s="139">
        <v>-29.6518564992211</v>
      </c>
      <c r="CG31" s="139">
        <v>-29.6518564992211</v>
      </c>
      <c r="CH31" s="139">
        <v>-29.6518564992211</v>
      </c>
      <c r="CI31" s="139">
        <v>-29.6518564992211</v>
      </c>
      <c r="CJ31" s="139">
        <v>-29.6518564992211</v>
      </c>
      <c r="CK31" s="139">
        <v>-29.6518564992211</v>
      </c>
      <c r="CL31" s="139">
        <v>-30.2448936292055</v>
      </c>
      <c r="CM31" s="139">
        <v>-30.2448936292055</v>
      </c>
      <c r="CN31" s="139">
        <v>-30.2448936292055</v>
      </c>
      <c r="CO31" s="139">
        <v>-30.2448936292055</v>
      </c>
      <c r="CP31" s="139">
        <v>-30.2448936292055</v>
      </c>
      <c r="CQ31" s="139">
        <v>-30.2448936292055</v>
      </c>
      <c r="CR31" s="139">
        <v>-30.2448936292055</v>
      </c>
      <c r="CS31" s="139">
        <v>-30.2448936292055</v>
      </c>
      <c r="CT31" s="139">
        <v>-30.2448936292055</v>
      </c>
      <c r="CU31" s="139">
        <v>-30.2448936292055</v>
      </c>
      <c r="CV31" s="139">
        <v>-30.2448936292055</v>
      </c>
      <c r="CW31" s="139">
        <v>-30.2448936292055</v>
      </c>
      <c r="CX31" s="139">
        <v>-30.849791501789699</v>
      </c>
      <c r="CY31" s="139">
        <v>-30.849791501789699</v>
      </c>
      <c r="CZ31" s="139">
        <v>-30.849791501789699</v>
      </c>
      <c r="DA31" s="139">
        <v>-30.849791501789699</v>
      </c>
      <c r="DB31" s="139">
        <v>-30.849791501789699</v>
      </c>
      <c r="DC31" s="139">
        <v>-30.849791501789699</v>
      </c>
      <c r="DD31" s="139">
        <v>-30.849791501789699</v>
      </c>
      <c r="DE31" s="139">
        <v>-30.849791501789699</v>
      </c>
      <c r="DF31" s="139">
        <v>-30.849791501789699</v>
      </c>
    </row>
    <row r="32" spans="1:110" ht="15" customHeight="1" x14ac:dyDescent="0.25">
      <c r="A32" s="136" t="s">
        <v>75</v>
      </c>
      <c r="C32" s="335">
        <v>-3405.64</v>
      </c>
      <c r="D32" s="335">
        <v>-5015.38</v>
      </c>
      <c r="E32" s="335">
        <v>-7481.39</v>
      </c>
      <c r="F32" s="137">
        <v>-5300.8</v>
      </c>
      <c r="G32" s="137">
        <v>-5300.8</v>
      </c>
      <c r="H32" s="137">
        <v>-5300.8</v>
      </c>
      <c r="I32" s="137">
        <v>-5300.8</v>
      </c>
      <c r="J32" s="137">
        <v>-5300.8</v>
      </c>
      <c r="K32" s="137">
        <v>-5300.8</v>
      </c>
      <c r="L32" s="137">
        <v>-5300.8</v>
      </c>
      <c r="M32" s="137">
        <v>-5300.8</v>
      </c>
      <c r="N32" s="137">
        <v>-5300.8</v>
      </c>
      <c r="O32" s="137">
        <v>-5300.8</v>
      </c>
      <c r="P32" s="137">
        <v>-5300.8</v>
      </c>
      <c r="Q32" s="137">
        <v>-5300.8</v>
      </c>
      <c r="R32" s="137">
        <v>-5406.8159999999998</v>
      </c>
      <c r="S32" s="137">
        <v>-5406.8159999999998</v>
      </c>
      <c r="T32" s="137">
        <v>-5406.8159999999998</v>
      </c>
      <c r="U32" s="137">
        <v>-5406.8159999999998</v>
      </c>
      <c r="V32" s="137">
        <v>-5406.8159999999998</v>
      </c>
      <c r="W32" s="137">
        <v>-5406.8159999999998</v>
      </c>
      <c r="X32" s="137">
        <v>-5406.8159999999998</v>
      </c>
      <c r="Y32" s="137">
        <v>-5406.8159999999998</v>
      </c>
      <c r="Z32" s="137">
        <v>-5406.8159999999998</v>
      </c>
      <c r="AA32" s="137">
        <v>-5406.8159999999998</v>
      </c>
      <c r="AB32" s="137">
        <v>-5406.8159999999998</v>
      </c>
      <c r="AC32" s="137">
        <v>-5406.8159999999998</v>
      </c>
      <c r="AD32" s="137">
        <v>-5514.9523200000003</v>
      </c>
      <c r="AE32" s="137">
        <v>-5514.9523200000003</v>
      </c>
      <c r="AF32" s="137">
        <v>-5514.9523200000003</v>
      </c>
      <c r="AG32" s="137">
        <v>-5514.9523200000003</v>
      </c>
      <c r="AH32" s="137">
        <v>-5514.9523200000003</v>
      </c>
      <c r="AI32" s="137">
        <v>-5514.9523200000003</v>
      </c>
      <c r="AJ32" s="137">
        <v>-5514.9523200000003</v>
      </c>
      <c r="AK32" s="137">
        <v>-5514.9523200000003</v>
      </c>
      <c r="AL32" s="137">
        <v>-5514.9523200000003</v>
      </c>
      <c r="AM32" s="137">
        <v>-5514.9523200000003</v>
      </c>
      <c r="AN32" s="137">
        <v>-5514.9523200000003</v>
      </c>
      <c r="AO32" s="137">
        <v>-5514.9523200000003</v>
      </c>
      <c r="AP32" s="137">
        <v>-5625.2513663999998</v>
      </c>
      <c r="AQ32" s="137">
        <v>-5625.2513663999998</v>
      </c>
      <c r="AR32" s="137">
        <v>-5625.2513663999998</v>
      </c>
      <c r="AS32" s="137">
        <v>-5625.2513663999998</v>
      </c>
      <c r="AT32" s="137">
        <v>-5625.2513663999998</v>
      </c>
      <c r="AU32" s="137">
        <v>-5625.2513663999998</v>
      </c>
      <c r="AV32" s="137">
        <v>-5625.2513663999998</v>
      </c>
      <c r="AW32" s="137">
        <v>-5625.2513663999998</v>
      </c>
      <c r="AX32" s="137">
        <v>-5625.2513663999998</v>
      </c>
      <c r="AY32" s="137">
        <v>-5625.2513663999998</v>
      </c>
      <c r="AZ32" s="137">
        <v>-5625.2513663999998</v>
      </c>
      <c r="BA32" s="137">
        <v>-5625.2513663999998</v>
      </c>
      <c r="BB32" s="137">
        <v>-5737.7563937280001</v>
      </c>
      <c r="BC32" s="137">
        <v>-5737.7563937280001</v>
      </c>
      <c r="BD32" s="137">
        <v>-5737.7563937280001</v>
      </c>
      <c r="BE32" s="137">
        <v>-5737.7563937280001</v>
      </c>
      <c r="BF32" s="137">
        <v>-5737.7563937280001</v>
      </c>
      <c r="BG32" s="137">
        <v>-5737.7563937280001</v>
      </c>
      <c r="BH32" s="137">
        <v>-5737.7563937280001</v>
      </c>
      <c r="BI32" s="137">
        <v>-5737.7563937280001</v>
      </c>
      <c r="BJ32" s="137">
        <v>-5737.7563937280001</v>
      </c>
      <c r="BK32" s="137">
        <v>-5737.7563937280001</v>
      </c>
      <c r="BL32" s="137">
        <v>-5737.7563937280001</v>
      </c>
      <c r="BM32" s="137">
        <v>-5737.7563937280001</v>
      </c>
      <c r="BN32" s="137">
        <v>-5852.5115216025597</v>
      </c>
      <c r="BO32" s="137">
        <v>-5852.5115216025597</v>
      </c>
      <c r="BP32" s="137">
        <v>-5852.5115216025597</v>
      </c>
      <c r="BQ32" s="137">
        <v>-5852.5115216025597</v>
      </c>
      <c r="BR32" s="137">
        <v>-5852.5115216025597</v>
      </c>
      <c r="BS32" s="137">
        <v>-5852.5115216025597</v>
      </c>
      <c r="BT32" s="137">
        <v>-5852.5115216025597</v>
      </c>
      <c r="BU32" s="137">
        <v>-5852.5115216025597</v>
      </c>
      <c r="BV32" s="137">
        <v>-5852.5115216025597</v>
      </c>
      <c r="BW32" s="137">
        <v>-5852.5115216025597</v>
      </c>
      <c r="BX32" s="137">
        <v>-5852.5115216025597</v>
      </c>
      <c r="BY32" s="137">
        <v>-5852.5115216025597</v>
      </c>
      <c r="BZ32" s="137">
        <v>-5969.5617520346104</v>
      </c>
      <c r="CA32" s="137">
        <v>-5969.5617520346104</v>
      </c>
      <c r="CB32" s="137">
        <v>-5969.5617520346104</v>
      </c>
      <c r="CC32" s="137">
        <v>-5969.5617520346104</v>
      </c>
      <c r="CD32" s="137">
        <v>-5969.5617520346104</v>
      </c>
      <c r="CE32" s="137">
        <v>-5969.5617520346104</v>
      </c>
      <c r="CF32" s="137">
        <v>-5969.5617520346104</v>
      </c>
      <c r="CG32" s="137">
        <v>-5969.5617520346104</v>
      </c>
      <c r="CH32" s="137">
        <v>-5969.5617520346104</v>
      </c>
      <c r="CI32" s="137">
        <v>-5969.5617520346104</v>
      </c>
      <c r="CJ32" s="137">
        <v>-5969.5617520346104</v>
      </c>
      <c r="CK32" s="137">
        <v>-5969.5617520346104</v>
      </c>
      <c r="CL32" s="137">
        <v>-6088.9529870753004</v>
      </c>
      <c r="CM32" s="137">
        <v>-6088.9529870753004</v>
      </c>
      <c r="CN32" s="137">
        <v>-6088.9529870753004</v>
      </c>
      <c r="CO32" s="137">
        <v>-6088.9529870753004</v>
      </c>
      <c r="CP32" s="137">
        <v>-6088.9529870753004</v>
      </c>
      <c r="CQ32" s="137">
        <v>-6088.9529870753004</v>
      </c>
      <c r="CR32" s="137">
        <v>-6088.9529870753004</v>
      </c>
      <c r="CS32" s="137">
        <v>-6088.9529870753004</v>
      </c>
      <c r="CT32" s="137">
        <v>-6088.9529870753004</v>
      </c>
      <c r="CU32" s="137">
        <v>-6088.9529870753004</v>
      </c>
      <c r="CV32" s="137">
        <v>-6088.9529870753004</v>
      </c>
      <c r="CW32" s="137">
        <v>-6088.9529870753004</v>
      </c>
      <c r="CX32" s="137">
        <v>-6210.73204681681</v>
      </c>
      <c r="CY32" s="137">
        <v>-6210.73204681681</v>
      </c>
      <c r="CZ32" s="137">
        <v>-6210.73204681681</v>
      </c>
      <c r="DA32" s="137">
        <v>-6210.73204681681</v>
      </c>
      <c r="DB32" s="137">
        <v>-6210.73204681681</v>
      </c>
      <c r="DC32" s="137">
        <v>-6210.73204681681</v>
      </c>
      <c r="DD32" s="137">
        <v>-6210.73204681681</v>
      </c>
      <c r="DE32" s="137">
        <v>-6210.73204681681</v>
      </c>
      <c r="DF32" s="137">
        <v>-6210.73204681681</v>
      </c>
    </row>
    <row r="33" spans="1:110" ht="15" customHeight="1" x14ac:dyDescent="0.25">
      <c r="A33" s="136" t="s">
        <v>76</v>
      </c>
      <c r="C33" s="335">
        <v>0</v>
      </c>
      <c r="D33" s="335">
        <v>-1766.48</v>
      </c>
      <c r="E33" s="335">
        <v>-441.62</v>
      </c>
      <c r="F33" s="137">
        <v>-736.03</v>
      </c>
      <c r="G33" s="137">
        <v>-736.03</v>
      </c>
      <c r="H33" s="137">
        <v>-736.03</v>
      </c>
      <c r="I33" s="137">
        <v>-736.03</v>
      </c>
      <c r="J33" s="137">
        <v>-736.03</v>
      </c>
      <c r="K33" s="137">
        <v>-736.03</v>
      </c>
      <c r="L33" s="137">
        <v>-736.03</v>
      </c>
      <c r="M33" s="137">
        <v>-736.03</v>
      </c>
      <c r="N33" s="137">
        <v>-736.03</v>
      </c>
      <c r="O33" s="137">
        <v>-736.03</v>
      </c>
      <c r="P33" s="137">
        <v>-736.03</v>
      </c>
      <c r="Q33" s="137">
        <v>-736.03</v>
      </c>
      <c r="R33" s="137">
        <v>-750.75059999999996</v>
      </c>
      <c r="S33" s="137">
        <v>-750.75059999999996</v>
      </c>
      <c r="T33" s="137">
        <v>-750.75059999999996</v>
      </c>
      <c r="U33" s="137">
        <v>-750.75059999999996</v>
      </c>
      <c r="V33" s="137">
        <v>-750.75059999999996</v>
      </c>
      <c r="W33" s="137">
        <v>-750.75059999999996</v>
      </c>
      <c r="X33" s="137">
        <v>-750.75059999999996</v>
      </c>
      <c r="Y33" s="137">
        <v>-750.75059999999996</v>
      </c>
      <c r="Z33" s="137">
        <v>-750.75059999999996</v>
      </c>
      <c r="AA33" s="137">
        <v>-750.75059999999996</v>
      </c>
      <c r="AB33" s="137">
        <v>-750.75059999999996</v>
      </c>
      <c r="AC33" s="137">
        <v>-750.75059999999996</v>
      </c>
      <c r="AD33" s="137">
        <v>-765.76561200000003</v>
      </c>
      <c r="AE33" s="137">
        <v>-765.76561200000003</v>
      </c>
      <c r="AF33" s="137">
        <v>-765.76561200000003</v>
      </c>
      <c r="AG33" s="137">
        <v>-765.76561200000003</v>
      </c>
      <c r="AH33" s="137">
        <v>-765.76561200000003</v>
      </c>
      <c r="AI33" s="137">
        <v>-765.76561200000003</v>
      </c>
      <c r="AJ33" s="137">
        <v>-765.76561200000003</v>
      </c>
      <c r="AK33" s="137">
        <v>-765.76561200000003</v>
      </c>
      <c r="AL33" s="137">
        <v>-765.76561200000003</v>
      </c>
      <c r="AM33" s="137">
        <v>-765.76561200000003</v>
      </c>
      <c r="AN33" s="137">
        <v>-765.76561200000003</v>
      </c>
      <c r="AO33" s="137">
        <v>-765.76561200000003</v>
      </c>
      <c r="AP33" s="137">
        <v>-781.08092423999994</v>
      </c>
      <c r="AQ33" s="137">
        <v>-781.08092423999994</v>
      </c>
      <c r="AR33" s="137">
        <v>-781.08092423999994</v>
      </c>
      <c r="AS33" s="137">
        <v>-781.08092423999994</v>
      </c>
      <c r="AT33" s="137">
        <v>-781.08092423999994</v>
      </c>
      <c r="AU33" s="137">
        <v>-781.08092423999994</v>
      </c>
      <c r="AV33" s="137">
        <v>-781.08092423999994</v>
      </c>
      <c r="AW33" s="137">
        <v>-781.08092423999994</v>
      </c>
      <c r="AX33" s="137">
        <v>-781.08092423999994</v>
      </c>
      <c r="AY33" s="137">
        <v>-781.08092423999994</v>
      </c>
      <c r="AZ33" s="137">
        <v>-781.08092423999994</v>
      </c>
      <c r="BA33" s="137">
        <v>-781.08092423999994</v>
      </c>
      <c r="BB33" s="137">
        <v>-796.70254272479997</v>
      </c>
      <c r="BC33" s="137">
        <v>-796.70254272479997</v>
      </c>
      <c r="BD33" s="137">
        <v>-796.70254272479997</v>
      </c>
      <c r="BE33" s="137">
        <v>-796.70254272479997</v>
      </c>
      <c r="BF33" s="137">
        <v>-796.70254272479997</v>
      </c>
      <c r="BG33" s="137">
        <v>-796.70254272479997</v>
      </c>
      <c r="BH33" s="137">
        <v>-796.70254272479997</v>
      </c>
      <c r="BI33" s="137">
        <v>-796.70254272479997</v>
      </c>
      <c r="BJ33" s="137">
        <v>-796.70254272479997</v>
      </c>
      <c r="BK33" s="137">
        <v>-796.70254272479997</v>
      </c>
      <c r="BL33" s="137">
        <v>-796.70254272479997</v>
      </c>
      <c r="BM33" s="137">
        <v>-796.70254272479997</v>
      </c>
      <c r="BN33" s="137">
        <v>-812.636593579296</v>
      </c>
      <c r="BO33" s="137">
        <v>-812.636593579296</v>
      </c>
      <c r="BP33" s="137">
        <v>-812.636593579296</v>
      </c>
      <c r="BQ33" s="137">
        <v>-812.636593579296</v>
      </c>
      <c r="BR33" s="137">
        <v>-812.636593579296</v>
      </c>
      <c r="BS33" s="137">
        <v>-812.636593579296</v>
      </c>
      <c r="BT33" s="137">
        <v>-812.636593579296</v>
      </c>
      <c r="BU33" s="137">
        <v>-812.636593579296</v>
      </c>
      <c r="BV33" s="137">
        <v>-812.636593579296</v>
      </c>
      <c r="BW33" s="137">
        <v>-812.636593579296</v>
      </c>
      <c r="BX33" s="137">
        <v>-812.636593579296</v>
      </c>
      <c r="BY33" s="137">
        <v>-812.636593579296</v>
      </c>
      <c r="BZ33" s="137">
        <v>-828.88932545088198</v>
      </c>
      <c r="CA33" s="137">
        <v>-828.88932545088198</v>
      </c>
      <c r="CB33" s="137">
        <v>-828.88932545088198</v>
      </c>
      <c r="CC33" s="137">
        <v>-828.88932545088198</v>
      </c>
      <c r="CD33" s="137">
        <v>-828.88932545088198</v>
      </c>
      <c r="CE33" s="137">
        <v>-828.88932545088198</v>
      </c>
      <c r="CF33" s="137">
        <v>-828.88932545088198</v>
      </c>
      <c r="CG33" s="137">
        <v>-828.88932545088198</v>
      </c>
      <c r="CH33" s="137">
        <v>-828.88932545088198</v>
      </c>
      <c r="CI33" s="137">
        <v>-828.88932545088198</v>
      </c>
      <c r="CJ33" s="137">
        <v>-828.88932545088198</v>
      </c>
      <c r="CK33" s="137">
        <v>-828.88932545088198</v>
      </c>
      <c r="CL33" s="137">
        <v>-845.46711195989997</v>
      </c>
      <c r="CM33" s="137">
        <v>-845.46711195989997</v>
      </c>
      <c r="CN33" s="137">
        <v>-845.46711195989997</v>
      </c>
      <c r="CO33" s="137">
        <v>-845.46711195989997</v>
      </c>
      <c r="CP33" s="137">
        <v>-845.46711195989997</v>
      </c>
      <c r="CQ33" s="137">
        <v>-845.46711195989997</v>
      </c>
      <c r="CR33" s="137">
        <v>-845.46711195989997</v>
      </c>
      <c r="CS33" s="137">
        <v>-845.46711195989997</v>
      </c>
      <c r="CT33" s="137">
        <v>-845.46711195989997</v>
      </c>
      <c r="CU33" s="137">
        <v>-845.46711195989997</v>
      </c>
      <c r="CV33" s="137">
        <v>-845.46711195989997</v>
      </c>
      <c r="CW33" s="137">
        <v>-845.46711195989997</v>
      </c>
      <c r="CX33" s="137">
        <v>-862.37645419909802</v>
      </c>
      <c r="CY33" s="137">
        <v>-862.37645419909802</v>
      </c>
      <c r="CZ33" s="137">
        <v>-862.37645419909802</v>
      </c>
      <c r="DA33" s="137">
        <v>-862.37645419909802</v>
      </c>
      <c r="DB33" s="137">
        <v>-862.37645419909802</v>
      </c>
      <c r="DC33" s="137">
        <v>-862.37645419909802</v>
      </c>
      <c r="DD33" s="137">
        <v>-862.37645419909802</v>
      </c>
      <c r="DE33" s="137">
        <v>-862.37645419909802</v>
      </c>
      <c r="DF33" s="137">
        <v>-862.37645419909802</v>
      </c>
    </row>
    <row r="34" spans="1:110" ht="15" customHeight="1" x14ac:dyDescent="0.25">
      <c r="A34" s="136" t="s">
        <v>77</v>
      </c>
      <c r="C34" s="335">
        <v>-681.77</v>
      </c>
      <c r="D34" s="335">
        <v>-600.14</v>
      </c>
      <c r="E34" s="335">
        <v>-2121.9499999999998</v>
      </c>
      <c r="F34" s="137">
        <v>-1134.6199999999999</v>
      </c>
      <c r="G34" s="137">
        <v>-1134.6199999999999</v>
      </c>
      <c r="H34" s="137">
        <v>-1134.6199999999999</v>
      </c>
      <c r="I34" s="137">
        <v>-1134.6199999999999</v>
      </c>
      <c r="J34" s="137">
        <v>-1134.6199999999999</v>
      </c>
      <c r="K34" s="137">
        <v>-1134.6199999999999</v>
      </c>
      <c r="L34" s="137">
        <v>-1134.6199999999999</v>
      </c>
      <c r="M34" s="137">
        <v>-1134.6199999999999</v>
      </c>
      <c r="N34" s="137">
        <v>-1134.6199999999999</v>
      </c>
      <c r="O34" s="137">
        <v>-1134.6199999999999</v>
      </c>
      <c r="P34" s="137">
        <v>-1134.6199999999999</v>
      </c>
      <c r="Q34" s="137">
        <v>-1134.6199999999999</v>
      </c>
      <c r="R34" s="137">
        <v>-1157.3124</v>
      </c>
      <c r="S34" s="137">
        <v>-1157.3124</v>
      </c>
      <c r="T34" s="137">
        <v>-1157.3124</v>
      </c>
      <c r="U34" s="137">
        <v>-1157.3124</v>
      </c>
      <c r="V34" s="137">
        <v>-1157.3124</v>
      </c>
      <c r="W34" s="137">
        <v>-1157.3124</v>
      </c>
      <c r="X34" s="137">
        <v>-1157.3124</v>
      </c>
      <c r="Y34" s="137">
        <v>-1157.3124</v>
      </c>
      <c r="Z34" s="137">
        <v>-1157.3124</v>
      </c>
      <c r="AA34" s="137">
        <v>-1157.3124</v>
      </c>
      <c r="AB34" s="137">
        <v>-1157.3124</v>
      </c>
      <c r="AC34" s="137">
        <v>-1157.3124</v>
      </c>
      <c r="AD34" s="137">
        <v>-1180.458648</v>
      </c>
      <c r="AE34" s="137">
        <v>-1180.458648</v>
      </c>
      <c r="AF34" s="137">
        <v>-1180.458648</v>
      </c>
      <c r="AG34" s="137">
        <v>-1180.458648</v>
      </c>
      <c r="AH34" s="137">
        <v>-1180.458648</v>
      </c>
      <c r="AI34" s="137">
        <v>-1180.458648</v>
      </c>
      <c r="AJ34" s="137">
        <v>-1180.458648</v>
      </c>
      <c r="AK34" s="137">
        <v>-1180.458648</v>
      </c>
      <c r="AL34" s="137">
        <v>-1180.458648</v>
      </c>
      <c r="AM34" s="137">
        <v>-1180.458648</v>
      </c>
      <c r="AN34" s="137">
        <v>-1180.458648</v>
      </c>
      <c r="AO34" s="137">
        <v>-1180.458648</v>
      </c>
      <c r="AP34" s="137">
        <v>-1204.0678209600001</v>
      </c>
      <c r="AQ34" s="137">
        <v>-1204.0678209600001</v>
      </c>
      <c r="AR34" s="137">
        <v>-1204.0678209600001</v>
      </c>
      <c r="AS34" s="137">
        <v>-1204.0678209600001</v>
      </c>
      <c r="AT34" s="137">
        <v>-1204.0678209600001</v>
      </c>
      <c r="AU34" s="137">
        <v>-1204.0678209600001</v>
      </c>
      <c r="AV34" s="137">
        <v>-1204.0678209600001</v>
      </c>
      <c r="AW34" s="137">
        <v>-1204.0678209600001</v>
      </c>
      <c r="AX34" s="137">
        <v>-1204.0678209600001</v>
      </c>
      <c r="AY34" s="137">
        <v>-1204.0678209600001</v>
      </c>
      <c r="AZ34" s="137">
        <v>-1204.0678209600001</v>
      </c>
      <c r="BA34" s="137">
        <v>-1204.0678209600001</v>
      </c>
      <c r="BB34" s="137">
        <v>-1228.1491773792</v>
      </c>
      <c r="BC34" s="137">
        <v>-1228.1491773792</v>
      </c>
      <c r="BD34" s="137">
        <v>-1228.1491773792</v>
      </c>
      <c r="BE34" s="137">
        <v>-1228.1491773792</v>
      </c>
      <c r="BF34" s="137">
        <v>-1228.1491773792</v>
      </c>
      <c r="BG34" s="137">
        <v>-1228.1491773792</v>
      </c>
      <c r="BH34" s="137">
        <v>-1228.1491773792</v>
      </c>
      <c r="BI34" s="137">
        <v>-1228.1491773792</v>
      </c>
      <c r="BJ34" s="137">
        <v>-1228.1491773792</v>
      </c>
      <c r="BK34" s="137">
        <v>-1228.1491773792</v>
      </c>
      <c r="BL34" s="137">
        <v>-1228.1491773792</v>
      </c>
      <c r="BM34" s="137">
        <v>-1228.1491773792</v>
      </c>
      <c r="BN34" s="137">
        <v>-1252.7121609267799</v>
      </c>
      <c r="BO34" s="137">
        <v>-1252.7121609267799</v>
      </c>
      <c r="BP34" s="137">
        <v>-1252.7121609267799</v>
      </c>
      <c r="BQ34" s="137">
        <v>-1252.7121609267799</v>
      </c>
      <c r="BR34" s="137">
        <v>-1252.7121609267799</v>
      </c>
      <c r="BS34" s="137">
        <v>-1252.7121609267799</v>
      </c>
      <c r="BT34" s="137">
        <v>-1252.7121609267799</v>
      </c>
      <c r="BU34" s="137">
        <v>-1252.7121609267799</v>
      </c>
      <c r="BV34" s="137">
        <v>-1252.7121609267799</v>
      </c>
      <c r="BW34" s="137">
        <v>-1252.7121609267799</v>
      </c>
      <c r="BX34" s="137">
        <v>-1252.7121609267799</v>
      </c>
      <c r="BY34" s="137">
        <v>-1252.7121609267799</v>
      </c>
      <c r="BZ34" s="137">
        <v>-1277.7664041453199</v>
      </c>
      <c r="CA34" s="137">
        <v>-1277.7664041453199</v>
      </c>
      <c r="CB34" s="137">
        <v>-1277.7664041453199</v>
      </c>
      <c r="CC34" s="137">
        <v>-1277.7664041453199</v>
      </c>
      <c r="CD34" s="137">
        <v>-1277.7664041453199</v>
      </c>
      <c r="CE34" s="137">
        <v>-1277.7664041453199</v>
      </c>
      <c r="CF34" s="137">
        <v>-1277.7664041453199</v>
      </c>
      <c r="CG34" s="137">
        <v>-1277.7664041453199</v>
      </c>
      <c r="CH34" s="137">
        <v>-1277.7664041453199</v>
      </c>
      <c r="CI34" s="137">
        <v>-1277.7664041453199</v>
      </c>
      <c r="CJ34" s="137">
        <v>-1277.7664041453199</v>
      </c>
      <c r="CK34" s="137">
        <v>-1277.7664041453199</v>
      </c>
      <c r="CL34" s="137">
        <v>-1303.3217322282301</v>
      </c>
      <c r="CM34" s="137">
        <v>-1303.3217322282301</v>
      </c>
      <c r="CN34" s="137">
        <v>-1303.3217322282301</v>
      </c>
      <c r="CO34" s="137">
        <v>-1303.3217322282301</v>
      </c>
      <c r="CP34" s="137">
        <v>-1303.3217322282301</v>
      </c>
      <c r="CQ34" s="137">
        <v>-1303.3217322282301</v>
      </c>
      <c r="CR34" s="137">
        <v>-1303.3217322282301</v>
      </c>
      <c r="CS34" s="137">
        <v>-1303.3217322282301</v>
      </c>
      <c r="CT34" s="137">
        <v>-1303.3217322282301</v>
      </c>
      <c r="CU34" s="137">
        <v>-1303.3217322282301</v>
      </c>
      <c r="CV34" s="137">
        <v>-1303.3217322282301</v>
      </c>
      <c r="CW34" s="137">
        <v>-1303.3217322282301</v>
      </c>
      <c r="CX34" s="137">
        <v>-1329.38816687279</v>
      </c>
      <c r="CY34" s="137">
        <v>-1329.38816687279</v>
      </c>
      <c r="CZ34" s="137">
        <v>-1329.38816687279</v>
      </c>
      <c r="DA34" s="137">
        <v>-1329.38816687279</v>
      </c>
      <c r="DB34" s="137">
        <v>-1329.38816687279</v>
      </c>
      <c r="DC34" s="137">
        <v>-1329.38816687279</v>
      </c>
      <c r="DD34" s="137">
        <v>-1329.38816687279</v>
      </c>
      <c r="DE34" s="137">
        <v>-1329.38816687279</v>
      </c>
      <c r="DF34" s="137">
        <v>-1329.38816687279</v>
      </c>
    </row>
    <row r="35" spans="1:110" ht="15" customHeight="1" x14ac:dyDescent="0.25">
      <c r="A35" s="136" t="s">
        <v>78</v>
      </c>
      <c r="C35" s="335">
        <v>-2187.5</v>
      </c>
      <c r="D35" s="335">
        <v>0</v>
      </c>
      <c r="E35" s="335">
        <v>-1625</v>
      </c>
      <c r="F35" s="137">
        <v>-1270.83</v>
      </c>
      <c r="G35" s="137">
        <v>-1270.83</v>
      </c>
      <c r="H35" s="137">
        <v>-1270.83</v>
      </c>
      <c r="I35" s="137">
        <v>-1270.83</v>
      </c>
      <c r="J35" s="137">
        <v>-1270.83</v>
      </c>
      <c r="K35" s="137">
        <v>-1270.83</v>
      </c>
      <c r="L35" s="137">
        <v>-1270.83</v>
      </c>
      <c r="M35" s="137">
        <v>-1270.83</v>
      </c>
      <c r="N35" s="137">
        <v>-1270.83</v>
      </c>
      <c r="O35" s="137">
        <v>-1270.83</v>
      </c>
      <c r="P35" s="137">
        <v>-1270.83</v>
      </c>
      <c r="Q35" s="137">
        <v>-1270.83</v>
      </c>
      <c r="R35" s="137">
        <v>-1296.2465999999999</v>
      </c>
      <c r="S35" s="137">
        <v>-1296.2465999999999</v>
      </c>
      <c r="T35" s="137">
        <v>-1296.2465999999999</v>
      </c>
      <c r="U35" s="137">
        <v>-1296.2465999999999</v>
      </c>
      <c r="V35" s="137">
        <v>-1296.2465999999999</v>
      </c>
      <c r="W35" s="137">
        <v>-1296.2465999999999</v>
      </c>
      <c r="X35" s="137">
        <v>-1296.2465999999999</v>
      </c>
      <c r="Y35" s="137">
        <v>-1296.2465999999999</v>
      </c>
      <c r="Z35" s="137">
        <v>-1296.2465999999999</v>
      </c>
      <c r="AA35" s="137">
        <v>-1296.2465999999999</v>
      </c>
      <c r="AB35" s="137">
        <v>-1296.2465999999999</v>
      </c>
      <c r="AC35" s="137">
        <v>-1296.2465999999999</v>
      </c>
      <c r="AD35" s="137">
        <v>-1322.1715320000001</v>
      </c>
      <c r="AE35" s="137">
        <v>-1322.1715320000001</v>
      </c>
      <c r="AF35" s="137">
        <v>-1322.1715320000001</v>
      </c>
      <c r="AG35" s="137">
        <v>-1322.1715320000001</v>
      </c>
      <c r="AH35" s="137">
        <v>-1322.1715320000001</v>
      </c>
      <c r="AI35" s="137">
        <v>-1322.1715320000001</v>
      </c>
      <c r="AJ35" s="137">
        <v>-1322.1715320000001</v>
      </c>
      <c r="AK35" s="137">
        <v>-1322.1715320000001</v>
      </c>
      <c r="AL35" s="137">
        <v>-1322.1715320000001</v>
      </c>
      <c r="AM35" s="137">
        <v>-1322.1715320000001</v>
      </c>
      <c r="AN35" s="137">
        <v>-1322.1715320000001</v>
      </c>
      <c r="AO35" s="137">
        <v>-1322.1715320000001</v>
      </c>
      <c r="AP35" s="137">
        <v>-1348.6149626399999</v>
      </c>
      <c r="AQ35" s="137">
        <v>-1348.6149626399999</v>
      </c>
      <c r="AR35" s="137">
        <v>-1348.6149626399999</v>
      </c>
      <c r="AS35" s="137">
        <v>-1348.6149626399999</v>
      </c>
      <c r="AT35" s="137">
        <v>-1348.6149626399999</v>
      </c>
      <c r="AU35" s="137">
        <v>-1348.6149626399999</v>
      </c>
      <c r="AV35" s="137">
        <v>-1348.6149626399999</v>
      </c>
      <c r="AW35" s="137">
        <v>-1348.6149626399999</v>
      </c>
      <c r="AX35" s="137">
        <v>-1348.6149626399999</v>
      </c>
      <c r="AY35" s="137">
        <v>-1348.6149626399999</v>
      </c>
      <c r="AZ35" s="137">
        <v>-1348.6149626399999</v>
      </c>
      <c r="BA35" s="137">
        <v>-1348.6149626399999</v>
      </c>
      <c r="BB35" s="137">
        <v>-1375.5872618927999</v>
      </c>
      <c r="BC35" s="137">
        <v>-1375.5872618927999</v>
      </c>
      <c r="BD35" s="137">
        <v>-1375.5872618927999</v>
      </c>
      <c r="BE35" s="137">
        <v>-1375.5872618927999</v>
      </c>
      <c r="BF35" s="137">
        <v>-1375.5872618927999</v>
      </c>
      <c r="BG35" s="137">
        <v>-1375.5872618927999</v>
      </c>
      <c r="BH35" s="137">
        <v>-1375.5872618927999</v>
      </c>
      <c r="BI35" s="137">
        <v>-1375.5872618927999</v>
      </c>
      <c r="BJ35" s="137">
        <v>-1375.5872618927999</v>
      </c>
      <c r="BK35" s="137">
        <v>-1375.5872618927999</v>
      </c>
      <c r="BL35" s="137">
        <v>-1375.5872618927999</v>
      </c>
      <c r="BM35" s="137">
        <v>-1375.5872618927999</v>
      </c>
      <c r="BN35" s="137">
        <v>-1403.0990071306601</v>
      </c>
      <c r="BO35" s="137">
        <v>-1403.0990071306601</v>
      </c>
      <c r="BP35" s="137">
        <v>-1403.0990071306601</v>
      </c>
      <c r="BQ35" s="137">
        <v>-1403.0990071306601</v>
      </c>
      <c r="BR35" s="137">
        <v>-1403.0990071306601</v>
      </c>
      <c r="BS35" s="137">
        <v>-1403.0990071306601</v>
      </c>
      <c r="BT35" s="137">
        <v>-1403.0990071306601</v>
      </c>
      <c r="BU35" s="137">
        <v>-1403.0990071306601</v>
      </c>
      <c r="BV35" s="137">
        <v>-1403.0990071306601</v>
      </c>
      <c r="BW35" s="137">
        <v>-1403.0990071306601</v>
      </c>
      <c r="BX35" s="137">
        <v>-1403.0990071306601</v>
      </c>
      <c r="BY35" s="137">
        <v>-1403.0990071306601</v>
      </c>
      <c r="BZ35" s="137">
        <v>-1431.1609872732699</v>
      </c>
      <c r="CA35" s="137">
        <v>-1431.1609872732699</v>
      </c>
      <c r="CB35" s="137">
        <v>-1431.1609872732699</v>
      </c>
      <c r="CC35" s="137">
        <v>-1431.1609872732699</v>
      </c>
      <c r="CD35" s="137">
        <v>-1431.1609872732699</v>
      </c>
      <c r="CE35" s="137">
        <v>-1431.1609872732699</v>
      </c>
      <c r="CF35" s="137">
        <v>-1431.1609872732699</v>
      </c>
      <c r="CG35" s="137">
        <v>-1431.1609872732699</v>
      </c>
      <c r="CH35" s="137">
        <v>-1431.1609872732699</v>
      </c>
      <c r="CI35" s="137">
        <v>-1431.1609872732699</v>
      </c>
      <c r="CJ35" s="137">
        <v>-1431.1609872732699</v>
      </c>
      <c r="CK35" s="137">
        <v>-1431.1609872732699</v>
      </c>
      <c r="CL35" s="137">
        <v>-1459.7842070187301</v>
      </c>
      <c r="CM35" s="137">
        <v>-1459.7842070187301</v>
      </c>
      <c r="CN35" s="137">
        <v>-1459.7842070187301</v>
      </c>
      <c r="CO35" s="137">
        <v>-1459.7842070187301</v>
      </c>
      <c r="CP35" s="137">
        <v>-1459.7842070187301</v>
      </c>
      <c r="CQ35" s="137">
        <v>-1459.7842070187301</v>
      </c>
      <c r="CR35" s="137">
        <v>-1459.7842070187301</v>
      </c>
      <c r="CS35" s="137">
        <v>-1459.7842070187301</v>
      </c>
      <c r="CT35" s="137">
        <v>-1459.7842070187301</v>
      </c>
      <c r="CU35" s="137">
        <v>-1459.7842070187301</v>
      </c>
      <c r="CV35" s="137">
        <v>-1459.7842070187301</v>
      </c>
      <c r="CW35" s="137">
        <v>-1459.7842070187301</v>
      </c>
      <c r="CX35" s="137">
        <v>-1488.9798911591099</v>
      </c>
      <c r="CY35" s="137">
        <v>-1488.9798911591099</v>
      </c>
      <c r="CZ35" s="137">
        <v>-1488.9798911591099</v>
      </c>
      <c r="DA35" s="137">
        <v>-1488.9798911591099</v>
      </c>
      <c r="DB35" s="137">
        <v>-1488.9798911591099</v>
      </c>
      <c r="DC35" s="137">
        <v>-1488.9798911591099</v>
      </c>
      <c r="DD35" s="137">
        <v>-1488.9798911591099</v>
      </c>
      <c r="DE35" s="137">
        <v>-1488.9798911591099</v>
      </c>
      <c r="DF35" s="137">
        <v>-1488.9798911591099</v>
      </c>
    </row>
    <row r="36" spans="1:110" ht="15" customHeight="1" x14ac:dyDescent="0.25">
      <c r="A36" s="136" t="s">
        <v>79</v>
      </c>
      <c r="C36" s="335">
        <v>0</v>
      </c>
      <c r="D36" s="335">
        <v>-12349</v>
      </c>
      <c r="E36" s="335">
        <v>-5400</v>
      </c>
      <c r="F36" s="137">
        <v>-5916.33</v>
      </c>
      <c r="G36" s="137">
        <v>-5916.33</v>
      </c>
      <c r="H36" s="137">
        <v>-5916.33</v>
      </c>
      <c r="I36" s="137">
        <v>-5916.33</v>
      </c>
      <c r="J36" s="137">
        <v>-5916.33</v>
      </c>
      <c r="K36" s="137">
        <v>-5916.33</v>
      </c>
      <c r="L36" s="137">
        <v>-5916.33</v>
      </c>
      <c r="M36" s="137">
        <v>-5916.33</v>
      </c>
      <c r="N36" s="137">
        <v>-5916.33</v>
      </c>
      <c r="O36" s="137">
        <v>-5916.33</v>
      </c>
      <c r="P36" s="137">
        <v>-5916.33</v>
      </c>
      <c r="Q36" s="137">
        <v>-5916.33</v>
      </c>
      <c r="R36" s="137">
        <v>-6034.6566000000003</v>
      </c>
      <c r="S36" s="137">
        <v>-6034.6566000000003</v>
      </c>
      <c r="T36" s="137">
        <v>-6034.6566000000003</v>
      </c>
      <c r="U36" s="137">
        <v>-6034.6566000000003</v>
      </c>
      <c r="V36" s="137">
        <v>-6034.6566000000003</v>
      </c>
      <c r="W36" s="137">
        <v>-6034.6566000000003</v>
      </c>
      <c r="X36" s="137">
        <v>-6034.6566000000003</v>
      </c>
      <c r="Y36" s="137">
        <v>-6034.6566000000003</v>
      </c>
      <c r="Z36" s="137">
        <v>-6034.6566000000003</v>
      </c>
      <c r="AA36" s="137">
        <v>-6034.6566000000003</v>
      </c>
      <c r="AB36" s="137">
        <v>-6034.6566000000003</v>
      </c>
      <c r="AC36" s="137">
        <v>-6034.6566000000003</v>
      </c>
      <c r="AD36" s="137">
        <v>-6155.3497319999997</v>
      </c>
      <c r="AE36" s="137">
        <v>-6155.3497319999997</v>
      </c>
      <c r="AF36" s="137">
        <v>-6155.3497319999997</v>
      </c>
      <c r="AG36" s="137">
        <v>-6155.3497319999997</v>
      </c>
      <c r="AH36" s="137">
        <v>-6155.3497319999997</v>
      </c>
      <c r="AI36" s="137">
        <v>-6155.3497319999997</v>
      </c>
      <c r="AJ36" s="137">
        <v>-6155.3497319999997</v>
      </c>
      <c r="AK36" s="137">
        <v>-6155.3497319999997</v>
      </c>
      <c r="AL36" s="137">
        <v>-6155.3497319999997</v>
      </c>
      <c r="AM36" s="137">
        <v>-6155.3497319999997</v>
      </c>
      <c r="AN36" s="137">
        <v>-6155.3497319999997</v>
      </c>
      <c r="AO36" s="137">
        <v>-6155.3497319999997</v>
      </c>
      <c r="AP36" s="137">
        <v>-6278.4567266399999</v>
      </c>
      <c r="AQ36" s="137">
        <v>-6278.4567266399999</v>
      </c>
      <c r="AR36" s="137">
        <v>-6278.4567266399999</v>
      </c>
      <c r="AS36" s="137">
        <v>-6278.4567266399999</v>
      </c>
      <c r="AT36" s="137">
        <v>-6278.4567266399999</v>
      </c>
      <c r="AU36" s="137">
        <v>-6278.4567266399999</v>
      </c>
      <c r="AV36" s="137">
        <v>-6278.4567266399999</v>
      </c>
      <c r="AW36" s="137">
        <v>-6278.4567266399999</v>
      </c>
      <c r="AX36" s="137">
        <v>-6278.4567266399999</v>
      </c>
      <c r="AY36" s="137">
        <v>-6278.4567266399999</v>
      </c>
      <c r="AZ36" s="137">
        <v>-6278.4567266399999</v>
      </c>
      <c r="BA36" s="137">
        <v>-6278.4567266399999</v>
      </c>
      <c r="BB36" s="137">
        <v>-6404.0258611728004</v>
      </c>
      <c r="BC36" s="137">
        <v>-6404.0258611728004</v>
      </c>
      <c r="BD36" s="137">
        <v>-6404.0258611728004</v>
      </c>
      <c r="BE36" s="137">
        <v>-6404.0258611728004</v>
      </c>
      <c r="BF36" s="137">
        <v>-6404.0258611728004</v>
      </c>
      <c r="BG36" s="137">
        <v>-6404.0258611728004</v>
      </c>
      <c r="BH36" s="137">
        <v>-6404.0258611728004</v>
      </c>
      <c r="BI36" s="137">
        <v>-6404.0258611728004</v>
      </c>
      <c r="BJ36" s="137">
        <v>-6404.0258611728004</v>
      </c>
      <c r="BK36" s="137">
        <v>-6404.0258611728004</v>
      </c>
      <c r="BL36" s="137">
        <v>-6404.0258611728004</v>
      </c>
      <c r="BM36" s="137">
        <v>-6404.0258611728004</v>
      </c>
      <c r="BN36" s="137">
        <v>-6532.10637839626</v>
      </c>
      <c r="BO36" s="137">
        <v>-6532.10637839626</v>
      </c>
      <c r="BP36" s="137">
        <v>-6532.10637839626</v>
      </c>
      <c r="BQ36" s="137">
        <v>-6532.10637839626</v>
      </c>
      <c r="BR36" s="137">
        <v>-6532.10637839626</v>
      </c>
      <c r="BS36" s="137">
        <v>-6532.10637839626</v>
      </c>
      <c r="BT36" s="137">
        <v>-6532.10637839626</v>
      </c>
      <c r="BU36" s="137">
        <v>-6532.10637839626</v>
      </c>
      <c r="BV36" s="137">
        <v>-6532.10637839626</v>
      </c>
      <c r="BW36" s="137">
        <v>-6532.10637839626</v>
      </c>
      <c r="BX36" s="137">
        <v>-6532.10637839626</v>
      </c>
      <c r="BY36" s="137">
        <v>-6532.10637839626</v>
      </c>
      <c r="BZ36" s="137">
        <v>-6662.7485059641804</v>
      </c>
      <c r="CA36" s="137">
        <v>-6662.7485059641804</v>
      </c>
      <c r="CB36" s="137">
        <v>-6662.7485059641804</v>
      </c>
      <c r="CC36" s="137">
        <v>-6662.7485059641804</v>
      </c>
      <c r="CD36" s="137">
        <v>-6662.7485059641804</v>
      </c>
      <c r="CE36" s="137">
        <v>-6662.7485059641804</v>
      </c>
      <c r="CF36" s="137">
        <v>-6662.7485059641804</v>
      </c>
      <c r="CG36" s="137">
        <v>-6662.7485059641804</v>
      </c>
      <c r="CH36" s="137">
        <v>-6662.7485059641804</v>
      </c>
      <c r="CI36" s="137">
        <v>-6662.7485059641804</v>
      </c>
      <c r="CJ36" s="137">
        <v>-6662.7485059641804</v>
      </c>
      <c r="CK36" s="137">
        <v>-6662.7485059641804</v>
      </c>
      <c r="CL36" s="137">
        <v>-6796.0034760834696</v>
      </c>
      <c r="CM36" s="137">
        <v>-6796.0034760834696</v>
      </c>
      <c r="CN36" s="137">
        <v>-6796.0034760834696</v>
      </c>
      <c r="CO36" s="137">
        <v>-6796.0034760834696</v>
      </c>
      <c r="CP36" s="137">
        <v>-6796.0034760834696</v>
      </c>
      <c r="CQ36" s="137">
        <v>-6796.0034760834696</v>
      </c>
      <c r="CR36" s="137">
        <v>-6796.0034760834696</v>
      </c>
      <c r="CS36" s="137">
        <v>-6796.0034760834696</v>
      </c>
      <c r="CT36" s="137">
        <v>-6796.0034760834696</v>
      </c>
      <c r="CU36" s="137">
        <v>-6796.0034760834696</v>
      </c>
      <c r="CV36" s="137">
        <v>-6796.0034760834696</v>
      </c>
      <c r="CW36" s="137">
        <v>-6796.0034760834696</v>
      </c>
      <c r="CX36" s="137">
        <v>-6931.9235456051401</v>
      </c>
      <c r="CY36" s="137">
        <v>-6931.9235456051401</v>
      </c>
      <c r="CZ36" s="137">
        <v>-6931.9235456051401</v>
      </c>
      <c r="DA36" s="137">
        <v>-6931.9235456051401</v>
      </c>
      <c r="DB36" s="137">
        <v>-6931.9235456051401</v>
      </c>
      <c r="DC36" s="137">
        <v>-6931.9235456051401</v>
      </c>
      <c r="DD36" s="137">
        <v>-6931.9235456051401</v>
      </c>
      <c r="DE36" s="137">
        <v>-6931.9235456051401</v>
      </c>
      <c r="DF36" s="137">
        <v>-6931.9235456051401</v>
      </c>
    </row>
    <row r="37" spans="1:110" ht="15" customHeight="1" x14ac:dyDescent="0.25">
      <c r="A37" s="136" t="s">
        <v>80</v>
      </c>
      <c r="C37" s="335">
        <v>0</v>
      </c>
      <c r="D37" s="335">
        <v>0</v>
      </c>
      <c r="E37" s="335">
        <v>-750.4</v>
      </c>
      <c r="F37" s="137">
        <v>-250.13</v>
      </c>
      <c r="G37" s="137">
        <v>-250.13</v>
      </c>
      <c r="H37" s="137">
        <v>-250.13</v>
      </c>
      <c r="I37" s="137">
        <v>-250.13</v>
      </c>
      <c r="J37" s="137">
        <v>-250.13</v>
      </c>
      <c r="K37" s="137">
        <v>-250.13</v>
      </c>
      <c r="L37" s="137">
        <v>-250.13</v>
      </c>
      <c r="M37" s="137">
        <v>-250.13</v>
      </c>
      <c r="N37" s="137">
        <v>-250.13</v>
      </c>
      <c r="O37" s="137">
        <v>-250.13</v>
      </c>
      <c r="P37" s="137">
        <v>-250.13</v>
      </c>
      <c r="Q37" s="137">
        <v>-250.13</v>
      </c>
      <c r="R37" s="137">
        <v>-255.1326</v>
      </c>
      <c r="S37" s="137">
        <v>-255.1326</v>
      </c>
      <c r="T37" s="137">
        <v>-255.1326</v>
      </c>
      <c r="U37" s="137">
        <v>-255.1326</v>
      </c>
      <c r="V37" s="137">
        <v>-255.1326</v>
      </c>
      <c r="W37" s="137">
        <v>-255.1326</v>
      </c>
      <c r="X37" s="137">
        <v>-255.1326</v>
      </c>
      <c r="Y37" s="137">
        <v>-255.1326</v>
      </c>
      <c r="Z37" s="137">
        <v>-255.1326</v>
      </c>
      <c r="AA37" s="137">
        <v>-255.1326</v>
      </c>
      <c r="AB37" s="137">
        <v>-255.1326</v>
      </c>
      <c r="AC37" s="137">
        <v>-255.1326</v>
      </c>
      <c r="AD37" s="137">
        <v>-260.235252</v>
      </c>
      <c r="AE37" s="137">
        <v>-260.235252</v>
      </c>
      <c r="AF37" s="137">
        <v>-260.235252</v>
      </c>
      <c r="AG37" s="137">
        <v>-260.235252</v>
      </c>
      <c r="AH37" s="137">
        <v>-260.235252</v>
      </c>
      <c r="AI37" s="137">
        <v>-260.235252</v>
      </c>
      <c r="AJ37" s="137">
        <v>-260.235252</v>
      </c>
      <c r="AK37" s="137">
        <v>-260.235252</v>
      </c>
      <c r="AL37" s="137">
        <v>-260.235252</v>
      </c>
      <c r="AM37" s="137">
        <v>-260.235252</v>
      </c>
      <c r="AN37" s="137">
        <v>-260.235252</v>
      </c>
      <c r="AO37" s="137">
        <v>-260.235252</v>
      </c>
      <c r="AP37" s="137">
        <v>-265.43995704000002</v>
      </c>
      <c r="AQ37" s="137">
        <v>-265.43995704000002</v>
      </c>
      <c r="AR37" s="137">
        <v>-265.43995704000002</v>
      </c>
      <c r="AS37" s="137">
        <v>-265.43995704000002</v>
      </c>
      <c r="AT37" s="137">
        <v>-265.43995704000002</v>
      </c>
      <c r="AU37" s="137">
        <v>-265.43995704000002</v>
      </c>
      <c r="AV37" s="137">
        <v>-265.43995704000002</v>
      </c>
      <c r="AW37" s="137">
        <v>-265.43995704000002</v>
      </c>
      <c r="AX37" s="137">
        <v>-265.43995704000002</v>
      </c>
      <c r="AY37" s="137">
        <v>-265.43995704000002</v>
      </c>
      <c r="AZ37" s="137">
        <v>-265.43995704000002</v>
      </c>
      <c r="BA37" s="137">
        <v>-265.43995704000002</v>
      </c>
      <c r="BB37" s="137">
        <v>-270.7487561808</v>
      </c>
      <c r="BC37" s="137">
        <v>-270.7487561808</v>
      </c>
      <c r="BD37" s="137">
        <v>-270.7487561808</v>
      </c>
      <c r="BE37" s="137">
        <v>-270.7487561808</v>
      </c>
      <c r="BF37" s="137">
        <v>-270.7487561808</v>
      </c>
      <c r="BG37" s="137">
        <v>-270.7487561808</v>
      </c>
      <c r="BH37" s="137">
        <v>-270.7487561808</v>
      </c>
      <c r="BI37" s="137">
        <v>-270.7487561808</v>
      </c>
      <c r="BJ37" s="137">
        <v>-270.7487561808</v>
      </c>
      <c r="BK37" s="137">
        <v>-270.7487561808</v>
      </c>
      <c r="BL37" s="137">
        <v>-270.7487561808</v>
      </c>
      <c r="BM37" s="137">
        <v>-270.7487561808</v>
      </c>
      <c r="BN37" s="137">
        <v>-276.16373130441599</v>
      </c>
      <c r="BO37" s="137">
        <v>-276.16373130441599</v>
      </c>
      <c r="BP37" s="137">
        <v>-276.16373130441599</v>
      </c>
      <c r="BQ37" s="137">
        <v>-276.16373130441599</v>
      </c>
      <c r="BR37" s="137">
        <v>-276.16373130441599</v>
      </c>
      <c r="BS37" s="137">
        <v>-276.16373130441599</v>
      </c>
      <c r="BT37" s="137">
        <v>-276.16373130441599</v>
      </c>
      <c r="BU37" s="137">
        <v>-276.16373130441599</v>
      </c>
      <c r="BV37" s="137">
        <v>-276.16373130441599</v>
      </c>
      <c r="BW37" s="137">
        <v>-276.16373130441599</v>
      </c>
      <c r="BX37" s="137">
        <v>-276.16373130441599</v>
      </c>
      <c r="BY37" s="137">
        <v>-276.16373130441599</v>
      </c>
      <c r="BZ37" s="137">
        <v>-281.68700593050397</v>
      </c>
      <c r="CA37" s="137">
        <v>-281.68700593050397</v>
      </c>
      <c r="CB37" s="137">
        <v>-281.68700593050397</v>
      </c>
      <c r="CC37" s="137">
        <v>-281.68700593050397</v>
      </c>
      <c r="CD37" s="137">
        <v>-281.68700593050397</v>
      </c>
      <c r="CE37" s="137">
        <v>-281.68700593050397</v>
      </c>
      <c r="CF37" s="137">
        <v>-281.68700593050397</v>
      </c>
      <c r="CG37" s="137">
        <v>-281.68700593050397</v>
      </c>
      <c r="CH37" s="137">
        <v>-281.68700593050397</v>
      </c>
      <c r="CI37" s="137">
        <v>-281.68700593050397</v>
      </c>
      <c r="CJ37" s="137">
        <v>-281.68700593050397</v>
      </c>
      <c r="CK37" s="137">
        <v>-281.68700593050397</v>
      </c>
      <c r="CL37" s="137">
        <v>-287.32074604911401</v>
      </c>
      <c r="CM37" s="137">
        <v>-287.32074604911401</v>
      </c>
      <c r="CN37" s="137">
        <v>-287.32074604911401</v>
      </c>
      <c r="CO37" s="137">
        <v>-287.32074604911401</v>
      </c>
      <c r="CP37" s="137">
        <v>-287.32074604911401</v>
      </c>
      <c r="CQ37" s="137">
        <v>-287.32074604911401</v>
      </c>
      <c r="CR37" s="137">
        <v>-287.32074604911401</v>
      </c>
      <c r="CS37" s="137">
        <v>-287.32074604911401</v>
      </c>
      <c r="CT37" s="137">
        <v>-287.32074604911401</v>
      </c>
      <c r="CU37" s="137">
        <v>-287.32074604911401</v>
      </c>
      <c r="CV37" s="137">
        <v>-287.32074604911401</v>
      </c>
      <c r="CW37" s="137">
        <v>-287.32074604911401</v>
      </c>
      <c r="CX37" s="137">
        <v>-293.06716097009701</v>
      </c>
      <c r="CY37" s="137">
        <v>-293.06716097009701</v>
      </c>
      <c r="CZ37" s="137">
        <v>-293.06716097009701</v>
      </c>
      <c r="DA37" s="137">
        <v>-293.06716097009701</v>
      </c>
      <c r="DB37" s="137">
        <v>-293.06716097009701</v>
      </c>
      <c r="DC37" s="137">
        <v>-293.06716097009701</v>
      </c>
      <c r="DD37" s="137">
        <v>-293.06716097009701</v>
      </c>
      <c r="DE37" s="137">
        <v>-293.06716097009701</v>
      </c>
      <c r="DF37" s="137">
        <v>-293.06716097009701</v>
      </c>
    </row>
    <row r="38" spans="1:110" ht="15" customHeight="1" x14ac:dyDescent="0.25">
      <c r="A38" s="136" t="s">
        <v>81</v>
      </c>
      <c r="C38" s="335">
        <v>-1474.63</v>
      </c>
      <c r="D38" s="335">
        <v>-1449.33</v>
      </c>
      <c r="E38" s="335">
        <v>-2328.7600000000002</v>
      </c>
      <c r="F38" s="137">
        <v>-1750.91</v>
      </c>
      <c r="G38" s="137">
        <v>-1750.91</v>
      </c>
      <c r="H38" s="137">
        <v>-1750.91</v>
      </c>
      <c r="I38" s="137">
        <v>-1750.91</v>
      </c>
      <c r="J38" s="137">
        <v>-1750.91</v>
      </c>
      <c r="K38" s="137">
        <v>-1750.91</v>
      </c>
      <c r="L38" s="137">
        <v>-1750.91</v>
      </c>
      <c r="M38" s="137">
        <v>-1750.91</v>
      </c>
      <c r="N38" s="137">
        <v>-1750.91</v>
      </c>
      <c r="O38" s="137">
        <v>-1750.91</v>
      </c>
      <c r="P38" s="137">
        <v>-1750.91</v>
      </c>
      <c r="Q38" s="137">
        <v>-1750.91</v>
      </c>
      <c r="R38" s="137">
        <v>-1785.9282000000001</v>
      </c>
      <c r="S38" s="137">
        <v>-1785.9282000000001</v>
      </c>
      <c r="T38" s="137">
        <v>-1785.9282000000001</v>
      </c>
      <c r="U38" s="137">
        <v>-1785.9282000000001</v>
      </c>
      <c r="V38" s="137">
        <v>-1785.9282000000001</v>
      </c>
      <c r="W38" s="137">
        <v>-1785.9282000000001</v>
      </c>
      <c r="X38" s="137">
        <v>-1785.9282000000001</v>
      </c>
      <c r="Y38" s="137">
        <v>-1785.9282000000001</v>
      </c>
      <c r="Z38" s="137">
        <v>-1785.9282000000001</v>
      </c>
      <c r="AA38" s="137">
        <v>-1785.9282000000001</v>
      </c>
      <c r="AB38" s="137">
        <v>-1785.9282000000001</v>
      </c>
      <c r="AC38" s="137">
        <v>-1785.9282000000001</v>
      </c>
      <c r="AD38" s="137">
        <v>-1821.6467640000001</v>
      </c>
      <c r="AE38" s="137">
        <v>-1821.6467640000001</v>
      </c>
      <c r="AF38" s="137">
        <v>-1821.6467640000001</v>
      </c>
      <c r="AG38" s="137">
        <v>-1821.6467640000001</v>
      </c>
      <c r="AH38" s="137">
        <v>-1821.6467640000001</v>
      </c>
      <c r="AI38" s="137">
        <v>-1821.6467640000001</v>
      </c>
      <c r="AJ38" s="137">
        <v>-1821.6467640000001</v>
      </c>
      <c r="AK38" s="137">
        <v>-1821.6467640000001</v>
      </c>
      <c r="AL38" s="137">
        <v>-1821.6467640000001</v>
      </c>
      <c r="AM38" s="137">
        <v>-1821.6467640000001</v>
      </c>
      <c r="AN38" s="137">
        <v>-1821.6467640000001</v>
      </c>
      <c r="AO38" s="137">
        <v>-1821.6467640000001</v>
      </c>
      <c r="AP38" s="137">
        <v>-1858.0796992800001</v>
      </c>
      <c r="AQ38" s="137">
        <v>-1858.0796992800001</v>
      </c>
      <c r="AR38" s="137">
        <v>-1858.0796992800001</v>
      </c>
      <c r="AS38" s="137">
        <v>-1858.0796992800001</v>
      </c>
      <c r="AT38" s="137">
        <v>-1858.0796992800001</v>
      </c>
      <c r="AU38" s="137">
        <v>-1858.0796992800001</v>
      </c>
      <c r="AV38" s="137">
        <v>-1858.0796992800001</v>
      </c>
      <c r="AW38" s="137">
        <v>-1858.0796992800001</v>
      </c>
      <c r="AX38" s="137">
        <v>-1858.0796992800001</v>
      </c>
      <c r="AY38" s="137">
        <v>-1858.0796992800001</v>
      </c>
      <c r="AZ38" s="137">
        <v>-1858.0796992800001</v>
      </c>
      <c r="BA38" s="137">
        <v>-1858.0796992800001</v>
      </c>
      <c r="BB38" s="137">
        <v>-1895.2412932656</v>
      </c>
      <c r="BC38" s="137">
        <v>-1895.2412932656</v>
      </c>
      <c r="BD38" s="137">
        <v>-1895.2412932656</v>
      </c>
      <c r="BE38" s="137">
        <v>-1895.2412932656</v>
      </c>
      <c r="BF38" s="137">
        <v>-1895.2412932656</v>
      </c>
      <c r="BG38" s="137">
        <v>-1895.2412932656</v>
      </c>
      <c r="BH38" s="137">
        <v>-1895.2412932656</v>
      </c>
      <c r="BI38" s="137">
        <v>-1895.2412932656</v>
      </c>
      <c r="BJ38" s="137">
        <v>-1895.2412932656</v>
      </c>
      <c r="BK38" s="137">
        <v>-1895.2412932656</v>
      </c>
      <c r="BL38" s="137">
        <v>-1895.2412932656</v>
      </c>
      <c r="BM38" s="137">
        <v>-1895.2412932656</v>
      </c>
      <c r="BN38" s="137">
        <v>-1933.1461191309099</v>
      </c>
      <c r="BO38" s="137">
        <v>-1933.1461191309099</v>
      </c>
      <c r="BP38" s="137">
        <v>-1933.1461191309099</v>
      </c>
      <c r="BQ38" s="137">
        <v>-1933.1461191309099</v>
      </c>
      <c r="BR38" s="137">
        <v>-1933.1461191309099</v>
      </c>
      <c r="BS38" s="137">
        <v>-1933.1461191309099</v>
      </c>
      <c r="BT38" s="137">
        <v>-1933.1461191309099</v>
      </c>
      <c r="BU38" s="137">
        <v>-1933.1461191309099</v>
      </c>
      <c r="BV38" s="137">
        <v>-1933.1461191309099</v>
      </c>
      <c r="BW38" s="137">
        <v>-1933.1461191309099</v>
      </c>
      <c r="BX38" s="137">
        <v>-1933.1461191309099</v>
      </c>
      <c r="BY38" s="137">
        <v>-1933.1461191309099</v>
      </c>
      <c r="BZ38" s="137">
        <v>-1971.80904151353</v>
      </c>
      <c r="CA38" s="137">
        <v>-1971.80904151353</v>
      </c>
      <c r="CB38" s="137">
        <v>-1971.80904151353</v>
      </c>
      <c r="CC38" s="137">
        <v>-1971.80904151353</v>
      </c>
      <c r="CD38" s="137">
        <v>-1971.80904151353</v>
      </c>
      <c r="CE38" s="137">
        <v>-1971.80904151353</v>
      </c>
      <c r="CF38" s="137">
        <v>-1971.80904151353</v>
      </c>
      <c r="CG38" s="137">
        <v>-1971.80904151353</v>
      </c>
      <c r="CH38" s="137">
        <v>-1971.80904151353</v>
      </c>
      <c r="CI38" s="137">
        <v>-1971.80904151353</v>
      </c>
      <c r="CJ38" s="137">
        <v>-1971.80904151353</v>
      </c>
      <c r="CK38" s="137">
        <v>-1971.80904151353</v>
      </c>
      <c r="CL38" s="137">
        <v>-2011.2452223437999</v>
      </c>
      <c r="CM38" s="137">
        <v>-2011.2452223437999</v>
      </c>
      <c r="CN38" s="137">
        <v>-2011.2452223437999</v>
      </c>
      <c r="CO38" s="137">
        <v>-2011.2452223437999</v>
      </c>
      <c r="CP38" s="137">
        <v>-2011.2452223437999</v>
      </c>
      <c r="CQ38" s="137">
        <v>-2011.2452223437999</v>
      </c>
      <c r="CR38" s="137">
        <v>-2011.2452223437999</v>
      </c>
      <c r="CS38" s="137">
        <v>-2011.2452223437999</v>
      </c>
      <c r="CT38" s="137">
        <v>-2011.2452223437999</v>
      </c>
      <c r="CU38" s="137">
        <v>-2011.2452223437999</v>
      </c>
      <c r="CV38" s="137">
        <v>-2011.2452223437999</v>
      </c>
      <c r="CW38" s="137">
        <v>-2011.2452223437999</v>
      </c>
      <c r="CX38" s="137">
        <v>-2051.4701267906798</v>
      </c>
      <c r="CY38" s="137">
        <v>-2051.4701267906798</v>
      </c>
      <c r="CZ38" s="137">
        <v>-2051.4701267906798</v>
      </c>
      <c r="DA38" s="137">
        <v>-2051.4701267906798</v>
      </c>
      <c r="DB38" s="137">
        <v>-2051.4701267906798</v>
      </c>
      <c r="DC38" s="137">
        <v>-2051.4701267906798</v>
      </c>
      <c r="DD38" s="137">
        <v>-2051.4701267906798</v>
      </c>
      <c r="DE38" s="137">
        <v>-2051.4701267906798</v>
      </c>
      <c r="DF38" s="137">
        <v>-2051.4701267906798</v>
      </c>
    </row>
    <row r="39" spans="1:110" ht="15" customHeight="1" x14ac:dyDescent="0.25">
      <c r="A39" s="136" t="s">
        <v>82</v>
      </c>
      <c r="C39" s="335">
        <v>-1417.61</v>
      </c>
      <c r="D39" s="335">
        <v>-2730.36</v>
      </c>
      <c r="E39" s="335">
        <v>-1818.05</v>
      </c>
      <c r="F39" s="137">
        <v>-1988.67</v>
      </c>
      <c r="G39" s="137">
        <v>-1988.67</v>
      </c>
      <c r="H39" s="137">
        <v>-1988.67</v>
      </c>
      <c r="I39" s="137">
        <v>-1988.67</v>
      </c>
      <c r="J39" s="137">
        <v>-1988.67</v>
      </c>
      <c r="K39" s="137">
        <v>-1988.67</v>
      </c>
      <c r="L39" s="137">
        <v>-1988.67</v>
      </c>
      <c r="M39" s="137">
        <v>-1988.67</v>
      </c>
      <c r="N39" s="137">
        <v>-1988.67</v>
      </c>
      <c r="O39" s="137">
        <v>-1988.67</v>
      </c>
      <c r="P39" s="137">
        <v>-1988.67</v>
      </c>
      <c r="Q39" s="137">
        <v>-1988.67</v>
      </c>
      <c r="R39" s="137">
        <v>-2028.4434000000001</v>
      </c>
      <c r="S39" s="137">
        <v>-2028.4434000000001</v>
      </c>
      <c r="T39" s="137">
        <v>-2028.4434000000001</v>
      </c>
      <c r="U39" s="137">
        <v>-2028.4434000000001</v>
      </c>
      <c r="V39" s="137">
        <v>-2028.4434000000001</v>
      </c>
      <c r="W39" s="137">
        <v>-2028.4434000000001</v>
      </c>
      <c r="X39" s="137">
        <v>-2028.4434000000001</v>
      </c>
      <c r="Y39" s="137">
        <v>-2028.4434000000001</v>
      </c>
      <c r="Z39" s="137">
        <v>-2028.4434000000001</v>
      </c>
      <c r="AA39" s="137">
        <v>-2028.4434000000001</v>
      </c>
      <c r="AB39" s="137">
        <v>-2028.4434000000001</v>
      </c>
      <c r="AC39" s="137">
        <v>-2028.4434000000001</v>
      </c>
      <c r="AD39" s="137">
        <v>-2069.0122679999999</v>
      </c>
      <c r="AE39" s="137">
        <v>-2069.0122679999999</v>
      </c>
      <c r="AF39" s="137">
        <v>-2069.0122679999999</v>
      </c>
      <c r="AG39" s="137">
        <v>-2069.0122679999999</v>
      </c>
      <c r="AH39" s="137">
        <v>-2069.0122679999999</v>
      </c>
      <c r="AI39" s="137">
        <v>-2069.0122679999999</v>
      </c>
      <c r="AJ39" s="137">
        <v>-2069.0122679999999</v>
      </c>
      <c r="AK39" s="137">
        <v>-2069.0122679999999</v>
      </c>
      <c r="AL39" s="137">
        <v>-2069.0122679999999</v>
      </c>
      <c r="AM39" s="137">
        <v>-2069.0122679999999</v>
      </c>
      <c r="AN39" s="137">
        <v>-2069.0122679999999</v>
      </c>
      <c r="AO39" s="137">
        <v>-2069.0122679999999</v>
      </c>
      <c r="AP39" s="137">
        <v>-2110.3925133600001</v>
      </c>
      <c r="AQ39" s="137">
        <v>-2110.3925133600001</v>
      </c>
      <c r="AR39" s="137">
        <v>-2110.3925133600001</v>
      </c>
      <c r="AS39" s="137">
        <v>-2110.3925133600001</v>
      </c>
      <c r="AT39" s="137">
        <v>-2110.3925133600001</v>
      </c>
      <c r="AU39" s="137">
        <v>-2110.3925133600001</v>
      </c>
      <c r="AV39" s="137">
        <v>-2110.3925133600001</v>
      </c>
      <c r="AW39" s="137">
        <v>-2110.3925133600001</v>
      </c>
      <c r="AX39" s="137">
        <v>-2110.3925133600001</v>
      </c>
      <c r="AY39" s="137">
        <v>-2110.3925133600001</v>
      </c>
      <c r="AZ39" s="137">
        <v>-2110.3925133600001</v>
      </c>
      <c r="BA39" s="137">
        <v>-2110.3925133600001</v>
      </c>
      <c r="BB39" s="137">
        <v>-2152.6003636271998</v>
      </c>
      <c r="BC39" s="137">
        <v>-2152.6003636271998</v>
      </c>
      <c r="BD39" s="137">
        <v>-2152.6003636271998</v>
      </c>
      <c r="BE39" s="137">
        <v>-2152.6003636271998</v>
      </c>
      <c r="BF39" s="137">
        <v>-2152.6003636271998</v>
      </c>
      <c r="BG39" s="137">
        <v>-2152.6003636271998</v>
      </c>
      <c r="BH39" s="137">
        <v>-2152.6003636271998</v>
      </c>
      <c r="BI39" s="137">
        <v>-2152.6003636271998</v>
      </c>
      <c r="BJ39" s="137">
        <v>-2152.6003636271998</v>
      </c>
      <c r="BK39" s="137">
        <v>-2152.6003636271998</v>
      </c>
      <c r="BL39" s="137">
        <v>-2152.6003636271998</v>
      </c>
      <c r="BM39" s="137">
        <v>-2152.6003636271998</v>
      </c>
      <c r="BN39" s="137">
        <v>-2195.6523708997402</v>
      </c>
      <c r="BO39" s="137">
        <v>-2195.6523708997402</v>
      </c>
      <c r="BP39" s="137">
        <v>-2195.6523708997402</v>
      </c>
      <c r="BQ39" s="137">
        <v>-2195.6523708997402</v>
      </c>
      <c r="BR39" s="137">
        <v>-2195.6523708997402</v>
      </c>
      <c r="BS39" s="137">
        <v>-2195.6523708997402</v>
      </c>
      <c r="BT39" s="137">
        <v>-2195.6523708997402</v>
      </c>
      <c r="BU39" s="137">
        <v>-2195.6523708997402</v>
      </c>
      <c r="BV39" s="137">
        <v>-2195.6523708997402</v>
      </c>
      <c r="BW39" s="137">
        <v>-2195.6523708997402</v>
      </c>
      <c r="BX39" s="137">
        <v>-2195.6523708997402</v>
      </c>
      <c r="BY39" s="137">
        <v>-2195.6523708997402</v>
      </c>
      <c r="BZ39" s="137">
        <v>-2239.5654183177398</v>
      </c>
      <c r="CA39" s="137">
        <v>-2239.5654183177398</v>
      </c>
      <c r="CB39" s="137">
        <v>-2239.5654183177398</v>
      </c>
      <c r="CC39" s="137">
        <v>-2239.5654183177398</v>
      </c>
      <c r="CD39" s="137">
        <v>-2239.5654183177398</v>
      </c>
      <c r="CE39" s="137">
        <v>-2239.5654183177398</v>
      </c>
      <c r="CF39" s="137">
        <v>-2239.5654183177398</v>
      </c>
      <c r="CG39" s="137">
        <v>-2239.5654183177398</v>
      </c>
      <c r="CH39" s="137">
        <v>-2239.5654183177398</v>
      </c>
      <c r="CI39" s="137">
        <v>-2239.5654183177398</v>
      </c>
      <c r="CJ39" s="137">
        <v>-2239.5654183177398</v>
      </c>
      <c r="CK39" s="137">
        <v>-2239.5654183177398</v>
      </c>
      <c r="CL39" s="137">
        <v>-2284.3567266840901</v>
      </c>
      <c r="CM39" s="137">
        <v>-2284.3567266840901</v>
      </c>
      <c r="CN39" s="137">
        <v>-2284.3567266840901</v>
      </c>
      <c r="CO39" s="137">
        <v>-2284.3567266840901</v>
      </c>
      <c r="CP39" s="137">
        <v>-2284.3567266840901</v>
      </c>
      <c r="CQ39" s="137">
        <v>-2284.3567266840901</v>
      </c>
      <c r="CR39" s="137">
        <v>-2284.3567266840901</v>
      </c>
      <c r="CS39" s="137">
        <v>-2284.3567266840901</v>
      </c>
      <c r="CT39" s="137">
        <v>-2284.3567266840901</v>
      </c>
      <c r="CU39" s="137">
        <v>-2284.3567266840901</v>
      </c>
      <c r="CV39" s="137">
        <v>-2284.3567266840901</v>
      </c>
      <c r="CW39" s="137">
        <v>-2284.3567266840901</v>
      </c>
      <c r="CX39" s="137">
        <v>-2330.04386121778</v>
      </c>
      <c r="CY39" s="137">
        <v>-2330.04386121778</v>
      </c>
      <c r="CZ39" s="137">
        <v>-2330.04386121778</v>
      </c>
      <c r="DA39" s="137">
        <v>-2330.04386121778</v>
      </c>
      <c r="DB39" s="137">
        <v>-2330.04386121778</v>
      </c>
      <c r="DC39" s="137">
        <v>-2330.04386121778</v>
      </c>
      <c r="DD39" s="137">
        <v>-2330.04386121778</v>
      </c>
      <c r="DE39" s="137">
        <v>-2330.04386121778</v>
      </c>
      <c r="DF39" s="137">
        <v>-2330.04386121778</v>
      </c>
    </row>
    <row r="40" spans="1:110" ht="15" customHeight="1" x14ac:dyDescent="0.25">
      <c r="A40" s="136" t="s">
        <v>83</v>
      </c>
      <c r="C40" s="335">
        <v>0</v>
      </c>
      <c r="D40" s="335">
        <v>0</v>
      </c>
      <c r="E40" s="335">
        <v>-41990</v>
      </c>
      <c r="F40" s="137">
        <v>0</v>
      </c>
      <c r="G40" s="137">
        <v>-44250</v>
      </c>
      <c r="H40" s="137">
        <v>-45000</v>
      </c>
      <c r="I40" s="137">
        <v>-19500</v>
      </c>
      <c r="J40" s="137">
        <v>0</v>
      </c>
      <c r="K40" s="137">
        <v>0</v>
      </c>
      <c r="L40" s="137">
        <v>-37500</v>
      </c>
      <c r="M40" s="137">
        <v>-54000</v>
      </c>
      <c r="N40" s="137">
        <v>0</v>
      </c>
      <c r="O40" s="137">
        <v>0</v>
      </c>
      <c r="P40" s="137">
        <v>0</v>
      </c>
      <c r="Q40" s="137">
        <v>0</v>
      </c>
      <c r="R40" s="137">
        <v>-24000</v>
      </c>
      <c r="S40" s="137">
        <v>0</v>
      </c>
      <c r="T40" s="137">
        <v>0</v>
      </c>
      <c r="U40" s="137">
        <v>0</v>
      </c>
      <c r="V40" s="137">
        <v>0</v>
      </c>
      <c r="W40" s="137">
        <v>0</v>
      </c>
      <c r="X40" s="137">
        <v>0</v>
      </c>
      <c r="Y40" s="137">
        <v>0</v>
      </c>
      <c r="Z40" s="137">
        <v>0</v>
      </c>
      <c r="AA40" s="137">
        <v>0</v>
      </c>
      <c r="AB40" s="137">
        <v>0</v>
      </c>
      <c r="AC40" s="137">
        <v>0</v>
      </c>
      <c r="AD40" s="137">
        <v>0</v>
      </c>
      <c r="AE40" s="137">
        <v>0</v>
      </c>
      <c r="AF40" s="137">
        <v>0</v>
      </c>
      <c r="AG40" s="137">
        <v>0</v>
      </c>
      <c r="AH40" s="137">
        <v>0</v>
      </c>
      <c r="AI40" s="137">
        <v>0</v>
      </c>
      <c r="AJ40" s="137">
        <v>0</v>
      </c>
      <c r="AK40" s="137">
        <v>0</v>
      </c>
      <c r="AL40" s="137">
        <v>0</v>
      </c>
      <c r="AM40" s="137">
        <v>0</v>
      </c>
      <c r="AN40" s="137">
        <v>0</v>
      </c>
      <c r="AO40" s="137">
        <v>0</v>
      </c>
      <c r="AP40" s="137">
        <v>0</v>
      </c>
      <c r="AQ40" s="137">
        <v>0</v>
      </c>
      <c r="AR40" s="137">
        <v>0</v>
      </c>
      <c r="AS40" s="137">
        <v>0</v>
      </c>
      <c r="AT40" s="137">
        <v>0</v>
      </c>
      <c r="AU40" s="137">
        <v>0</v>
      </c>
      <c r="AV40" s="137">
        <v>0</v>
      </c>
      <c r="AW40" s="137">
        <v>0</v>
      </c>
      <c r="AX40" s="137">
        <v>0</v>
      </c>
      <c r="AY40" s="137">
        <v>0</v>
      </c>
      <c r="AZ40" s="137">
        <v>0</v>
      </c>
      <c r="BA40" s="137">
        <v>0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  <c r="CO40" s="137">
        <v>0</v>
      </c>
      <c r="CP40" s="137">
        <v>0</v>
      </c>
      <c r="CQ40" s="137">
        <v>0</v>
      </c>
      <c r="CR40" s="137">
        <v>0</v>
      </c>
      <c r="CS40" s="137">
        <v>0</v>
      </c>
      <c r="CT40" s="137">
        <v>0</v>
      </c>
      <c r="CU40" s="137">
        <v>0</v>
      </c>
      <c r="CV40" s="137">
        <v>0</v>
      </c>
      <c r="CW40" s="137">
        <v>0</v>
      </c>
      <c r="CX40" s="137">
        <v>0</v>
      </c>
      <c r="CY40" s="137">
        <v>0</v>
      </c>
      <c r="CZ40" s="137">
        <v>0</v>
      </c>
      <c r="DA40" s="137">
        <v>0</v>
      </c>
      <c r="DB40" s="137">
        <v>0</v>
      </c>
      <c r="DC40" s="137">
        <v>0</v>
      </c>
      <c r="DD40" s="137">
        <v>0</v>
      </c>
      <c r="DE40" s="137">
        <v>0</v>
      </c>
      <c r="DF40" s="137">
        <v>0</v>
      </c>
    </row>
    <row r="41" spans="1:110" ht="15" customHeight="1" x14ac:dyDescent="0.25">
      <c r="A41" s="136" t="s">
        <v>84</v>
      </c>
      <c r="C41" s="335">
        <v>-165</v>
      </c>
      <c r="D41" s="335">
        <v>0</v>
      </c>
      <c r="E41" s="335">
        <v>0</v>
      </c>
      <c r="F41" s="137">
        <v>-55</v>
      </c>
      <c r="G41" s="137">
        <v>-55</v>
      </c>
      <c r="H41" s="137">
        <v>-55</v>
      </c>
      <c r="I41" s="137">
        <v>-55</v>
      </c>
      <c r="J41" s="137">
        <v>-55</v>
      </c>
      <c r="K41" s="137">
        <v>-55</v>
      </c>
      <c r="L41" s="137">
        <v>-55</v>
      </c>
      <c r="M41" s="137">
        <v>-55</v>
      </c>
      <c r="N41" s="137">
        <v>-55</v>
      </c>
      <c r="O41" s="137">
        <v>-55</v>
      </c>
      <c r="P41" s="137">
        <v>-55</v>
      </c>
      <c r="Q41" s="137">
        <v>-55</v>
      </c>
      <c r="R41" s="137">
        <v>-56.1</v>
      </c>
      <c r="S41" s="137">
        <v>-56.1</v>
      </c>
      <c r="T41" s="137">
        <v>-56.1</v>
      </c>
      <c r="U41" s="137">
        <v>-56.1</v>
      </c>
      <c r="V41" s="137">
        <v>-56.1</v>
      </c>
      <c r="W41" s="137">
        <v>-56.1</v>
      </c>
      <c r="X41" s="137">
        <v>-56.1</v>
      </c>
      <c r="Y41" s="137">
        <v>-56.1</v>
      </c>
      <c r="Z41" s="137">
        <v>-56.1</v>
      </c>
      <c r="AA41" s="137">
        <v>-56.1</v>
      </c>
      <c r="AB41" s="137">
        <v>-56.1</v>
      </c>
      <c r="AC41" s="137">
        <v>-56.1</v>
      </c>
      <c r="AD41" s="137">
        <v>-57.222000000000001</v>
      </c>
      <c r="AE41" s="137">
        <v>-57.222000000000001</v>
      </c>
      <c r="AF41" s="137">
        <v>-57.222000000000001</v>
      </c>
      <c r="AG41" s="137">
        <v>-57.222000000000001</v>
      </c>
      <c r="AH41" s="137">
        <v>-57.222000000000001</v>
      </c>
      <c r="AI41" s="137">
        <v>-57.222000000000001</v>
      </c>
      <c r="AJ41" s="137">
        <v>-57.222000000000001</v>
      </c>
      <c r="AK41" s="137">
        <v>-57.222000000000001</v>
      </c>
      <c r="AL41" s="137">
        <v>-57.222000000000001</v>
      </c>
      <c r="AM41" s="137">
        <v>-57.222000000000001</v>
      </c>
      <c r="AN41" s="137">
        <v>-57.222000000000001</v>
      </c>
      <c r="AO41" s="137">
        <v>-57.222000000000001</v>
      </c>
      <c r="AP41" s="137">
        <v>-58.366439999999997</v>
      </c>
      <c r="AQ41" s="137">
        <v>-58.366439999999997</v>
      </c>
      <c r="AR41" s="137">
        <v>-58.366439999999997</v>
      </c>
      <c r="AS41" s="137">
        <v>-58.366439999999997</v>
      </c>
      <c r="AT41" s="137">
        <v>-58.366439999999997</v>
      </c>
      <c r="AU41" s="137">
        <v>-58.366439999999997</v>
      </c>
      <c r="AV41" s="137">
        <v>-58.366439999999997</v>
      </c>
      <c r="AW41" s="137">
        <v>-58.366439999999997</v>
      </c>
      <c r="AX41" s="137">
        <v>-58.366439999999997</v>
      </c>
      <c r="AY41" s="137">
        <v>-58.366439999999997</v>
      </c>
      <c r="AZ41" s="137">
        <v>-58.366439999999997</v>
      </c>
      <c r="BA41" s="137">
        <v>-58.366439999999997</v>
      </c>
      <c r="BB41" s="137">
        <v>-59.533768799999997</v>
      </c>
      <c r="BC41" s="137">
        <v>-59.533768799999997</v>
      </c>
      <c r="BD41" s="137">
        <v>-59.533768799999997</v>
      </c>
      <c r="BE41" s="137">
        <v>-59.533768799999997</v>
      </c>
      <c r="BF41" s="137">
        <v>-59.533768799999997</v>
      </c>
      <c r="BG41" s="137">
        <v>-59.533768799999997</v>
      </c>
      <c r="BH41" s="137">
        <v>-59.533768799999997</v>
      </c>
      <c r="BI41" s="137">
        <v>-59.533768799999997</v>
      </c>
      <c r="BJ41" s="137">
        <v>-59.533768799999997</v>
      </c>
      <c r="BK41" s="137">
        <v>-59.533768799999997</v>
      </c>
      <c r="BL41" s="137">
        <v>-59.533768799999997</v>
      </c>
      <c r="BM41" s="137">
        <v>-59.533768799999997</v>
      </c>
      <c r="BN41" s="137">
        <v>-60.724444175999999</v>
      </c>
      <c r="BO41" s="137">
        <v>-60.724444175999999</v>
      </c>
      <c r="BP41" s="137">
        <v>-60.724444175999999</v>
      </c>
      <c r="BQ41" s="137">
        <v>-60.724444175999999</v>
      </c>
      <c r="BR41" s="137">
        <v>-60.724444175999999</v>
      </c>
      <c r="BS41" s="137">
        <v>-60.724444175999999</v>
      </c>
      <c r="BT41" s="137">
        <v>-60.724444175999999</v>
      </c>
      <c r="BU41" s="137">
        <v>-60.724444175999999</v>
      </c>
      <c r="BV41" s="137">
        <v>-60.724444175999999</v>
      </c>
      <c r="BW41" s="137">
        <v>-60.724444175999999</v>
      </c>
      <c r="BX41" s="137">
        <v>-60.724444175999999</v>
      </c>
      <c r="BY41" s="137">
        <v>-60.724444175999999</v>
      </c>
      <c r="BZ41" s="137">
        <v>-61.938933059519997</v>
      </c>
      <c r="CA41" s="137">
        <v>-61.938933059519997</v>
      </c>
      <c r="CB41" s="137">
        <v>-61.938933059519997</v>
      </c>
      <c r="CC41" s="137">
        <v>-61.938933059519997</v>
      </c>
      <c r="CD41" s="137">
        <v>-61.938933059519997</v>
      </c>
      <c r="CE41" s="137">
        <v>-61.938933059519997</v>
      </c>
      <c r="CF41" s="137">
        <v>-61.938933059519997</v>
      </c>
      <c r="CG41" s="137">
        <v>-61.938933059519997</v>
      </c>
      <c r="CH41" s="137">
        <v>-61.938933059519997</v>
      </c>
      <c r="CI41" s="137">
        <v>-61.938933059519997</v>
      </c>
      <c r="CJ41" s="137">
        <v>-61.938933059519997</v>
      </c>
      <c r="CK41" s="137">
        <v>-61.938933059519997</v>
      </c>
      <c r="CL41" s="137">
        <v>-63.177711720710398</v>
      </c>
      <c r="CM41" s="137">
        <v>-63.177711720710398</v>
      </c>
      <c r="CN41" s="137">
        <v>-63.177711720710398</v>
      </c>
      <c r="CO41" s="137">
        <v>-63.177711720710398</v>
      </c>
      <c r="CP41" s="137">
        <v>-63.177711720710398</v>
      </c>
      <c r="CQ41" s="137">
        <v>-63.177711720710398</v>
      </c>
      <c r="CR41" s="137">
        <v>-63.177711720710398</v>
      </c>
      <c r="CS41" s="137">
        <v>-63.177711720710398</v>
      </c>
      <c r="CT41" s="137">
        <v>-63.177711720710398</v>
      </c>
      <c r="CU41" s="137">
        <v>-63.177711720710398</v>
      </c>
      <c r="CV41" s="137">
        <v>-63.177711720710398</v>
      </c>
      <c r="CW41" s="137">
        <v>-63.177711720710398</v>
      </c>
      <c r="CX41" s="137">
        <v>-64.441265955124607</v>
      </c>
      <c r="CY41" s="137">
        <v>-64.441265955124607</v>
      </c>
      <c r="CZ41" s="137">
        <v>-64.441265955124607</v>
      </c>
      <c r="DA41" s="137">
        <v>-64.441265955124607</v>
      </c>
      <c r="DB41" s="137">
        <v>-64.441265955124607</v>
      </c>
      <c r="DC41" s="137">
        <v>-64.441265955124607</v>
      </c>
      <c r="DD41" s="137">
        <v>-64.441265955124607</v>
      </c>
      <c r="DE41" s="137">
        <v>-64.441265955124607</v>
      </c>
      <c r="DF41" s="137">
        <v>-64.441265955124607</v>
      </c>
    </row>
    <row r="42" spans="1:110" ht="15" customHeight="1" x14ac:dyDescent="0.25">
      <c r="A42" s="136" t="s">
        <v>85</v>
      </c>
      <c r="C42" s="141">
        <v>0</v>
      </c>
      <c r="D42" s="141">
        <v>0</v>
      </c>
      <c r="E42" s="141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  <c r="CO42" s="137">
        <v>0</v>
      </c>
      <c r="CP42" s="137">
        <v>0</v>
      </c>
      <c r="CQ42" s="137">
        <v>0</v>
      </c>
      <c r="CR42" s="137">
        <v>0</v>
      </c>
      <c r="CS42" s="137">
        <v>0</v>
      </c>
      <c r="CT42" s="137">
        <v>0</v>
      </c>
      <c r="CU42" s="137">
        <v>0</v>
      </c>
      <c r="CV42" s="137">
        <v>0</v>
      </c>
      <c r="CW42" s="137">
        <v>0</v>
      </c>
      <c r="CX42" s="137">
        <v>0</v>
      </c>
      <c r="CY42" s="137">
        <v>0</v>
      </c>
      <c r="CZ42" s="137">
        <v>0</v>
      </c>
      <c r="DA42" s="137">
        <v>0</v>
      </c>
      <c r="DB42" s="137">
        <v>0</v>
      </c>
      <c r="DC42" s="137">
        <v>0</v>
      </c>
      <c r="DD42" s="137">
        <v>0</v>
      </c>
      <c r="DE42" s="137">
        <v>0</v>
      </c>
      <c r="DF42" s="137">
        <v>0</v>
      </c>
    </row>
    <row r="43" spans="1:110" ht="15" customHeight="1" x14ac:dyDescent="0.25">
      <c r="A43" s="136" t="s">
        <v>86</v>
      </c>
      <c r="C43" s="335">
        <v>-550</v>
      </c>
      <c r="D43" s="335">
        <v>-550</v>
      </c>
      <c r="E43" s="335">
        <v>-550</v>
      </c>
      <c r="F43" s="137">
        <v>-550</v>
      </c>
      <c r="G43" s="137">
        <v>-550</v>
      </c>
      <c r="H43" s="137">
        <v>-550</v>
      </c>
      <c r="I43" s="137">
        <v>-550</v>
      </c>
      <c r="J43" s="137">
        <v>-550</v>
      </c>
      <c r="K43" s="137">
        <v>-550</v>
      </c>
      <c r="L43" s="137">
        <v>-550</v>
      </c>
      <c r="M43" s="137">
        <v>-550</v>
      </c>
      <c r="N43" s="137">
        <v>-550</v>
      </c>
      <c r="O43" s="137">
        <v>-550</v>
      </c>
      <c r="P43" s="137">
        <v>-550</v>
      </c>
      <c r="Q43" s="137">
        <v>-550</v>
      </c>
      <c r="R43" s="137">
        <v>-561</v>
      </c>
      <c r="S43" s="137">
        <v>-561</v>
      </c>
      <c r="T43" s="137">
        <v>-561</v>
      </c>
      <c r="U43" s="137">
        <v>-561</v>
      </c>
      <c r="V43" s="137">
        <v>-561</v>
      </c>
      <c r="W43" s="137">
        <v>-561</v>
      </c>
      <c r="X43" s="137">
        <v>-561</v>
      </c>
      <c r="Y43" s="137">
        <v>-561</v>
      </c>
      <c r="Z43" s="137">
        <v>-561</v>
      </c>
      <c r="AA43" s="137">
        <v>-561</v>
      </c>
      <c r="AB43" s="137">
        <v>-561</v>
      </c>
      <c r="AC43" s="137">
        <v>-561</v>
      </c>
      <c r="AD43" s="137">
        <v>-572.22</v>
      </c>
      <c r="AE43" s="137">
        <v>-572.22</v>
      </c>
      <c r="AF43" s="137">
        <v>-572.22</v>
      </c>
      <c r="AG43" s="137">
        <v>-572.22</v>
      </c>
      <c r="AH43" s="137">
        <v>-572.22</v>
      </c>
      <c r="AI43" s="137">
        <v>-572.22</v>
      </c>
      <c r="AJ43" s="137">
        <v>-572.22</v>
      </c>
      <c r="AK43" s="137">
        <v>-572.22</v>
      </c>
      <c r="AL43" s="137">
        <v>-572.22</v>
      </c>
      <c r="AM43" s="137">
        <v>-572.22</v>
      </c>
      <c r="AN43" s="137">
        <v>-572.22</v>
      </c>
      <c r="AO43" s="137">
        <v>-572.22</v>
      </c>
      <c r="AP43" s="137">
        <v>-583.6644</v>
      </c>
      <c r="AQ43" s="137">
        <v>-583.6644</v>
      </c>
      <c r="AR43" s="137">
        <v>-583.6644</v>
      </c>
      <c r="AS43" s="137">
        <v>-583.6644</v>
      </c>
      <c r="AT43" s="137">
        <v>-583.6644</v>
      </c>
      <c r="AU43" s="137">
        <v>-583.6644</v>
      </c>
      <c r="AV43" s="137">
        <v>-583.6644</v>
      </c>
      <c r="AW43" s="137">
        <v>-583.6644</v>
      </c>
      <c r="AX43" s="137">
        <v>-583.6644</v>
      </c>
      <c r="AY43" s="137">
        <v>-583.6644</v>
      </c>
      <c r="AZ43" s="137">
        <v>-583.6644</v>
      </c>
      <c r="BA43" s="137">
        <v>-583.6644</v>
      </c>
      <c r="BB43" s="137">
        <v>-595.33768799999996</v>
      </c>
      <c r="BC43" s="137">
        <v>-595.33768799999996</v>
      </c>
      <c r="BD43" s="137">
        <v>-595.33768799999996</v>
      </c>
      <c r="BE43" s="137">
        <v>-595.33768799999996</v>
      </c>
      <c r="BF43" s="137">
        <v>-595.33768799999996</v>
      </c>
      <c r="BG43" s="137">
        <v>-595.33768799999996</v>
      </c>
      <c r="BH43" s="137">
        <v>-595.33768799999996</v>
      </c>
      <c r="BI43" s="137">
        <v>-595.33768799999996</v>
      </c>
      <c r="BJ43" s="137">
        <v>-595.33768799999996</v>
      </c>
      <c r="BK43" s="137">
        <v>-595.33768799999996</v>
      </c>
      <c r="BL43" s="137">
        <v>-595.33768799999996</v>
      </c>
      <c r="BM43" s="137">
        <v>-595.33768799999996</v>
      </c>
      <c r="BN43" s="137">
        <v>-607.24444175999997</v>
      </c>
      <c r="BO43" s="137">
        <v>-607.24444175999997</v>
      </c>
      <c r="BP43" s="137">
        <v>-607.24444175999997</v>
      </c>
      <c r="BQ43" s="137">
        <v>-607.24444175999997</v>
      </c>
      <c r="BR43" s="137">
        <v>-607.24444175999997</v>
      </c>
      <c r="BS43" s="137">
        <v>-607.24444175999997</v>
      </c>
      <c r="BT43" s="137">
        <v>-607.24444175999997</v>
      </c>
      <c r="BU43" s="137">
        <v>-607.24444175999997</v>
      </c>
      <c r="BV43" s="137">
        <v>-607.24444175999997</v>
      </c>
      <c r="BW43" s="137">
        <v>-607.24444175999997</v>
      </c>
      <c r="BX43" s="137">
        <v>-607.24444175999997</v>
      </c>
      <c r="BY43" s="137">
        <v>-607.24444175999997</v>
      </c>
      <c r="BZ43" s="137">
        <v>-619.38933059520002</v>
      </c>
      <c r="CA43" s="137">
        <v>-619.38933059520002</v>
      </c>
      <c r="CB43" s="137">
        <v>-619.38933059520002</v>
      </c>
      <c r="CC43" s="137">
        <v>-619.38933059520002</v>
      </c>
      <c r="CD43" s="137">
        <v>-619.38933059520002</v>
      </c>
      <c r="CE43" s="137">
        <v>-619.38933059520002</v>
      </c>
      <c r="CF43" s="137">
        <v>-619.38933059520002</v>
      </c>
      <c r="CG43" s="137">
        <v>-619.38933059520002</v>
      </c>
      <c r="CH43" s="137">
        <v>-619.38933059520002</v>
      </c>
      <c r="CI43" s="137">
        <v>-619.38933059520002</v>
      </c>
      <c r="CJ43" s="137">
        <v>-619.38933059520002</v>
      </c>
      <c r="CK43" s="137">
        <v>-619.38933059520002</v>
      </c>
      <c r="CL43" s="137">
        <v>-631.77711720710397</v>
      </c>
      <c r="CM43" s="137">
        <v>-631.77711720710397</v>
      </c>
      <c r="CN43" s="137">
        <v>-631.77711720710397</v>
      </c>
      <c r="CO43" s="137">
        <v>-631.77711720710397</v>
      </c>
      <c r="CP43" s="137">
        <v>-631.77711720710397</v>
      </c>
      <c r="CQ43" s="137">
        <v>-631.77711720710397</v>
      </c>
      <c r="CR43" s="137">
        <v>-631.77711720710397</v>
      </c>
      <c r="CS43" s="137">
        <v>-631.77711720710397</v>
      </c>
      <c r="CT43" s="137">
        <v>-631.77711720710397</v>
      </c>
      <c r="CU43" s="137">
        <v>-631.77711720710397</v>
      </c>
      <c r="CV43" s="137">
        <v>-631.77711720710397</v>
      </c>
      <c r="CW43" s="137">
        <v>-631.77711720710397</v>
      </c>
      <c r="CX43" s="137">
        <v>-644.41265955124595</v>
      </c>
      <c r="CY43" s="137">
        <v>-644.41265955124595</v>
      </c>
      <c r="CZ43" s="137">
        <v>-644.41265955124595</v>
      </c>
      <c r="DA43" s="137">
        <v>-644.41265955124595</v>
      </c>
      <c r="DB43" s="137">
        <v>-644.41265955124595</v>
      </c>
      <c r="DC43" s="137">
        <v>-644.41265955124595</v>
      </c>
      <c r="DD43" s="137">
        <v>-644.41265955124595</v>
      </c>
      <c r="DE43" s="137">
        <v>-644.41265955124595</v>
      </c>
      <c r="DF43" s="137">
        <v>-644.41265955124595</v>
      </c>
    </row>
    <row r="44" spans="1:110" ht="15" customHeight="1" x14ac:dyDescent="0.25">
      <c r="A44" s="96" t="s">
        <v>87</v>
      </c>
      <c r="C44" s="138">
        <v>-19223.75</v>
      </c>
      <c r="D44" s="138">
        <v>-13381.97</v>
      </c>
      <c r="E44" s="138">
        <v>-20308.689999999999</v>
      </c>
      <c r="F44" s="138">
        <v>-17638.14</v>
      </c>
      <c r="G44" s="138">
        <v>-17638.14</v>
      </c>
      <c r="H44" s="138">
        <v>-17638.14</v>
      </c>
      <c r="I44" s="138">
        <v>-17638.14</v>
      </c>
      <c r="J44" s="138">
        <v>-17638.14</v>
      </c>
      <c r="K44" s="138">
        <v>-17638.14</v>
      </c>
      <c r="L44" s="138">
        <v>-17638.14</v>
      </c>
      <c r="M44" s="138">
        <v>-17638.14</v>
      </c>
      <c r="N44" s="138">
        <v>-17638.14</v>
      </c>
      <c r="O44" s="138">
        <v>-17638.14</v>
      </c>
      <c r="P44" s="138">
        <v>-17638.14</v>
      </c>
      <c r="Q44" s="138">
        <v>-17638.14</v>
      </c>
      <c r="R44" s="138">
        <v>-17990.9028</v>
      </c>
      <c r="S44" s="138">
        <v>-17990.9028</v>
      </c>
      <c r="T44" s="138">
        <v>-17990.9028</v>
      </c>
      <c r="U44" s="138">
        <v>-17990.9028</v>
      </c>
      <c r="V44" s="138">
        <v>-17990.9028</v>
      </c>
      <c r="W44" s="138">
        <v>-17990.9028</v>
      </c>
      <c r="X44" s="138">
        <v>-17990.9028</v>
      </c>
      <c r="Y44" s="138">
        <v>-17990.9028</v>
      </c>
      <c r="Z44" s="138">
        <v>-17990.9028</v>
      </c>
      <c r="AA44" s="138">
        <v>-17990.9028</v>
      </c>
      <c r="AB44" s="138">
        <v>-17990.9028</v>
      </c>
      <c r="AC44" s="138">
        <v>-17990.9028</v>
      </c>
      <c r="AD44" s="138">
        <v>-18350.720856</v>
      </c>
      <c r="AE44" s="138">
        <v>-18350.720856</v>
      </c>
      <c r="AF44" s="138">
        <v>-18350.720856</v>
      </c>
      <c r="AG44" s="138">
        <v>-18350.720856</v>
      </c>
      <c r="AH44" s="138">
        <v>-18350.720856</v>
      </c>
      <c r="AI44" s="138">
        <v>-18350.720856</v>
      </c>
      <c r="AJ44" s="138">
        <v>-18350.720856</v>
      </c>
      <c r="AK44" s="138">
        <v>-18350.720856</v>
      </c>
      <c r="AL44" s="138">
        <v>-18350.720856</v>
      </c>
      <c r="AM44" s="138">
        <v>-18350.720856</v>
      </c>
      <c r="AN44" s="138">
        <v>-18350.720856</v>
      </c>
      <c r="AO44" s="138">
        <v>-18350.720856</v>
      </c>
      <c r="AP44" s="138">
        <v>-18717.735273120001</v>
      </c>
      <c r="AQ44" s="138">
        <v>-18717.735273120001</v>
      </c>
      <c r="AR44" s="138">
        <v>-18717.735273120001</v>
      </c>
      <c r="AS44" s="138">
        <v>-18717.735273120001</v>
      </c>
      <c r="AT44" s="138">
        <v>-18717.735273120001</v>
      </c>
      <c r="AU44" s="138">
        <v>-18717.735273120001</v>
      </c>
      <c r="AV44" s="138">
        <v>-18717.735273120001</v>
      </c>
      <c r="AW44" s="138">
        <v>-18717.735273120001</v>
      </c>
      <c r="AX44" s="138">
        <v>-18717.735273120001</v>
      </c>
      <c r="AY44" s="138">
        <v>-18717.735273120001</v>
      </c>
      <c r="AZ44" s="138">
        <v>-18717.735273120001</v>
      </c>
      <c r="BA44" s="138">
        <v>-18717.735273120001</v>
      </c>
      <c r="BB44" s="138">
        <v>-19092.0899785824</v>
      </c>
      <c r="BC44" s="138">
        <v>-19092.0899785824</v>
      </c>
      <c r="BD44" s="138">
        <v>-19092.0899785824</v>
      </c>
      <c r="BE44" s="138">
        <v>-19092.0899785824</v>
      </c>
      <c r="BF44" s="138">
        <v>-19092.0899785824</v>
      </c>
      <c r="BG44" s="138">
        <v>-19092.0899785824</v>
      </c>
      <c r="BH44" s="138">
        <v>-19092.0899785824</v>
      </c>
      <c r="BI44" s="138">
        <v>-19092.0899785824</v>
      </c>
      <c r="BJ44" s="138">
        <v>-19092.0899785824</v>
      </c>
      <c r="BK44" s="138">
        <v>-19092.0899785824</v>
      </c>
      <c r="BL44" s="138">
        <v>-19092.0899785824</v>
      </c>
      <c r="BM44" s="138">
        <v>-19092.0899785824</v>
      </c>
      <c r="BN44" s="138">
        <v>-19473.931778154099</v>
      </c>
      <c r="BO44" s="138">
        <v>-19473.931778154099</v>
      </c>
      <c r="BP44" s="138">
        <v>-19473.931778154099</v>
      </c>
      <c r="BQ44" s="138">
        <v>-19473.931778154099</v>
      </c>
      <c r="BR44" s="138">
        <v>-19473.931778154099</v>
      </c>
      <c r="BS44" s="138">
        <v>-19473.931778154099</v>
      </c>
      <c r="BT44" s="138">
        <v>-19473.931778154099</v>
      </c>
      <c r="BU44" s="138">
        <v>-19473.931778154099</v>
      </c>
      <c r="BV44" s="138">
        <v>-19473.931778154099</v>
      </c>
      <c r="BW44" s="138">
        <v>-19473.931778154099</v>
      </c>
      <c r="BX44" s="138">
        <v>-19473.931778154099</v>
      </c>
      <c r="BY44" s="138">
        <v>-19473.931778154099</v>
      </c>
      <c r="BZ44" s="138">
        <v>-19863.410413717102</v>
      </c>
      <c r="CA44" s="138">
        <v>-19863.410413717102</v>
      </c>
      <c r="CB44" s="138">
        <v>-19863.410413717102</v>
      </c>
      <c r="CC44" s="138">
        <v>-19863.410413717102</v>
      </c>
      <c r="CD44" s="138">
        <v>-19863.410413717102</v>
      </c>
      <c r="CE44" s="138">
        <v>-19863.410413717102</v>
      </c>
      <c r="CF44" s="138">
        <v>-19863.410413717102</v>
      </c>
      <c r="CG44" s="138">
        <v>-19863.410413717102</v>
      </c>
      <c r="CH44" s="138">
        <v>-19863.410413717102</v>
      </c>
      <c r="CI44" s="138">
        <v>-19863.410413717102</v>
      </c>
      <c r="CJ44" s="138">
        <v>-19863.410413717102</v>
      </c>
      <c r="CK44" s="138">
        <v>-19863.410413717102</v>
      </c>
      <c r="CL44" s="138">
        <v>-20260.678621991501</v>
      </c>
      <c r="CM44" s="138">
        <v>-20260.678621991501</v>
      </c>
      <c r="CN44" s="138">
        <v>-20260.678621991501</v>
      </c>
      <c r="CO44" s="138">
        <v>-20260.678621991501</v>
      </c>
      <c r="CP44" s="138">
        <v>-20260.678621991501</v>
      </c>
      <c r="CQ44" s="138">
        <v>-20260.678621991501</v>
      </c>
      <c r="CR44" s="138">
        <v>-20260.678621991501</v>
      </c>
      <c r="CS44" s="138">
        <v>-20260.678621991501</v>
      </c>
      <c r="CT44" s="138">
        <v>-20260.678621991501</v>
      </c>
      <c r="CU44" s="138">
        <v>-20260.678621991501</v>
      </c>
      <c r="CV44" s="138">
        <v>-20260.678621991501</v>
      </c>
      <c r="CW44" s="138">
        <v>-20260.678621991501</v>
      </c>
      <c r="CX44" s="138">
        <v>-20665.892194431301</v>
      </c>
      <c r="CY44" s="138">
        <v>-20665.892194431301</v>
      </c>
      <c r="CZ44" s="138">
        <v>-20665.892194431301</v>
      </c>
      <c r="DA44" s="138">
        <v>-20665.892194431301</v>
      </c>
      <c r="DB44" s="138">
        <v>-20665.892194431301</v>
      </c>
      <c r="DC44" s="138">
        <v>-20665.892194431301</v>
      </c>
      <c r="DD44" s="138">
        <v>-20665.892194431301</v>
      </c>
      <c r="DE44" s="138">
        <v>-20665.892194431301</v>
      </c>
      <c r="DF44" s="138">
        <v>-20665.892194431301</v>
      </c>
    </row>
    <row r="45" spans="1:110" ht="15" customHeight="1" x14ac:dyDescent="0.25">
      <c r="A45" s="96" t="s">
        <v>88</v>
      </c>
      <c r="C45" s="138">
        <v>-1909.98</v>
      </c>
      <c r="D45" s="138">
        <v>-190.1</v>
      </c>
      <c r="E45" s="138">
        <v>-2166.92</v>
      </c>
      <c r="F45" s="138">
        <v>-1422.33</v>
      </c>
      <c r="G45" s="138">
        <v>-1422.33</v>
      </c>
      <c r="H45" s="138">
        <v>-1422.33</v>
      </c>
      <c r="I45" s="138">
        <v>-1422.33</v>
      </c>
      <c r="J45" s="138">
        <v>-1422.33</v>
      </c>
      <c r="K45" s="138">
        <v>-1422.33</v>
      </c>
      <c r="L45" s="138">
        <v>-1422.33</v>
      </c>
      <c r="M45" s="138">
        <v>-1422.33</v>
      </c>
      <c r="N45" s="138">
        <v>-1422.33</v>
      </c>
      <c r="O45" s="138">
        <v>-1422.33</v>
      </c>
      <c r="P45" s="138">
        <v>-1422.33</v>
      </c>
      <c r="Q45" s="138">
        <v>-1422.33</v>
      </c>
      <c r="R45" s="138">
        <v>-1450.7765999999999</v>
      </c>
      <c r="S45" s="138">
        <v>-1450.7765999999999</v>
      </c>
      <c r="T45" s="138">
        <v>-1450.7765999999999</v>
      </c>
      <c r="U45" s="138">
        <v>-1450.7765999999999</v>
      </c>
      <c r="V45" s="138">
        <v>-1450.7765999999999</v>
      </c>
      <c r="W45" s="138">
        <v>-1450.7765999999999</v>
      </c>
      <c r="X45" s="138">
        <v>-1450.7765999999999</v>
      </c>
      <c r="Y45" s="138">
        <v>-1450.7765999999999</v>
      </c>
      <c r="Z45" s="138">
        <v>-1450.7765999999999</v>
      </c>
      <c r="AA45" s="138">
        <v>-1450.7765999999999</v>
      </c>
      <c r="AB45" s="138">
        <v>-1450.7765999999999</v>
      </c>
      <c r="AC45" s="138">
        <v>-1450.7765999999999</v>
      </c>
      <c r="AD45" s="138">
        <v>-1479.792132</v>
      </c>
      <c r="AE45" s="138">
        <v>-1479.792132</v>
      </c>
      <c r="AF45" s="138">
        <v>-1479.792132</v>
      </c>
      <c r="AG45" s="138">
        <v>-1479.792132</v>
      </c>
      <c r="AH45" s="138">
        <v>-1479.792132</v>
      </c>
      <c r="AI45" s="138">
        <v>-1479.792132</v>
      </c>
      <c r="AJ45" s="138">
        <v>-1479.792132</v>
      </c>
      <c r="AK45" s="138">
        <v>-1479.792132</v>
      </c>
      <c r="AL45" s="138">
        <v>-1479.792132</v>
      </c>
      <c r="AM45" s="138">
        <v>-1479.792132</v>
      </c>
      <c r="AN45" s="138">
        <v>-1479.792132</v>
      </c>
      <c r="AO45" s="138">
        <v>-1479.792132</v>
      </c>
      <c r="AP45" s="138">
        <v>-1509.38797464</v>
      </c>
      <c r="AQ45" s="138">
        <v>-1509.38797464</v>
      </c>
      <c r="AR45" s="138">
        <v>-1509.38797464</v>
      </c>
      <c r="AS45" s="138">
        <v>-1509.38797464</v>
      </c>
      <c r="AT45" s="138">
        <v>-1509.38797464</v>
      </c>
      <c r="AU45" s="138">
        <v>-1509.38797464</v>
      </c>
      <c r="AV45" s="138">
        <v>-1509.38797464</v>
      </c>
      <c r="AW45" s="138">
        <v>-1509.38797464</v>
      </c>
      <c r="AX45" s="138">
        <v>-1509.38797464</v>
      </c>
      <c r="AY45" s="138">
        <v>-1509.38797464</v>
      </c>
      <c r="AZ45" s="138">
        <v>-1509.38797464</v>
      </c>
      <c r="BA45" s="138">
        <v>-1509.38797464</v>
      </c>
      <c r="BB45" s="138">
        <v>-1539.5757341328001</v>
      </c>
      <c r="BC45" s="138">
        <v>-1539.5757341328001</v>
      </c>
      <c r="BD45" s="138">
        <v>-1539.5757341328001</v>
      </c>
      <c r="BE45" s="138">
        <v>-1539.5757341328001</v>
      </c>
      <c r="BF45" s="138">
        <v>-1539.5757341328001</v>
      </c>
      <c r="BG45" s="138">
        <v>-1539.5757341328001</v>
      </c>
      <c r="BH45" s="138">
        <v>-1539.5757341328001</v>
      </c>
      <c r="BI45" s="138">
        <v>-1539.5757341328001</v>
      </c>
      <c r="BJ45" s="138">
        <v>-1539.5757341328001</v>
      </c>
      <c r="BK45" s="138">
        <v>-1539.5757341328001</v>
      </c>
      <c r="BL45" s="138">
        <v>-1539.5757341328001</v>
      </c>
      <c r="BM45" s="138">
        <v>-1539.5757341328001</v>
      </c>
      <c r="BN45" s="138">
        <v>-1570.36724881546</v>
      </c>
      <c r="BO45" s="138">
        <v>-1570.36724881546</v>
      </c>
      <c r="BP45" s="138">
        <v>-1570.36724881546</v>
      </c>
      <c r="BQ45" s="138">
        <v>-1570.36724881546</v>
      </c>
      <c r="BR45" s="138">
        <v>-1570.36724881546</v>
      </c>
      <c r="BS45" s="138">
        <v>-1570.36724881546</v>
      </c>
      <c r="BT45" s="138">
        <v>-1570.36724881546</v>
      </c>
      <c r="BU45" s="138">
        <v>-1570.36724881546</v>
      </c>
      <c r="BV45" s="138">
        <v>-1570.36724881546</v>
      </c>
      <c r="BW45" s="138">
        <v>-1570.36724881546</v>
      </c>
      <c r="BX45" s="138">
        <v>-1570.36724881546</v>
      </c>
      <c r="BY45" s="138">
        <v>-1570.36724881546</v>
      </c>
      <c r="BZ45" s="138">
        <v>-1601.77459379177</v>
      </c>
      <c r="CA45" s="138">
        <v>-1601.77459379177</v>
      </c>
      <c r="CB45" s="138">
        <v>-1601.77459379177</v>
      </c>
      <c r="CC45" s="138">
        <v>-1601.77459379177</v>
      </c>
      <c r="CD45" s="138">
        <v>-1601.77459379177</v>
      </c>
      <c r="CE45" s="138">
        <v>-1601.77459379177</v>
      </c>
      <c r="CF45" s="138">
        <v>-1601.77459379177</v>
      </c>
      <c r="CG45" s="138">
        <v>-1601.77459379177</v>
      </c>
      <c r="CH45" s="138">
        <v>-1601.77459379177</v>
      </c>
      <c r="CI45" s="138">
        <v>-1601.77459379177</v>
      </c>
      <c r="CJ45" s="138">
        <v>-1601.77459379177</v>
      </c>
      <c r="CK45" s="138">
        <v>-1601.77459379177</v>
      </c>
      <c r="CL45" s="138">
        <v>-1633.8100856676001</v>
      </c>
      <c r="CM45" s="138">
        <v>-1633.8100856676001</v>
      </c>
      <c r="CN45" s="138">
        <v>-1633.8100856676001</v>
      </c>
      <c r="CO45" s="138">
        <v>-1633.8100856676001</v>
      </c>
      <c r="CP45" s="138">
        <v>-1633.8100856676001</v>
      </c>
      <c r="CQ45" s="138">
        <v>-1633.8100856676001</v>
      </c>
      <c r="CR45" s="138">
        <v>-1633.8100856676001</v>
      </c>
      <c r="CS45" s="138">
        <v>-1633.8100856676001</v>
      </c>
      <c r="CT45" s="138">
        <v>-1633.8100856676001</v>
      </c>
      <c r="CU45" s="138">
        <v>-1633.8100856676001</v>
      </c>
      <c r="CV45" s="138">
        <v>-1633.8100856676001</v>
      </c>
      <c r="CW45" s="138">
        <v>-1633.8100856676001</v>
      </c>
      <c r="CX45" s="138">
        <v>-1666.48628738095</v>
      </c>
      <c r="CY45" s="138">
        <v>-1666.48628738095</v>
      </c>
      <c r="CZ45" s="138">
        <v>-1666.48628738095</v>
      </c>
      <c r="DA45" s="138">
        <v>-1666.48628738095</v>
      </c>
      <c r="DB45" s="138">
        <v>-1666.48628738095</v>
      </c>
      <c r="DC45" s="138">
        <v>-1666.48628738095</v>
      </c>
      <c r="DD45" s="138">
        <v>-1666.48628738095</v>
      </c>
      <c r="DE45" s="138">
        <v>-1666.48628738095</v>
      </c>
      <c r="DF45" s="138">
        <v>-1666.48628738095</v>
      </c>
    </row>
    <row r="46" spans="1:110" ht="15" customHeight="1" x14ac:dyDescent="0.25">
      <c r="A46" s="96" t="s">
        <v>89</v>
      </c>
      <c r="C46" s="138">
        <v>-320</v>
      </c>
      <c r="D46" s="138">
        <v>-160</v>
      </c>
      <c r="E46" s="138">
        <v>0</v>
      </c>
      <c r="F46" s="138">
        <v>-160</v>
      </c>
      <c r="G46" s="138">
        <v>-160</v>
      </c>
      <c r="H46" s="138">
        <v>-160</v>
      </c>
      <c r="I46" s="138">
        <v>-160</v>
      </c>
      <c r="J46" s="138">
        <v>-160</v>
      </c>
      <c r="K46" s="138">
        <v>-160</v>
      </c>
      <c r="L46" s="138">
        <v>-160</v>
      </c>
      <c r="M46" s="138">
        <v>-160</v>
      </c>
      <c r="N46" s="138">
        <v>-160</v>
      </c>
      <c r="O46" s="138">
        <v>-160</v>
      </c>
      <c r="P46" s="138">
        <v>-160</v>
      </c>
      <c r="Q46" s="138">
        <v>-160</v>
      </c>
      <c r="R46" s="138">
        <v>-163.19999999999999</v>
      </c>
      <c r="S46" s="138">
        <v>-163.19999999999999</v>
      </c>
      <c r="T46" s="138">
        <v>-163.19999999999999</v>
      </c>
      <c r="U46" s="138">
        <v>-163.19999999999999</v>
      </c>
      <c r="V46" s="138">
        <v>-163.19999999999999</v>
      </c>
      <c r="W46" s="138">
        <v>-163.19999999999999</v>
      </c>
      <c r="X46" s="138">
        <v>-163.19999999999999</v>
      </c>
      <c r="Y46" s="138">
        <v>-163.19999999999999</v>
      </c>
      <c r="Z46" s="138">
        <v>-163.19999999999999</v>
      </c>
      <c r="AA46" s="138">
        <v>-163.19999999999999</v>
      </c>
      <c r="AB46" s="138">
        <v>-163.19999999999999</v>
      </c>
      <c r="AC46" s="138">
        <v>-163.19999999999999</v>
      </c>
      <c r="AD46" s="138">
        <v>-166.464</v>
      </c>
      <c r="AE46" s="138">
        <v>-166.464</v>
      </c>
      <c r="AF46" s="138">
        <v>-166.464</v>
      </c>
      <c r="AG46" s="138">
        <v>-166.464</v>
      </c>
      <c r="AH46" s="138">
        <v>-166.464</v>
      </c>
      <c r="AI46" s="138">
        <v>-166.464</v>
      </c>
      <c r="AJ46" s="138">
        <v>-166.464</v>
      </c>
      <c r="AK46" s="138">
        <v>-166.464</v>
      </c>
      <c r="AL46" s="138">
        <v>-166.464</v>
      </c>
      <c r="AM46" s="138">
        <v>-166.464</v>
      </c>
      <c r="AN46" s="138">
        <v>-166.464</v>
      </c>
      <c r="AO46" s="138">
        <v>-166.464</v>
      </c>
      <c r="AP46" s="138">
        <v>-169.79328000000001</v>
      </c>
      <c r="AQ46" s="138">
        <v>-169.79328000000001</v>
      </c>
      <c r="AR46" s="138">
        <v>-169.79328000000001</v>
      </c>
      <c r="AS46" s="138">
        <v>-169.79328000000001</v>
      </c>
      <c r="AT46" s="138">
        <v>-169.79328000000001</v>
      </c>
      <c r="AU46" s="138">
        <v>-169.79328000000001</v>
      </c>
      <c r="AV46" s="138">
        <v>-169.79328000000001</v>
      </c>
      <c r="AW46" s="138">
        <v>-169.79328000000001</v>
      </c>
      <c r="AX46" s="138">
        <v>-169.79328000000001</v>
      </c>
      <c r="AY46" s="138">
        <v>-169.79328000000001</v>
      </c>
      <c r="AZ46" s="138">
        <v>-169.79328000000001</v>
      </c>
      <c r="BA46" s="138">
        <v>-169.79328000000001</v>
      </c>
      <c r="BB46" s="138">
        <v>-173.18914559999999</v>
      </c>
      <c r="BC46" s="138">
        <v>-173.18914559999999</v>
      </c>
      <c r="BD46" s="138">
        <v>-173.18914559999999</v>
      </c>
      <c r="BE46" s="138">
        <v>-173.18914559999999</v>
      </c>
      <c r="BF46" s="138">
        <v>-173.18914559999999</v>
      </c>
      <c r="BG46" s="138">
        <v>-173.18914559999999</v>
      </c>
      <c r="BH46" s="138">
        <v>-173.18914559999999</v>
      </c>
      <c r="BI46" s="138">
        <v>-173.18914559999999</v>
      </c>
      <c r="BJ46" s="138">
        <v>-173.18914559999999</v>
      </c>
      <c r="BK46" s="138">
        <v>-173.18914559999999</v>
      </c>
      <c r="BL46" s="138">
        <v>-173.18914559999999</v>
      </c>
      <c r="BM46" s="138">
        <v>-173.18914559999999</v>
      </c>
      <c r="BN46" s="138">
        <v>-176.65292851199999</v>
      </c>
      <c r="BO46" s="138">
        <v>-176.65292851199999</v>
      </c>
      <c r="BP46" s="138">
        <v>-176.65292851199999</v>
      </c>
      <c r="BQ46" s="138">
        <v>-176.65292851199999</v>
      </c>
      <c r="BR46" s="138">
        <v>-176.65292851199999</v>
      </c>
      <c r="BS46" s="138">
        <v>-176.65292851199999</v>
      </c>
      <c r="BT46" s="138">
        <v>-176.65292851199999</v>
      </c>
      <c r="BU46" s="138">
        <v>-176.65292851199999</v>
      </c>
      <c r="BV46" s="138">
        <v>-176.65292851199999</v>
      </c>
      <c r="BW46" s="138">
        <v>-176.65292851199999</v>
      </c>
      <c r="BX46" s="138">
        <v>-176.65292851199999</v>
      </c>
      <c r="BY46" s="138">
        <v>-176.65292851199999</v>
      </c>
      <c r="BZ46" s="138">
        <v>-180.18598708223999</v>
      </c>
      <c r="CA46" s="138">
        <v>-180.18598708223999</v>
      </c>
      <c r="CB46" s="138">
        <v>-180.18598708223999</v>
      </c>
      <c r="CC46" s="138">
        <v>-180.18598708223999</v>
      </c>
      <c r="CD46" s="138">
        <v>-180.18598708223999</v>
      </c>
      <c r="CE46" s="138">
        <v>-180.18598708223999</v>
      </c>
      <c r="CF46" s="138">
        <v>-180.18598708223999</v>
      </c>
      <c r="CG46" s="138">
        <v>-180.18598708223999</v>
      </c>
      <c r="CH46" s="138">
        <v>-180.18598708223999</v>
      </c>
      <c r="CI46" s="138">
        <v>-180.18598708223999</v>
      </c>
      <c r="CJ46" s="138">
        <v>-180.18598708223999</v>
      </c>
      <c r="CK46" s="138">
        <v>-180.18598708223999</v>
      </c>
      <c r="CL46" s="138">
        <v>-183.78970682388501</v>
      </c>
      <c r="CM46" s="138">
        <v>-183.78970682388501</v>
      </c>
      <c r="CN46" s="138">
        <v>-183.78970682388501</v>
      </c>
      <c r="CO46" s="138">
        <v>-183.78970682388501</v>
      </c>
      <c r="CP46" s="138">
        <v>-183.78970682388501</v>
      </c>
      <c r="CQ46" s="138">
        <v>-183.78970682388501</v>
      </c>
      <c r="CR46" s="138">
        <v>-183.78970682388501</v>
      </c>
      <c r="CS46" s="138">
        <v>-183.78970682388501</v>
      </c>
      <c r="CT46" s="138">
        <v>-183.78970682388501</v>
      </c>
      <c r="CU46" s="138">
        <v>-183.78970682388501</v>
      </c>
      <c r="CV46" s="138">
        <v>-183.78970682388501</v>
      </c>
      <c r="CW46" s="138">
        <v>-183.78970682388501</v>
      </c>
      <c r="CX46" s="138">
        <v>-187.46550096036299</v>
      </c>
      <c r="CY46" s="138">
        <v>-187.46550096036299</v>
      </c>
      <c r="CZ46" s="138">
        <v>-187.46550096036299</v>
      </c>
      <c r="DA46" s="138">
        <v>-187.46550096036299</v>
      </c>
      <c r="DB46" s="138">
        <v>-187.46550096036299</v>
      </c>
      <c r="DC46" s="138">
        <v>-187.46550096036299</v>
      </c>
      <c r="DD46" s="138">
        <v>-187.46550096036299</v>
      </c>
      <c r="DE46" s="138">
        <v>-187.46550096036299</v>
      </c>
      <c r="DF46" s="138">
        <v>-187.46550096036299</v>
      </c>
    </row>
    <row r="47" spans="1:110" ht="15" customHeight="1" x14ac:dyDescent="0.25">
      <c r="A47" s="96" t="s">
        <v>90</v>
      </c>
      <c r="C47" s="138">
        <v>-17660.72</v>
      </c>
      <c r="D47" s="138">
        <v>-5799</v>
      </c>
      <c r="E47" s="138">
        <v>-3432.18</v>
      </c>
      <c r="F47" s="138">
        <v>-5000</v>
      </c>
      <c r="G47" s="138">
        <v>-5000</v>
      </c>
      <c r="H47" s="138">
        <v>-5000</v>
      </c>
      <c r="I47" s="138">
        <v>-5000</v>
      </c>
      <c r="J47" s="138">
        <v>-5000</v>
      </c>
      <c r="K47" s="138">
        <v>-5000</v>
      </c>
      <c r="L47" s="138">
        <v>-5000</v>
      </c>
      <c r="M47" s="138">
        <v>-5000</v>
      </c>
      <c r="N47" s="138">
        <v>-5000</v>
      </c>
      <c r="O47" s="138">
        <v>-5000</v>
      </c>
      <c r="P47" s="138">
        <v>-5000</v>
      </c>
      <c r="Q47" s="138">
        <v>-5000</v>
      </c>
      <c r="R47" s="138">
        <v>-5100</v>
      </c>
      <c r="S47" s="138">
        <v>-5100</v>
      </c>
      <c r="T47" s="138">
        <v>-5100</v>
      </c>
      <c r="U47" s="138">
        <v>-5100</v>
      </c>
      <c r="V47" s="138">
        <v>-5100</v>
      </c>
      <c r="W47" s="138">
        <v>-5100</v>
      </c>
      <c r="X47" s="138">
        <v>-5100</v>
      </c>
      <c r="Y47" s="138">
        <v>-5100</v>
      </c>
      <c r="Z47" s="138">
        <v>-5100</v>
      </c>
      <c r="AA47" s="138">
        <v>-5100</v>
      </c>
      <c r="AB47" s="138">
        <v>-5100</v>
      </c>
      <c r="AC47" s="138">
        <v>-5100</v>
      </c>
      <c r="AD47" s="138">
        <v>-5202</v>
      </c>
      <c r="AE47" s="138">
        <v>-5202</v>
      </c>
      <c r="AF47" s="138">
        <v>-5202</v>
      </c>
      <c r="AG47" s="138">
        <v>-5202</v>
      </c>
      <c r="AH47" s="138">
        <v>-5202</v>
      </c>
      <c r="AI47" s="138">
        <v>-5202</v>
      </c>
      <c r="AJ47" s="138">
        <v>-5202</v>
      </c>
      <c r="AK47" s="138">
        <v>-5202</v>
      </c>
      <c r="AL47" s="138">
        <v>-5202</v>
      </c>
      <c r="AM47" s="138">
        <v>-5202</v>
      </c>
      <c r="AN47" s="138">
        <v>-5202</v>
      </c>
      <c r="AO47" s="138">
        <v>-5202</v>
      </c>
      <c r="AP47" s="138">
        <v>-5306.04</v>
      </c>
      <c r="AQ47" s="138">
        <v>-5306.04</v>
      </c>
      <c r="AR47" s="138">
        <v>-5306.04</v>
      </c>
      <c r="AS47" s="138">
        <v>-5306.04</v>
      </c>
      <c r="AT47" s="138">
        <v>-5306.04</v>
      </c>
      <c r="AU47" s="138">
        <v>-5306.04</v>
      </c>
      <c r="AV47" s="138">
        <v>-5306.04</v>
      </c>
      <c r="AW47" s="138">
        <v>-5306.04</v>
      </c>
      <c r="AX47" s="138">
        <v>-5306.04</v>
      </c>
      <c r="AY47" s="138">
        <v>-5306.04</v>
      </c>
      <c r="AZ47" s="138">
        <v>-5306.04</v>
      </c>
      <c r="BA47" s="138">
        <v>-5306.04</v>
      </c>
      <c r="BB47" s="138">
        <v>-5412.1607999999997</v>
      </c>
      <c r="BC47" s="138">
        <v>-5412.1607999999997</v>
      </c>
      <c r="BD47" s="138">
        <v>-5412.1607999999997</v>
      </c>
      <c r="BE47" s="138">
        <v>-5412.1607999999997</v>
      </c>
      <c r="BF47" s="138">
        <v>-5412.1607999999997</v>
      </c>
      <c r="BG47" s="138">
        <v>-5412.1607999999997</v>
      </c>
      <c r="BH47" s="138">
        <v>-5412.1607999999997</v>
      </c>
      <c r="BI47" s="138">
        <v>-5412.1607999999997</v>
      </c>
      <c r="BJ47" s="138">
        <v>-5412.1607999999997</v>
      </c>
      <c r="BK47" s="138">
        <v>-5412.1607999999997</v>
      </c>
      <c r="BL47" s="138">
        <v>-5412.1607999999997</v>
      </c>
      <c r="BM47" s="138">
        <v>-5412.1607999999997</v>
      </c>
      <c r="BN47" s="138">
        <v>-5520.4040160000004</v>
      </c>
      <c r="BO47" s="138">
        <v>-5520.4040160000004</v>
      </c>
      <c r="BP47" s="138">
        <v>-5520.4040160000004</v>
      </c>
      <c r="BQ47" s="138">
        <v>-5520.4040160000004</v>
      </c>
      <c r="BR47" s="138">
        <v>-5520.4040160000004</v>
      </c>
      <c r="BS47" s="138">
        <v>-5520.4040160000004</v>
      </c>
      <c r="BT47" s="138">
        <v>-5520.4040160000004</v>
      </c>
      <c r="BU47" s="138">
        <v>-5520.4040160000004</v>
      </c>
      <c r="BV47" s="138">
        <v>-5520.4040160000004</v>
      </c>
      <c r="BW47" s="138">
        <v>-5520.4040160000004</v>
      </c>
      <c r="BX47" s="138">
        <v>-5520.4040160000004</v>
      </c>
      <c r="BY47" s="138">
        <v>-5520.4040160000004</v>
      </c>
      <c r="BZ47" s="138">
        <v>-5630.8120963199999</v>
      </c>
      <c r="CA47" s="138">
        <v>-5630.8120963199999</v>
      </c>
      <c r="CB47" s="138">
        <v>-5630.8120963199999</v>
      </c>
      <c r="CC47" s="138">
        <v>-5630.8120963199999</v>
      </c>
      <c r="CD47" s="138">
        <v>-5630.8120963199999</v>
      </c>
      <c r="CE47" s="138">
        <v>-5630.8120963199999</v>
      </c>
      <c r="CF47" s="138">
        <v>-5630.8120963199999</v>
      </c>
      <c r="CG47" s="138">
        <v>-5630.8120963199999</v>
      </c>
      <c r="CH47" s="138">
        <v>-5630.8120963199999</v>
      </c>
      <c r="CI47" s="138">
        <v>-5630.8120963199999</v>
      </c>
      <c r="CJ47" s="138">
        <v>-5630.8120963199999</v>
      </c>
      <c r="CK47" s="138">
        <v>-5630.8120963199999</v>
      </c>
      <c r="CL47" s="138">
        <v>-5743.4283382464</v>
      </c>
      <c r="CM47" s="138">
        <v>-5743.4283382464</v>
      </c>
      <c r="CN47" s="138">
        <v>-5743.4283382464</v>
      </c>
      <c r="CO47" s="138">
        <v>-5743.4283382464</v>
      </c>
      <c r="CP47" s="138">
        <v>-5743.4283382464</v>
      </c>
      <c r="CQ47" s="138">
        <v>-5743.4283382464</v>
      </c>
      <c r="CR47" s="138">
        <v>-5743.4283382464</v>
      </c>
      <c r="CS47" s="138">
        <v>-5743.4283382464</v>
      </c>
      <c r="CT47" s="138">
        <v>-5743.4283382464</v>
      </c>
      <c r="CU47" s="138">
        <v>-5743.4283382464</v>
      </c>
      <c r="CV47" s="138">
        <v>-5743.4283382464</v>
      </c>
      <c r="CW47" s="138">
        <v>-5743.4283382464</v>
      </c>
      <c r="CX47" s="138">
        <v>-5858.2969050113297</v>
      </c>
      <c r="CY47" s="138">
        <v>-5858.2969050113297</v>
      </c>
      <c r="CZ47" s="138">
        <v>-5858.2969050113297</v>
      </c>
      <c r="DA47" s="138">
        <v>-5858.2969050113297</v>
      </c>
      <c r="DB47" s="138">
        <v>-5858.2969050113297</v>
      </c>
      <c r="DC47" s="138">
        <v>-5858.2969050113297</v>
      </c>
      <c r="DD47" s="138">
        <v>-5858.2969050113297</v>
      </c>
      <c r="DE47" s="138">
        <v>-5858.2969050113297</v>
      </c>
      <c r="DF47" s="138">
        <v>-5858.2969050113297</v>
      </c>
    </row>
    <row r="48" spans="1:110" ht="15" customHeight="1" x14ac:dyDescent="0.25">
      <c r="A48" s="96" t="s">
        <v>91</v>
      </c>
      <c r="C48" s="138">
        <v>-304</v>
      </c>
      <c r="D48" s="138">
        <v>-644.80999999999995</v>
      </c>
      <c r="E48" s="138">
        <v>-304</v>
      </c>
      <c r="F48" s="139">
        <v>-417.6</v>
      </c>
      <c r="G48" s="139">
        <v>-417.6</v>
      </c>
      <c r="H48" s="139">
        <v>-417.6</v>
      </c>
      <c r="I48" s="139">
        <v>-417.6</v>
      </c>
      <c r="J48" s="139">
        <v>-417.6</v>
      </c>
      <c r="K48" s="139">
        <v>-417.6</v>
      </c>
      <c r="L48" s="139">
        <v>-417.6</v>
      </c>
      <c r="M48" s="139">
        <v>-417.6</v>
      </c>
      <c r="N48" s="139">
        <v>-417.6</v>
      </c>
      <c r="O48" s="139">
        <v>-417.6</v>
      </c>
      <c r="P48" s="139">
        <v>-417.6</v>
      </c>
      <c r="Q48" s="139">
        <v>-417.6</v>
      </c>
      <c r="R48" s="139">
        <v>-425.952</v>
      </c>
      <c r="S48" s="139">
        <v>-425.952</v>
      </c>
      <c r="T48" s="139">
        <v>-425.952</v>
      </c>
      <c r="U48" s="139">
        <v>-425.952</v>
      </c>
      <c r="V48" s="139">
        <v>-425.952</v>
      </c>
      <c r="W48" s="139">
        <v>-425.952</v>
      </c>
      <c r="X48" s="139">
        <v>-425.952</v>
      </c>
      <c r="Y48" s="139">
        <v>-425.952</v>
      </c>
      <c r="Z48" s="139">
        <v>-425.952</v>
      </c>
      <c r="AA48" s="139">
        <v>-425.952</v>
      </c>
      <c r="AB48" s="139">
        <v>-425.952</v>
      </c>
      <c r="AC48" s="139">
        <v>-425.952</v>
      </c>
      <c r="AD48" s="139">
        <v>-434.47104000000002</v>
      </c>
      <c r="AE48" s="139">
        <v>-434.47104000000002</v>
      </c>
      <c r="AF48" s="139">
        <v>-434.47104000000002</v>
      </c>
      <c r="AG48" s="139">
        <v>-434.47104000000002</v>
      </c>
      <c r="AH48" s="139">
        <v>-434.47104000000002</v>
      </c>
      <c r="AI48" s="139">
        <v>-434.47104000000002</v>
      </c>
      <c r="AJ48" s="139">
        <v>-434.47104000000002</v>
      </c>
      <c r="AK48" s="139">
        <v>-434.47104000000002</v>
      </c>
      <c r="AL48" s="139">
        <v>-434.47104000000002</v>
      </c>
      <c r="AM48" s="139">
        <v>-434.47104000000002</v>
      </c>
      <c r="AN48" s="139">
        <v>-434.47104000000002</v>
      </c>
      <c r="AO48" s="139">
        <v>-434.47104000000002</v>
      </c>
      <c r="AP48" s="139">
        <v>-443.16046080000001</v>
      </c>
      <c r="AQ48" s="139">
        <v>-443.16046080000001</v>
      </c>
      <c r="AR48" s="139">
        <v>-443.16046080000001</v>
      </c>
      <c r="AS48" s="139">
        <v>-443.16046080000001</v>
      </c>
      <c r="AT48" s="139">
        <v>-443.16046080000001</v>
      </c>
      <c r="AU48" s="139">
        <v>-443.16046080000001</v>
      </c>
      <c r="AV48" s="139">
        <v>-443.16046080000001</v>
      </c>
      <c r="AW48" s="139">
        <v>-443.16046080000001</v>
      </c>
      <c r="AX48" s="139">
        <v>-443.16046080000001</v>
      </c>
      <c r="AY48" s="139">
        <v>-443.16046080000001</v>
      </c>
      <c r="AZ48" s="139">
        <v>-443.16046080000001</v>
      </c>
      <c r="BA48" s="139">
        <v>-443.16046080000001</v>
      </c>
      <c r="BB48" s="139">
        <v>-452.02367001599998</v>
      </c>
      <c r="BC48" s="139">
        <v>-452.02367001599998</v>
      </c>
      <c r="BD48" s="139">
        <v>-452.02367001599998</v>
      </c>
      <c r="BE48" s="139">
        <v>-452.02367001599998</v>
      </c>
      <c r="BF48" s="139">
        <v>-452.02367001599998</v>
      </c>
      <c r="BG48" s="139">
        <v>-452.02367001599998</v>
      </c>
      <c r="BH48" s="139">
        <v>-452.02367001599998</v>
      </c>
      <c r="BI48" s="139">
        <v>-452.02367001599998</v>
      </c>
      <c r="BJ48" s="139">
        <v>-452.02367001599998</v>
      </c>
      <c r="BK48" s="139">
        <v>-452.02367001599998</v>
      </c>
      <c r="BL48" s="139">
        <v>-452.02367001599998</v>
      </c>
      <c r="BM48" s="139">
        <v>-452.02367001599998</v>
      </c>
      <c r="BN48" s="139">
        <v>-461.06414341632001</v>
      </c>
      <c r="BO48" s="139">
        <v>-461.06414341632001</v>
      </c>
      <c r="BP48" s="139">
        <v>-461.06414341632001</v>
      </c>
      <c r="BQ48" s="139">
        <v>-461.06414341632001</v>
      </c>
      <c r="BR48" s="139">
        <v>-461.06414341632001</v>
      </c>
      <c r="BS48" s="139">
        <v>-461.06414341632001</v>
      </c>
      <c r="BT48" s="139">
        <v>-461.06414341632001</v>
      </c>
      <c r="BU48" s="139">
        <v>-461.06414341632001</v>
      </c>
      <c r="BV48" s="139">
        <v>-461.06414341632001</v>
      </c>
      <c r="BW48" s="139">
        <v>-461.06414341632001</v>
      </c>
      <c r="BX48" s="139">
        <v>-461.06414341632001</v>
      </c>
      <c r="BY48" s="139">
        <v>-461.06414341632001</v>
      </c>
      <c r="BZ48" s="139">
        <v>-470.28542628464601</v>
      </c>
      <c r="CA48" s="139">
        <v>-470.28542628464601</v>
      </c>
      <c r="CB48" s="139">
        <v>-470.28542628464601</v>
      </c>
      <c r="CC48" s="139">
        <v>-470.28542628464601</v>
      </c>
      <c r="CD48" s="139">
        <v>-470.28542628464601</v>
      </c>
      <c r="CE48" s="139">
        <v>-470.28542628464601</v>
      </c>
      <c r="CF48" s="139">
        <v>-470.28542628464601</v>
      </c>
      <c r="CG48" s="139">
        <v>-470.28542628464601</v>
      </c>
      <c r="CH48" s="139">
        <v>-470.28542628464601</v>
      </c>
      <c r="CI48" s="139">
        <v>-470.28542628464601</v>
      </c>
      <c r="CJ48" s="139">
        <v>-470.28542628464601</v>
      </c>
      <c r="CK48" s="139">
        <v>-470.28542628464601</v>
      </c>
      <c r="CL48" s="139">
        <v>-479.69113481033901</v>
      </c>
      <c r="CM48" s="139">
        <v>-479.69113481033901</v>
      </c>
      <c r="CN48" s="139">
        <v>-479.69113481033901</v>
      </c>
      <c r="CO48" s="139">
        <v>-479.69113481033901</v>
      </c>
      <c r="CP48" s="139">
        <v>-479.69113481033901</v>
      </c>
      <c r="CQ48" s="139">
        <v>-479.69113481033901</v>
      </c>
      <c r="CR48" s="139">
        <v>-479.69113481033901</v>
      </c>
      <c r="CS48" s="139">
        <v>-479.69113481033901</v>
      </c>
      <c r="CT48" s="139">
        <v>-479.69113481033901</v>
      </c>
      <c r="CU48" s="139">
        <v>-479.69113481033901</v>
      </c>
      <c r="CV48" s="139">
        <v>-479.69113481033901</v>
      </c>
      <c r="CW48" s="139">
        <v>-479.69113481033901</v>
      </c>
      <c r="CX48" s="139">
        <v>-489.28495750654599</v>
      </c>
      <c r="CY48" s="139">
        <v>-489.28495750654599</v>
      </c>
      <c r="CZ48" s="139">
        <v>-489.28495750654599</v>
      </c>
      <c r="DA48" s="139">
        <v>-489.28495750654599</v>
      </c>
      <c r="DB48" s="139">
        <v>-489.28495750654599</v>
      </c>
      <c r="DC48" s="139">
        <v>-489.28495750654599</v>
      </c>
      <c r="DD48" s="139">
        <v>-489.28495750654599</v>
      </c>
      <c r="DE48" s="139">
        <v>-489.28495750654599</v>
      </c>
      <c r="DF48" s="139">
        <v>-489.28495750654599</v>
      </c>
    </row>
    <row r="49" spans="1:110" ht="15" customHeight="1" x14ac:dyDescent="0.25">
      <c r="A49" s="96" t="s">
        <v>92</v>
      </c>
      <c r="C49" s="138">
        <v>0</v>
      </c>
      <c r="D49" s="138">
        <v>-75</v>
      </c>
      <c r="E49" s="138">
        <v>-5</v>
      </c>
      <c r="F49" s="139">
        <v>-26.67</v>
      </c>
      <c r="G49" s="139">
        <v>-26.67</v>
      </c>
      <c r="H49" s="139">
        <v>-26.67</v>
      </c>
      <c r="I49" s="139">
        <v>-26.67</v>
      </c>
      <c r="J49" s="139">
        <v>-26.67</v>
      </c>
      <c r="K49" s="139">
        <v>-26.67</v>
      </c>
      <c r="L49" s="139">
        <v>-26.67</v>
      </c>
      <c r="M49" s="139">
        <v>-26.67</v>
      </c>
      <c r="N49" s="139">
        <v>-26.67</v>
      </c>
      <c r="O49" s="139">
        <v>-26.67</v>
      </c>
      <c r="P49" s="139">
        <v>-26.67</v>
      </c>
      <c r="Q49" s="139">
        <v>-26.67</v>
      </c>
      <c r="R49" s="139">
        <v>-27.203399999999998</v>
      </c>
      <c r="S49" s="139">
        <v>-27.203399999999998</v>
      </c>
      <c r="T49" s="139">
        <v>-27.203399999999998</v>
      </c>
      <c r="U49" s="139">
        <v>-27.203399999999998</v>
      </c>
      <c r="V49" s="139">
        <v>-27.203399999999998</v>
      </c>
      <c r="W49" s="139">
        <v>-27.203399999999998</v>
      </c>
      <c r="X49" s="139">
        <v>-27.203399999999998</v>
      </c>
      <c r="Y49" s="139">
        <v>-27.203399999999998</v>
      </c>
      <c r="Z49" s="139">
        <v>-27.203399999999998</v>
      </c>
      <c r="AA49" s="139">
        <v>-27.203399999999998</v>
      </c>
      <c r="AB49" s="139">
        <v>-27.203399999999998</v>
      </c>
      <c r="AC49" s="139">
        <v>-27.203399999999998</v>
      </c>
      <c r="AD49" s="139">
        <v>-27.747468000000001</v>
      </c>
      <c r="AE49" s="139">
        <v>-27.747468000000001</v>
      </c>
      <c r="AF49" s="139">
        <v>-27.747468000000001</v>
      </c>
      <c r="AG49" s="139">
        <v>-27.747468000000001</v>
      </c>
      <c r="AH49" s="139">
        <v>-27.747468000000001</v>
      </c>
      <c r="AI49" s="139">
        <v>-27.747468000000001</v>
      </c>
      <c r="AJ49" s="139">
        <v>-27.747468000000001</v>
      </c>
      <c r="AK49" s="139">
        <v>-27.747468000000001</v>
      </c>
      <c r="AL49" s="139">
        <v>-27.747468000000001</v>
      </c>
      <c r="AM49" s="139">
        <v>-27.747468000000001</v>
      </c>
      <c r="AN49" s="139">
        <v>-27.747468000000001</v>
      </c>
      <c r="AO49" s="139">
        <v>-27.747468000000001</v>
      </c>
      <c r="AP49" s="139">
        <v>-28.30241736</v>
      </c>
      <c r="AQ49" s="139">
        <v>-28.30241736</v>
      </c>
      <c r="AR49" s="139">
        <v>-28.30241736</v>
      </c>
      <c r="AS49" s="139">
        <v>-28.30241736</v>
      </c>
      <c r="AT49" s="139">
        <v>-28.30241736</v>
      </c>
      <c r="AU49" s="139">
        <v>-28.30241736</v>
      </c>
      <c r="AV49" s="139">
        <v>-28.30241736</v>
      </c>
      <c r="AW49" s="139">
        <v>-28.30241736</v>
      </c>
      <c r="AX49" s="139">
        <v>-28.30241736</v>
      </c>
      <c r="AY49" s="139">
        <v>-28.30241736</v>
      </c>
      <c r="AZ49" s="139">
        <v>-28.30241736</v>
      </c>
      <c r="BA49" s="139">
        <v>-28.30241736</v>
      </c>
      <c r="BB49" s="139">
        <v>-28.868465707199999</v>
      </c>
      <c r="BC49" s="139">
        <v>-28.868465707199999</v>
      </c>
      <c r="BD49" s="139">
        <v>-28.868465707199999</v>
      </c>
      <c r="BE49" s="139">
        <v>-28.868465707199999</v>
      </c>
      <c r="BF49" s="139">
        <v>-28.868465707199999</v>
      </c>
      <c r="BG49" s="139">
        <v>-28.868465707199999</v>
      </c>
      <c r="BH49" s="139">
        <v>-28.868465707199999</v>
      </c>
      <c r="BI49" s="139">
        <v>-28.868465707199999</v>
      </c>
      <c r="BJ49" s="139">
        <v>-28.868465707199999</v>
      </c>
      <c r="BK49" s="139">
        <v>-28.868465707199999</v>
      </c>
      <c r="BL49" s="139">
        <v>-28.868465707199999</v>
      </c>
      <c r="BM49" s="139">
        <v>-28.868465707199999</v>
      </c>
      <c r="BN49" s="139">
        <v>-29.445835021343999</v>
      </c>
      <c r="BO49" s="139">
        <v>-29.445835021343999</v>
      </c>
      <c r="BP49" s="139">
        <v>-29.445835021343999</v>
      </c>
      <c r="BQ49" s="139">
        <v>-29.445835021343999</v>
      </c>
      <c r="BR49" s="139">
        <v>-29.445835021343999</v>
      </c>
      <c r="BS49" s="139">
        <v>-29.445835021343999</v>
      </c>
      <c r="BT49" s="139">
        <v>-29.445835021343999</v>
      </c>
      <c r="BU49" s="139">
        <v>-29.445835021343999</v>
      </c>
      <c r="BV49" s="139">
        <v>-29.445835021343999</v>
      </c>
      <c r="BW49" s="139">
        <v>-29.445835021343999</v>
      </c>
      <c r="BX49" s="139">
        <v>-29.445835021343999</v>
      </c>
      <c r="BY49" s="139">
        <v>-29.445835021343999</v>
      </c>
      <c r="BZ49" s="139">
        <v>-30.034751721770899</v>
      </c>
      <c r="CA49" s="139">
        <v>-30.034751721770899</v>
      </c>
      <c r="CB49" s="139">
        <v>-30.034751721770899</v>
      </c>
      <c r="CC49" s="139">
        <v>-30.034751721770899</v>
      </c>
      <c r="CD49" s="139">
        <v>-30.034751721770899</v>
      </c>
      <c r="CE49" s="139">
        <v>-30.034751721770899</v>
      </c>
      <c r="CF49" s="139">
        <v>-30.034751721770899</v>
      </c>
      <c r="CG49" s="139">
        <v>-30.034751721770899</v>
      </c>
      <c r="CH49" s="139">
        <v>-30.034751721770899</v>
      </c>
      <c r="CI49" s="139">
        <v>-30.034751721770899</v>
      </c>
      <c r="CJ49" s="139">
        <v>-30.034751721770899</v>
      </c>
      <c r="CK49" s="139">
        <v>-30.034751721770899</v>
      </c>
      <c r="CL49" s="139">
        <v>-30.635446756206299</v>
      </c>
      <c r="CM49" s="139">
        <v>-30.635446756206299</v>
      </c>
      <c r="CN49" s="139">
        <v>-30.635446756206299</v>
      </c>
      <c r="CO49" s="139">
        <v>-30.635446756206299</v>
      </c>
      <c r="CP49" s="139">
        <v>-30.635446756206299</v>
      </c>
      <c r="CQ49" s="139">
        <v>-30.635446756206299</v>
      </c>
      <c r="CR49" s="139">
        <v>-30.635446756206299</v>
      </c>
      <c r="CS49" s="139">
        <v>-30.635446756206299</v>
      </c>
      <c r="CT49" s="139">
        <v>-30.635446756206299</v>
      </c>
      <c r="CU49" s="139">
        <v>-30.635446756206299</v>
      </c>
      <c r="CV49" s="139">
        <v>-30.635446756206299</v>
      </c>
      <c r="CW49" s="139">
        <v>-30.635446756206299</v>
      </c>
      <c r="CX49" s="139">
        <v>-31.2481556913304</v>
      </c>
      <c r="CY49" s="139">
        <v>-31.2481556913304</v>
      </c>
      <c r="CZ49" s="139">
        <v>-31.2481556913304</v>
      </c>
      <c r="DA49" s="139">
        <v>-31.2481556913304</v>
      </c>
      <c r="DB49" s="139">
        <v>-31.2481556913304</v>
      </c>
      <c r="DC49" s="139">
        <v>-31.2481556913304</v>
      </c>
      <c r="DD49" s="139">
        <v>-31.2481556913304</v>
      </c>
      <c r="DE49" s="139">
        <v>-31.2481556913304</v>
      </c>
      <c r="DF49" s="139">
        <v>-31.2481556913304</v>
      </c>
    </row>
    <row r="50" spans="1:110" ht="15" customHeight="1" x14ac:dyDescent="0.25">
      <c r="A50" s="96" t="s">
        <v>93</v>
      </c>
      <c r="C50" s="138">
        <v>0</v>
      </c>
      <c r="D50" s="138">
        <v>-63</v>
      </c>
      <c r="E50" s="138">
        <v>0</v>
      </c>
      <c r="F50" s="139">
        <v>-21</v>
      </c>
      <c r="G50" s="139">
        <v>-21</v>
      </c>
      <c r="H50" s="139">
        <v>-21</v>
      </c>
      <c r="I50" s="139">
        <v>-21</v>
      </c>
      <c r="J50" s="139">
        <v>-21</v>
      </c>
      <c r="K50" s="139">
        <v>-21</v>
      </c>
      <c r="L50" s="139">
        <v>-21</v>
      </c>
      <c r="M50" s="139">
        <v>-21</v>
      </c>
      <c r="N50" s="139">
        <v>-21</v>
      </c>
      <c r="O50" s="139">
        <v>-21</v>
      </c>
      <c r="P50" s="139">
        <v>-21</v>
      </c>
      <c r="Q50" s="139">
        <v>-21</v>
      </c>
      <c r="R50" s="139">
        <v>-21.42</v>
      </c>
      <c r="S50" s="139">
        <v>-21.42</v>
      </c>
      <c r="T50" s="139">
        <v>-21.42</v>
      </c>
      <c r="U50" s="139">
        <v>-21.42</v>
      </c>
      <c r="V50" s="139">
        <v>-21.42</v>
      </c>
      <c r="W50" s="139">
        <v>-21.42</v>
      </c>
      <c r="X50" s="139">
        <v>-21.42</v>
      </c>
      <c r="Y50" s="139">
        <v>-21.42</v>
      </c>
      <c r="Z50" s="139">
        <v>-21.42</v>
      </c>
      <c r="AA50" s="139">
        <v>-21.42</v>
      </c>
      <c r="AB50" s="139">
        <v>-21.42</v>
      </c>
      <c r="AC50" s="139">
        <v>-21.42</v>
      </c>
      <c r="AD50" s="139">
        <v>-21.848400000000002</v>
      </c>
      <c r="AE50" s="139">
        <v>-21.848400000000002</v>
      </c>
      <c r="AF50" s="139">
        <v>-21.848400000000002</v>
      </c>
      <c r="AG50" s="139">
        <v>-21.848400000000002</v>
      </c>
      <c r="AH50" s="139">
        <v>-21.848400000000002</v>
      </c>
      <c r="AI50" s="139">
        <v>-21.848400000000002</v>
      </c>
      <c r="AJ50" s="139">
        <v>-21.848400000000002</v>
      </c>
      <c r="AK50" s="139">
        <v>-21.848400000000002</v>
      </c>
      <c r="AL50" s="139">
        <v>-21.848400000000002</v>
      </c>
      <c r="AM50" s="139">
        <v>-21.848400000000002</v>
      </c>
      <c r="AN50" s="139">
        <v>-21.848400000000002</v>
      </c>
      <c r="AO50" s="139">
        <v>-21.848400000000002</v>
      </c>
      <c r="AP50" s="139">
        <v>-22.285367999999998</v>
      </c>
      <c r="AQ50" s="139">
        <v>-22.285367999999998</v>
      </c>
      <c r="AR50" s="139">
        <v>-22.285367999999998</v>
      </c>
      <c r="AS50" s="139">
        <v>-22.285367999999998</v>
      </c>
      <c r="AT50" s="139">
        <v>-22.285367999999998</v>
      </c>
      <c r="AU50" s="139">
        <v>-22.285367999999998</v>
      </c>
      <c r="AV50" s="139">
        <v>-22.285367999999998</v>
      </c>
      <c r="AW50" s="139">
        <v>-22.285367999999998</v>
      </c>
      <c r="AX50" s="139">
        <v>-22.285367999999998</v>
      </c>
      <c r="AY50" s="139">
        <v>-22.285367999999998</v>
      </c>
      <c r="AZ50" s="139">
        <v>-22.285367999999998</v>
      </c>
      <c r="BA50" s="139">
        <v>-22.285367999999998</v>
      </c>
      <c r="BB50" s="139">
        <v>-22.731075359999998</v>
      </c>
      <c r="BC50" s="139">
        <v>-22.731075359999998</v>
      </c>
      <c r="BD50" s="139">
        <v>-22.731075359999998</v>
      </c>
      <c r="BE50" s="139">
        <v>-22.731075359999998</v>
      </c>
      <c r="BF50" s="139">
        <v>-22.731075359999998</v>
      </c>
      <c r="BG50" s="139">
        <v>-22.731075359999998</v>
      </c>
      <c r="BH50" s="139">
        <v>-22.731075359999998</v>
      </c>
      <c r="BI50" s="139">
        <v>-22.731075359999998</v>
      </c>
      <c r="BJ50" s="139">
        <v>-22.731075359999998</v>
      </c>
      <c r="BK50" s="139">
        <v>-22.731075359999998</v>
      </c>
      <c r="BL50" s="139">
        <v>-22.731075359999998</v>
      </c>
      <c r="BM50" s="139">
        <v>-22.731075359999998</v>
      </c>
      <c r="BN50" s="139">
        <v>-23.185696867200001</v>
      </c>
      <c r="BO50" s="139">
        <v>-23.185696867200001</v>
      </c>
      <c r="BP50" s="139">
        <v>-23.185696867200001</v>
      </c>
      <c r="BQ50" s="139">
        <v>-23.185696867200001</v>
      </c>
      <c r="BR50" s="139">
        <v>-23.185696867200001</v>
      </c>
      <c r="BS50" s="139">
        <v>-23.185696867200001</v>
      </c>
      <c r="BT50" s="139">
        <v>-23.185696867200001</v>
      </c>
      <c r="BU50" s="139">
        <v>-23.185696867200001</v>
      </c>
      <c r="BV50" s="139">
        <v>-23.185696867200001</v>
      </c>
      <c r="BW50" s="139">
        <v>-23.185696867200001</v>
      </c>
      <c r="BX50" s="139">
        <v>-23.185696867200001</v>
      </c>
      <c r="BY50" s="139">
        <v>-23.185696867200001</v>
      </c>
      <c r="BZ50" s="139">
        <v>-23.649410804544001</v>
      </c>
      <c r="CA50" s="139">
        <v>-23.649410804544001</v>
      </c>
      <c r="CB50" s="139">
        <v>-23.649410804544001</v>
      </c>
      <c r="CC50" s="139">
        <v>-23.649410804544001</v>
      </c>
      <c r="CD50" s="139">
        <v>-23.649410804544001</v>
      </c>
      <c r="CE50" s="139">
        <v>-23.649410804544001</v>
      </c>
      <c r="CF50" s="139">
        <v>-23.649410804544001</v>
      </c>
      <c r="CG50" s="139">
        <v>-23.649410804544001</v>
      </c>
      <c r="CH50" s="139">
        <v>-23.649410804544001</v>
      </c>
      <c r="CI50" s="139">
        <v>-23.649410804544001</v>
      </c>
      <c r="CJ50" s="139">
        <v>-23.649410804544001</v>
      </c>
      <c r="CK50" s="139">
        <v>-23.649410804544001</v>
      </c>
      <c r="CL50" s="139">
        <v>-24.122399020634901</v>
      </c>
      <c r="CM50" s="139">
        <v>-24.122399020634901</v>
      </c>
      <c r="CN50" s="139">
        <v>-24.122399020634901</v>
      </c>
      <c r="CO50" s="139">
        <v>-24.122399020634901</v>
      </c>
      <c r="CP50" s="139">
        <v>-24.122399020634901</v>
      </c>
      <c r="CQ50" s="139">
        <v>-24.122399020634901</v>
      </c>
      <c r="CR50" s="139">
        <v>-24.122399020634901</v>
      </c>
      <c r="CS50" s="139">
        <v>-24.122399020634901</v>
      </c>
      <c r="CT50" s="139">
        <v>-24.122399020634901</v>
      </c>
      <c r="CU50" s="139">
        <v>-24.122399020634901</v>
      </c>
      <c r="CV50" s="139">
        <v>-24.122399020634901</v>
      </c>
      <c r="CW50" s="139">
        <v>-24.122399020634901</v>
      </c>
      <c r="CX50" s="139">
        <v>-24.604847001047599</v>
      </c>
      <c r="CY50" s="139">
        <v>-24.604847001047599</v>
      </c>
      <c r="CZ50" s="139">
        <v>-24.604847001047599</v>
      </c>
      <c r="DA50" s="139">
        <v>-24.604847001047599</v>
      </c>
      <c r="DB50" s="139">
        <v>-24.604847001047599</v>
      </c>
      <c r="DC50" s="139">
        <v>-24.604847001047599</v>
      </c>
      <c r="DD50" s="139">
        <v>-24.604847001047599</v>
      </c>
      <c r="DE50" s="139">
        <v>-24.604847001047599</v>
      </c>
      <c r="DF50" s="139">
        <v>-24.604847001047599</v>
      </c>
    </row>
    <row r="51" spans="1:110" ht="18" customHeight="1" x14ac:dyDescent="0.25">
      <c r="A51" s="97" t="s">
        <v>94</v>
      </c>
      <c r="B51" s="335"/>
      <c r="C51" s="138">
        <v>0</v>
      </c>
      <c r="D51" s="138">
        <v>0</v>
      </c>
      <c r="E51" s="138">
        <v>0</v>
      </c>
      <c r="F51" s="139">
        <v>0</v>
      </c>
      <c r="G51" s="139">
        <v>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</v>
      </c>
      <c r="Q51" s="139">
        <v>0</v>
      </c>
      <c r="R51" s="139">
        <v>0</v>
      </c>
      <c r="S51" s="139">
        <v>0</v>
      </c>
      <c r="T51" s="139">
        <v>0</v>
      </c>
      <c r="U51" s="139">
        <v>0</v>
      </c>
      <c r="V51" s="139">
        <v>0</v>
      </c>
      <c r="W51" s="139">
        <v>0</v>
      </c>
      <c r="X51" s="139">
        <v>0</v>
      </c>
      <c r="Y51" s="139">
        <v>0</v>
      </c>
      <c r="Z51" s="139">
        <v>0</v>
      </c>
      <c r="AA51" s="139">
        <v>0</v>
      </c>
      <c r="AB51" s="139">
        <v>0</v>
      </c>
      <c r="AC51" s="139">
        <v>0</v>
      </c>
      <c r="AD51" s="139">
        <v>0</v>
      </c>
      <c r="AE51" s="139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9">
        <v>0</v>
      </c>
      <c r="AN51" s="139">
        <v>0</v>
      </c>
      <c r="AO51" s="139">
        <v>0</v>
      </c>
      <c r="AP51" s="139">
        <v>0</v>
      </c>
      <c r="AQ51" s="139">
        <v>0</v>
      </c>
      <c r="AR51" s="139">
        <v>0</v>
      </c>
      <c r="AS51" s="139">
        <v>0</v>
      </c>
      <c r="AT51" s="139">
        <v>0</v>
      </c>
      <c r="AU51" s="139">
        <v>0</v>
      </c>
      <c r="AV51" s="139">
        <v>0</v>
      </c>
      <c r="AW51" s="139">
        <v>0</v>
      </c>
      <c r="AX51" s="139">
        <v>0</v>
      </c>
      <c r="AY51" s="139">
        <v>0</v>
      </c>
      <c r="AZ51" s="139">
        <v>0</v>
      </c>
      <c r="BA51" s="139">
        <v>0</v>
      </c>
      <c r="BB51" s="139">
        <v>0</v>
      </c>
      <c r="BC51" s="139">
        <v>0</v>
      </c>
      <c r="BD51" s="139">
        <v>0</v>
      </c>
      <c r="BE51" s="139">
        <v>0</v>
      </c>
      <c r="BF51" s="139">
        <v>0</v>
      </c>
      <c r="BG51" s="139">
        <v>0</v>
      </c>
      <c r="BH51" s="139">
        <v>0</v>
      </c>
      <c r="BI51" s="139">
        <v>0</v>
      </c>
      <c r="BJ51" s="139">
        <v>0</v>
      </c>
      <c r="BK51" s="139">
        <v>0</v>
      </c>
      <c r="BL51" s="139">
        <v>0</v>
      </c>
      <c r="BM51" s="139">
        <v>0</v>
      </c>
      <c r="BN51" s="139">
        <v>0</v>
      </c>
      <c r="BO51" s="139">
        <v>0</v>
      </c>
      <c r="BP51" s="139">
        <v>0</v>
      </c>
      <c r="BQ51" s="139">
        <v>0</v>
      </c>
      <c r="BR51" s="139">
        <v>0</v>
      </c>
      <c r="BS51" s="139">
        <v>0</v>
      </c>
      <c r="BT51" s="139">
        <v>0</v>
      </c>
      <c r="BU51" s="139">
        <v>0</v>
      </c>
      <c r="BV51" s="139">
        <v>0</v>
      </c>
      <c r="BW51" s="139">
        <v>0</v>
      </c>
      <c r="BX51" s="139">
        <v>0</v>
      </c>
      <c r="BY51" s="139">
        <v>0</v>
      </c>
      <c r="BZ51" s="139">
        <v>0</v>
      </c>
      <c r="CA51" s="139">
        <v>0</v>
      </c>
      <c r="CB51" s="139">
        <v>0</v>
      </c>
      <c r="CC51" s="139">
        <v>0</v>
      </c>
      <c r="CD51" s="139">
        <v>0</v>
      </c>
      <c r="CE51" s="139">
        <v>0</v>
      </c>
      <c r="CF51" s="139">
        <v>0</v>
      </c>
      <c r="CG51" s="139">
        <v>0</v>
      </c>
      <c r="CH51" s="139">
        <v>0</v>
      </c>
      <c r="CI51" s="139">
        <v>0</v>
      </c>
      <c r="CJ51" s="139">
        <v>0</v>
      </c>
      <c r="CK51" s="139">
        <v>0</v>
      </c>
      <c r="CL51" s="139">
        <v>0</v>
      </c>
      <c r="CM51" s="139">
        <v>0</v>
      </c>
      <c r="CN51" s="139">
        <v>0</v>
      </c>
      <c r="CO51" s="139">
        <v>0</v>
      </c>
      <c r="CP51" s="139">
        <v>0</v>
      </c>
      <c r="CQ51" s="139">
        <v>0</v>
      </c>
      <c r="CR51" s="139">
        <v>0</v>
      </c>
      <c r="CS51" s="139">
        <v>0</v>
      </c>
      <c r="CT51" s="139">
        <v>0</v>
      </c>
      <c r="CU51" s="139">
        <v>0</v>
      </c>
      <c r="CV51" s="139">
        <v>0</v>
      </c>
      <c r="CW51" s="139">
        <v>0</v>
      </c>
      <c r="CX51" s="139">
        <v>0</v>
      </c>
      <c r="CY51" s="139">
        <v>0</v>
      </c>
      <c r="CZ51" s="139">
        <v>0</v>
      </c>
      <c r="DA51" s="139">
        <v>0</v>
      </c>
      <c r="DB51" s="139">
        <v>0</v>
      </c>
      <c r="DC51" s="139">
        <v>0</v>
      </c>
      <c r="DD51" s="139">
        <v>0</v>
      </c>
      <c r="DE51" s="139">
        <v>0</v>
      </c>
      <c r="DF51" s="139">
        <v>0</v>
      </c>
    </row>
    <row r="52" spans="1:110" ht="15" customHeight="1" x14ac:dyDescent="0.25">
      <c r="A52" s="103" t="s">
        <v>95</v>
      </c>
      <c r="C52" s="138">
        <v>0</v>
      </c>
      <c r="D52" s="138">
        <v>0</v>
      </c>
      <c r="E52" s="138">
        <v>-11105.35</v>
      </c>
      <c r="F52" s="139">
        <v>-3701.78</v>
      </c>
      <c r="G52" s="139">
        <v>-3701.78</v>
      </c>
      <c r="H52" s="139">
        <v>-3701.78</v>
      </c>
      <c r="I52" s="139">
        <v>-3701.78</v>
      </c>
      <c r="J52" s="139">
        <v>-3701.78</v>
      </c>
      <c r="K52" s="139">
        <v>-3701.78</v>
      </c>
      <c r="L52" s="139">
        <v>-3701.78</v>
      </c>
      <c r="M52" s="139">
        <v>-3701.78</v>
      </c>
      <c r="N52" s="139">
        <v>-3701.78</v>
      </c>
      <c r="O52" s="139">
        <v>-3701.78</v>
      </c>
      <c r="P52" s="139">
        <v>-3701.78</v>
      </c>
      <c r="Q52" s="139">
        <v>-3701.78</v>
      </c>
      <c r="R52" s="139">
        <v>-3775.8155999999999</v>
      </c>
      <c r="S52" s="139">
        <v>-3775.8155999999999</v>
      </c>
      <c r="T52" s="139">
        <v>-3775.8155999999999</v>
      </c>
      <c r="U52" s="139">
        <v>-3775.8155999999999</v>
      </c>
      <c r="V52" s="139">
        <v>-3775.8155999999999</v>
      </c>
      <c r="W52" s="139">
        <v>-3775.8155999999999</v>
      </c>
      <c r="X52" s="139">
        <v>-3775.8155999999999</v>
      </c>
      <c r="Y52" s="139">
        <v>-3775.8155999999999</v>
      </c>
      <c r="Z52" s="139">
        <v>-3775.8155999999999</v>
      </c>
      <c r="AA52" s="139">
        <v>-3775.8155999999999</v>
      </c>
      <c r="AB52" s="139">
        <v>-3775.8155999999999</v>
      </c>
      <c r="AC52" s="139">
        <v>-3775.8155999999999</v>
      </c>
      <c r="AD52" s="139">
        <v>-3851.3319120000001</v>
      </c>
      <c r="AE52" s="139">
        <v>-3851.3319120000001</v>
      </c>
      <c r="AF52" s="139">
        <v>-3851.3319120000001</v>
      </c>
      <c r="AG52" s="139">
        <v>-3851.3319120000001</v>
      </c>
      <c r="AH52" s="139">
        <v>-3851.3319120000001</v>
      </c>
      <c r="AI52" s="139">
        <v>-3851.3319120000001</v>
      </c>
      <c r="AJ52" s="139">
        <v>-3851.3319120000001</v>
      </c>
      <c r="AK52" s="139">
        <v>-3851.3319120000001</v>
      </c>
      <c r="AL52" s="139">
        <v>-3851.3319120000001</v>
      </c>
      <c r="AM52" s="139">
        <v>-3851.3319120000001</v>
      </c>
      <c r="AN52" s="139">
        <v>-3851.3319120000001</v>
      </c>
      <c r="AO52" s="139">
        <v>-3851.3319120000001</v>
      </c>
      <c r="AP52" s="139">
        <v>-3928.3585502400001</v>
      </c>
      <c r="AQ52" s="139">
        <v>-3928.3585502400001</v>
      </c>
      <c r="AR52" s="139">
        <v>-3928.3585502400001</v>
      </c>
      <c r="AS52" s="139">
        <v>-3928.3585502400001</v>
      </c>
      <c r="AT52" s="139">
        <v>-3928.3585502400001</v>
      </c>
      <c r="AU52" s="139">
        <v>-3928.3585502400001</v>
      </c>
      <c r="AV52" s="139">
        <v>-3928.3585502400001</v>
      </c>
      <c r="AW52" s="139">
        <v>-3928.3585502400001</v>
      </c>
      <c r="AX52" s="139">
        <v>-3928.3585502400001</v>
      </c>
      <c r="AY52" s="139">
        <v>-3928.3585502400001</v>
      </c>
      <c r="AZ52" s="139">
        <v>-3928.3585502400001</v>
      </c>
      <c r="BA52" s="139">
        <v>-3928.3585502400001</v>
      </c>
      <c r="BB52" s="139">
        <v>-4006.9257212448001</v>
      </c>
      <c r="BC52" s="139">
        <v>-4006.9257212448001</v>
      </c>
      <c r="BD52" s="139">
        <v>-4006.9257212448001</v>
      </c>
      <c r="BE52" s="139">
        <v>-4006.9257212448001</v>
      </c>
      <c r="BF52" s="139">
        <v>-4006.9257212448001</v>
      </c>
      <c r="BG52" s="139">
        <v>-4006.9257212448001</v>
      </c>
      <c r="BH52" s="139">
        <v>-4006.9257212448001</v>
      </c>
      <c r="BI52" s="139">
        <v>-4006.9257212448001</v>
      </c>
      <c r="BJ52" s="139">
        <v>-4006.9257212448001</v>
      </c>
      <c r="BK52" s="139">
        <v>-4006.9257212448001</v>
      </c>
      <c r="BL52" s="139">
        <v>-4006.9257212448001</v>
      </c>
      <c r="BM52" s="139">
        <v>-4006.9257212448001</v>
      </c>
      <c r="BN52" s="139">
        <v>-4087.0642356696999</v>
      </c>
      <c r="BO52" s="139">
        <v>-4087.0642356696999</v>
      </c>
      <c r="BP52" s="139">
        <v>-4087.0642356696999</v>
      </c>
      <c r="BQ52" s="139">
        <v>-4087.0642356696999</v>
      </c>
      <c r="BR52" s="139">
        <v>-4087.0642356696999</v>
      </c>
      <c r="BS52" s="139">
        <v>-4087.0642356696999</v>
      </c>
      <c r="BT52" s="139">
        <v>-4087.0642356696999</v>
      </c>
      <c r="BU52" s="139">
        <v>-4087.0642356696999</v>
      </c>
      <c r="BV52" s="139">
        <v>-4087.0642356696999</v>
      </c>
      <c r="BW52" s="139">
        <v>-4087.0642356696999</v>
      </c>
      <c r="BX52" s="139">
        <v>-4087.0642356696999</v>
      </c>
      <c r="BY52" s="139">
        <v>-4087.0642356696999</v>
      </c>
      <c r="BZ52" s="139">
        <v>-4168.80552038309</v>
      </c>
      <c r="CA52" s="139">
        <v>-4168.80552038309</v>
      </c>
      <c r="CB52" s="139">
        <v>-4168.80552038309</v>
      </c>
      <c r="CC52" s="139">
        <v>-4168.80552038309</v>
      </c>
      <c r="CD52" s="139">
        <v>-4168.80552038309</v>
      </c>
      <c r="CE52" s="139">
        <v>-4168.80552038309</v>
      </c>
      <c r="CF52" s="139">
        <v>-4168.80552038309</v>
      </c>
      <c r="CG52" s="139">
        <v>-4168.80552038309</v>
      </c>
      <c r="CH52" s="139">
        <v>-4168.80552038309</v>
      </c>
      <c r="CI52" s="139">
        <v>-4168.80552038309</v>
      </c>
      <c r="CJ52" s="139">
        <v>-4168.80552038309</v>
      </c>
      <c r="CK52" s="139">
        <v>-4168.80552038309</v>
      </c>
      <c r="CL52" s="139">
        <v>-4252.1816307907502</v>
      </c>
      <c r="CM52" s="139">
        <v>-4252.1816307907502</v>
      </c>
      <c r="CN52" s="139">
        <v>-4252.1816307907502</v>
      </c>
      <c r="CO52" s="139">
        <v>-4252.1816307907502</v>
      </c>
      <c r="CP52" s="139">
        <v>-4252.1816307907502</v>
      </c>
      <c r="CQ52" s="139">
        <v>-4252.1816307907502</v>
      </c>
      <c r="CR52" s="139">
        <v>-4252.1816307907502</v>
      </c>
      <c r="CS52" s="139">
        <v>-4252.1816307907502</v>
      </c>
      <c r="CT52" s="139">
        <v>-4252.1816307907502</v>
      </c>
      <c r="CU52" s="139">
        <v>-4252.1816307907502</v>
      </c>
      <c r="CV52" s="139">
        <v>-4252.1816307907502</v>
      </c>
      <c r="CW52" s="139">
        <v>-4252.1816307907502</v>
      </c>
      <c r="CX52" s="139">
        <v>-4337.2252634065699</v>
      </c>
      <c r="CY52" s="139">
        <v>-4337.2252634065699</v>
      </c>
      <c r="CZ52" s="139">
        <v>-4337.2252634065699</v>
      </c>
      <c r="DA52" s="139">
        <v>-4337.2252634065699</v>
      </c>
      <c r="DB52" s="139">
        <v>-4337.2252634065699</v>
      </c>
      <c r="DC52" s="139">
        <v>-4337.2252634065699</v>
      </c>
      <c r="DD52" s="139">
        <v>-4337.2252634065699</v>
      </c>
      <c r="DE52" s="139">
        <v>-4337.2252634065699</v>
      </c>
      <c r="DF52" s="139">
        <v>-4337.2252634065699</v>
      </c>
    </row>
    <row r="53" spans="1:110" ht="15" customHeight="1" x14ac:dyDescent="0.25">
      <c r="A53" s="103" t="s">
        <v>234</v>
      </c>
      <c r="C53" s="138">
        <v>0</v>
      </c>
      <c r="D53" s="138">
        <v>0</v>
      </c>
      <c r="E53" s="138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0</v>
      </c>
      <c r="M53" s="139">
        <v>0</v>
      </c>
      <c r="N53" s="139">
        <v>0</v>
      </c>
      <c r="O53" s="139">
        <v>0</v>
      </c>
      <c r="P53" s="139">
        <v>0</v>
      </c>
      <c r="Q53" s="139">
        <v>0</v>
      </c>
      <c r="R53" s="139">
        <v>0</v>
      </c>
      <c r="S53" s="139">
        <v>0</v>
      </c>
      <c r="T53" s="139">
        <v>0</v>
      </c>
      <c r="U53" s="139">
        <v>0</v>
      </c>
      <c r="V53" s="139">
        <v>0</v>
      </c>
      <c r="W53" s="139">
        <v>0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  <c r="AC53" s="139">
        <v>0</v>
      </c>
      <c r="AD53" s="139">
        <v>0</v>
      </c>
      <c r="AE53" s="139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9">
        <v>0</v>
      </c>
      <c r="AN53" s="139">
        <v>0</v>
      </c>
      <c r="AO53" s="139">
        <v>0</v>
      </c>
      <c r="AP53" s="139">
        <v>0</v>
      </c>
      <c r="AQ53" s="139">
        <v>0</v>
      </c>
      <c r="AR53" s="139">
        <v>0</v>
      </c>
      <c r="AS53" s="139">
        <v>0</v>
      </c>
      <c r="AT53" s="139">
        <v>0</v>
      </c>
      <c r="AU53" s="139">
        <v>0</v>
      </c>
      <c r="AV53" s="139">
        <v>0</v>
      </c>
      <c r="AW53" s="139">
        <v>0</v>
      </c>
      <c r="AX53" s="139">
        <v>0</v>
      </c>
      <c r="AY53" s="139">
        <v>0</v>
      </c>
      <c r="AZ53" s="139">
        <v>0</v>
      </c>
      <c r="BA53" s="139">
        <v>0</v>
      </c>
      <c r="BB53" s="139">
        <v>0</v>
      </c>
      <c r="BC53" s="139">
        <v>0</v>
      </c>
      <c r="BD53" s="139">
        <v>0</v>
      </c>
      <c r="BE53" s="139">
        <v>0</v>
      </c>
      <c r="BF53" s="139">
        <v>0</v>
      </c>
      <c r="BG53" s="139">
        <v>0</v>
      </c>
      <c r="BH53" s="139">
        <v>0</v>
      </c>
      <c r="BI53" s="139">
        <v>0</v>
      </c>
      <c r="BJ53" s="139">
        <v>0</v>
      </c>
      <c r="BK53" s="139">
        <v>0</v>
      </c>
      <c r="BL53" s="139">
        <v>0</v>
      </c>
      <c r="BM53" s="139">
        <v>0</v>
      </c>
      <c r="BN53" s="139">
        <v>0</v>
      </c>
      <c r="BO53" s="139">
        <v>0</v>
      </c>
      <c r="BP53" s="139">
        <v>0</v>
      </c>
      <c r="BQ53" s="139">
        <v>0</v>
      </c>
      <c r="BR53" s="139">
        <v>0</v>
      </c>
      <c r="BS53" s="139">
        <v>0</v>
      </c>
      <c r="BT53" s="139">
        <v>0</v>
      </c>
      <c r="BU53" s="139">
        <v>0</v>
      </c>
      <c r="BV53" s="139">
        <v>0</v>
      </c>
      <c r="BW53" s="139">
        <v>0</v>
      </c>
      <c r="BX53" s="139">
        <v>0</v>
      </c>
      <c r="BY53" s="139">
        <v>0</v>
      </c>
      <c r="BZ53" s="139">
        <v>0</v>
      </c>
      <c r="CA53" s="139">
        <v>0</v>
      </c>
      <c r="CB53" s="139">
        <v>0</v>
      </c>
      <c r="CC53" s="139">
        <v>0</v>
      </c>
      <c r="CD53" s="139">
        <v>0</v>
      </c>
      <c r="CE53" s="139">
        <v>0</v>
      </c>
      <c r="CF53" s="139">
        <v>0</v>
      </c>
      <c r="CG53" s="139">
        <v>0</v>
      </c>
      <c r="CH53" s="139">
        <v>0</v>
      </c>
      <c r="CI53" s="139">
        <v>0</v>
      </c>
      <c r="CJ53" s="139">
        <v>0</v>
      </c>
      <c r="CK53" s="139">
        <v>0</v>
      </c>
      <c r="CL53" s="139">
        <v>0</v>
      </c>
      <c r="CM53" s="139">
        <v>0</v>
      </c>
      <c r="CN53" s="139">
        <v>0</v>
      </c>
      <c r="CO53" s="139">
        <v>0</v>
      </c>
      <c r="CP53" s="139">
        <v>0</v>
      </c>
      <c r="CQ53" s="139">
        <v>0</v>
      </c>
      <c r="CR53" s="139">
        <v>0</v>
      </c>
      <c r="CS53" s="139">
        <v>0</v>
      </c>
      <c r="CT53" s="139">
        <v>0</v>
      </c>
      <c r="CU53" s="139">
        <v>0</v>
      </c>
      <c r="CV53" s="139">
        <v>0</v>
      </c>
      <c r="CW53" s="139">
        <v>0</v>
      </c>
      <c r="CX53" s="139">
        <v>0</v>
      </c>
      <c r="CY53" s="139">
        <v>0</v>
      </c>
      <c r="CZ53" s="139">
        <v>0</v>
      </c>
      <c r="DA53" s="139">
        <v>0</v>
      </c>
      <c r="DB53" s="139">
        <v>0</v>
      </c>
      <c r="DC53" s="139">
        <v>0</v>
      </c>
      <c r="DD53" s="139">
        <v>0</v>
      </c>
      <c r="DE53" s="139">
        <v>0</v>
      </c>
      <c r="DF53" s="139">
        <v>0</v>
      </c>
    </row>
    <row r="54" spans="1:110" ht="15" customHeight="1" x14ac:dyDescent="0.25">
      <c r="A54" s="99" t="s">
        <v>27</v>
      </c>
      <c r="C54" s="141">
        <v>-258991.59</v>
      </c>
      <c r="D54" s="141">
        <v>-258698.63</v>
      </c>
      <c r="E54" s="141">
        <v>-350327.83</v>
      </c>
      <c r="F54" s="141">
        <v>-391691.55833333329</v>
      </c>
      <c r="G54" s="141">
        <v>-464089.47499999963</v>
      </c>
      <c r="H54" s="141">
        <v>-493464.47499999963</v>
      </c>
      <c r="I54" s="141">
        <v>-480368.64166666602</v>
      </c>
      <c r="J54" s="141">
        <v>-460868.64166666602</v>
      </c>
      <c r="K54" s="141">
        <v>-460868.64166666602</v>
      </c>
      <c r="L54" s="141">
        <v>-522222.80833333329</v>
      </c>
      <c r="M54" s="141">
        <v>-573072.80833333335</v>
      </c>
      <c r="N54" s="141">
        <v>-519072.80833333329</v>
      </c>
      <c r="O54" s="141">
        <v>-519072.80833333329</v>
      </c>
      <c r="P54" s="141">
        <v>-519072.80833333329</v>
      </c>
      <c r="Q54" s="141">
        <v>-519072.80833333329</v>
      </c>
      <c r="R54" s="141">
        <v>-566949.59783333319</v>
      </c>
      <c r="S54" s="141">
        <v>-542949.59783333307</v>
      </c>
      <c r="T54" s="141">
        <v>-542949.59783333307</v>
      </c>
      <c r="U54" s="141">
        <v>-542949.59783333307</v>
      </c>
      <c r="V54" s="141">
        <v>-542949.59783333307</v>
      </c>
      <c r="W54" s="141">
        <v>-542949.59783333307</v>
      </c>
      <c r="X54" s="141">
        <v>-542949.59783333307</v>
      </c>
      <c r="Y54" s="141">
        <v>-542949.59783333307</v>
      </c>
      <c r="Z54" s="141">
        <v>-542949.59783333307</v>
      </c>
      <c r="AA54" s="141">
        <v>-542949.59783333307</v>
      </c>
      <c r="AB54" s="141">
        <v>-542949.59783333307</v>
      </c>
      <c r="AC54" s="141">
        <v>-542949.59783333307</v>
      </c>
      <c r="AD54" s="141">
        <v>-551731.92312333302</v>
      </c>
      <c r="AE54" s="141">
        <v>-551731.92312333302</v>
      </c>
      <c r="AF54" s="141">
        <v>-551731.92312333302</v>
      </c>
      <c r="AG54" s="141">
        <v>-551731.92312333302</v>
      </c>
      <c r="AH54" s="141">
        <v>-551731.92312333302</v>
      </c>
      <c r="AI54" s="141">
        <v>-551731.92312333302</v>
      </c>
      <c r="AJ54" s="141">
        <v>-551731.92312333302</v>
      </c>
      <c r="AK54" s="141">
        <v>-551731.92312333302</v>
      </c>
      <c r="AL54" s="141">
        <v>-551731.92312333302</v>
      </c>
      <c r="AM54" s="141">
        <v>-551731.92312333302</v>
      </c>
      <c r="AN54" s="141">
        <v>-551731.92312333302</v>
      </c>
      <c r="AO54" s="141">
        <v>-551731.92312333302</v>
      </c>
      <c r="AP54" s="141">
        <v>-560689.89491913316</v>
      </c>
      <c r="AQ54" s="141">
        <v>-560689.89491913316</v>
      </c>
      <c r="AR54" s="141">
        <v>-560689.89491913316</v>
      </c>
      <c r="AS54" s="141">
        <v>-560689.89491913316</v>
      </c>
      <c r="AT54" s="141">
        <v>-560689.89491913316</v>
      </c>
      <c r="AU54" s="141">
        <v>-560689.89491913316</v>
      </c>
      <c r="AV54" s="141">
        <v>-560689.89491913316</v>
      </c>
      <c r="AW54" s="141">
        <v>-560689.89491913316</v>
      </c>
      <c r="AX54" s="141">
        <v>-560689.89491913316</v>
      </c>
      <c r="AY54" s="141">
        <v>-560689.89491913316</v>
      </c>
      <c r="AZ54" s="141">
        <v>-560689.89491913316</v>
      </c>
      <c r="BA54" s="141">
        <v>-560689.89491913316</v>
      </c>
      <c r="BB54" s="141">
        <v>-569827.02615084883</v>
      </c>
      <c r="BC54" s="141">
        <v>-569827.02615084883</v>
      </c>
      <c r="BD54" s="141">
        <v>-569827.02615084883</v>
      </c>
      <c r="BE54" s="141">
        <v>-569827.02615084883</v>
      </c>
      <c r="BF54" s="141">
        <v>-569827.02615084883</v>
      </c>
      <c r="BG54" s="141">
        <v>-569827.02615084883</v>
      </c>
      <c r="BH54" s="141">
        <v>-569827.02615084883</v>
      </c>
      <c r="BI54" s="141">
        <v>-569827.02615084883</v>
      </c>
      <c r="BJ54" s="141">
        <v>-569827.02615084883</v>
      </c>
      <c r="BK54" s="141">
        <v>-569827.02615084883</v>
      </c>
      <c r="BL54" s="141">
        <v>-569827.02615084883</v>
      </c>
      <c r="BM54" s="141">
        <v>-569827.02615084883</v>
      </c>
      <c r="BN54" s="141">
        <v>-579146.90000719926</v>
      </c>
      <c r="BO54" s="141">
        <v>-579146.90000719926</v>
      </c>
      <c r="BP54" s="141">
        <v>-579146.90000719926</v>
      </c>
      <c r="BQ54" s="141">
        <v>-579146.90000719926</v>
      </c>
      <c r="BR54" s="141">
        <v>-579146.90000719926</v>
      </c>
      <c r="BS54" s="141">
        <v>-579146.90000719926</v>
      </c>
      <c r="BT54" s="141">
        <v>-579146.90000719926</v>
      </c>
      <c r="BU54" s="141">
        <v>-579146.90000719926</v>
      </c>
      <c r="BV54" s="141">
        <v>-579146.90000719926</v>
      </c>
      <c r="BW54" s="141">
        <v>-579146.90000719926</v>
      </c>
      <c r="BX54" s="141">
        <v>-579146.90000719926</v>
      </c>
      <c r="BY54" s="141">
        <v>-579146.90000719926</v>
      </c>
      <c r="BZ54" s="141">
        <v>-588653.17134067649</v>
      </c>
      <c r="CA54" s="141">
        <v>-588653.17134067649</v>
      </c>
      <c r="CB54" s="141">
        <v>-588653.17134067649</v>
      </c>
      <c r="CC54" s="141">
        <v>-588653.17134067649</v>
      </c>
      <c r="CD54" s="141">
        <v>-588653.17134067649</v>
      </c>
      <c r="CE54" s="141">
        <v>-588653.17134067649</v>
      </c>
      <c r="CF54" s="141">
        <v>-588653.17134067649</v>
      </c>
      <c r="CG54" s="141">
        <v>-588653.17134067649</v>
      </c>
      <c r="CH54" s="141">
        <v>-588653.17134067649</v>
      </c>
      <c r="CI54" s="141">
        <v>-588653.17134067649</v>
      </c>
      <c r="CJ54" s="141">
        <v>-588653.17134067649</v>
      </c>
      <c r="CK54" s="141">
        <v>-588653.17134067649</v>
      </c>
      <c r="CL54" s="141">
        <v>-598349.56810082344</v>
      </c>
      <c r="CM54" s="141">
        <v>-598349.56810082344</v>
      </c>
      <c r="CN54" s="141">
        <v>-598349.56810082344</v>
      </c>
      <c r="CO54" s="141">
        <v>-598349.56810082344</v>
      </c>
      <c r="CP54" s="141">
        <v>-598349.56810082344</v>
      </c>
      <c r="CQ54" s="141">
        <v>-598349.56810082344</v>
      </c>
      <c r="CR54" s="141">
        <v>-598349.56810082344</v>
      </c>
      <c r="CS54" s="141">
        <v>-598349.56810082344</v>
      </c>
      <c r="CT54" s="141">
        <v>-598349.56810082344</v>
      </c>
      <c r="CU54" s="141">
        <v>-541129.46673347289</v>
      </c>
      <c r="CV54" s="141">
        <v>-541129.46673347289</v>
      </c>
      <c r="CW54" s="141">
        <v>-541129.46673347289</v>
      </c>
      <c r="CX54" s="141">
        <v>-549875.38940147636</v>
      </c>
      <c r="CY54" s="141">
        <v>-549875.38940147636</v>
      </c>
      <c r="CZ54" s="141">
        <v>-549875.38940147636</v>
      </c>
      <c r="DA54" s="141">
        <v>-549875.38940147636</v>
      </c>
      <c r="DB54" s="141">
        <v>-549875.38940147636</v>
      </c>
      <c r="DC54" s="141">
        <v>-549875.38940147636</v>
      </c>
      <c r="DD54" s="141">
        <v>-549875.38940147636</v>
      </c>
      <c r="DE54" s="141">
        <v>-549875.38940147636</v>
      </c>
      <c r="DF54" s="141">
        <v>-549875.38940147636</v>
      </c>
    </row>
    <row r="55" spans="1:110" ht="15" customHeight="1" x14ac:dyDescent="0.25">
      <c r="A55" s="136"/>
      <c r="C55" s="335"/>
      <c r="D55" s="335"/>
      <c r="E55" s="335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</row>
    <row r="56" spans="1:110" ht="15" customHeight="1" x14ac:dyDescent="0.25">
      <c r="A56" s="97" t="s">
        <v>28</v>
      </c>
      <c r="C56" s="143">
        <v>-40238.779999999941</v>
      </c>
      <c r="D56" s="143">
        <v>-309702.09999999969</v>
      </c>
      <c r="E56" s="143">
        <v>243856.69000000021</v>
      </c>
      <c r="F56" s="143">
        <v>77193.507920936914</v>
      </c>
      <c r="G56" s="143">
        <v>4795.5912542599253</v>
      </c>
      <c r="H56" s="143">
        <v>-24579.408745739609</v>
      </c>
      <c r="I56" s="143">
        <v>478888.75278791331</v>
      </c>
      <c r="J56" s="143">
        <v>171828.54798791339</v>
      </c>
      <c r="K56" s="143">
        <v>171828.54798791339</v>
      </c>
      <c r="L56" s="143">
        <v>476879.11662352638</v>
      </c>
      <c r="M56" s="143">
        <v>507880.0506309073</v>
      </c>
      <c r="N56" s="143">
        <v>255504.9665448165</v>
      </c>
      <c r="O56" s="143">
        <v>255504.96654482669</v>
      </c>
      <c r="P56" s="143">
        <v>255504.96654482669</v>
      </c>
      <c r="Q56" s="143">
        <v>255504.9665448165</v>
      </c>
      <c r="R56" s="143">
        <v>-411966.09389796283</v>
      </c>
      <c r="S56" s="143">
        <v>404202.38110202691</v>
      </c>
      <c r="T56" s="143">
        <v>562864.25938823773</v>
      </c>
      <c r="U56" s="143">
        <v>324683.81218412751</v>
      </c>
      <c r="V56" s="143">
        <v>59005.06060736673</v>
      </c>
      <c r="W56" s="143">
        <v>59005.060607367661</v>
      </c>
      <c r="X56" s="143">
        <v>80815.365047116298</v>
      </c>
      <c r="Y56" s="143">
        <v>37194.756167617161</v>
      </c>
      <c r="Z56" s="143">
        <v>37194.75616761623</v>
      </c>
      <c r="AA56" s="143">
        <v>37194.756167617161</v>
      </c>
      <c r="AB56" s="143">
        <v>37194.75616761623</v>
      </c>
      <c r="AC56" s="143">
        <v>37194.756167617161</v>
      </c>
      <c r="AD56" s="143">
        <v>110433.44672021701</v>
      </c>
      <c r="AE56" s="143">
        <v>-53608.584964982583</v>
      </c>
      <c r="AF56" s="143">
        <v>-619655.0040964334</v>
      </c>
      <c r="AG56" s="143">
        <v>104051.0559035671</v>
      </c>
      <c r="AH56" s="143">
        <v>104051.0559035671</v>
      </c>
      <c r="AI56" s="143">
        <v>104051.0559035671</v>
      </c>
      <c r="AJ56" s="143">
        <v>232047.18547131689</v>
      </c>
      <c r="AK56" s="143">
        <v>2720.7866624268941</v>
      </c>
      <c r="AL56" s="143">
        <v>261371.5078208271</v>
      </c>
      <c r="AM56" s="143">
        <v>-161091.33673789291</v>
      </c>
      <c r="AN56" s="143">
        <v>-161091.33673789291</v>
      </c>
      <c r="AO56" s="143">
        <v>-65712.27127524314</v>
      </c>
      <c r="AP56" s="143">
        <v>-230456.04999337331</v>
      </c>
      <c r="AQ56" s="143">
        <v>-230456.0499933729</v>
      </c>
      <c r="AR56" s="143">
        <v>-230456.0499933729</v>
      </c>
      <c r="AS56" s="143">
        <v>-230456.04999337331</v>
      </c>
      <c r="AT56" s="143">
        <v>-230456.0499933729</v>
      </c>
      <c r="AU56" s="143">
        <v>42029.535360126873</v>
      </c>
      <c r="AV56" s="143">
        <v>-403030.25405058317</v>
      </c>
      <c r="AW56" s="143">
        <v>-403030.254050583</v>
      </c>
      <c r="AX56" s="143">
        <v>-403030.25405058317</v>
      </c>
      <c r="AY56" s="143">
        <v>-403030.25405058317</v>
      </c>
      <c r="AZ56" s="143">
        <v>-403030.254050583</v>
      </c>
      <c r="BA56" s="143">
        <v>-403030.254050583</v>
      </c>
      <c r="BB56" s="143">
        <v>-412167.3852822989</v>
      </c>
      <c r="BC56" s="143">
        <v>-412167.38528229872</v>
      </c>
      <c r="BD56" s="143">
        <v>-412167.3852822989</v>
      </c>
      <c r="BE56" s="143">
        <v>-412167.38528230193</v>
      </c>
      <c r="BF56" s="143">
        <v>-412167.38528230181</v>
      </c>
      <c r="BG56" s="143">
        <v>-412167.38528230181</v>
      </c>
      <c r="BH56" s="143">
        <v>-412167.38528230181</v>
      </c>
      <c r="BI56" s="143">
        <v>-163231.1102267018</v>
      </c>
      <c r="BJ56" s="143">
        <v>-569827.02615084883</v>
      </c>
      <c r="BK56" s="143">
        <v>-569827.02615084883</v>
      </c>
      <c r="BL56" s="143">
        <v>-569827.02615084883</v>
      </c>
      <c r="BM56" s="143">
        <v>-569827.02615084883</v>
      </c>
      <c r="BN56" s="143">
        <v>-579146.90000719926</v>
      </c>
      <c r="BO56" s="143">
        <v>-579146.90000719926</v>
      </c>
      <c r="BP56" s="143">
        <v>-579146.90000719926</v>
      </c>
      <c r="BQ56" s="143">
        <v>-579146.90000719926</v>
      </c>
      <c r="BR56" s="143">
        <v>-579146.90000719926</v>
      </c>
      <c r="BS56" s="143">
        <v>-579146.90000719926</v>
      </c>
      <c r="BT56" s="143">
        <v>-579146.90000719926</v>
      </c>
      <c r="BU56" s="143">
        <v>-579146.90000719926</v>
      </c>
      <c r="BV56" s="143">
        <v>-579146.90000719926</v>
      </c>
      <c r="BW56" s="143">
        <v>-579146.90000719926</v>
      </c>
      <c r="BX56" s="143">
        <v>-579146.90000719926</v>
      </c>
      <c r="BY56" s="143">
        <v>-579146.90000719926</v>
      </c>
      <c r="BZ56" s="143">
        <v>-588653.17134067649</v>
      </c>
      <c r="CA56" s="143">
        <v>-588653.17134067649</v>
      </c>
      <c r="CB56" s="143">
        <v>-588653.17134067649</v>
      </c>
      <c r="CC56" s="143">
        <v>-588653.17134067649</v>
      </c>
      <c r="CD56" s="143">
        <v>-588653.17134067649</v>
      </c>
      <c r="CE56" s="143">
        <v>-588653.17134067649</v>
      </c>
      <c r="CF56" s="143">
        <v>-588653.17134067649</v>
      </c>
      <c r="CG56" s="143">
        <v>-588653.17134067649</v>
      </c>
      <c r="CH56" s="143">
        <v>-588653.17134067649</v>
      </c>
      <c r="CI56" s="143">
        <v>-588653.17134067649</v>
      </c>
      <c r="CJ56" s="143">
        <v>-588653.17134067649</v>
      </c>
      <c r="CK56" s="143">
        <v>-588653.17134067649</v>
      </c>
      <c r="CL56" s="143">
        <v>-598349.56810082344</v>
      </c>
      <c r="CM56" s="143">
        <v>-598349.56810082344</v>
      </c>
      <c r="CN56" s="143">
        <v>-598349.56810082344</v>
      </c>
      <c r="CO56" s="143">
        <v>-598349.56810082344</v>
      </c>
      <c r="CP56" s="143">
        <v>-598349.56810082344</v>
      </c>
      <c r="CQ56" s="143">
        <v>-598349.56810082344</v>
      </c>
      <c r="CR56" s="143">
        <v>-598349.56810082344</v>
      </c>
      <c r="CS56" s="143">
        <v>-598349.56810082344</v>
      </c>
      <c r="CT56" s="143">
        <v>-598349.56810082344</v>
      </c>
      <c r="CU56" s="143">
        <v>-541129.46673347289</v>
      </c>
      <c r="CV56" s="143">
        <v>-541129.46673347289</v>
      </c>
      <c r="CW56" s="143">
        <v>-541129.46673347289</v>
      </c>
      <c r="CX56" s="143">
        <v>-549875.38940147636</v>
      </c>
      <c r="CY56" s="143">
        <v>-549875.38940147636</v>
      </c>
      <c r="CZ56" s="143">
        <v>-549875.38940147636</v>
      </c>
      <c r="DA56" s="143">
        <v>-549875.38940147636</v>
      </c>
      <c r="DB56" s="143">
        <v>-549875.38940147636</v>
      </c>
      <c r="DC56" s="143">
        <v>-549875.38940147636</v>
      </c>
      <c r="DD56" s="143">
        <v>-549875.38940147636</v>
      </c>
      <c r="DE56" s="143">
        <v>-549875.38940147636</v>
      </c>
      <c r="DF56" s="143">
        <v>-549875.38940147636</v>
      </c>
    </row>
    <row r="57" spans="1:110" ht="15" customHeight="1" x14ac:dyDescent="0.25">
      <c r="A57" s="136"/>
      <c r="C57" s="335"/>
      <c r="D57" s="335"/>
      <c r="E57" s="33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</row>
    <row r="58" spans="1:110" ht="15" customHeight="1" x14ac:dyDescent="0.25">
      <c r="A58" s="136"/>
      <c r="C58" s="335"/>
      <c r="D58" s="335"/>
      <c r="E58" s="33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</row>
    <row r="59" spans="1:110" ht="15" customHeight="1" x14ac:dyDescent="0.25">
      <c r="A59" s="136"/>
      <c r="C59" s="335"/>
      <c r="D59" s="335"/>
      <c r="E59" s="33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</row>
    <row r="60" spans="1:110" ht="15" customHeight="1" x14ac:dyDescent="0.25">
      <c r="A60" s="136"/>
      <c r="C60" s="335"/>
      <c r="D60" s="335"/>
      <c r="E60" s="33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</row>
    <row r="61" spans="1:110" ht="15" customHeight="1" x14ac:dyDescent="0.25">
      <c r="A61" s="136"/>
      <c r="C61" s="335">
        <v>0</v>
      </c>
      <c r="D61" s="335">
        <v>0</v>
      </c>
      <c r="E61" s="335">
        <v>0</v>
      </c>
      <c r="F61" s="137">
        <v>0</v>
      </c>
      <c r="G61" s="137">
        <v>0</v>
      </c>
      <c r="H61" s="137">
        <v>0</v>
      </c>
      <c r="I61" s="137">
        <v>0</v>
      </c>
      <c r="J61" s="137">
        <v>0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v>0</v>
      </c>
      <c r="R61" s="137">
        <v>0</v>
      </c>
      <c r="S61" s="137">
        <v>0</v>
      </c>
      <c r="T61" s="137">
        <v>0</v>
      </c>
      <c r="U61" s="137">
        <v>0</v>
      </c>
      <c r="V61" s="137">
        <v>0</v>
      </c>
      <c r="W61" s="137">
        <v>0</v>
      </c>
      <c r="X61" s="137">
        <v>0</v>
      </c>
      <c r="Y61" s="137">
        <v>0</v>
      </c>
      <c r="Z61" s="137">
        <v>0</v>
      </c>
      <c r="AA61" s="137">
        <v>0</v>
      </c>
      <c r="AB61" s="137">
        <v>0</v>
      </c>
      <c r="AC61" s="137">
        <v>0</v>
      </c>
      <c r="AD61" s="137">
        <v>0</v>
      </c>
      <c r="AE61" s="137">
        <v>0</v>
      </c>
      <c r="AF61" s="137">
        <v>0</v>
      </c>
      <c r="AG61" s="137">
        <v>0</v>
      </c>
      <c r="AH61" s="137">
        <v>0</v>
      </c>
      <c r="AI61" s="137">
        <v>0</v>
      </c>
      <c r="AJ61" s="137">
        <v>0</v>
      </c>
      <c r="AK61" s="137">
        <v>0</v>
      </c>
      <c r="AL61" s="137">
        <v>0</v>
      </c>
      <c r="AM61" s="137">
        <v>0</v>
      </c>
      <c r="AN61" s="137">
        <v>0</v>
      </c>
      <c r="AO61" s="137">
        <v>0</v>
      </c>
      <c r="AP61" s="137">
        <v>0</v>
      </c>
      <c r="AQ61" s="137">
        <v>0</v>
      </c>
      <c r="AR61" s="137">
        <v>0</v>
      </c>
      <c r="AS61" s="137">
        <v>0</v>
      </c>
      <c r="AT61" s="137">
        <v>0</v>
      </c>
      <c r="AU61" s="137">
        <v>0</v>
      </c>
      <c r="AV61" s="137">
        <v>0</v>
      </c>
      <c r="AW61" s="137">
        <v>0</v>
      </c>
      <c r="AX61" s="137">
        <v>0</v>
      </c>
      <c r="AY61" s="137">
        <v>0</v>
      </c>
      <c r="AZ61" s="137">
        <v>0</v>
      </c>
      <c r="BA61" s="137">
        <v>0</v>
      </c>
      <c r="BB61" s="137">
        <v>0</v>
      </c>
      <c r="BC61" s="137">
        <v>0</v>
      </c>
      <c r="BD61" s="137">
        <v>0</v>
      </c>
      <c r="BE61" s="137">
        <v>0</v>
      </c>
      <c r="BF61" s="137">
        <v>0</v>
      </c>
      <c r="BG61" s="137">
        <v>0</v>
      </c>
      <c r="BH61" s="137">
        <v>0</v>
      </c>
      <c r="BI61" s="137">
        <v>0</v>
      </c>
      <c r="BJ61" s="137">
        <v>0</v>
      </c>
      <c r="BK61" s="137">
        <v>0</v>
      </c>
      <c r="BL61" s="137">
        <v>0</v>
      </c>
      <c r="BM61" s="137">
        <v>0</v>
      </c>
      <c r="BN61" s="137">
        <v>0</v>
      </c>
      <c r="BO61" s="137">
        <v>0</v>
      </c>
      <c r="BP61" s="137">
        <v>0</v>
      </c>
      <c r="BQ61" s="137">
        <v>0</v>
      </c>
      <c r="BR61" s="137">
        <v>0</v>
      </c>
      <c r="BS61" s="137">
        <v>0</v>
      </c>
      <c r="BT61" s="137">
        <v>0</v>
      </c>
      <c r="BU61" s="137">
        <v>0</v>
      </c>
      <c r="BV61" s="137">
        <v>0</v>
      </c>
      <c r="BW61" s="137">
        <v>0</v>
      </c>
      <c r="BX61" s="137">
        <v>0</v>
      </c>
      <c r="BY61" s="137">
        <v>0</v>
      </c>
      <c r="BZ61" s="137">
        <v>0</v>
      </c>
      <c r="CA61" s="137">
        <v>0</v>
      </c>
      <c r="CB61" s="137">
        <v>0</v>
      </c>
      <c r="CC61" s="137">
        <v>0</v>
      </c>
      <c r="CD61" s="137">
        <v>0</v>
      </c>
      <c r="CE61" s="137">
        <v>0</v>
      </c>
      <c r="CF61" s="137">
        <v>0</v>
      </c>
      <c r="CG61" s="137">
        <v>0</v>
      </c>
      <c r="CH61" s="137">
        <v>0</v>
      </c>
      <c r="CI61" s="137">
        <v>0</v>
      </c>
      <c r="CJ61" s="137">
        <v>0</v>
      </c>
      <c r="CK61" s="137">
        <v>0</v>
      </c>
      <c r="CL61" s="137">
        <v>0</v>
      </c>
      <c r="CM61" s="137">
        <v>0</v>
      </c>
      <c r="CN61" s="137">
        <v>0</v>
      </c>
      <c r="CO61" s="137">
        <v>0</v>
      </c>
      <c r="CP61" s="137">
        <v>0</v>
      </c>
      <c r="CQ61" s="137">
        <v>0</v>
      </c>
      <c r="CR61" s="137">
        <v>0</v>
      </c>
      <c r="CS61" s="137">
        <v>0</v>
      </c>
      <c r="CT61" s="137">
        <v>0</v>
      </c>
      <c r="CU61" s="137">
        <v>0</v>
      </c>
      <c r="CV61" s="137">
        <v>0</v>
      </c>
      <c r="CW61" s="137">
        <v>0</v>
      </c>
      <c r="CX61" s="137">
        <v>0</v>
      </c>
      <c r="CY61" s="137">
        <v>0</v>
      </c>
      <c r="CZ61" s="137">
        <v>0</v>
      </c>
      <c r="DA61" s="137">
        <v>0</v>
      </c>
      <c r="DB61" s="137">
        <v>0</v>
      </c>
      <c r="DC61" s="137">
        <v>0</v>
      </c>
      <c r="DD61" s="137">
        <v>0</v>
      </c>
      <c r="DE61" s="137">
        <v>0</v>
      </c>
      <c r="DF61" s="137">
        <v>0</v>
      </c>
    </row>
    <row r="62" spans="1:110" ht="15" customHeight="1" x14ac:dyDescent="0.25">
      <c r="A62" s="136" t="s">
        <v>97</v>
      </c>
      <c r="C62" s="335">
        <v>833.33</v>
      </c>
      <c r="D62" s="335">
        <v>833.33</v>
      </c>
      <c r="E62" s="335">
        <v>833.33</v>
      </c>
      <c r="F62" s="137">
        <v>833.33</v>
      </c>
      <c r="G62" s="137">
        <v>833.33</v>
      </c>
      <c r="H62" s="137">
        <v>833.33</v>
      </c>
      <c r="I62" s="137">
        <v>833.33</v>
      </c>
      <c r="J62" s="137">
        <v>833.33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37">
        <v>0</v>
      </c>
      <c r="Z62" s="137">
        <v>0</v>
      </c>
      <c r="AA62" s="137">
        <v>0</v>
      </c>
      <c r="AB62" s="137">
        <v>0</v>
      </c>
      <c r="AC62" s="137">
        <v>0</v>
      </c>
      <c r="AD62" s="137">
        <v>0</v>
      </c>
      <c r="AE62" s="137">
        <v>0</v>
      </c>
      <c r="AF62" s="137">
        <v>0</v>
      </c>
      <c r="AG62" s="137">
        <v>0</v>
      </c>
      <c r="AH62" s="137">
        <v>0</v>
      </c>
      <c r="AI62" s="137">
        <v>0</v>
      </c>
      <c r="AJ62" s="137">
        <v>0</v>
      </c>
      <c r="AK62" s="137">
        <v>0</v>
      </c>
      <c r="AL62" s="137">
        <v>0</v>
      </c>
      <c r="AM62" s="137">
        <v>0</v>
      </c>
      <c r="AN62" s="137">
        <v>0</v>
      </c>
      <c r="AO62" s="137">
        <v>0</v>
      </c>
      <c r="AP62" s="137">
        <v>0</v>
      </c>
      <c r="AQ62" s="137">
        <v>0</v>
      </c>
      <c r="AR62" s="137">
        <v>0</v>
      </c>
      <c r="AS62" s="137">
        <v>0</v>
      </c>
      <c r="AT62" s="137">
        <v>0</v>
      </c>
      <c r="AU62" s="137">
        <v>0</v>
      </c>
      <c r="AV62" s="137">
        <v>0</v>
      </c>
      <c r="AW62" s="137">
        <v>0</v>
      </c>
      <c r="AX62" s="137">
        <v>0</v>
      </c>
      <c r="AY62" s="137">
        <v>0</v>
      </c>
      <c r="AZ62" s="137">
        <v>0</v>
      </c>
      <c r="BA62" s="137">
        <v>0</v>
      </c>
      <c r="BB62" s="137">
        <v>0</v>
      </c>
      <c r="BC62" s="137">
        <v>0</v>
      </c>
      <c r="BD62" s="137">
        <v>0</v>
      </c>
      <c r="BE62" s="137">
        <v>0</v>
      </c>
      <c r="BF62" s="137">
        <v>0</v>
      </c>
      <c r="BG62" s="137">
        <v>0</v>
      </c>
      <c r="BH62" s="137">
        <v>0</v>
      </c>
      <c r="BI62" s="137">
        <v>0</v>
      </c>
      <c r="BJ62" s="137">
        <v>0</v>
      </c>
      <c r="BK62" s="137">
        <v>0</v>
      </c>
      <c r="BL62" s="137">
        <v>0</v>
      </c>
      <c r="BM62" s="137">
        <v>0</v>
      </c>
      <c r="BN62" s="137">
        <v>0</v>
      </c>
      <c r="BO62" s="137">
        <v>0</v>
      </c>
      <c r="BP62" s="137">
        <v>0</v>
      </c>
      <c r="BQ62" s="137">
        <v>0</v>
      </c>
      <c r="BR62" s="137">
        <v>0</v>
      </c>
      <c r="BS62" s="137">
        <v>0</v>
      </c>
      <c r="BT62" s="137">
        <v>0</v>
      </c>
      <c r="BU62" s="137">
        <v>0</v>
      </c>
      <c r="BV62" s="137">
        <v>0</v>
      </c>
      <c r="BW62" s="137">
        <v>0</v>
      </c>
      <c r="BX62" s="137">
        <v>0</v>
      </c>
      <c r="BY62" s="137">
        <v>0</v>
      </c>
      <c r="BZ62" s="137">
        <v>0</v>
      </c>
      <c r="CA62" s="137">
        <v>0</v>
      </c>
      <c r="CB62" s="137">
        <v>0</v>
      </c>
      <c r="CC62" s="137">
        <v>0</v>
      </c>
      <c r="CD62" s="137">
        <v>0</v>
      </c>
      <c r="CE62" s="137">
        <v>0</v>
      </c>
      <c r="CF62" s="137">
        <v>0</v>
      </c>
      <c r="CG62" s="137">
        <v>0</v>
      </c>
      <c r="CH62" s="137">
        <v>0</v>
      </c>
      <c r="CI62" s="137">
        <v>0</v>
      </c>
      <c r="CJ62" s="137">
        <v>0</v>
      </c>
      <c r="CK62" s="137">
        <v>0</v>
      </c>
      <c r="CL62" s="137">
        <v>0</v>
      </c>
      <c r="CM62" s="137">
        <v>0</v>
      </c>
      <c r="CN62" s="137">
        <v>0</v>
      </c>
      <c r="CO62" s="137">
        <v>0</v>
      </c>
      <c r="CP62" s="137">
        <v>0</v>
      </c>
      <c r="CQ62" s="137">
        <v>0</v>
      </c>
      <c r="CR62" s="137">
        <v>0</v>
      </c>
      <c r="CS62" s="137">
        <v>0</v>
      </c>
      <c r="CT62" s="137">
        <v>0</v>
      </c>
      <c r="CU62" s="137">
        <v>0</v>
      </c>
      <c r="CV62" s="137">
        <v>0</v>
      </c>
      <c r="CW62" s="137">
        <v>0</v>
      </c>
      <c r="CX62" s="137">
        <v>0</v>
      </c>
      <c r="CY62" s="137">
        <v>0</v>
      </c>
      <c r="CZ62" s="137">
        <v>0</v>
      </c>
      <c r="DA62" s="137">
        <v>0</v>
      </c>
      <c r="DB62" s="137">
        <v>0</v>
      </c>
      <c r="DC62" s="137">
        <v>0</v>
      </c>
      <c r="DD62" s="137">
        <v>0</v>
      </c>
      <c r="DE62" s="137">
        <v>0</v>
      </c>
      <c r="DF62" s="137">
        <v>0</v>
      </c>
    </row>
    <row r="63" spans="1:110" ht="15" customHeight="1" x14ac:dyDescent="0.25">
      <c r="A63" s="136" t="s">
        <v>98</v>
      </c>
      <c r="C63" s="335">
        <v>23906.25</v>
      </c>
      <c r="D63" s="335">
        <v>23906.25</v>
      </c>
      <c r="E63" s="335">
        <v>23906.25</v>
      </c>
      <c r="F63" s="137">
        <v>23906.25</v>
      </c>
      <c r="G63" s="137">
        <v>23906.25</v>
      </c>
      <c r="H63" s="137">
        <v>23906.25</v>
      </c>
      <c r="I63" s="137">
        <v>23906.25</v>
      </c>
      <c r="J63" s="137">
        <v>23906.25</v>
      </c>
      <c r="K63" s="137">
        <v>23906.25</v>
      </c>
      <c r="L63" s="137">
        <v>23906.25</v>
      </c>
      <c r="M63" s="137">
        <v>23906.25</v>
      </c>
      <c r="N63" s="137">
        <v>23906.25</v>
      </c>
      <c r="O63" s="137">
        <v>23906.25</v>
      </c>
      <c r="P63" s="137">
        <v>23906.25</v>
      </c>
      <c r="Q63" s="137">
        <v>23906.25</v>
      </c>
      <c r="R63" s="137">
        <v>23906.25</v>
      </c>
      <c r="S63" s="137">
        <v>23906.25</v>
      </c>
      <c r="T63" s="137">
        <v>23906.25</v>
      </c>
      <c r="U63" s="137">
        <v>0</v>
      </c>
      <c r="V63" s="137">
        <v>0</v>
      </c>
      <c r="W63" s="137">
        <v>0</v>
      </c>
      <c r="X63" s="137">
        <v>0</v>
      </c>
      <c r="Y63" s="137">
        <v>0</v>
      </c>
      <c r="Z63" s="137">
        <v>0</v>
      </c>
      <c r="AA63" s="137">
        <v>0</v>
      </c>
      <c r="AB63" s="137">
        <v>0</v>
      </c>
      <c r="AC63" s="137">
        <v>0</v>
      </c>
      <c r="AD63" s="137">
        <v>0</v>
      </c>
      <c r="AE63" s="137">
        <v>0</v>
      </c>
      <c r="AF63" s="137">
        <v>0</v>
      </c>
      <c r="AG63" s="137">
        <v>0</v>
      </c>
      <c r="AH63" s="137">
        <v>0</v>
      </c>
      <c r="AI63" s="137">
        <v>0</v>
      </c>
      <c r="AJ63" s="137">
        <v>0</v>
      </c>
      <c r="AK63" s="137">
        <v>0</v>
      </c>
      <c r="AL63" s="137">
        <v>0</v>
      </c>
      <c r="AM63" s="137">
        <v>0</v>
      </c>
      <c r="AN63" s="137">
        <v>0</v>
      </c>
      <c r="AO63" s="137">
        <v>0</v>
      </c>
      <c r="AP63" s="137">
        <v>0</v>
      </c>
      <c r="AQ63" s="137">
        <v>0</v>
      </c>
      <c r="AR63" s="137">
        <v>0</v>
      </c>
      <c r="AS63" s="137">
        <v>0</v>
      </c>
      <c r="AT63" s="137">
        <v>0</v>
      </c>
      <c r="AU63" s="137">
        <v>0</v>
      </c>
      <c r="AV63" s="137">
        <v>0</v>
      </c>
      <c r="AW63" s="137">
        <v>0</v>
      </c>
      <c r="AX63" s="137">
        <v>0</v>
      </c>
      <c r="AY63" s="137">
        <v>0</v>
      </c>
      <c r="AZ63" s="137">
        <v>0</v>
      </c>
      <c r="BA63" s="137">
        <v>0</v>
      </c>
      <c r="BB63" s="137">
        <v>0</v>
      </c>
      <c r="BC63" s="137">
        <v>0</v>
      </c>
      <c r="BD63" s="137">
        <v>0</v>
      </c>
      <c r="BE63" s="137">
        <v>0</v>
      </c>
      <c r="BF63" s="137">
        <v>0</v>
      </c>
      <c r="BG63" s="137">
        <v>0</v>
      </c>
      <c r="BH63" s="137">
        <v>0</v>
      </c>
      <c r="BI63" s="137">
        <v>0</v>
      </c>
      <c r="BJ63" s="137">
        <v>0</v>
      </c>
      <c r="BK63" s="137">
        <v>0</v>
      </c>
      <c r="BL63" s="137">
        <v>0</v>
      </c>
      <c r="BM63" s="137">
        <v>0</v>
      </c>
      <c r="BN63" s="137">
        <v>0</v>
      </c>
      <c r="BO63" s="137">
        <v>0</v>
      </c>
      <c r="BP63" s="137">
        <v>0</v>
      </c>
      <c r="BQ63" s="137">
        <v>0</v>
      </c>
      <c r="BR63" s="137">
        <v>0</v>
      </c>
      <c r="BS63" s="137">
        <v>0</v>
      </c>
      <c r="BT63" s="137">
        <v>0</v>
      </c>
      <c r="BU63" s="137">
        <v>0</v>
      </c>
      <c r="BV63" s="137">
        <v>0</v>
      </c>
      <c r="BW63" s="137">
        <v>0</v>
      </c>
      <c r="BX63" s="137">
        <v>0</v>
      </c>
      <c r="BY63" s="137">
        <v>0</v>
      </c>
      <c r="BZ63" s="137">
        <v>0</v>
      </c>
      <c r="CA63" s="137">
        <v>0</v>
      </c>
      <c r="CB63" s="137">
        <v>0</v>
      </c>
      <c r="CC63" s="137">
        <v>0</v>
      </c>
      <c r="CD63" s="137">
        <v>0</v>
      </c>
      <c r="CE63" s="137">
        <v>0</v>
      </c>
      <c r="CF63" s="137">
        <v>0</v>
      </c>
      <c r="CG63" s="137">
        <v>0</v>
      </c>
      <c r="CH63" s="137">
        <v>0</v>
      </c>
      <c r="CI63" s="137">
        <v>0</v>
      </c>
      <c r="CJ63" s="137">
        <v>0</v>
      </c>
      <c r="CK63" s="137">
        <v>0</v>
      </c>
      <c r="CL63" s="137">
        <v>0</v>
      </c>
      <c r="CM63" s="137">
        <v>0</v>
      </c>
      <c r="CN63" s="137">
        <v>0</v>
      </c>
      <c r="CO63" s="137">
        <v>0</v>
      </c>
      <c r="CP63" s="137">
        <v>0</v>
      </c>
      <c r="CQ63" s="137">
        <v>0</v>
      </c>
      <c r="CR63" s="137">
        <v>0</v>
      </c>
      <c r="CS63" s="137">
        <v>0</v>
      </c>
      <c r="CT63" s="137">
        <v>0</v>
      </c>
      <c r="CU63" s="137">
        <v>0</v>
      </c>
      <c r="CV63" s="137">
        <v>0</v>
      </c>
      <c r="CW63" s="137">
        <v>0</v>
      </c>
      <c r="CX63" s="137">
        <v>0</v>
      </c>
      <c r="CY63" s="137">
        <v>0</v>
      </c>
      <c r="CZ63" s="137">
        <v>0</v>
      </c>
      <c r="DA63" s="137">
        <v>0</v>
      </c>
      <c r="DB63" s="137">
        <v>0</v>
      </c>
      <c r="DC63" s="137">
        <v>0</v>
      </c>
      <c r="DD63" s="137">
        <v>0</v>
      </c>
      <c r="DE63" s="137">
        <v>0</v>
      </c>
      <c r="DF63" s="137">
        <v>0</v>
      </c>
    </row>
    <row r="64" spans="1:110" ht="15" customHeight="1" x14ac:dyDescent="0.25">
      <c r="A64" s="136" t="s">
        <v>99</v>
      </c>
      <c r="C64" s="335">
        <v>0</v>
      </c>
      <c r="D64" s="335">
        <v>0</v>
      </c>
      <c r="E64" s="335">
        <v>0</v>
      </c>
      <c r="F64" s="137">
        <v>0</v>
      </c>
      <c r="G64" s="137">
        <v>0</v>
      </c>
      <c r="H64" s="137">
        <v>0</v>
      </c>
      <c r="I64" s="137">
        <v>0</v>
      </c>
      <c r="J64" s="137">
        <v>0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v>0</v>
      </c>
      <c r="R64" s="137">
        <v>0</v>
      </c>
      <c r="S64" s="137">
        <v>0</v>
      </c>
      <c r="T64" s="137">
        <v>0</v>
      </c>
      <c r="U64" s="137">
        <v>0</v>
      </c>
      <c r="V64" s="137">
        <v>0</v>
      </c>
      <c r="W64" s="137">
        <v>0</v>
      </c>
      <c r="X64" s="137">
        <v>0</v>
      </c>
      <c r="Y64" s="137">
        <v>0</v>
      </c>
      <c r="Z64" s="137">
        <v>57375</v>
      </c>
      <c r="AA64" s="137">
        <v>0</v>
      </c>
      <c r="AB64" s="137">
        <v>0</v>
      </c>
      <c r="AC64" s="137">
        <v>0</v>
      </c>
      <c r="AD64" s="137">
        <v>0</v>
      </c>
      <c r="AE64" s="137">
        <v>0</v>
      </c>
      <c r="AF64" s="137">
        <v>0</v>
      </c>
      <c r="AG64" s="137">
        <v>0</v>
      </c>
      <c r="AH64" s="137">
        <v>0</v>
      </c>
      <c r="AI64" s="137">
        <v>0</v>
      </c>
      <c r="AJ64" s="137">
        <v>0</v>
      </c>
      <c r="AK64" s="137">
        <v>0</v>
      </c>
      <c r="AL64" s="137">
        <v>0</v>
      </c>
      <c r="AM64" s="137">
        <v>0</v>
      </c>
      <c r="AN64" s="137">
        <v>0</v>
      </c>
      <c r="AO64" s="137">
        <v>0</v>
      </c>
      <c r="AP64" s="137">
        <v>0</v>
      </c>
      <c r="AQ64" s="137">
        <v>0</v>
      </c>
      <c r="AR64" s="137">
        <v>0</v>
      </c>
      <c r="AS64" s="137">
        <v>0</v>
      </c>
      <c r="AT64" s="137">
        <v>0</v>
      </c>
      <c r="AU64" s="137">
        <v>0</v>
      </c>
      <c r="AV64" s="137">
        <v>0</v>
      </c>
      <c r="AW64" s="137">
        <v>0</v>
      </c>
      <c r="AX64" s="137">
        <v>0</v>
      </c>
      <c r="AY64" s="137">
        <v>0</v>
      </c>
      <c r="AZ64" s="137">
        <v>0</v>
      </c>
      <c r="BA64" s="137">
        <v>0</v>
      </c>
      <c r="BB64" s="137">
        <v>0</v>
      </c>
      <c r="BC64" s="137">
        <v>0</v>
      </c>
      <c r="BD64" s="137">
        <v>0</v>
      </c>
      <c r="BE64" s="137">
        <v>0</v>
      </c>
      <c r="BF64" s="137">
        <v>0</v>
      </c>
      <c r="BG64" s="137">
        <v>0</v>
      </c>
      <c r="BH64" s="137">
        <v>0</v>
      </c>
      <c r="BI64" s="137">
        <v>0</v>
      </c>
      <c r="BJ64" s="137">
        <v>0</v>
      </c>
      <c r="BK64" s="137">
        <v>0</v>
      </c>
      <c r="BL64" s="137">
        <v>0</v>
      </c>
      <c r="BM64" s="137">
        <v>0</v>
      </c>
      <c r="BN64" s="137">
        <v>0</v>
      </c>
      <c r="BO64" s="137">
        <v>0</v>
      </c>
      <c r="BP64" s="137">
        <v>0</v>
      </c>
      <c r="BQ64" s="137">
        <v>0</v>
      </c>
      <c r="BR64" s="137">
        <v>0</v>
      </c>
      <c r="BS64" s="137">
        <v>0</v>
      </c>
      <c r="BT64" s="137">
        <v>0</v>
      </c>
      <c r="BU64" s="137">
        <v>0</v>
      </c>
      <c r="BV64" s="137">
        <v>0</v>
      </c>
      <c r="BW64" s="137">
        <v>0</v>
      </c>
      <c r="BX64" s="137">
        <v>0</v>
      </c>
      <c r="BY64" s="137">
        <v>0</v>
      </c>
      <c r="BZ64" s="137">
        <v>0</v>
      </c>
      <c r="CA64" s="137">
        <v>0</v>
      </c>
      <c r="CB64" s="137">
        <v>0</v>
      </c>
      <c r="CC64" s="137">
        <v>0</v>
      </c>
      <c r="CD64" s="137">
        <v>0</v>
      </c>
      <c r="CE64" s="137">
        <v>0</v>
      </c>
      <c r="CF64" s="137">
        <v>0</v>
      </c>
      <c r="CG64" s="137">
        <v>0</v>
      </c>
      <c r="CH64" s="137">
        <v>0</v>
      </c>
      <c r="CI64" s="137">
        <v>0</v>
      </c>
      <c r="CJ64" s="137">
        <v>0</v>
      </c>
      <c r="CK64" s="137">
        <v>0</v>
      </c>
      <c r="CL64" s="137">
        <v>0</v>
      </c>
      <c r="CM64" s="137">
        <v>0</v>
      </c>
      <c r="CN64" s="137">
        <v>0</v>
      </c>
      <c r="CO64" s="137">
        <v>0</v>
      </c>
      <c r="CP64" s="137">
        <v>0</v>
      </c>
      <c r="CQ64" s="137">
        <v>0</v>
      </c>
      <c r="CR64" s="137">
        <v>0</v>
      </c>
      <c r="CS64" s="137">
        <v>0</v>
      </c>
      <c r="CT64" s="137">
        <v>0</v>
      </c>
      <c r="CU64" s="137">
        <v>0</v>
      </c>
      <c r="CV64" s="137">
        <v>0</v>
      </c>
      <c r="CW64" s="137">
        <v>0</v>
      </c>
      <c r="CX64" s="137">
        <v>0</v>
      </c>
      <c r="CY64" s="137">
        <v>0</v>
      </c>
      <c r="CZ64" s="137">
        <v>0</v>
      </c>
      <c r="DA64" s="137">
        <v>0</v>
      </c>
      <c r="DB64" s="137">
        <v>0</v>
      </c>
      <c r="DC64" s="137">
        <v>0</v>
      </c>
      <c r="DD64" s="137">
        <v>0</v>
      </c>
      <c r="DE64" s="137">
        <v>0</v>
      </c>
      <c r="DF64" s="137">
        <v>0</v>
      </c>
    </row>
    <row r="65" spans="1:110" ht="15" customHeight="1" x14ac:dyDescent="0.25">
      <c r="A65" s="136" t="s">
        <v>100</v>
      </c>
      <c r="C65" s="335">
        <v>0</v>
      </c>
      <c r="D65" s="335">
        <v>0</v>
      </c>
      <c r="E65" s="335">
        <v>0</v>
      </c>
      <c r="F65" s="137">
        <v>0</v>
      </c>
      <c r="G65" s="137">
        <v>0</v>
      </c>
      <c r="H65" s="137">
        <v>0</v>
      </c>
      <c r="I65" s="137">
        <v>0</v>
      </c>
      <c r="J65" s="137">
        <v>0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v>0</v>
      </c>
      <c r="R65" s="137">
        <v>0</v>
      </c>
      <c r="S65" s="137">
        <v>0</v>
      </c>
      <c r="T65" s="137">
        <v>0</v>
      </c>
      <c r="U65" s="137">
        <v>0</v>
      </c>
      <c r="V65" s="137">
        <v>0</v>
      </c>
      <c r="W65" s="137">
        <v>0</v>
      </c>
      <c r="X65" s="137">
        <v>0</v>
      </c>
      <c r="Y65" s="137">
        <v>0</v>
      </c>
      <c r="Z65" s="137">
        <v>0</v>
      </c>
      <c r="AA65" s="137">
        <v>0</v>
      </c>
      <c r="AB65" s="137">
        <v>0</v>
      </c>
      <c r="AC65" s="137">
        <v>57375</v>
      </c>
      <c r="AD65" s="137">
        <v>0</v>
      </c>
      <c r="AE65" s="137">
        <v>0</v>
      </c>
      <c r="AF65" s="137">
        <v>0</v>
      </c>
      <c r="AG65" s="137">
        <v>0</v>
      </c>
      <c r="AH65" s="137">
        <v>0</v>
      </c>
      <c r="AI65" s="137">
        <v>0</v>
      </c>
      <c r="AJ65" s="137">
        <v>0</v>
      </c>
      <c r="AK65" s="137">
        <v>0</v>
      </c>
      <c r="AL65" s="137">
        <v>0</v>
      </c>
      <c r="AM65" s="137">
        <v>0</v>
      </c>
      <c r="AN65" s="137">
        <v>0</v>
      </c>
      <c r="AO65" s="137">
        <v>0</v>
      </c>
      <c r="AP65" s="137">
        <v>0</v>
      </c>
      <c r="AQ65" s="137">
        <v>0</v>
      </c>
      <c r="AR65" s="137">
        <v>0</v>
      </c>
      <c r="AS65" s="137">
        <v>0</v>
      </c>
      <c r="AT65" s="137">
        <v>0</v>
      </c>
      <c r="AU65" s="137">
        <v>0</v>
      </c>
      <c r="AV65" s="137">
        <v>0</v>
      </c>
      <c r="AW65" s="137">
        <v>0</v>
      </c>
      <c r="AX65" s="137">
        <v>0</v>
      </c>
      <c r="AY65" s="137">
        <v>0</v>
      </c>
      <c r="AZ65" s="137">
        <v>0</v>
      </c>
      <c r="BA65" s="137">
        <v>0</v>
      </c>
      <c r="BB65" s="137">
        <v>0</v>
      </c>
      <c r="BC65" s="137">
        <v>0</v>
      </c>
      <c r="BD65" s="137">
        <v>0</v>
      </c>
      <c r="BE65" s="137">
        <v>0</v>
      </c>
      <c r="BF65" s="137">
        <v>0</v>
      </c>
      <c r="BG65" s="137">
        <v>0</v>
      </c>
      <c r="BH65" s="137">
        <v>0</v>
      </c>
      <c r="BI65" s="137">
        <v>0</v>
      </c>
      <c r="BJ65" s="137">
        <v>0</v>
      </c>
      <c r="BK65" s="137">
        <v>0</v>
      </c>
      <c r="BL65" s="137">
        <v>0</v>
      </c>
      <c r="BM65" s="137">
        <v>0</v>
      </c>
      <c r="BN65" s="137">
        <v>0</v>
      </c>
      <c r="BO65" s="137">
        <v>0</v>
      </c>
      <c r="BP65" s="137">
        <v>0</v>
      </c>
      <c r="BQ65" s="137">
        <v>0</v>
      </c>
      <c r="BR65" s="137">
        <v>0</v>
      </c>
      <c r="BS65" s="137">
        <v>0</v>
      </c>
      <c r="BT65" s="137">
        <v>0</v>
      </c>
      <c r="BU65" s="137">
        <v>0</v>
      </c>
      <c r="BV65" s="137">
        <v>0</v>
      </c>
      <c r="BW65" s="137">
        <v>0</v>
      </c>
      <c r="BX65" s="137">
        <v>0</v>
      </c>
      <c r="BY65" s="137">
        <v>0</v>
      </c>
      <c r="BZ65" s="137">
        <v>0</v>
      </c>
      <c r="CA65" s="137">
        <v>0</v>
      </c>
      <c r="CB65" s="137">
        <v>0</v>
      </c>
      <c r="CC65" s="137">
        <v>0</v>
      </c>
      <c r="CD65" s="137">
        <v>0</v>
      </c>
      <c r="CE65" s="137">
        <v>0</v>
      </c>
      <c r="CF65" s="137">
        <v>0</v>
      </c>
      <c r="CG65" s="137">
        <v>0</v>
      </c>
      <c r="CH65" s="137">
        <v>0</v>
      </c>
      <c r="CI65" s="137">
        <v>0</v>
      </c>
      <c r="CJ65" s="137">
        <v>0</v>
      </c>
      <c r="CK65" s="137">
        <v>0</v>
      </c>
      <c r="CL65" s="137">
        <v>0</v>
      </c>
      <c r="CM65" s="137">
        <v>0</v>
      </c>
      <c r="CN65" s="137">
        <v>0</v>
      </c>
      <c r="CO65" s="137">
        <v>0</v>
      </c>
      <c r="CP65" s="137">
        <v>0</v>
      </c>
      <c r="CQ65" s="137">
        <v>0</v>
      </c>
      <c r="CR65" s="137">
        <v>0</v>
      </c>
      <c r="CS65" s="137">
        <v>0</v>
      </c>
      <c r="CT65" s="137">
        <v>0</v>
      </c>
      <c r="CU65" s="137">
        <v>0</v>
      </c>
      <c r="CV65" s="137">
        <v>0</v>
      </c>
      <c r="CW65" s="137">
        <v>0</v>
      </c>
      <c r="CX65" s="137">
        <v>0</v>
      </c>
      <c r="CY65" s="137">
        <v>0</v>
      </c>
      <c r="CZ65" s="137">
        <v>0</v>
      </c>
      <c r="DA65" s="137">
        <v>0</v>
      </c>
      <c r="DB65" s="137">
        <v>0</v>
      </c>
      <c r="DC65" s="137">
        <v>0</v>
      </c>
      <c r="DD65" s="137">
        <v>0</v>
      </c>
      <c r="DE65" s="137">
        <v>0</v>
      </c>
      <c r="DF65" s="137">
        <v>0</v>
      </c>
    </row>
    <row r="66" spans="1:110" ht="15" customHeight="1" x14ac:dyDescent="0.25">
      <c r="A66" s="136" t="s">
        <v>101</v>
      </c>
      <c r="C66" s="335">
        <v>0</v>
      </c>
      <c r="D66" s="335">
        <v>0</v>
      </c>
      <c r="E66" s="335">
        <v>0</v>
      </c>
      <c r="F66" s="137">
        <v>0</v>
      </c>
      <c r="G66" s="137">
        <v>0</v>
      </c>
      <c r="H66" s="137">
        <v>0</v>
      </c>
      <c r="I66" s="137">
        <v>0</v>
      </c>
      <c r="J66" s="137">
        <v>0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v>0</v>
      </c>
      <c r="R66" s="137">
        <v>0</v>
      </c>
      <c r="S66" s="137">
        <v>0</v>
      </c>
      <c r="T66" s="137">
        <v>0</v>
      </c>
      <c r="U66" s="137">
        <v>0</v>
      </c>
      <c r="V66" s="137">
        <v>0</v>
      </c>
      <c r="W66" s="137">
        <v>0</v>
      </c>
      <c r="X66" s="137">
        <v>0</v>
      </c>
      <c r="Y66" s="137">
        <v>0</v>
      </c>
      <c r="Z66" s="137">
        <v>0</v>
      </c>
      <c r="AA66" s="137">
        <v>0</v>
      </c>
      <c r="AB66" s="137">
        <v>0</v>
      </c>
      <c r="AC66" s="137">
        <v>0</v>
      </c>
      <c r="AD66" s="137">
        <v>0</v>
      </c>
      <c r="AE66" s="137">
        <v>0</v>
      </c>
      <c r="AF66" s="137">
        <v>57375</v>
      </c>
      <c r="AG66" s="137">
        <v>0</v>
      </c>
      <c r="AH66" s="137">
        <v>0</v>
      </c>
      <c r="AI66" s="137">
        <v>0</v>
      </c>
      <c r="AJ66" s="137">
        <v>0</v>
      </c>
      <c r="AK66" s="137">
        <v>0</v>
      </c>
      <c r="AL66" s="137">
        <v>0</v>
      </c>
      <c r="AM66" s="137">
        <v>0</v>
      </c>
      <c r="AN66" s="137">
        <v>0</v>
      </c>
      <c r="AO66" s="137">
        <v>0</v>
      </c>
      <c r="AP66" s="137">
        <v>0</v>
      </c>
      <c r="AQ66" s="137">
        <v>0</v>
      </c>
      <c r="AR66" s="137">
        <v>0</v>
      </c>
      <c r="AS66" s="137">
        <v>0</v>
      </c>
      <c r="AT66" s="137">
        <v>0</v>
      </c>
      <c r="AU66" s="137">
        <v>0</v>
      </c>
      <c r="AV66" s="137">
        <v>0</v>
      </c>
      <c r="AW66" s="137">
        <v>0</v>
      </c>
      <c r="AX66" s="137">
        <v>0</v>
      </c>
      <c r="AY66" s="137">
        <v>0</v>
      </c>
      <c r="AZ66" s="137">
        <v>0</v>
      </c>
      <c r="BA66" s="137">
        <v>0</v>
      </c>
      <c r="BB66" s="137">
        <v>0</v>
      </c>
      <c r="BC66" s="137">
        <v>0</v>
      </c>
      <c r="BD66" s="137">
        <v>0</v>
      </c>
      <c r="BE66" s="137">
        <v>0</v>
      </c>
      <c r="BF66" s="137">
        <v>0</v>
      </c>
      <c r="BG66" s="137">
        <v>0</v>
      </c>
      <c r="BH66" s="137">
        <v>0</v>
      </c>
      <c r="BI66" s="137">
        <v>0</v>
      </c>
      <c r="BJ66" s="137">
        <v>0</v>
      </c>
      <c r="BK66" s="137">
        <v>0</v>
      </c>
      <c r="BL66" s="137">
        <v>0</v>
      </c>
      <c r="BM66" s="137">
        <v>0</v>
      </c>
      <c r="BN66" s="137">
        <v>0</v>
      </c>
      <c r="BO66" s="137">
        <v>0</v>
      </c>
      <c r="BP66" s="137">
        <v>0</v>
      </c>
      <c r="BQ66" s="137">
        <v>0</v>
      </c>
      <c r="BR66" s="137">
        <v>0</v>
      </c>
      <c r="BS66" s="137">
        <v>0</v>
      </c>
      <c r="BT66" s="137">
        <v>0</v>
      </c>
      <c r="BU66" s="137">
        <v>0</v>
      </c>
      <c r="BV66" s="137">
        <v>0</v>
      </c>
      <c r="BW66" s="137">
        <v>0</v>
      </c>
      <c r="BX66" s="137">
        <v>0</v>
      </c>
      <c r="BY66" s="137">
        <v>0</v>
      </c>
      <c r="BZ66" s="137">
        <v>0</v>
      </c>
      <c r="CA66" s="137">
        <v>0</v>
      </c>
      <c r="CB66" s="137">
        <v>0</v>
      </c>
      <c r="CC66" s="137">
        <v>0</v>
      </c>
      <c r="CD66" s="137">
        <v>0</v>
      </c>
      <c r="CE66" s="137">
        <v>0</v>
      </c>
      <c r="CF66" s="137">
        <v>0</v>
      </c>
      <c r="CG66" s="137">
        <v>0</v>
      </c>
      <c r="CH66" s="137">
        <v>0</v>
      </c>
      <c r="CI66" s="137">
        <v>0</v>
      </c>
      <c r="CJ66" s="137">
        <v>0</v>
      </c>
      <c r="CK66" s="137">
        <v>0</v>
      </c>
      <c r="CL66" s="137">
        <v>0</v>
      </c>
      <c r="CM66" s="137">
        <v>0</v>
      </c>
      <c r="CN66" s="137">
        <v>0</v>
      </c>
      <c r="CO66" s="137">
        <v>0</v>
      </c>
      <c r="CP66" s="137">
        <v>0</v>
      </c>
      <c r="CQ66" s="137">
        <v>0</v>
      </c>
      <c r="CR66" s="137">
        <v>0</v>
      </c>
      <c r="CS66" s="137">
        <v>0</v>
      </c>
      <c r="CT66" s="137">
        <v>0</v>
      </c>
      <c r="CU66" s="137">
        <v>0</v>
      </c>
      <c r="CV66" s="137">
        <v>0</v>
      </c>
      <c r="CW66" s="137">
        <v>0</v>
      </c>
      <c r="CX66" s="137">
        <v>0</v>
      </c>
      <c r="CY66" s="137">
        <v>0</v>
      </c>
      <c r="CZ66" s="137">
        <v>0</v>
      </c>
      <c r="DA66" s="137">
        <v>0</v>
      </c>
      <c r="DB66" s="137">
        <v>0</v>
      </c>
      <c r="DC66" s="137">
        <v>0</v>
      </c>
      <c r="DD66" s="137">
        <v>0</v>
      </c>
      <c r="DE66" s="137">
        <v>0</v>
      </c>
      <c r="DF66" s="137">
        <v>0</v>
      </c>
    </row>
    <row r="67" spans="1:110" ht="15" customHeight="1" x14ac:dyDescent="0.25">
      <c r="A67" s="136" t="s">
        <v>102</v>
      </c>
      <c r="C67" s="141">
        <v>9375</v>
      </c>
      <c r="D67" s="141">
        <v>9375</v>
      </c>
      <c r="E67" s="141">
        <v>9375</v>
      </c>
      <c r="F67" s="137">
        <v>9375</v>
      </c>
      <c r="G67" s="137">
        <v>9375</v>
      </c>
      <c r="H67" s="137">
        <v>9375</v>
      </c>
      <c r="I67" s="137">
        <v>9375</v>
      </c>
      <c r="J67" s="137">
        <v>9375</v>
      </c>
      <c r="K67" s="137">
        <v>9375</v>
      </c>
      <c r="L67" s="137">
        <v>9375</v>
      </c>
      <c r="M67" s="137">
        <v>0</v>
      </c>
      <c r="N67" s="137">
        <v>0</v>
      </c>
      <c r="O67" s="137">
        <v>0</v>
      </c>
      <c r="P67" s="137">
        <v>0</v>
      </c>
      <c r="Q67" s="137">
        <v>0</v>
      </c>
      <c r="R67" s="137">
        <v>0</v>
      </c>
      <c r="S67" s="137">
        <v>0</v>
      </c>
      <c r="T67" s="137">
        <v>0</v>
      </c>
      <c r="U67" s="137">
        <v>0</v>
      </c>
      <c r="V67" s="137">
        <v>0</v>
      </c>
      <c r="W67" s="137">
        <v>0</v>
      </c>
      <c r="X67" s="137">
        <v>0</v>
      </c>
      <c r="Y67" s="137">
        <v>0</v>
      </c>
      <c r="Z67" s="137">
        <v>0</v>
      </c>
      <c r="AA67" s="137">
        <v>0</v>
      </c>
      <c r="AB67" s="137">
        <v>0</v>
      </c>
      <c r="AC67" s="137">
        <v>0</v>
      </c>
      <c r="AD67" s="137">
        <v>0</v>
      </c>
      <c r="AE67" s="137">
        <v>0</v>
      </c>
      <c r="AF67" s="137">
        <v>0</v>
      </c>
      <c r="AG67" s="137">
        <v>0</v>
      </c>
      <c r="AH67" s="137">
        <v>0</v>
      </c>
      <c r="AI67" s="137">
        <v>0</v>
      </c>
      <c r="AJ67" s="137">
        <v>0</v>
      </c>
      <c r="AK67" s="137">
        <v>0</v>
      </c>
      <c r="AL67" s="137">
        <v>0</v>
      </c>
      <c r="AM67" s="137">
        <v>0</v>
      </c>
      <c r="AN67" s="137">
        <v>0</v>
      </c>
      <c r="AO67" s="137">
        <v>0</v>
      </c>
      <c r="AP67" s="137">
        <v>0</v>
      </c>
      <c r="AQ67" s="137">
        <v>0</v>
      </c>
      <c r="AR67" s="137">
        <v>0</v>
      </c>
      <c r="AS67" s="137">
        <v>0</v>
      </c>
      <c r="AT67" s="137">
        <v>0</v>
      </c>
      <c r="AU67" s="137">
        <v>0</v>
      </c>
      <c r="AV67" s="137">
        <v>0</v>
      </c>
      <c r="AW67" s="137">
        <v>0</v>
      </c>
      <c r="AX67" s="137">
        <v>0</v>
      </c>
      <c r="AY67" s="137">
        <v>0</v>
      </c>
      <c r="AZ67" s="137">
        <v>0</v>
      </c>
      <c r="BA67" s="137">
        <v>0</v>
      </c>
      <c r="BB67" s="137">
        <v>0</v>
      </c>
      <c r="BC67" s="137">
        <v>0</v>
      </c>
      <c r="BD67" s="137">
        <v>0</v>
      </c>
      <c r="BE67" s="137">
        <v>0</v>
      </c>
      <c r="BF67" s="137">
        <v>0</v>
      </c>
      <c r="BG67" s="137">
        <v>0</v>
      </c>
      <c r="BH67" s="137">
        <v>0</v>
      </c>
      <c r="BI67" s="137">
        <v>0</v>
      </c>
      <c r="BJ67" s="137">
        <v>0</v>
      </c>
      <c r="BK67" s="137">
        <v>0</v>
      </c>
      <c r="BL67" s="137">
        <v>0</v>
      </c>
      <c r="BM67" s="137">
        <v>0</v>
      </c>
      <c r="BN67" s="137">
        <v>0</v>
      </c>
      <c r="BO67" s="137">
        <v>0</v>
      </c>
      <c r="BP67" s="137">
        <v>0</v>
      </c>
      <c r="BQ67" s="137">
        <v>0</v>
      </c>
      <c r="BR67" s="137">
        <v>0</v>
      </c>
      <c r="BS67" s="137">
        <v>0</v>
      </c>
      <c r="BT67" s="137">
        <v>0</v>
      </c>
      <c r="BU67" s="137">
        <v>0</v>
      </c>
      <c r="BV67" s="137">
        <v>0</v>
      </c>
      <c r="BW67" s="137">
        <v>0</v>
      </c>
      <c r="BX67" s="137">
        <v>0</v>
      </c>
      <c r="BY67" s="137">
        <v>0</v>
      </c>
      <c r="BZ67" s="137">
        <v>0</v>
      </c>
      <c r="CA67" s="137">
        <v>0</v>
      </c>
      <c r="CB67" s="137">
        <v>0</v>
      </c>
      <c r="CC67" s="137">
        <v>0</v>
      </c>
      <c r="CD67" s="137">
        <v>0</v>
      </c>
      <c r="CE67" s="137">
        <v>0</v>
      </c>
      <c r="CF67" s="137">
        <v>0</v>
      </c>
      <c r="CG67" s="137">
        <v>0</v>
      </c>
      <c r="CH67" s="137">
        <v>0</v>
      </c>
      <c r="CI67" s="137">
        <v>0</v>
      </c>
      <c r="CJ67" s="137">
        <v>0</v>
      </c>
      <c r="CK67" s="137">
        <v>0</v>
      </c>
      <c r="CL67" s="137">
        <v>0</v>
      </c>
      <c r="CM67" s="137">
        <v>0</v>
      </c>
      <c r="CN67" s="137">
        <v>0</v>
      </c>
      <c r="CO67" s="137">
        <v>0</v>
      </c>
      <c r="CP67" s="137">
        <v>0</v>
      </c>
      <c r="CQ67" s="137">
        <v>0</v>
      </c>
      <c r="CR67" s="137">
        <v>0</v>
      </c>
      <c r="CS67" s="137">
        <v>0</v>
      </c>
      <c r="CT67" s="137">
        <v>0</v>
      </c>
      <c r="CU67" s="137">
        <v>0</v>
      </c>
      <c r="CV67" s="137">
        <v>0</v>
      </c>
      <c r="CW67" s="137">
        <v>0</v>
      </c>
      <c r="CX67" s="137">
        <v>0</v>
      </c>
      <c r="CY67" s="137">
        <v>0</v>
      </c>
      <c r="CZ67" s="137">
        <v>0</v>
      </c>
      <c r="DA67" s="137">
        <v>0</v>
      </c>
      <c r="DB67" s="137">
        <v>0</v>
      </c>
      <c r="DC67" s="137">
        <v>0</v>
      </c>
      <c r="DD67" s="137">
        <v>0</v>
      </c>
      <c r="DE67" s="137">
        <v>0</v>
      </c>
      <c r="DF67" s="137">
        <v>0</v>
      </c>
    </row>
    <row r="68" spans="1:110" ht="15" customHeight="1" x14ac:dyDescent="0.25">
      <c r="A68" s="136" t="s">
        <v>103</v>
      </c>
      <c r="C68" s="335">
        <v>0</v>
      </c>
      <c r="D68" s="335">
        <v>0</v>
      </c>
      <c r="E68" s="335">
        <v>0</v>
      </c>
      <c r="F68" s="137">
        <v>9500</v>
      </c>
      <c r="G68" s="137">
        <v>9500</v>
      </c>
      <c r="H68" s="137">
        <v>9500</v>
      </c>
      <c r="I68" s="137">
        <v>9500</v>
      </c>
      <c r="J68" s="137">
        <v>9500</v>
      </c>
      <c r="K68" s="137">
        <v>9500</v>
      </c>
      <c r="L68" s="137">
        <v>9500</v>
      </c>
      <c r="M68" s="137">
        <v>9500</v>
      </c>
      <c r="N68" s="137">
        <v>9500</v>
      </c>
      <c r="O68" s="137">
        <v>9500</v>
      </c>
      <c r="P68" s="137">
        <v>9500</v>
      </c>
      <c r="Q68" s="137">
        <v>9500</v>
      </c>
      <c r="R68" s="137">
        <v>9500</v>
      </c>
      <c r="S68" s="137">
        <v>9500</v>
      </c>
      <c r="T68" s="137">
        <v>9500</v>
      </c>
      <c r="U68" s="137">
        <v>9500</v>
      </c>
      <c r="V68" s="137">
        <v>9500</v>
      </c>
      <c r="W68" s="137">
        <v>9500</v>
      </c>
      <c r="X68" s="137">
        <v>9500</v>
      </c>
      <c r="Y68" s="137">
        <v>9500</v>
      </c>
      <c r="Z68" s="137">
        <v>9500</v>
      </c>
      <c r="AA68" s="137">
        <v>9500</v>
      </c>
      <c r="AB68" s="137">
        <v>9500</v>
      </c>
      <c r="AC68" s="137">
        <v>9500</v>
      </c>
      <c r="AD68" s="137">
        <v>9500</v>
      </c>
      <c r="AE68" s="137">
        <v>9500</v>
      </c>
      <c r="AF68" s="137">
        <v>9500</v>
      </c>
      <c r="AG68" s="137">
        <v>9500</v>
      </c>
      <c r="AH68" s="137">
        <v>9500</v>
      </c>
      <c r="AI68" s="137">
        <v>9500</v>
      </c>
      <c r="AJ68" s="137">
        <v>0</v>
      </c>
      <c r="AK68" s="137">
        <v>0</v>
      </c>
      <c r="AL68" s="137">
        <v>0</v>
      </c>
      <c r="AM68" s="137">
        <v>0</v>
      </c>
      <c r="AN68" s="137">
        <v>0</v>
      </c>
      <c r="AO68" s="137">
        <v>0</v>
      </c>
      <c r="AP68" s="137">
        <v>0</v>
      </c>
      <c r="AQ68" s="137">
        <v>0</v>
      </c>
      <c r="AR68" s="137">
        <v>0</v>
      </c>
      <c r="AS68" s="137">
        <v>0</v>
      </c>
      <c r="AT68" s="137">
        <v>0</v>
      </c>
      <c r="AU68" s="137">
        <v>0</v>
      </c>
      <c r="AV68" s="137">
        <v>0</v>
      </c>
      <c r="AW68" s="137">
        <v>0</v>
      </c>
      <c r="AX68" s="137">
        <v>0</v>
      </c>
      <c r="AY68" s="137">
        <v>0</v>
      </c>
      <c r="AZ68" s="137">
        <v>0</v>
      </c>
      <c r="BA68" s="137">
        <v>0</v>
      </c>
      <c r="BB68" s="137">
        <v>0</v>
      </c>
      <c r="BC68" s="137">
        <v>0</v>
      </c>
      <c r="BD68" s="137">
        <v>0</v>
      </c>
      <c r="BE68" s="137">
        <v>0</v>
      </c>
      <c r="BF68" s="137">
        <v>0</v>
      </c>
      <c r="BG68" s="137">
        <v>0</v>
      </c>
      <c r="BH68" s="137">
        <v>0</v>
      </c>
      <c r="BI68" s="137">
        <v>0</v>
      </c>
      <c r="BJ68" s="137">
        <v>0</v>
      </c>
      <c r="BK68" s="137">
        <v>0</v>
      </c>
      <c r="BL68" s="137">
        <v>0</v>
      </c>
      <c r="BM68" s="137">
        <v>0</v>
      </c>
      <c r="BN68" s="137">
        <v>0</v>
      </c>
      <c r="BO68" s="137">
        <v>0</v>
      </c>
      <c r="BP68" s="137">
        <v>0</v>
      </c>
      <c r="BQ68" s="137">
        <v>0</v>
      </c>
      <c r="BR68" s="137">
        <v>0</v>
      </c>
      <c r="BS68" s="137">
        <v>0</v>
      </c>
      <c r="BT68" s="137">
        <v>0</v>
      </c>
      <c r="BU68" s="137">
        <v>0</v>
      </c>
      <c r="BV68" s="137">
        <v>0</v>
      </c>
      <c r="BW68" s="137">
        <v>0</v>
      </c>
      <c r="BX68" s="137">
        <v>0</v>
      </c>
      <c r="BY68" s="137">
        <v>0</v>
      </c>
      <c r="BZ68" s="137">
        <v>0</v>
      </c>
      <c r="CA68" s="137">
        <v>0</v>
      </c>
      <c r="CB68" s="137">
        <v>0</v>
      </c>
      <c r="CC68" s="137">
        <v>0</v>
      </c>
      <c r="CD68" s="137">
        <v>0</v>
      </c>
      <c r="CE68" s="137">
        <v>0</v>
      </c>
      <c r="CF68" s="137">
        <v>0</v>
      </c>
      <c r="CG68" s="137">
        <v>0</v>
      </c>
      <c r="CH68" s="137">
        <v>0</v>
      </c>
      <c r="CI68" s="137">
        <v>0</v>
      </c>
      <c r="CJ68" s="137">
        <v>0</v>
      </c>
      <c r="CK68" s="137">
        <v>0</v>
      </c>
      <c r="CL68" s="137">
        <v>0</v>
      </c>
      <c r="CM68" s="137">
        <v>0</v>
      </c>
      <c r="CN68" s="137">
        <v>0</v>
      </c>
      <c r="CO68" s="137">
        <v>0</v>
      </c>
      <c r="CP68" s="137">
        <v>0</v>
      </c>
      <c r="CQ68" s="137">
        <v>0</v>
      </c>
      <c r="CR68" s="137">
        <v>0</v>
      </c>
      <c r="CS68" s="137">
        <v>0</v>
      </c>
      <c r="CT68" s="137">
        <v>0</v>
      </c>
      <c r="CU68" s="137">
        <v>0</v>
      </c>
      <c r="CV68" s="137">
        <v>0</v>
      </c>
      <c r="CW68" s="137">
        <v>0</v>
      </c>
      <c r="CX68" s="137">
        <v>0</v>
      </c>
      <c r="CY68" s="137">
        <v>0</v>
      </c>
      <c r="CZ68" s="137">
        <v>0</v>
      </c>
      <c r="DA68" s="137">
        <v>0</v>
      </c>
      <c r="DB68" s="137">
        <v>0</v>
      </c>
      <c r="DC68" s="137">
        <v>0</v>
      </c>
      <c r="DD68" s="137">
        <v>0</v>
      </c>
      <c r="DE68" s="137">
        <v>0</v>
      </c>
      <c r="DF68" s="137">
        <v>0</v>
      </c>
    </row>
    <row r="69" spans="1:110" ht="15" customHeight="1" x14ac:dyDescent="0.25">
      <c r="A69" s="136" t="s">
        <v>104</v>
      </c>
      <c r="C69" s="335">
        <v>0</v>
      </c>
      <c r="D69" s="335">
        <v>0</v>
      </c>
      <c r="E69" s="335">
        <v>0</v>
      </c>
      <c r="F69" s="137">
        <v>0</v>
      </c>
      <c r="G69" s="137">
        <v>0</v>
      </c>
      <c r="H69" s="137">
        <v>0</v>
      </c>
      <c r="I69" s="137">
        <v>0</v>
      </c>
      <c r="J69" s="137">
        <v>0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v>0</v>
      </c>
      <c r="R69" s="137">
        <v>0</v>
      </c>
      <c r="S69" s="137">
        <v>0</v>
      </c>
      <c r="T69" s="137">
        <v>0</v>
      </c>
      <c r="U69" s="137">
        <v>0</v>
      </c>
      <c r="V69" s="137">
        <v>0</v>
      </c>
      <c r="W69" s="137">
        <v>0</v>
      </c>
      <c r="X69" s="137">
        <v>0</v>
      </c>
      <c r="Y69" s="137">
        <v>0</v>
      </c>
      <c r="Z69" s="137">
        <v>0</v>
      </c>
      <c r="AA69" s="137">
        <v>0</v>
      </c>
      <c r="AB69" s="137">
        <v>0</v>
      </c>
      <c r="AC69" s="137">
        <v>0</v>
      </c>
      <c r="AD69" s="137">
        <v>0</v>
      </c>
      <c r="AE69" s="137">
        <v>0</v>
      </c>
      <c r="AF69" s="137">
        <v>0</v>
      </c>
      <c r="AG69" s="137">
        <v>0</v>
      </c>
      <c r="AH69" s="137">
        <v>0</v>
      </c>
      <c r="AI69" s="137">
        <v>0</v>
      </c>
      <c r="AJ69" s="137">
        <v>0</v>
      </c>
      <c r="AK69" s="137">
        <v>0</v>
      </c>
      <c r="AL69" s="137">
        <v>0</v>
      </c>
      <c r="AM69" s="137">
        <v>0</v>
      </c>
      <c r="AN69" s="137">
        <v>0</v>
      </c>
      <c r="AO69" s="137">
        <v>0</v>
      </c>
      <c r="AP69" s="137">
        <v>0</v>
      </c>
      <c r="AQ69" s="137">
        <v>0</v>
      </c>
      <c r="AR69" s="137">
        <v>0</v>
      </c>
      <c r="AS69" s="137">
        <v>0</v>
      </c>
      <c r="AT69" s="137">
        <v>0</v>
      </c>
      <c r="AU69" s="137">
        <v>0</v>
      </c>
      <c r="AV69" s="137">
        <v>0</v>
      </c>
      <c r="AW69" s="137">
        <v>0</v>
      </c>
      <c r="AX69" s="137">
        <v>0</v>
      </c>
      <c r="AY69" s="137">
        <v>0</v>
      </c>
      <c r="AZ69" s="137">
        <v>0</v>
      </c>
      <c r="BA69" s="137">
        <v>0</v>
      </c>
      <c r="BB69" s="137">
        <v>0</v>
      </c>
      <c r="BC69" s="137">
        <v>0</v>
      </c>
      <c r="BD69" s="137">
        <v>0</v>
      </c>
      <c r="BE69" s="137">
        <v>0</v>
      </c>
      <c r="BF69" s="137">
        <v>0</v>
      </c>
      <c r="BG69" s="137">
        <v>0</v>
      </c>
      <c r="BH69" s="137">
        <v>0</v>
      </c>
      <c r="BI69" s="137">
        <v>0</v>
      </c>
      <c r="BJ69" s="137">
        <v>0</v>
      </c>
      <c r="BK69" s="137">
        <v>0</v>
      </c>
      <c r="BL69" s="137">
        <v>0</v>
      </c>
      <c r="BM69" s="137">
        <v>0</v>
      </c>
      <c r="BN69" s="137">
        <v>0</v>
      </c>
      <c r="BO69" s="137">
        <v>0</v>
      </c>
      <c r="BP69" s="137">
        <v>0</v>
      </c>
      <c r="BQ69" s="137">
        <v>0</v>
      </c>
      <c r="BR69" s="137">
        <v>0</v>
      </c>
      <c r="BS69" s="137">
        <v>0</v>
      </c>
      <c r="BT69" s="137">
        <v>0</v>
      </c>
      <c r="BU69" s="137">
        <v>0</v>
      </c>
      <c r="BV69" s="137">
        <v>0</v>
      </c>
      <c r="BW69" s="137">
        <v>0</v>
      </c>
      <c r="BX69" s="137">
        <v>0</v>
      </c>
      <c r="BY69" s="137">
        <v>0</v>
      </c>
      <c r="BZ69" s="137">
        <v>0</v>
      </c>
      <c r="CA69" s="137">
        <v>0</v>
      </c>
      <c r="CB69" s="137">
        <v>0</v>
      </c>
      <c r="CC69" s="137">
        <v>0</v>
      </c>
      <c r="CD69" s="137">
        <v>0</v>
      </c>
      <c r="CE69" s="137">
        <v>0</v>
      </c>
      <c r="CF69" s="137">
        <v>0</v>
      </c>
      <c r="CG69" s="137">
        <v>0</v>
      </c>
      <c r="CH69" s="137">
        <v>0</v>
      </c>
      <c r="CI69" s="137">
        <v>0</v>
      </c>
      <c r="CJ69" s="137">
        <v>0</v>
      </c>
      <c r="CK69" s="137">
        <v>0</v>
      </c>
      <c r="CL69" s="137">
        <v>0</v>
      </c>
      <c r="CM69" s="137">
        <v>0</v>
      </c>
      <c r="CN69" s="137">
        <v>0</v>
      </c>
      <c r="CO69" s="137">
        <v>0</v>
      </c>
      <c r="CP69" s="137">
        <v>0</v>
      </c>
      <c r="CQ69" s="137">
        <v>0</v>
      </c>
      <c r="CR69" s="137">
        <v>0</v>
      </c>
      <c r="CS69" s="137">
        <v>0</v>
      </c>
      <c r="CT69" s="137">
        <v>0</v>
      </c>
      <c r="CU69" s="137">
        <v>0</v>
      </c>
      <c r="CV69" s="137">
        <v>0</v>
      </c>
      <c r="CW69" s="137">
        <v>0</v>
      </c>
      <c r="CX69" s="137">
        <v>0</v>
      </c>
      <c r="CY69" s="137">
        <v>0</v>
      </c>
      <c r="CZ69" s="137">
        <v>0</v>
      </c>
      <c r="DA69" s="137">
        <v>0</v>
      </c>
      <c r="DB69" s="137">
        <v>0</v>
      </c>
      <c r="DC69" s="137">
        <v>0</v>
      </c>
      <c r="DD69" s="137">
        <v>0</v>
      </c>
      <c r="DE69" s="137">
        <v>0</v>
      </c>
      <c r="DF69" s="137">
        <v>0</v>
      </c>
    </row>
    <row r="70" spans="1:110" ht="15" customHeight="1" x14ac:dyDescent="0.25">
      <c r="A70" s="136" t="s">
        <v>105</v>
      </c>
      <c r="C70" s="335">
        <v>0</v>
      </c>
      <c r="D70" s="335">
        <v>0</v>
      </c>
      <c r="E70" s="335">
        <v>0</v>
      </c>
      <c r="F70" s="137">
        <v>0</v>
      </c>
      <c r="G70" s="137">
        <v>0</v>
      </c>
      <c r="H70" s="137">
        <v>0</v>
      </c>
      <c r="I70" s="137">
        <v>0</v>
      </c>
      <c r="J70" s="137">
        <v>0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v>0</v>
      </c>
      <c r="R70" s="137">
        <v>0</v>
      </c>
      <c r="S70" s="137">
        <v>0</v>
      </c>
      <c r="T70" s="137">
        <v>0</v>
      </c>
      <c r="U70" s="137">
        <v>0</v>
      </c>
      <c r="V70" s="137">
        <v>0</v>
      </c>
      <c r="W70" s="137">
        <v>0</v>
      </c>
      <c r="X70" s="137">
        <v>0</v>
      </c>
      <c r="Y70" s="137">
        <v>0</v>
      </c>
      <c r="Z70" s="137">
        <v>0</v>
      </c>
      <c r="AA70" s="137">
        <v>0</v>
      </c>
      <c r="AB70" s="137">
        <v>0</v>
      </c>
      <c r="AC70" s="137">
        <v>0</v>
      </c>
      <c r="AD70" s="137">
        <v>0</v>
      </c>
      <c r="AE70" s="137">
        <v>0</v>
      </c>
      <c r="AF70" s="137">
        <v>0</v>
      </c>
      <c r="AG70" s="137">
        <v>0</v>
      </c>
      <c r="AH70" s="137">
        <v>0</v>
      </c>
      <c r="AI70" s="137">
        <v>0</v>
      </c>
      <c r="AJ70" s="137">
        <v>0</v>
      </c>
      <c r="AK70" s="137">
        <v>0</v>
      </c>
      <c r="AL70" s="137">
        <v>0</v>
      </c>
      <c r="AM70" s="137">
        <v>0</v>
      </c>
      <c r="AN70" s="137">
        <v>0</v>
      </c>
      <c r="AO70" s="137">
        <v>0</v>
      </c>
      <c r="AP70" s="137">
        <v>0</v>
      </c>
      <c r="AQ70" s="137">
        <v>0</v>
      </c>
      <c r="AR70" s="137">
        <v>0</v>
      </c>
      <c r="AS70" s="137">
        <v>0</v>
      </c>
      <c r="AT70" s="137">
        <v>0</v>
      </c>
      <c r="AU70" s="137">
        <v>0</v>
      </c>
      <c r="AV70" s="137">
        <v>0</v>
      </c>
      <c r="AW70" s="137">
        <v>0</v>
      </c>
      <c r="AX70" s="137">
        <v>0</v>
      </c>
      <c r="AY70" s="137">
        <v>0</v>
      </c>
      <c r="AZ70" s="137">
        <v>0</v>
      </c>
      <c r="BA70" s="137">
        <v>0</v>
      </c>
      <c r="BB70" s="137">
        <v>0</v>
      </c>
      <c r="BC70" s="137">
        <v>0</v>
      </c>
      <c r="BD70" s="137">
        <v>0</v>
      </c>
      <c r="BE70" s="137">
        <v>0</v>
      </c>
      <c r="BF70" s="137">
        <v>0</v>
      </c>
      <c r="BG70" s="137">
        <v>0</v>
      </c>
      <c r="BH70" s="137">
        <v>0</v>
      </c>
      <c r="BI70" s="137">
        <v>0</v>
      </c>
      <c r="BJ70" s="137">
        <v>0</v>
      </c>
      <c r="BK70" s="137">
        <v>0</v>
      </c>
      <c r="BL70" s="137">
        <v>0</v>
      </c>
      <c r="BM70" s="137">
        <v>0</v>
      </c>
      <c r="BN70" s="137">
        <v>0</v>
      </c>
      <c r="BO70" s="137">
        <v>0</v>
      </c>
      <c r="BP70" s="137">
        <v>0</v>
      </c>
      <c r="BQ70" s="137">
        <v>0</v>
      </c>
      <c r="BR70" s="137">
        <v>0</v>
      </c>
      <c r="BS70" s="137">
        <v>0</v>
      </c>
      <c r="BT70" s="137">
        <v>0</v>
      </c>
      <c r="BU70" s="137">
        <v>0</v>
      </c>
      <c r="BV70" s="137">
        <v>0</v>
      </c>
      <c r="BW70" s="137">
        <v>0</v>
      </c>
      <c r="BX70" s="137">
        <v>0</v>
      </c>
      <c r="BY70" s="137">
        <v>0</v>
      </c>
      <c r="BZ70" s="137">
        <v>0</v>
      </c>
      <c r="CA70" s="137">
        <v>0</v>
      </c>
      <c r="CB70" s="137">
        <v>0</v>
      </c>
      <c r="CC70" s="137">
        <v>0</v>
      </c>
      <c r="CD70" s="137">
        <v>0</v>
      </c>
      <c r="CE70" s="137">
        <v>0</v>
      </c>
      <c r="CF70" s="137">
        <v>0</v>
      </c>
      <c r="CG70" s="137">
        <v>0</v>
      </c>
      <c r="CH70" s="137">
        <v>0</v>
      </c>
      <c r="CI70" s="137">
        <v>0</v>
      </c>
      <c r="CJ70" s="137">
        <v>0</v>
      </c>
      <c r="CK70" s="137">
        <v>0</v>
      </c>
      <c r="CL70" s="137">
        <v>0</v>
      </c>
      <c r="CM70" s="137">
        <v>0</v>
      </c>
      <c r="CN70" s="137">
        <v>0</v>
      </c>
      <c r="CO70" s="137">
        <v>0</v>
      </c>
      <c r="CP70" s="137">
        <v>0</v>
      </c>
      <c r="CQ70" s="137">
        <v>0</v>
      </c>
      <c r="CR70" s="137">
        <v>0</v>
      </c>
      <c r="CS70" s="137">
        <v>0</v>
      </c>
      <c r="CT70" s="137">
        <v>0</v>
      </c>
      <c r="CU70" s="137">
        <v>0</v>
      </c>
      <c r="CV70" s="137">
        <v>0</v>
      </c>
      <c r="CW70" s="137">
        <v>0</v>
      </c>
      <c r="CX70" s="137">
        <v>0</v>
      </c>
      <c r="CY70" s="137">
        <v>0</v>
      </c>
      <c r="CZ70" s="137">
        <v>0</v>
      </c>
      <c r="DA70" s="137">
        <v>0</v>
      </c>
      <c r="DB70" s="137">
        <v>0</v>
      </c>
      <c r="DC70" s="137">
        <v>0</v>
      </c>
      <c r="DD70" s="137">
        <v>0</v>
      </c>
      <c r="DE70" s="137">
        <v>0</v>
      </c>
      <c r="DF70" s="137">
        <v>0</v>
      </c>
    </row>
    <row r="71" spans="1:110" ht="15" customHeight="1" x14ac:dyDescent="0.25">
      <c r="A71" s="136" t="s">
        <v>106</v>
      </c>
      <c r="C71" s="335">
        <v>0</v>
      </c>
      <c r="D71" s="335">
        <v>0</v>
      </c>
      <c r="E71" s="335">
        <v>0</v>
      </c>
      <c r="F71" s="137">
        <v>0</v>
      </c>
      <c r="G71" s="137">
        <v>0</v>
      </c>
      <c r="H71" s="137">
        <v>0</v>
      </c>
      <c r="I71" s="137">
        <v>0</v>
      </c>
      <c r="J71" s="137">
        <v>0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37">
        <v>0</v>
      </c>
      <c r="W71" s="137">
        <v>0</v>
      </c>
      <c r="X71" s="137">
        <v>0</v>
      </c>
      <c r="Y71" s="137">
        <v>0</v>
      </c>
      <c r="Z71" s="137">
        <v>0</v>
      </c>
      <c r="AA71" s="137">
        <v>0</v>
      </c>
      <c r="AB71" s="137">
        <v>0</v>
      </c>
      <c r="AC71" s="137">
        <v>0</v>
      </c>
      <c r="AD71" s="137">
        <v>0</v>
      </c>
      <c r="AE71" s="137">
        <v>0</v>
      </c>
      <c r="AF71" s="137">
        <v>0</v>
      </c>
      <c r="AG71" s="137">
        <v>0</v>
      </c>
      <c r="AH71" s="137">
        <v>0</v>
      </c>
      <c r="AI71" s="137">
        <v>0</v>
      </c>
      <c r="AJ71" s="137">
        <v>0</v>
      </c>
      <c r="AK71" s="137">
        <v>0</v>
      </c>
      <c r="AL71" s="137">
        <v>0</v>
      </c>
      <c r="AM71" s="137">
        <v>0</v>
      </c>
      <c r="AN71" s="137">
        <v>0</v>
      </c>
      <c r="AO71" s="137">
        <v>0</v>
      </c>
      <c r="AP71" s="137">
        <v>0</v>
      </c>
      <c r="AQ71" s="137">
        <v>0</v>
      </c>
      <c r="AR71" s="137">
        <v>0</v>
      </c>
      <c r="AS71" s="137">
        <v>0</v>
      </c>
      <c r="AT71" s="137">
        <v>0</v>
      </c>
      <c r="AU71" s="137">
        <v>0</v>
      </c>
      <c r="AV71" s="137">
        <v>0</v>
      </c>
      <c r="AW71" s="137">
        <v>0</v>
      </c>
      <c r="AX71" s="137">
        <v>0</v>
      </c>
      <c r="AY71" s="137">
        <v>0</v>
      </c>
      <c r="AZ71" s="137">
        <v>0</v>
      </c>
      <c r="BA71" s="137">
        <v>0</v>
      </c>
      <c r="BB71" s="137">
        <v>0</v>
      </c>
      <c r="BC71" s="137">
        <v>0</v>
      </c>
      <c r="BD71" s="137">
        <v>0</v>
      </c>
      <c r="BE71" s="137">
        <v>0</v>
      </c>
      <c r="BF71" s="137">
        <v>0</v>
      </c>
      <c r="BG71" s="137">
        <v>0</v>
      </c>
      <c r="BH71" s="137">
        <v>0</v>
      </c>
      <c r="BI71" s="137">
        <v>0</v>
      </c>
      <c r="BJ71" s="137">
        <v>0</v>
      </c>
      <c r="BK71" s="137">
        <v>0</v>
      </c>
      <c r="BL71" s="137">
        <v>0</v>
      </c>
      <c r="BM71" s="137">
        <v>0</v>
      </c>
      <c r="BN71" s="137">
        <v>0</v>
      </c>
      <c r="BO71" s="137">
        <v>0</v>
      </c>
      <c r="BP71" s="137">
        <v>0</v>
      </c>
      <c r="BQ71" s="137">
        <v>0</v>
      </c>
      <c r="BR71" s="137">
        <v>0</v>
      </c>
      <c r="BS71" s="137">
        <v>0</v>
      </c>
      <c r="BT71" s="137">
        <v>0</v>
      </c>
      <c r="BU71" s="137">
        <v>0</v>
      </c>
      <c r="BV71" s="137">
        <v>0</v>
      </c>
      <c r="BW71" s="137">
        <v>0</v>
      </c>
      <c r="BX71" s="137">
        <v>0</v>
      </c>
      <c r="BY71" s="137">
        <v>0</v>
      </c>
      <c r="BZ71" s="137">
        <v>0</v>
      </c>
      <c r="CA71" s="137">
        <v>0</v>
      </c>
      <c r="CB71" s="137">
        <v>0</v>
      </c>
      <c r="CC71" s="137">
        <v>0</v>
      </c>
      <c r="CD71" s="137">
        <v>0</v>
      </c>
      <c r="CE71" s="137">
        <v>0</v>
      </c>
      <c r="CF71" s="137">
        <v>0</v>
      </c>
      <c r="CG71" s="137">
        <v>0</v>
      </c>
      <c r="CH71" s="137">
        <v>0</v>
      </c>
      <c r="CI71" s="137">
        <v>0</v>
      </c>
      <c r="CJ71" s="137">
        <v>0</v>
      </c>
      <c r="CK71" s="137">
        <v>0</v>
      </c>
      <c r="CL71" s="137">
        <v>0</v>
      </c>
      <c r="CM71" s="137">
        <v>0</v>
      </c>
      <c r="CN71" s="137">
        <v>0</v>
      </c>
      <c r="CO71" s="137">
        <v>0</v>
      </c>
      <c r="CP71" s="137">
        <v>0</v>
      </c>
      <c r="CQ71" s="137">
        <v>0</v>
      </c>
      <c r="CR71" s="137">
        <v>0</v>
      </c>
      <c r="CS71" s="137">
        <v>0</v>
      </c>
      <c r="CT71" s="137">
        <v>0</v>
      </c>
      <c r="CU71" s="137">
        <v>0</v>
      </c>
      <c r="CV71" s="137">
        <v>0</v>
      </c>
      <c r="CW71" s="137">
        <v>0</v>
      </c>
      <c r="CX71" s="137">
        <v>0</v>
      </c>
      <c r="CY71" s="137">
        <v>0</v>
      </c>
      <c r="CZ71" s="137">
        <v>0</v>
      </c>
      <c r="DA71" s="137">
        <v>0</v>
      </c>
      <c r="DB71" s="137">
        <v>0</v>
      </c>
      <c r="DC71" s="137">
        <v>0</v>
      </c>
      <c r="DD71" s="137">
        <v>0</v>
      </c>
      <c r="DE71" s="137">
        <v>0</v>
      </c>
      <c r="DF71" s="137">
        <v>0</v>
      </c>
    </row>
    <row r="72" spans="1:110" ht="15" customHeight="1" x14ac:dyDescent="0.25">
      <c r="A72" s="136" t="s">
        <v>107</v>
      </c>
      <c r="C72" s="335">
        <v>0</v>
      </c>
      <c r="D72" s="335">
        <v>0</v>
      </c>
      <c r="E72" s="335">
        <v>0</v>
      </c>
      <c r="F72" s="137">
        <v>0</v>
      </c>
      <c r="G72" s="137">
        <v>0</v>
      </c>
      <c r="H72" s="137">
        <v>0</v>
      </c>
      <c r="I72" s="137">
        <v>0</v>
      </c>
      <c r="J72" s="137">
        <v>0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v>0</v>
      </c>
      <c r="R72" s="137">
        <v>0</v>
      </c>
      <c r="S72" s="137">
        <v>0</v>
      </c>
      <c r="T72" s="137">
        <v>0</v>
      </c>
      <c r="U72" s="137">
        <v>0</v>
      </c>
      <c r="V72" s="137">
        <v>0</v>
      </c>
      <c r="W72" s="137">
        <v>0</v>
      </c>
      <c r="X72" s="137">
        <v>0</v>
      </c>
      <c r="Y72" s="137">
        <v>0</v>
      </c>
      <c r="Z72" s="137">
        <v>0</v>
      </c>
      <c r="AA72" s="137">
        <v>0</v>
      </c>
      <c r="AB72" s="137">
        <v>0</v>
      </c>
      <c r="AC72" s="137">
        <v>0</v>
      </c>
      <c r="AD72" s="137">
        <v>0</v>
      </c>
      <c r="AE72" s="137">
        <v>0</v>
      </c>
      <c r="AF72" s="137">
        <v>0</v>
      </c>
      <c r="AG72" s="137">
        <v>0</v>
      </c>
      <c r="AH72" s="137">
        <v>0</v>
      </c>
      <c r="AI72" s="137">
        <v>0</v>
      </c>
      <c r="AJ72" s="137">
        <v>0</v>
      </c>
      <c r="AK72" s="137">
        <v>0</v>
      </c>
      <c r="AL72" s="137">
        <v>0</v>
      </c>
      <c r="AM72" s="137">
        <v>0</v>
      </c>
      <c r="AN72" s="137">
        <v>0</v>
      </c>
      <c r="AO72" s="137">
        <v>0</v>
      </c>
      <c r="AP72" s="137">
        <v>0</v>
      </c>
      <c r="AQ72" s="137">
        <v>0</v>
      </c>
      <c r="AR72" s="137">
        <v>0</v>
      </c>
      <c r="AS72" s="137">
        <v>0</v>
      </c>
      <c r="AT72" s="137">
        <v>0</v>
      </c>
      <c r="AU72" s="137">
        <v>0</v>
      </c>
      <c r="AV72" s="137">
        <v>0</v>
      </c>
      <c r="AW72" s="137">
        <v>0</v>
      </c>
      <c r="AX72" s="137">
        <v>0</v>
      </c>
      <c r="AY72" s="137">
        <v>0</v>
      </c>
      <c r="AZ72" s="137">
        <v>0</v>
      </c>
      <c r="BA72" s="137">
        <v>0</v>
      </c>
      <c r="BB72" s="137">
        <v>0</v>
      </c>
      <c r="BC72" s="137">
        <v>0</v>
      </c>
      <c r="BD72" s="137">
        <v>0</v>
      </c>
      <c r="BE72" s="137">
        <v>0</v>
      </c>
      <c r="BF72" s="137">
        <v>0</v>
      </c>
      <c r="BG72" s="137">
        <v>0</v>
      </c>
      <c r="BH72" s="137">
        <v>0</v>
      </c>
      <c r="BI72" s="137">
        <v>0</v>
      </c>
      <c r="BJ72" s="137">
        <v>0</v>
      </c>
      <c r="BK72" s="137">
        <v>0</v>
      </c>
      <c r="BL72" s="137">
        <v>0</v>
      </c>
      <c r="BM72" s="137">
        <v>0</v>
      </c>
      <c r="BN72" s="137">
        <v>0</v>
      </c>
      <c r="BO72" s="137">
        <v>0</v>
      </c>
      <c r="BP72" s="137">
        <v>0</v>
      </c>
      <c r="BQ72" s="137">
        <v>0</v>
      </c>
      <c r="BR72" s="137">
        <v>0</v>
      </c>
      <c r="BS72" s="137">
        <v>0</v>
      </c>
      <c r="BT72" s="137">
        <v>0</v>
      </c>
      <c r="BU72" s="137">
        <v>0</v>
      </c>
      <c r="BV72" s="137">
        <v>0</v>
      </c>
      <c r="BW72" s="137">
        <v>0</v>
      </c>
      <c r="BX72" s="137">
        <v>0</v>
      </c>
      <c r="BY72" s="137">
        <v>0</v>
      </c>
      <c r="BZ72" s="137">
        <v>0</v>
      </c>
      <c r="CA72" s="137">
        <v>0</v>
      </c>
      <c r="CB72" s="137">
        <v>0</v>
      </c>
      <c r="CC72" s="137">
        <v>0</v>
      </c>
      <c r="CD72" s="137">
        <v>0</v>
      </c>
      <c r="CE72" s="137">
        <v>0</v>
      </c>
      <c r="CF72" s="137">
        <v>0</v>
      </c>
      <c r="CG72" s="137">
        <v>0</v>
      </c>
      <c r="CH72" s="137">
        <v>0</v>
      </c>
      <c r="CI72" s="137">
        <v>0</v>
      </c>
      <c r="CJ72" s="137">
        <v>0</v>
      </c>
      <c r="CK72" s="137">
        <v>0</v>
      </c>
      <c r="CL72" s="137">
        <v>0</v>
      </c>
      <c r="CM72" s="137">
        <v>0</v>
      </c>
      <c r="CN72" s="137">
        <v>0</v>
      </c>
      <c r="CO72" s="137">
        <v>0</v>
      </c>
      <c r="CP72" s="137">
        <v>0</v>
      </c>
      <c r="CQ72" s="137">
        <v>0</v>
      </c>
      <c r="CR72" s="137">
        <v>0</v>
      </c>
      <c r="CS72" s="137">
        <v>0</v>
      </c>
      <c r="CT72" s="137">
        <v>0</v>
      </c>
      <c r="CU72" s="137">
        <v>0</v>
      </c>
      <c r="CV72" s="137">
        <v>0</v>
      </c>
      <c r="CW72" s="137">
        <v>0</v>
      </c>
      <c r="CX72" s="137">
        <v>0</v>
      </c>
      <c r="CY72" s="137">
        <v>0</v>
      </c>
      <c r="CZ72" s="137">
        <v>0</v>
      </c>
      <c r="DA72" s="137">
        <v>0</v>
      </c>
      <c r="DB72" s="137">
        <v>0</v>
      </c>
      <c r="DC72" s="137">
        <v>0</v>
      </c>
      <c r="DD72" s="137">
        <v>0</v>
      </c>
      <c r="DE72" s="137">
        <v>0</v>
      </c>
      <c r="DF72" s="137">
        <v>0</v>
      </c>
    </row>
    <row r="73" spans="1:110" ht="15" customHeight="1" x14ac:dyDescent="0.25">
      <c r="A73" s="136" t="s">
        <v>108</v>
      </c>
      <c r="C73" s="335">
        <v>0</v>
      </c>
      <c r="D73" s="335">
        <v>0</v>
      </c>
      <c r="E73" s="335">
        <v>0</v>
      </c>
      <c r="F73" s="137">
        <v>0</v>
      </c>
      <c r="G73" s="137">
        <v>0</v>
      </c>
      <c r="H73" s="137">
        <v>0</v>
      </c>
      <c r="I73" s="137">
        <v>0</v>
      </c>
      <c r="J73" s="137">
        <v>0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v>0</v>
      </c>
      <c r="R73" s="137">
        <v>0</v>
      </c>
      <c r="S73" s="137">
        <v>0</v>
      </c>
      <c r="T73" s="137">
        <v>0</v>
      </c>
      <c r="U73" s="137">
        <v>0</v>
      </c>
      <c r="V73" s="137">
        <v>0</v>
      </c>
      <c r="W73" s="137">
        <v>0</v>
      </c>
      <c r="X73" s="137">
        <v>0</v>
      </c>
      <c r="Y73" s="137">
        <v>0</v>
      </c>
      <c r="Z73" s="137">
        <v>0</v>
      </c>
      <c r="AA73" s="137">
        <v>0</v>
      </c>
      <c r="AB73" s="137">
        <v>0</v>
      </c>
      <c r="AC73" s="137">
        <v>0</v>
      </c>
      <c r="AD73" s="137">
        <v>0</v>
      </c>
      <c r="AE73" s="137">
        <v>0</v>
      </c>
      <c r="AF73" s="137">
        <v>0</v>
      </c>
      <c r="AG73" s="137">
        <v>0</v>
      </c>
      <c r="AH73" s="137">
        <v>0</v>
      </c>
      <c r="AI73" s="137">
        <v>0</v>
      </c>
      <c r="AJ73" s="137">
        <v>0</v>
      </c>
      <c r="AK73" s="137">
        <v>0</v>
      </c>
      <c r="AL73" s="137">
        <v>0</v>
      </c>
      <c r="AM73" s="137">
        <v>0</v>
      </c>
      <c r="AN73" s="137">
        <v>0</v>
      </c>
      <c r="AO73" s="137">
        <v>0</v>
      </c>
      <c r="AP73" s="137">
        <v>0</v>
      </c>
      <c r="AQ73" s="137">
        <v>0</v>
      </c>
      <c r="AR73" s="137">
        <v>0</v>
      </c>
      <c r="AS73" s="137">
        <v>0</v>
      </c>
      <c r="AT73" s="137">
        <v>0</v>
      </c>
      <c r="AU73" s="137">
        <v>0</v>
      </c>
      <c r="AV73" s="137">
        <v>0</v>
      </c>
      <c r="AW73" s="137">
        <v>0</v>
      </c>
      <c r="AX73" s="137">
        <v>0</v>
      </c>
      <c r="AY73" s="137">
        <v>0</v>
      </c>
      <c r="AZ73" s="137">
        <v>0</v>
      </c>
      <c r="BA73" s="137">
        <v>0</v>
      </c>
      <c r="BB73" s="137">
        <v>0</v>
      </c>
      <c r="BC73" s="137">
        <v>0</v>
      </c>
      <c r="BD73" s="137">
        <v>0</v>
      </c>
      <c r="BE73" s="137">
        <v>0</v>
      </c>
      <c r="BF73" s="137">
        <v>0</v>
      </c>
      <c r="BG73" s="137">
        <v>0</v>
      </c>
      <c r="BH73" s="137">
        <v>0</v>
      </c>
      <c r="BI73" s="137">
        <v>0</v>
      </c>
      <c r="BJ73" s="137">
        <v>0</v>
      </c>
      <c r="BK73" s="137">
        <v>0</v>
      </c>
      <c r="BL73" s="137">
        <v>0</v>
      </c>
      <c r="BM73" s="137">
        <v>0</v>
      </c>
      <c r="BN73" s="137">
        <v>0</v>
      </c>
      <c r="BO73" s="137">
        <v>0</v>
      </c>
      <c r="BP73" s="137">
        <v>0</v>
      </c>
      <c r="BQ73" s="137">
        <v>0</v>
      </c>
      <c r="BR73" s="137">
        <v>0</v>
      </c>
      <c r="BS73" s="137">
        <v>0</v>
      </c>
      <c r="BT73" s="137">
        <v>0</v>
      </c>
      <c r="BU73" s="137">
        <v>0</v>
      </c>
      <c r="BV73" s="137">
        <v>0</v>
      </c>
      <c r="BW73" s="137">
        <v>0</v>
      </c>
      <c r="BX73" s="137">
        <v>0</v>
      </c>
      <c r="BY73" s="137">
        <v>0</v>
      </c>
      <c r="BZ73" s="137">
        <v>0</v>
      </c>
      <c r="CA73" s="137">
        <v>0</v>
      </c>
      <c r="CB73" s="137">
        <v>0</v>
      </c>
      <c r="CC73" s="137">
        <v>0</v>
      </c>
      <c r="CD73" s="137">
        <v>0</v>
      </c>
      <c r="CE73" s="137">
        <v>0</v>
      </c>
      <c r="CF73" s="137">
        <v>0</v>
      </c>
      <c r="CG73" s="137">
        <v>0</v>
      </c>
      <c r="CH73" s="137">
        <v>0</v>
      </c>
      <c r="CI73" s="137">
        <v>0</v>
      </c>
      <c r="CJ73" s="137">
        <v>0</v>
      </c>
      <c r="CK73" s="137">
        <v>0</v>
      </c>
      <c r="CL73" s="137">
        <v>0</v>
      </c>
      <c r="CM73" s="137">
        <v>0</v>
      </c>
      <c r="CN73" s="137">
        <v>0</v>
      </c>
      <c r="CO73" s="137">
        <v>0</v>
      </c>
      <c r="CP73" s="137">
        <v>0</v>
      </c>
      <c r="CQ73" s="137">
        <v>0</v>
      </c>
      <c r="CR73" s="137">
        <v>0</v>
      </c>
      <c r="CS73" s="137">
        <v>0</v>
      </c>
      <c r="CT73" s="137">
        <v>0</v>
      </c>
      <c r="CU73" s="137">
        <v>0</v>
      </c>
      <c r="CV73" s="137">
        <v>0</v>
      </c>
      <c r="CW73" s="137">
        <v>0</v>
      </c>
      <c r="CX73" s="137">
        <v>0</v>
      </c>
      <c r="CY73" s="137">
        <v>0</v>
      </c>
      <c r="CZ73" s="137">
        <v>0</v>
      </c>
      <c r="DA73" s="137">
        <v>0</v>
      </c>
      <c r="DB73" s="137">
        <v>0</v>
      </c>
      <c r="DC73" s="137">
        <v>0</v>
      </c>
      <c r="DD73" s="137">
        <v>0</v>
      </c>
      <c r="DE73" s="137">
        <v>0</v>
      </c>
      <c r="DF73" s="137">
        <v>0</v>
      </c>
    </row>
    <row r="74" spans="1:110" ht="15" customHeight="1" x14ac:dyDescent="0.25">
      <c r="A74" s="136" t="s">
        <v>109</v>
      </c>
      <c r="C74" s="335">
        <v>0</v>
      </c>
      <c r="D74" s="335">
        <v>0</v>
      </c>
      <c r="E74" s="335">
        <v>0</v>
      </c>
      <c r="F74" s="137">
        <v>0</v>
      </c>
      <c r="G74" s="137">
        <v>0</v>
      </c>
      <c r="H74" s="137">
        <v>0</v>
      </c>
      <c r="I74" s="137">
        <v>0</v>
      </c>
      <c r="J74" s="137">
        <v>0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v>0</v>
      </c>
      <c r="R74" s="137">
        <v>0</v>
      </c>
      <c r="S74" s="137">
        <v>0</v>
      </c>
      <c r="T74" s="137">
        <v>0</v>
      </c>
      <c r="U74" s="137">
        <v>0</v>
      </c>
      <c r="V74" s="137">
        <v>0</v>
      </c>
      <c r="W74" s="137">
        <v>0</v>
      </c>
      <c r="X74" s="137">
        <v>0</v>
      </c>
      <c r="Y74" s="137">
        <v>0</v>
      </c>
      <c r="Z74" s="137">
        <v>0</v>
      </c>
      <c r="AA74" s="137">
        <v>0</v>
      </c>
      <c r="AB74" s="137">
        <v>0</v>
      </c>
      <c r="AC74" s="137">
        <v>0</v>
      </c>
      <c r="AD74" s="137">
        <v>0</v>
      </c>
      <c r="AE74" s="137">
        <v>0</v>
      </c>
      <c r="AF74" s="137">
        <v>0</v>
      </c>
      <c r="AG74" s="137">
        <v>0</v>
      </c>
      <c r="AH74" s="137">
        <v>0</v>
      </c>
      <c r="AI74" s="137">
        <v>0</v>
      </c>
      <c r="AJ74" s="137">
        <v>0</v>
      </c>
      <c r="AK74" s="137">
        <v>0</v>
      </c>
      <c r="AL74" s="137">
        <v>0</v>
      </c>
      <c r="AM74" s="137">
        <v>0</v>
      </c>
      <c r="AN74" s="137">
        <v>0</v>
      </c>
      <c r="AO74" s="137">
        <v>0</v>
      </c>
      <c r="AP74" s="137">
        <v>0</v>
      </c>
      <c r="AQ74" s="137">
        <v>0</v>
      </c>
      <c r="AR74" s="137">
        <v>0</v>
      </c>
      <c r="AS74" s="137">
        <v>0</v>
      </c>
      <c r="AT74" s="137">
        <v>0</v>
      </c>
      <c r="AU74" s="137">
        <v>0</v>
      </c>
      <c r="AV74" s="137">
        <v>0</v>
      </c>
      <c r="AW74" s="137">
        <v>0</v>
      </c>
      <c r="AX74" s="137">
        <v>0</v>
      </c>
      <c r="AY74" s="137">
        <v>0</v>
      </c>
      <c r="AZ74" s="137">
        <v>0</v>
      </c>
      <c r="BA74" s="137">
        <v>0</v>
      </c>
      <c r="BB74" s="137">
        <v>0</v>
      </c>
      <c r="BC74" s="137">
        <v>0</v>
      </c>
      <c r="BD74" s="137">
        <v>0</v>
      </c>
      <c r="BE74" s="137">
        <v>0</v>
      </c>
      <c r="BF74" s="137">
        <v>0</v>
      </c>
      <c r="BG74" s="137">
        <v>0</v>
      </c>
      <c r="BH74" s="137">
        <v>0</v>
      </c>
      <c r="BI74" s="137">
        <v>0</v>
      </c>
      <c r="BJ74" s="137">
        <v>0</v>
      </c>
      <c r="BK74" s="137">
        <v>0</v>
      </c>
      <c r="BL74" s="137">
        <v>0</v>
      </c>
      <c r="BM74" s="137">
        <v>0</v>
      </c>
      <c r="BN74" s="137">
        <v>0</v>
      </c>
      <c r="BO74" s="137">
        <v>0</v>
      </c>
      <c r="BP74" s="137">
        <v>0</v>
      </c>
      <c r="BQ74" s="137">
        <v>0</v>
      </c>
      <c r="BR74" s="137">
        <v>0</v>
      </c>
      <c r="BS74" s="137">
        <v>0</v>
      </c>
      <c r="BT74" s="137">
        <v>0</v>
      </c>
      <c r="BU74" s="137">
        <v>0</v>
      </c>
      <c r="BV74" s="137">
        <v>0</v>
      </c>
      <c r="BW74" s="137">
        <v>0</v>
      </c>
      <c r="BX74" s="137">
        <v>0</v>
      </c>
      <c r="BY74" s="137">
        <v>0</v>
      </c>
      <c r="BZ74" s="137">
        <v>0</v>
      </c>
      <c r="CA74" s="137">
        <v>0</v>
      </c>
      <c r="CB74" s="137">
        <v>0</v>
      </c>
      <c r="CC74" s="137">
        <v>0</v>
      </c>
      <c r="CD74" s="137">
        <v>0</v>
      </c>
      <c r="CE74" s="137">
        <v>0</v>
      </c>
      <c r="CF74" s="137">
        <v>0</v>
      </c>
      <c r="CG74" s="137">
        <v>0</v>
      </c>
      <c r="CH74" s="137">
        <v>0</v>
      </c>
      <c r="CI74" s="137">
        <v>0</v>
      </c>
      <c r="CJ74" s="137">
        <v>0</v>
      </c>
      <c r="CK74" s="137">
        <v>0</v>
      </c>
      <c r="CL74" s="137">
        <v>0</v>
      </c>
      <c r="CM74" s="137">
        <v>0</v>
      </c>
      <c r="CN74" s="137">
        <v>0</v>
      </c>
      <c r="CO74" s="137">
        <v>0</v>
      </c>
      <c r="CP74" s="137">
        <v>0</v>
      </c>
      <c r="CQ74" s="137">
        <v>0</v>
      </c>
      <c r="CR74" s="137">
        <v>0</v>
      </c>
      <c r="CS74" s="137">
        <v>0</v>
      </c>
      <c r="CT74" s="137">
        <v>0</v>
      </c>
      <c r="CU74" s="137">
        <v>0</v>
      </c>
      <c r="CV74" s="137">
        <v>0</v>
      </c>
      <c r="CW74" s="137">
        <v>0</v>
      </c>
      <c r="CX74" s="137">
        <v>0</v>
      </c>
      <c r="CY74" s="137">
        <v>0</v>
      </c>
      <c r="CZ74" s="137">
        <v>0</v>
      </c>
      <c r="DA74" s="137">
        <v>0</v>
      </c>
      <c r="DB74" s="137">
        <v>0</v>
      </c>
      <c r="DC74" s="137">
        <v>0</v>
      </c>
      <c r="DD74" s="137">
        <v>0</v>
      </c>
      <c r="DE74" s="137">
        <v>0</v>
      </c>
      <c r="DF74" s="137">
        <v>0</v>
      </c>
    </row>
    <row r="75" spans="1:110" ht="15" customHeight="1" x14ac:dyDescent="0.25">
      <c r="A75" s="136" t="s">
        <v>110</v>
      </c>
      <c r="C75" s="335">
        <v>0</v>
      </c>
      <c r="D75" s="335">
        <v>0</v>
      </c>
      <c r="E75" s="335">
        <v>0</v>
      </c>
      <c r="F75" s="137">
        <v>0</v>
      </c>
      <c r="G75" s="137">
        <v>0</v>
      </c>
      <c r="H75" s="137">
        <v>0</v>
      </c>
      <c r="I75" s="137">
        <v>0</v>
      </c>
      <c r="J75" s="137">
        <v>0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37">
        <v>0</v>
      </c>
      <c r="W75" s="137">
        <v>0</v>
      </c>
      <c r="X75" s="137">
        <v>0</v>
      </c>
      <c r="Y75" s="137">
        <v>0</v>
      </c>
      <c r="Z75" s="137">
        <v>0</v>
      </c>
      <c r="AA75" s="137">
        <v>0</v>
      </c>
      <c r="AB75" s="137">
        <v>0</v>
      </c>
      <c r="AC75" s="137">
        <v>0</v>
      </c>
      <c r="AD75" s="137">
        <v>0</v>
      </c>
      <c r="AE75" s="137">
        <v>0</v>
      </c>
      <c r="AF75" s="137">
        <v>0</v>
      </c>
      <c r="AG75" s="137">
        <v>0</v>
      </c>
      <c r="AH75" s="137">
        <v>0</v>
      </c>
      <c r="AI75" s="137">
        <v>0</v>
      </c>
      <c r="AJ75" s="137">
        <v>0</v>
      </c>
      <c r="AK75" s="137">
        <v>0</v>
      </c>
      <c r="AL75" s="137">
        <v>0</v>
      </c>
      <c r="AM75" s="137">
        <v>0</v>
      </c>
      <c r="AN75" s="137">
        <v>0</v>
      </c>
      <c r="AO75" s="137">
        <v>0</v>
      </c>
      <c r="AP75" s="137">
        <v>0</v>
      </c>
      <c r="AQ75" s="137">
        <v>0</v>
      </c>
      <c r="AR75" s="137">
        <v>0</v>
      </c>
      <c r="AS75" s="137">
        <v>0</v>
      </c>
      <c r="AT75" s="137">
        <v>0</v>
      </c>
      <c r="AU75" s="137">
        <v>81683</v>
      </c>
      <c r="AV75" s="137">
        <v>0</v>
      </c>
      <c r="AW75" s="137">
        <v>0</v>
      </c>
      <c r="AX75" s="137">
        <v>81682</v>
      </c>
      <c r="AY75" s="137">
        <v>0</v>
      </c>
      <c r="AZ75" s="137">
        <v>0</v>
      </c>
      <c r="BA75" s="137">
        <v>81682</v>
      </c>
      <c r="BB75" s="137">
        <v>0</v>
      </c>
      <c r="BC75" s="137">
        <v>0</v>
      </c>
      <c r="BD75" s="137">
        <v>81682</v>
      </c>
      <c r="BE75" s="137">
        <v>0</v>
      </c>
      <c r="BF75" s="137">
        <v>0</v>
      </c>
      <c r="BG75" s="137">
        <v>59178</v>
      </c>
      <c r="BH75" s="137">
        <v>0</v>
      </c>
      <c r="BI75" s="137">
        <v>0</v>
      </c>
      <c r="BJ75" s="137">
        <v>59176</v>
      </c>
      <c r="BK75" s="137">
        <v>0</v>
      </c>
      <c r="BL75" s="137">
        <v>0</v>
      </c>
      <c r="BM75" s="137">
        <v>59176</v>
      </c>
      <c r="BN75" s="137">
        <v>0</v>
      </c>
      <c r="BO75" s="137">
        <v>0</v>
      </c>
      <c r="BP75" s="137">
        <v>59176</v>
      </c>
      <c r="BQ75" s="137">
        <v>0</v>
      </c>
      <c r="BR75" s="137">
        <v>0</v>
      </c>
      <c r="BS75" s="137">
        <v>67763</v>
      </c>
      <c r="BT75" s="137">
        <v>0</v>
      </c>
      <c r="BU75" s="137">
        <v>0</v>
      </c>
      <c r="BV75" s="137">
        <v>67762</v>
      </c>
      <c r="BW75" s="137">
        <v>0</v>
      </c>
      <c r="BX75" s="137">
        <v>0</v>
      </c>
      <c r="BY75" s="137">
        <v>67762</v>
      </c>
      <c r="BZ75" s="137">
        <v>0</v>
      </c>
      <c r="CA75" s="137">
        <v>0</v>
      </c>
      <c r="CB75" s="137">
        <v>67762</v>
      </c>
      <c r="CC75" s="137">
        <v>0</v>
      </c>
      <c r="CD75" s="137">
        <v>0</v>
      </c>
      <c r="CE75" s="137">
        <v>76499</v>
      </c>
      <c r="CF75" s="137">
        <v>0</v>
      </c>
      <c r="CG75" s="137">
        <v>0</v>
      </c>
      <c r="CH75" s="137">
        <v>76499</v>
      </c>
      <c r="CI75" s="137">
        <v>0</v>
      </c>
      <c r="CJ75" s="137">
        <v>0</v>
      </c>
      <c r="CK75" s="137">
        <v>76499</v>
      </c>
      <c r="CL75" s="137">
        <v>76499</v>
      </c>
      <c r="CM75" s="137">
        <v>76499</v>
      </c>
      <c r="CN75" s="137">
        <v>76499</v>
      </c>
      <c r="CO75" s="137">
        <v>76499</v>
      </c>
      <c r="CP75" s="137">
        <v>76499</v>
      </c>
      <c r="CQ75" s="137">
        <v>76499</v>
      </c>
      <c r="CR75" s="137">
        <v>76499</v>
      </c>
      <c r="CS75" s="137">
        <v>76499</v>
      </c>
      <c r="CT75" s="137">
        <v>76499</v>
      </c>
      <c r="CU75" s="137">
        <v>76499</v>
      </c>
      <c r="CV75" s="137">
        <v>76499</v>
      </c>
      <c r="CW75" s="137">
        <v>76499</v>
      </c>
      <c r="CX75" s="137">
        <v>76499</v>
      </c>
      <c r="CY75" s="137">
        <v>76499</v>
      </c>
      <c r="CZ75" s="137">
        <v>76499</v>
      </c>
      <c r="DA75" s="137">
        <v>76499</v>
      </c>
      <c r="DB75" s="137">
        <v>76499</v>
      </c>
      <c r="DC75" s="137">
        <v>76499</v>
      </c>
      <c r="DD75" s="137">
        <v>76499</v>
      </c>
      <c r="DE75" s="137">
        <v>76499</v>
      </c>
      <c r="DF75" s="137">
        <v>76499</v>
      </c>
    </row>
    <row r="76" spans="1:110" ht="15" customHeight="1" x14ac:dyDescent="0.25">
      <c r="A76" s="136" t="s">
        <v>111</v>
      </c>
      <c r="C76" s="335">
        <v>0</v>
      </c>
      <c r="D76" s="335">
        <v>0</v>
      </c>
      <c r="E76" s="335">
        <v>0</v>
      </c>
      <c r="F76" s="137">
        <v>0</v>
      </c>
      <c r="G76" s="137">
        <v>0</v>
      </c>
      <c r="H76" s="137">
        <v>0</v>
      </c>
      <c r="I76" s="137">
        <v>0</v>
      </c>
      <c r="J76" s="137">
        <v>0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v>0</v>
      </c>
      <c r="R76" s="137">
        <v>0</v>
      </c>
      <c r="S76" s="137">
        <v>0</v>
      </c>
      <c r="T76" s="137">
        <v>0</v>
      </c>
      <c r="U76" s="137">
        <v>0</v>
      </c>
      <c r="V76" s="137">
        <v>0</v>
      </c>
      <c r="W76" s="137">
        <v>0</v>
      </c>
      <c r="X76" s="137">
        <v>0</v>
      </c>
      <c r="Y76" s="137">
        <v>0</v>
      </c>
      <c r="Z76" s="137">
        <v>0</v>
      </c>
      <c r="AA76" s="137">
        <v>0</v>
      </c>
      <c r="AB76" s="137">
        <v>0</v>
      </c>
      <c r="AC76" s="137">
        <v>0</v>
      </c>
      <c r="AD76" s="137">
        <v>0</v>
      </c>
      <c r="AE76" s="137">
        <v>0</v>
      </c>
      <c r="AF76" s="137">
        <v>0</v>
      </c>
      <c r="AG76" s="137">
        <v>0</v>
      </c>
      <c r="AH76" s="137">
        <v>0</v>
      </c>
      <c r="AI76" s="137">
        <v>0</v>
      </c>
      <c r="AJ76" s="137">
        <v>0</v>
      </c>
      <c r="AK76" s="137">
        <v>0</v>
      </c>
      <c r="AL76" s="137">
        <v>0</v>
      </c>
      <c r="AM76" s="137">
        <v>0</v>
      </c>
      <c r="AN76" s="137">
        <v>0</v>
      </c>
      <c r="AO76" s="137">
        <v>0</v>
      </c>
      <c r="AP76" s="137">
        <v>0</v>
      </c>
      <c r="AQ76" s="137">
        <v>0</v>
      </c>
      <c r="AR76" s="137">
        <v>0</v>
      </c>
      <c r="AS76" s="137">
        <v>0</v>
      </c>
      <c r="AT76" s="137">
        <v>0</v>
      </c>
      <c r="AU76" s="137">
        <v>0</v>
      </c>
      <c r="AV76" s="137">
        <v>0</v>
      </c>
      <c r="AW76" s="137">
        <v>0</v>
      </c>
      <c r="AX76" s="137">
        <v>0</v>
      </c>
      <c r="AY76" s="137">
        <v>0</v>
      </c>
      <c r="AZ76" s="137">
        <v>0</v>
      </c>
      <c r="BA76" s="137">
        <v>0</v>
      </c>
      <c r="BB76" s="137">
        <v>0</v>
      </c>
      <c r="BC76" s="137">
        <v>0</v>
      </c>
      <c r="BD76" s="137">
        <v>851839</v>
      </c>
      <c r="BE76" s="137">
        <v>0</v>
      </c>
      <c r="BF76" s="137">
        <v>0</v>
      </c>
      <c r="BG76" s="137">
        <v>71700</v>
      </c>
      <c r="BH76" s="137">
        <v>0</v>
      </c>
      <c r="BI76" s="137">
        <v>0</v>
      </c>
      <c r="BJ76" s="137">
        <v>71700</v>
      </c>
      <c r="BK76" s="137">
        <v>0</v>
      </c>
      <c r="BL76" s="137">
        <v>0</v>
      </c>
      <c r="BM76" s="137">
        <v>71700</v>
      </c>
      <c r="BN76" s="137">
        <v>0</v>
      </c>
      <c r="BO76" s="137">
        <v>0</v>
      </c>
      <c r="BP76" s="137">
        <v>71700</v>
      </c>
      <c r="BQ76" s="137">
        <v>0</v>
      </c>
      <c r="BR76" s="137">
        <v>0</v>
      </c>
      <c r="BS76" s="137">
        <v>74643</v>
      </c>
      <c r="BT76" s="137">
        <v>0</v>
      </c>
      <c r="BU76" s="137">
        <v>0</v>
      </c>
      <c r="BV76" s="137">
        <v>74640</v>
      </c>
      <c r="BW76" s="137">
        <v>0</v>
      </c>
      <c r="BX76" s="137">
        <v>0</v>
      </c>
      <c r="BY76" s="137">
        <v>74640</v>
      </c>
      <c r="BZ76" s="137">
        <v>0</v>
      </c>
      <c r="CA76" s="137">
        <v>0</v>
      </c>
      <c r="CB76" s="137">
        <v>74640</v>
      </c>
      <c r="CC76" s="137">
        <v>0</v>
      </c>
      <c r="CD76" s="137">
        <v>0</v>
      </c>
      <c r="CE76" s="137">
        <v>81363</v>
      </c>
      <c r="CF76" s="137">
        <v>0</v>
      </c>
      <c r="CG76" s="137">
        <v>0</v>
      </c>
      <c r="CH76" s="137">
        <v>81362</v>
      </c>
      <c r="CI76" s="137">
        <v>0</v>
      </c>
      <c r="CJ76" s="137">
        <v>0</v>
      </c>
      <c r="CK76" s="137">
        <v>81362</v>
      </c>
      <c r="CL76" s="137">
        <v>81362</v>
      </c>
      <c r="CM76" s="137">
        <v>81362</v>
      </c>
      <c r="CN76" s="137">
        <v>81362</v>
      </c>
      <c r="CO76" s="137">
        <v>81362</v>
      </c>
      <c r="CP76" s="137">
        <v>81362</v>
      </c>
      <c r="CQ76" s="137">
        <v>81362</v>
      </c>
      <c r="CR76" s="137">
        <v>81362</v>
      </c>
      <c r="CS76" s="137">
        <v>81362</v>
      </c>
      <c r="CT76" s="137">
        <v>81362</v>
      </c>
      <c r="CU76" s="137">
        <v>81362</v>
      </c>
      <c r="CV76" s="137">
        <v>81362</v>
      </c>
      <c r="CW76" s="137">
        <v>81362</v>
      </c>
      <c r="CX76" s="137">
        <v>81362</v>
      </c>
      <c r="CY76" s="137">
        <v>81362</v>
      </c>
      <c r="CZ76" s="137">
        <v>81362</v>
      </c>
      <c r="DA76" s="137">
        <v>81362</v>
      </c>
      <c r="DB76" s="137">
        <v>81362</v>
      </c>
      <c r="DC76" s="137">
        <v>81362</v>
      </c>
      <c r="DD76" s="137">
        <v>81362</v>
      </c>
      <c r="DE76" s="137">
        <v>81362</v>
      </c>
      <c r="DF76" s="137">
        <v>81362</v>
      </c>
    </row>
    <row r="77" spans="1:110" ht="15" customHeight="1" x14ac:dyDescent="0.25">
      <c r="A77" s="136" t="s">
        <v>112</v>
      </c>
      <c r="C77" s="335">
        <v>0</v>
      </c>
      <c r="D77" s="335">
        <v>0</v>
      </c>
      <c r="E77" s="335">
        <v>0</v>
      </c>
      <c r="F77" s="137">
        <v>0</v>
      </c>
      <c r="G77" s="137">
        <v>0</v>
      </c>
      <c r="H77" s="137">
        <v>0</v>
      </c>
      <c r="I77" s="137">
        <v>0</v>
      </c>
      <c r="J77" s="137">
        <v>0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v>0</v>
      </c>
      <c r="R77" s="137">
        <v>0</v>
      </c>
      <c r="S77" s="137">
        <v>0</v>
      </c>
      <c r="T77" s="137">
        <v>0</v>
      </c>
      <c r="U77" s="137">
        <v>0</v>
      </c>
      <c r="V77" s="137">
        <v>0</v>
      </c>
      <c r="W77" s="137">
        <v>0</v>
      </c>
      <c r="X77" s="137">
        <v>0</v>
      </c>
      <c r="Y77" s="137">
        <v>0</v>
      </c>
      <c r="Z77" s="137">
        <v>0</v>
      </c>
      <c r="AA77" s="137">
        <v>0</v>
      </c>
      <c r="AB77" s="137">
        <v>0</v>
      </c>
      <c r="AC77" s="137">
        <v>0</v>
      </c>
      <c r="AD77" s="137">
        <v>0</v>
      </c>
      <c r="AE77" s="137">
        <v>0</v>
      </c>
      <c r="AF77" s="137">
        <v>0</v>
      </c>
      <c r="AG77" s="137">
        <v>0</v>
      </c>
      <c r="AH77" s="137">
        <v>0</v>
      </c>
      <c r="AI77" s="137">
        <v>0</v>
      </c>
      <c r="AJ77" s="137">
        <v>0</v>
      </c>
      <c r="AK77" s="137">
        <v>0</v>
      </c>
      <c r="AL77" s="137">
        <v>0</v>
      </c>
      <c r="AM77" s="137">
        <v>0</v>
      </c>
      <c r="AN77" s="137">
        <v>0</v>
      </c>
      <c r="AO77" s="137">
        <v>0</v>
      </c>
      <c r="AP77" s="137">
        <v>0</v>
      </c>
      <c r="AQ77" s="137">
        <v>0</v>
      </c>
      <c r="AR77" s="137">
        <v>0</v>
      </c>
      <c r="AS77" s="137">
        <v>0</v>
      </c>
      <c r="AT77" s="137">
        <v>0</v>
      </c>
      <c r="AU77" s="137">
        <v>0</v>
      </c>
      <c r="AV77" s="137">
        <v>0</v>
      </c>
      <c r="AW77" s="137">
        <v>0</v>
      </c>
      <c r="AX77" s="137">
        <v>0</v>
      </c>
      <c r="AY77" s="137">
        <v>0</v>
      </c>
      <c r="AZ77" s="137">
        <v>0</v>
      </c>
      <c r="BA77" s="137">
        <v>0</v>
      </c>
      <c r="BB77" s="137">
        <v>0</v>
      </c>
      <c r="BC77" s="137">
        <v>0</v>
      </c>
      <c r="BD77" s="137">
        <v>0</v>
      </c>
      <c r="BE77" s="137">
        <v>0</v>
      </c>
      <c r="BF77" s="137">
        <v>0</v>
      </c>
      <c r="BG77" s="137">
        <v>0</v>
      </c>
      <c r="BH77" s="137">
        <v>0</v>
      </c>
      <c r="BI77" s="137">
        <v>0</v>
      </c>
      <c r="BJ77" s="137">
        <v>0</v>
      </c>
      <c r="BK77" s="137">
        <v>0</v>
      </c>
      <c r="BL77" s="137">
        <v>0</v>
      </c>
      <c r="BM77" s="137">
        <v>0</v>
      </c>
      <c r="BN77" s="137">
        <v>0</v>
      </c>
      <c r="BO77" s="137">
        <v>0</v>
      </c>
      <c r="BP77" s="137">
        <v>0</v>
      </c>
      <c r="BQ77" s="137">
        <v>0</v>
      </c>
      <c r="BR77" s="137">
        <v>0</v>
      </c>
      <c r="BS77" s="137">
        <v>0</v>
      </c>
      <c r="BT77" s="137">
        <v>0</v>
      </c>
      <c r="BU77" s="137">
        <v>0</v>
      </c>
      <c r="BV77" s="137">
        <v>0</v>
      </c>
      <c r="BW77" s="137">
        <v>0</v>
      </c>
      <c r="BX77" s="137">
        <v>0</v>
      </c>
      <c r="BY77" s="137">
        <v>0</v>
      </c>
      <c r="BZ77" s="137">
        <v>0</v>
      </c>
      <c r="CA77" s="137">
        <v>0</v>
      </c>
      <c r="CB77" s="137">
        <v>73156</v>
      </c>
      <c r="CC77" s="137">
        <v>0</v>
      </c>
      <c r="CD77" s="137">
        <v>0</v>
      </c>
      <c r="CE77" s="137">
        <v>73155</v>
      </c>
      <c r="CF77" s="137">
        <v>0</v>
      </c>
      <c r="CG77" s="137">
        <v>0</v>
      </c>
      <c r="CH77" s="137">
        <v>73155</v>
      </c>
      <c r="CI77" s="137">
        <v>0</v>
      </c>
      <c r="CJ77" s="137">
        <v>0</v>
      </c>
      <c r="CK77" s="137">
        <v>73155</v>
      </c>
      <c r="CL77" s="137">
        <v>73155</v>
      </c>
      <c r="CM77" s="137">
        <v>73155</v>
      </c>
      <c r="CN77" s="137">
        <v>73155</v>
      </c>
      <c r="CO77" s="137">
        <v>73155</v>
      </c>
      <c r="CP77" s="137">
        <v>73155</v>
      </c>
      <c r="CQ77" s="137">
        <v>73155</v>
      </c>
      <c r="CR77" s="137">
        <v>73155</v>
      </c>
      <c r="CS77" s="137">
        <v>73155</v>
      </c>
      <c r="CT77" s="137">
        <v>73155</v>
      </c>
      <c r="CU77" s="137">
        <v>73155</v>
      </c>
      <c r="CV77" s="137">
        <v>73155</v>
      </c>
      <c r="CW77" s="137">
        <v>73155</v>
      </c>
      <c r="CX77" s="137">
        <v>73155</v>
      </c>
      <c r="CY77" s="137">
        <v>73155</v>
      </c>
      <c r="CZ77" s="137">
        <v>73155</v>
      </c>
      <c r="DA77" s="137">
        <v>73155</v>
      </c>
      <c r="DB77" s="137">
        <v>73155</v>
      </c>
      <c r="DC77" s="137">
        <v>73155</v>
      </c>
      <c r="DD77" s="137">
        <v>73155</v>
      </c>
      <c r="DE77" s="137">
        <v>73155</v>
      </c>
      <c r="DF77" s="137">
        <v>73155</v>
      </c>
    </row>
    <row r="78" spans="1:110" ht="15" customHeight="1" x14ac:dyDescent="0.25">
      <c r="A78" s="136" t="s">
        <v>113</v>
      </c>
      <c r="C78" s="335">
        <v>0</v>
      </c>
      <c r="D78" s="335">
        <v>0</v>
      </c>
      <c r="E78" s="335">
        <v>0</v>
      </c>
      <c r="F78" s="137">
        <v>0</v>
      </c>
      <c r="G78" s="137">
        <v>0</v>
      </c>
      <c r="H78" s="137">
        <v>0</v>
      </c>
      <c r="I78" s="137">
        <v>0</v>
      </c>
      <c r="J78" s="137">
        <v>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v>0</v>
      </c>
      <c r="R78" s="137">
        <v>0</v>
      </c>
      <c r="S78" s="137">
        <v>0</v>
      </c>
      <c r="T78" s="137">
        <v>0</v>
      </c>
      <c r="U78" s="137">
        <v>0</v>
      </c>
      <c r="V78" s="137">
        <v>0</v>
      </c>
      <c r="W78" s="137">
        <v>0</v>
      </c>
      <c r="X78" s="137">
        <v>0</v>
      </c>
      <c r="Y78" s="137">
        <v>0</v>
      </c>
      <c r="Z78" s="137">
        <v>0</v>
      </c>
      <c r="AA78" s="137">
        <v>0</v>
      </c>
      <c r="AB78" s="137">
        <v>0</v>
      </c>
      <c r="AC78" s="137">
        <v>0</v>
      </c>
      <c r="AD78" s="137">
        <v>0</v>
      </c>
      <c r="AE78" s="137">
        <v>0</v>
      </c>
      <c r="AF78" s="137">
        <v>0</v>
      </c>
      <c r="AG78" s="137">
        <v>0</v>
      </c>
      <c r="AH78" s="137">
        <v>0</v>
      </c>
      <c r="AI78" s="137">
        <v>0</v>
      </c>
      <c r="AJ78" s="137">
        <v>0</v>
      </c>
      <c r="AK78" s="137">
        <v>0</v>
      </c>
      <c r="AL78" s="137">
        <v>0</v>
      </c>
      <c r="AM78" s="137">
        <v>0</v>
      </c>
      <c r="AN78" s="137">
        <v>0</v>
      </c>
      <c r="AO78" s="137">
        <v>0</v>
      </c>
      <c r="AP78" s="137">
        <v>0</v>
      </c>
      <c r="AQ78" s="137">
        <v>0</v>
      </c>
      <c r="AR78" s="137">
        <v>0</v>
      </c>
      <c r="AS78" s="137">
        <v>0</v>
      </c>
      <c r="AT78" s="137">
        <v>0</v>
      </c>
      <c r="AU78" s="137">
        <v>0</v>
      </c>
      <c r="AV78" s="137">
        <v>0</v>
      </c>
      <c r="AW78" s="137">
        <v>0</v>
      </c>
      <c r="AX78" s="137">
        <v>0</v>
      </c>
      <c r="AY78" s="137">
        <v>0</v>
      </c>
      <c r="AZ78" s="137">
        <v>0</v>
      </c>
      <c r="BA78" s="137">
        <v>0</v>
      </c>
      <c r="BB78" s="137">
        <v>0</v>
      </c>
      <c r="BC78" s="137">
        <v>0</v>
      </c>
      <c r="BD78" s="137">
        <v>0</v>
      </c>
      <c r="BE78" s="137">
        <v>0</v>
      </c>
      <c r="BF78" s="137">
        <v>0</v>
      </c>
      <c r="BG78" s="137">
        <v>0</v>
      </c>
      <c r="BH78" s="137">
        <v>0</v>
      </c>
      <c r="BI78" s="137">
        <v>0</v>
      </c>
      <c r="BJ78" s="137">
        <v>0</v>
      </c>
      <c r="BK78" s="137">
        <v>0</v>
      </c>
      <c r="BL78" s="137">
        <v>0</v>
      </c>
      <c r="BM78" s="137">
        <v>0</v>
      </c>
      <c r="BN78" s="137">
        <v>0</v>
      </c>
      <c r="BO78" s="137">
        <v>0</v>
      </c>
      <c r="BP78" s="137">
        <v>0</v>
      </c>
      <c r="BQ78" s="137">
        <v>0</v>
      </c>
      <c r="BR78" s="137">
        <v>0</v>
      </c>
      <c r="BS78" s="137">
        <v>0</v>
      </c>
      <c r="BT78" s="137">
        <v>0</v>
      </c>
      <c r="BU78" s="137">
        <v>0</v>
      </c>
      <c r="BV78" s="137">
        <v>0</v>
      </c>
      <c r="BW78" s="137">
        <v>0</v>
      </c>
      <c r="BX78" s="137">
        <v>0</v>
      </c>
      <c r="BY78" s="137">
        <v>0</v>
      </c>
      <c r="BZ78" s="137">
        <v>0</v>
      </c>
      <c r="CA78" s="137">
        <v>0</v>
      </c>
      <c r="CB78" s="137">
        <v>0</v>
      </c>
      <c r="CC78" s="137">
        <v>0</v>
      </c>
      <c r="CD78" s="137">
        <v>0</v>
      </c>
      <c r="CE78" s="137">
        <v>0</v>
      </c>
      <c r="CF78" s="137">
        <v>0</v>
      </c>
      <c r="CG78" s="137">
        <v>0</v>
      </c>
      <c r="CH78" s="137">
        <v>0</v>
      </c>
      <c r="CI78" s="137">
        <v>0</v>
      </c>
      <c r="CJ78" s="137">
        <v>0</v>
      </c>
      <c r="CK78" s="137">
        <v>0</v>
      </c>
      <c r="CL78" s="137">
        <v>0</v>
      </c>
      <c r="CM78" s="137">
        <v>0</v>
      </c>
      <c r="CN78" s="137">
        <v>0</v>
      </c>
      <c r="CO78" s="137">
        <v>0</v>
      </c>
      <c r="CP78" s="137">
        <v>0</v>
      </c>
      <c r="CQ78" s="137">
        <v>0</v>
      </c>
      <c r="CR78" s="137">
        <v>0</v>
      </c>
      <c r="CS78" s="137">
        <v>0</v>
      </c>
      <c r="CT78" s="137">
        <v>0</v>
      </c>
      <c r="CU78" s="137">
        <v>0</v>
      </c>
      <c r="CV78" s="137">
        <v>0</v>
      </c>
      <c r="CW78" s="137">
        <v>0</v>
      </c>
      <c r="CX78" s="137">
        <v>0</v>
      </c>
      <c r="CY78" s="137">
        <v>0</v>
      </c>
      <c r="CZ78" s="137">
        <v>0</v>
      </c>
      <c r="DA78" s="137">
        <v>0</v>
      </c>
      <c r="DB78" s="137">
        <v>0</v>
      </c>
      <c r="DC78" s="137">
        <v>0</v>
      </c>
      <c r="DD78" s="137">
        <v>0</v>
      </c>
      <c r="DE78" s="137">
        <v>0</v>
      </c>
      <c r="DF78" s="137">
        <v>0</v>
      </c>
    </row>
    <row r="79" spans="1:110" ht="15" customHeight="1" x14ac:dyDescent="0.25">
      <c r="A79" s="99" t="s">
        <v>114</v>
      </c>
      <c r="C79" s="141">
        <v>34114.58</v>
      </c>
      <c r="D79" s="141">
        <v>34114.58</v>
      </c>
      <c r="E79" s="141">
        <v>34114.58</v>
      </c>
      <c r="F79" s="142">
        <v>43614.58</v>
      </c>
      <c r="G79" s="142">
        <v>43614.58</v>
      </c>
      <c r="H79" s="142">
        <v>43614.58</v>
      </c>
      <c r="I79" s="142">
        <v>43614.58</v>
      </c>
      <c r="J79" s="142">
        <v>43614.58</v>
      </c>
      <c r="K79" s="142">
        <v>42781.25</v>
      </c>
      <c r="L79" s="142">
        <v>42781.25</v>
      </c>
      <c r="M79" s="142">
        <v>33406.25</v>
      </c>
      <c r="N79" s="142">
        <v>33406.25</v>
      </c>
      <c r="O79" s="142">
        <v>33406.25</v>
      </c>
      <c r="P79" s="142">
        <v>33406.25</v>
      </c>
      <c r="Q79" s="142">
        <v>33406.25</v>
      </c>
      <c r="R79" s="142">
        <v>33406.25</v>
      </c>
      <c r="S79" s="142">
        <v>33406.25</v>
      </c>
      <c r="T79" s="142">
        <v>33406.25</v>
      </c>
      <c r="U79" s="142">
        <v>9500</v>
      </c>
      <c r="V79" s="142">
        <v>9500</v>
      </c>
      <c r="W79" s="142">
        <v>9500</v>
      </c>
      <c r="X79" s="142">
        <v>9500</v>
      </c>
      <c r="Y79" s="142">
        <v>9500</v>
      </c>
      <c r="Z79" s="142">
        <v>66875</v>
      </c>
      <c r="AA79" s="142">
        <v>9500</v>
      </c>
      <c r="AB79" s="142">
        <v>9500</v>
      </c>
      <c r="AC79" s="142">
        <v>66875</v>
      </c>
      <c r="AD79" s="142">
        <v>9500</v>
      </c>
      <c r="AE79" s="142">
        <v>9500</v>
      </c>
      <c r="AF79" s="142">
        <v>66875</v>
      </c>
      <c r="AG79" s="142">
        <v>9500</v>
      </c>
      <c r="AH79" s="142">
        <v>9500</v>
      </c>
      <c r="AI79" s="142">
        <v>9500</v>
      </c>
      <c r="AJ79" s="142">
        <v>0</v>
      </c>
      <c r="AK79" s="142">
        <v>0</v>
      </c>
      <c r="AL79" s="142">
        <v>0</v>
      </c>
      <c r="AM79" s="142">
        <v>0</v>
      </c>
      <c r="AN79" s="142">
        <v>0</v>
      </c>
      <c r="AO79" s="142">
        <v>0</v>
      </c>
      <c r="AP79" s="142">
        <v>0</v>
      </c>
      <c r="AQ79" s="142">
        <v>0</v>
      </c>
      <c r="AR79" s="142">
        <v>0</v>
      </c>
      <c r="AS79" s="142">
        <v>0</v>
      </c>
      <c r="AT79" s="142">
        <v>0</v>
      </c>
      <c r="AU79" s="142">
        <v>81683</v>
      </c>
      <c r="AV79" s="142">
        <v>0</v>
      </c>
      <c r="AW79" s="142">
        <v>0</v>
      </c>
      <c r="AX79" s="142">
        <v>81682</v>
      </c>
      <c r="AY79" s="142">
        <v>0</v>
      </c>
      <c r="AZ79" s="142">
        <v>0</v>
      </c>
      <c r="BA79" s="142">
        <v>81682</v>
      </c>
      <c r="BB79" s="142">
        <v>0</v>
      </c>
      <c r="BC79" s="142">
        <v>0</v>
      </c>
      <c r="BD79" s="142">
        <v>933521</v>
      </c>
      <c r="BE79" s="142">
        <v>0</v>
      </c>
      <c r="BF79" s="142">
        <v>0</v>
      </c>
      <c r="BG79" s="142">
        <v>130878</v>
      </c>
      <c r="BH79" s="142">
        <v>0</v>
      </c>
      <c r="BI79" s="142">
        <v>0</v>
      </c>
      <c r="BJ79" s="142">
        <v>130876</v>
      </c>
      <c r="BK79" s="142">
        <v>0</v>
      </c>
      <c r="BL79" s="142">
        <v>0</v>
      </c>
      <c r="BM79" s="142">
        <v>130876</v>
      </c>
      <c r="BN79" s="142">
        <v>0</v>
      </c>
      <c r="BO79" s="142">
        <v>0</v>
      </c>
      <c r="BP79" s="142">
        <v>130876</v>
      </c>
      <c r="BQ79" s="142">
        <v>0</v>
      </c>
      <c r="BR79" s="142">
        <v>0</v>
      </c>
      <c r="BS79" s="142">
        <v>142406</v>
      </c>
      <c r="BT79" s="142">
        <v>0</v>
      </c>
      <c r="BU79" s="142">
        <v>0</v>
      </c>
      <c r="BV79" s="142">
        <v>142402</v>
      </c>
      <c r="BW79" s="142">
        <v>0</v>
      </c>
      <c r="BX79" s="142">
        <v>0</v>
      </c>
      <c r="BY79" s="142">
        <v>142402</v>
      </c>
      <c r="BZ79" s="142">
        <v>0</v>
      </c>
      <c r="CA79" s="142">
        <v>0</v>
      </c>
      <c r="CB79" s="142">
        <v>215558</v>
      </c>
      <c r="CC79" s="142">
        <v>0</v>
      </c>
      <c r="CD79" s="142">
        <v>0</v>
      </c>
      <c r="CE79" s="142">
        <v>231017</v>
      </c>
      <c r="CF79" s="142">
        <v>0</v>
      </c>
      <c r="CG79" s="142">
        <v>0</v>
      </c>
      <c r="CH79" s="142">
        <v>231016</v>
      </c>
      <c r="CI79" s="142">
        <v>0</v>
      </c>
      <c r="CJ79" s="142">
        <v>0</v>
      </c>
      <c r="CK79" s="142">
        <v>231016</v>
      </c>
      <c r="CL79" s="142">
        <v>231016</v>
      </c>
      <c r="CM79" s="142">
        <v>231016</v>
      </c>
      <c r="CN79" s="142">
        <v>231016</v>
      </c>
      <c r="CO79" s="142">
        <v>231016</v>
      </c>
      <c r="CP79" s="142">
        <v>231016</v>
      </c>
      <c r="CQ79" s="142">
        <v>231016</v>
      </c>
      <c r="CR79" s="142">
        <v>231016</v>
      </c>
      <c r="CS79" s="142">
        <v>231016</v>
      </c>
      <c r="CT79" s="142">
        <v>231016</v>
      </c>
      <c r="CU79" s="142">
        <v>231016</v>
      </c>
      <c r="CV79" s="142">
        <v>231016</v>
      </c>
      <c r="CW79" s="142">
        <v>231016</v>
      </c>
      <c r="CX79" s="142">
        <v>231016</v>
      </c>
      <c r="CY79" s="142">
        <v>231016</v>
      </c>
      <c r="CZ79" s="142">
        <v>231016</v>
      </c>
      <c r="DA79" s="142">
        <v>231016</v>
      </c>
      <c r="DB79" s="142">
        <v>231016</v>
      </c>
      <c r="DC79" s="142">
        <v>231016</v>
      </c>
      <c r="DD79" s="142">
        <v>231016</v>
      </c>
      <c r="DE79" s="142">
        <v>231016</v>
      </c>
      <c r="DF79" s="142">
        <v>231016</v>
      </c>
    </row>
    <row r="80" spans="1:110" ht="15" customHeight="1" x14ac:dyDescent="0.25">
      <c r="A80" s="136"/>
      <c r="C80" s="335">
        <v>0</v>
      </c>
      <c r="D80" s="335">
        <v>0</v>
      </c>
      <c r="E80" s="335">
        <v>0</v>
      </c>
      <c r="F80" s="137">
        <v>0</v>
      </c>
      <c r="G80" s="137">
        <v>0</v>
      </c>
      <c r="H80" s="137">
        <v>0</v>
      </c>
      <c r="I80" s="137">
        <v>0</v>
      </c>
      <c r="J80" s="137">
        <v>0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v>0</v>
      </c>
      <c r="R80" s="137">
        <v>0</v>
      </c>
      <c r="S80" s="137">
        <v>0</v>
      </c>
      <c r="T80" s="137">
        <v>0</v>
      </c>
      <c r="U80" s="137">
        <v>0</v>
      </c>
      <c r="V80" s="137">
        <v>0</v>
      </c>
      <c r="W80" s="137">
        <v>0</v>
      </c>
      <c r="X80" s="137">
        <v>0</v>
      </c>
      <c r="Y80" s="137">
        <v>0</v>
      </c>
      <c r="Z80" s="137">
        <v>0</v>
      </c>
      <c r="AA80" s="137">
        <v>0</v>
      </c>
      <c r="AB80" s="137">
        <v>0</v>
      </c>
      <c r="AC80" s="137">
        <v>0</v>
      </c>
      <c r="AD80" s="137">
        <v>0</v>
      </c>
      <c r="AE80" s="137">
        <v>0</v>
      </c>
      <c r="AF80" s="137">
        <v>0</v>
      </c>
      <c r="AG80" s="137">
        <v>0</v>
      </c>
      <c r="AH80" s="137">
        <v>0</v>
      </c>
      <c r="AI80" s="137">
        <v>0</v>
      </c>
      <c r="AJ80" s="137">
        <v>0</v>
      </c>
      <c r="AK80" s="137">
        <v>0</v>
      </c>
      <c r="AL80" s="137">
        <v>0</v>
      </c>
      <c r="AM80" s="137">
        <v>0</v>
      </c>
      <c r="AN80" s="137">
        <v>0</v>
      </c>
      <c r="AO80" s="137">
        <v>0</v>
      </c>
      <c r="AP80" s="137">
        <v>0</v>
      </c>
      <c r="AQ80" s="137">
        <v>0</v>
      </c>
      <c r="AR80" s="137">
        <v>0</v>
      </c>
      <c r="AS80" s="137">
        <v>0</v>
      </c>
      <c r="AT80" s="137">
        <v>0</v>
      </c>
      <c r="AU80" s="137">
        <v>0</v>
      </c>
      <c r="AV80" s="137">
        <v>0</v>
      </c>
      <c r="AW80" s="137">
        <v>0</v>
      </c>
      <c r="AX80" s="137">
        <v>0</v>
      </c>
      <c r="AY80" s="137">
        <v>0</v>
      </c>
      <c r="AZ80" s="137">
        <v>0</v>
      </c>
      <c r="BA80" s="137">
        <v>0</v>
      </c>
      <c r="BB80" s="137">
        <v>0</v>
      </c>
      <c r="BC80" s="137">
        <v>0</v>
      </c>
      <c r="BD80" s="137">
        <v>0</v>
      </c>
      <c r="BE80" s="137">
        <v>0</v>
      </c>
      <c r="BF80" s="137">
        <v>0</v>
      </c>
      <c r="BG80" s="137">
        <v>0</v>
      </c>
      <c r="BH80" s="137">
        <v>0</v>
      </c>
      <c r="BI80" s="137">
        <v>0</v>
      </c>
      <c r="BJ80" s="137">
        <v>0</v>
      </c>
      <c r="BK80" s="137">
        <v>0</v>
      </c>
      <c r="BL80" s="137">
        <v>0</v>
      </c>
      <c r="BM80" s="137">
        <v>0</v>
      </c>
      <c r="BN80" s="137">
        <v>0</v>
      </c>
      <c r="BO80" s="137">
        <v>0</v>
      </c>
      <c r="BP80" s="137">
        <v>0</v>
      </c>
      <c r="BQ80" s="137">
        <v>0</v>
      </c>
      <c r="BR80" s="137">
        <v>0</v>
      </c>
      <c r="BS80" s="137">
        <v>0</v>
      </c>
      <c r="BT80" s="137">
        <v>0</v>
      </c>
      <c r="BU80" s="137">
        <v>0</v>
      </c>
      <c r="BV80" s="137">
        <v>0</v>
      </c>
      <c r="BW80" s="137">
        <v>0</v>
      </c>
      <c r="BX80" s="137">
        <v>0</v>
      </c>
      <c r="BY80" s="137">
        <v>0</v>
      </c>
      <c r="BZ80" s="137">
        <v>0</v>
      </c>
      <c r="CA80" s="137">
        <v>0</v>
      </c>
      <c r="CB80" s="137">
        <v>0</v>
      </c>
      <c r="CC80" s="137">
        <v>0</v>
      </c>
      <c r="CD80" s="137">
        <v>0</v>
      </c>
      <c r="CE80" s="137">
        <v>0</v>
      </c>
      <c r="CF80" s="137">
        <v>0</v>
      </c>
      <c r="CG80" s="137">
        <v>0</v>
      </c>
      <c r="CH80" s="137">
        <v>0</v>
      </c>
      <c r="CI80" s="137">
        <v>0</v>
      </c>
      <c r="CJ80" s="137">
        <v>0</v>
      </c>
      <c r="CK80" s="137">
        <v>0</v>
      </c>
      <c r="CL80" s="137">
        <v>0</v>
      </c>
      <c r="CM80" s="137">
        <v>0</v>
      </c>
      <c r="CN80" s="137">
        <v>0</v>
      </c>
      <c r="CO80" s="137">
        <v>0</v>
      </c>
      <c r="CP80" s="137">
        <v>0</v>
      </c>
      <c r="CQ80" s="137">
        <v>0</v>
      </c>
      <c r="CR80" s="137">
        <v>0</v>
      </c>
      <c r="CS80" s="137">
        <v>0</v>
      </c>
      <c r="CT80" s="137">
        <v>0</v>
      </c>
      <c r="CU80" s="137">
        <v>0</v>
      </c>
      <c r="CV80" s="137">
        <v>0</v>
      </c>
      <c r="CW80" s="137">
        <v>0</v>
      </c>
      <c r="CX80" s="137">
        <v>0</v>
      </c>
      <c r="CY80" s="137">
        <v>0</v>
      </c>
      <c r="CZ80" s="137">
        <v>0</v>
      </c>
      <c r="DA80" s="137">
        <v>0</v>
      </c>
      <c r="DB80" s="137">
        <v>0</v>
      </c>
      <c r="DC80" s="137">
        <v>0</v>
      </c>
      <c r="DD80" s="137">
        <v>0</v>
      </c>
      <c r="DE80" s="137">
        <v>0</v>
      </c>
      <c r="DF80" s="137">
        <v>0</v>
      </c>
    </row>
    <row r="81" spans="1:110" ht="15" customHeight="1" x14ac:dyDescent="0.25">
      <c r="A81" s="136" t="s">
        <v>63</v>
      </c>
      <c r="C81" s="335">
        <v>-54421</v>
      </c>
      <c r="D81" s="335">
        <v>-54166.68</v>
      </c>
      <c r="E81" s="335">
        <v>-54166.68</v>
      </c>
      <c r="F81" s="137">
        <v>-11458.333333333299</v>
      </c>
      <c r="G81" s="137">
        <v>-11458.333333333299</v>
      </c>
      <c r="H81" s="137">
        <v>-11458.333333333299</v>
      </c>
      <c r="I81" s="137">
        <v>-11458.333333333299</v>
      </c>
      <c r="J81" s="137">
        <v>-11458.333333333299</v>
      </c>
      <c r="K81" s="137">
        <v>-11458.333333333299</v>
      </c>
      <c r="L81" s="137">
        <v>-11458.333333333299</v>
      </c>
      <c r="M81" s="137">
        <v>-11458.333333333299</v>
      </c>
      <c r="N81" s="137">
        <v>-11458.333333333299</v>
      </c>
      <c r="O81" s="137">
        <v>-11458.333333333299</v>
      </c>
      <c r="P81" s="137">
        <v>-11458.333333333299</v>
      </c>
      <c r="Q81" s="137">
        <v>-11458.333333333299</v>
      </c>
      <c r="R81" s="137">
        <v>-11687.5</v>
      </c>
      <c r="S81" s="137">
        <v>-11687.5</v>
      </c>
      <c r="T81" s="137">
        <v>-11687.5</v>
      </c>
      <c r="U81" s="137">
        <v>-11687.5</v>
      </c>
      <c r="V81" s="137">
        <v>-11687.5</v>
      </c>
      <c r="W81" s="137">
        <v>-11687.5</v>
      </c>
      <c r="X81" s="137">
        <v>-11687.5</v>
      </c>
      <c r="Y81" s="137">
        <v>-11687.5</v>
      </c>
      <c r="Z81" s="137">
        <v>-11687.5</v>
      </c>
      <c r="AA81" s="137">
        <v>-11687.5</v>
      </c>
      <c r="AB81" s="137">
        <v>-11687.5</v>
      </c>
      <c r="AC81" s="137">
        <v>-11687.5</v>
      </c>
      <c r="AD81" s="137">
        <v>-11921.25</v>
      </c>
      <c r="AE81" s="137">
        <v>-11921.25</v>
      </c>
      <c r="AF81" s="137">
        <v>-11921.25</v>
      </c>
      <c r="AG81" s="137">
        <v>-11921.25</v>
      </c>
      <c r="AH81" s="137">
        <v>-11921.25</v>
      </c>
      <c r="AI81" s="137">
        <v>-11921.25</v>
      </c>
      <c r="AJ81" s="137">
        <v>-11921.25</v>
      </c>
      <c r="AK81" s="137">
        <v>-11921.25</v>
      </c>
      <c r="AL81" s="137">
        <v>-11921.25</v>
      </c>
      <c r="AM81" s="137">
        <v>-11921.25</v>
      </c>
      <c r="AN81" s="137">
        <v>-11921.25</v>
      </c>
      <c r="AO81" s="137">
        <v>-11921.25</v>
      </c>
      <c r="AP81" s="137">
        <v>-12159.674999999999</v>
      </c>
      <c r="AQ81" s="137">
        <v>-12159.674999999999</v>
      </c>
      <c r="AR81" s="137">
        <v>-12159.674999999999</v>
      </c>
      <c r="AS81" s="137">
        <v>-12159.674999999999</v>
      </c>
      <c r="AT81" s="137">
        <v>-12159.674999999999</v>
      </c>
      <c r="AU81" s="137">
        <v>-12159.674999999999</v>
      </c>
      <c r="AV81" s="137">
        <v>-12159.674999999999</v>
      </c>
      <c r="AW81" s="137">
        <v>-12159.674999999999</v>
      </c>
      <c r="AX81" s="137">
        <v>-12159.674999999999</v>
      </c>
      <c r="AY81" s="137">
        <v>-12159.674999999999</v>
      </c>
      <c r="AZ81" s="137">
        <v>-12159.674999999999</v>
      </c>
      <c r="BA81" s="137">
        <v>-12159.674999999999</v>
      </c>
      <c r="BB81" s="137">
        <v>-12402.8685</v>
      </c>
      <c r="BC81" s="137">
        <v>-12402.8685</v>
      </c>
      <c r="BD81" s="137">
        <v>-12402.8685</v>
      </c>
      <c r="BE81" s="137">
        <v>-12402.8685</v>
      </c>
      <c r="BF81" s="137">
        <v>-12402.8685</v>
      </c>
      <c r="BG81" s="137">
        <v>-12402.8685</v>
      </c>
      <c r="BH81" s="137">
        <v>-12402.8685</v>
      </c>
      <c r="BI81" s="137">
        <v>-12402.8685</v>
      </c>
      <c r="BJ81" s="137">
        <v>-12402.8685</v>
      </c>
      <c r="BK81" s="137">
        <v>-12402.8685</v>
      </c>
      <c r="BL81" s="137">
        <v>-12402.8685</v>
      </c>
      <c r="BM81" s="137">
        <v>-12402.8685</v>
      </c>
      <c r="BN81" s="137">
        <v>-12650.925869999999</v>
      </c>
      <c r="BO81" s="137">
        <v>-12650.925869999999</v>
      </c>
      <c r="BP81" s="137">
        <v>-12650.925869999999</v>
      </c>
      <c r="BQ81" s="137">
        <v>-12650.925869999999</v>
      </c>
      <c r="BR81" s="137">
        <v>-12650.925869999999</v>
      </c>
      <c r="BS81" s="137">
        <v>-12650.925869999999</v>
      </c>
      <c r="BT81" s="137">
        <v>-12650.925869999999</v>
      </c>
      <c r="BU81" s="137">
        <v>-12650.925869999999</v>
      </c>
      <c r="BV81" s="137">
        <v>-12650.925869999999</v>
      </c>
      <c r="BW81" s="137">
        <v>-12650.925869999999</v>
      </c>
      <c r="BX81" s="137">
        <v>-12650.925869999999</v>
      </c>
      <c r="BY81" s="137">
        <v>-12650.925869999999</v>
      </c>
      <c r="BZ81" s="137">
        <v>-12903.944387400001</v>
      </c>
      <c r="CA81" s="137">
        <v>-12903.944387400001</v>
      </c>
      <c r="CB81" s="137">
        <v>-12903.944387400001</v>
      </c>
      <c r="CC81" s="137">
        <v>-12903.944387400001</v>
      </c>
      <c r="CD81" s="137">
        <v>-12903.944387400001</v>
      </c>
      <c r="CE81" s="137">
        <v>-12903.944387400001</v>
      </c>
      <c r="CF81" s="137">
        <v>-12903.944387400001</v>
      </c>
      <c r="CG81" s="137">
        <v>-12903.944387400001</v>
      </c>
      <c r="CH81" s="137">
        <v>-12903.944387400001</v>
      </c>
      <c r="CI81" s="137">
        <v>-12903.944387400001</v>
      </c>
      <c r="CJ81" s="137">
        <v>-12903.944387400001</v>
      </c>
      <c r="CK81" s="137">
        <v>-12903.944387400001</v>
      </c>
      <c r="CL81" s="137">
        <v>-13162.023275148</v>
      </c>
      <c r="CM81" s="137">
        <v>-13162.023275148</v>
      </c>
      <c r="CN81" s="137">
        <v>-13162.023275148</v>
      </c>
      <c r="CO81" s="137">
        <v>-13162.023275148</v>
      </c>
      <c r="CP81" s="137">
        <v>-13162.023275148</v>
      </c>
      <c r="CQ81" s="137">
        <v>-13162.023275148</v>
      </c>
      <c r="CR81" s="137">
        <v>-13162.023275148</v>
      </c>
      <c r="CS81" s="137">
        <v>-13162.023275148</v>
      </c>
      <c r="CT81" s="137">
        <v>-13162.023275148</v>
      </c>
      <c r="CU81" s="137">
        <v>-13162.023275148</v>
      </c>
      <c r="CV81" s="137">
        <v>-13162.023275148</v>
      </c>
      <c r="CW81" s="137">
        <v>-13162.023275148</v>
      </c>
      <c r="CX81" s="137">
        <v>-13425.263740651</v>
      </c>
      <c r="CY81" s="137">
        <v>-13425.263740651</v>
      </c>
      <c r="CZ81" s="137">
        <v>-13425.263740651</v>
      </c>
      <c r="DA81" s="137">
        <v>-13425.263740651</v>
      </c>
      <c r="DB81" s="137">
        <v>-13425.263740651</v>
      </c>
      <c r="DC81" s="137">
        <v>-13425.263740651</v>
      </c>
      <c r="DD81" s="137">
        <v>-13425.263740651</v>
      </c>
      <c r="DE81" s="137">
        <v>-13425.263740651</v>
      </c>
      <c r="DF81" s="137">
        <v>-13425.263740651</v>
      </c>
    </row>
    <row r="82" spans="1:110" ht="15" customHeight="1" x14ac:dyDescent="0.25">
      <c r="A82" s="136" t="s">
        <v>64</v>
      </c>
      <c r="C82" s="335">
        <v>-5302</v>
      </c>
      <c r="D82" s="335">
        <v>-4279.79</v>
      </c>
      <c r="E82" s="335">
        <v>-4145.97</v>
      </c>
      <c r="F82" s="137">
        <v>-802.08333333333405</v>
      </c>
      <c r="G82" s="137">
        <v>-802.08333333333405</v>
      </c>
      <c r="H82" s="137">
        <v>-802.08333333333405</v>
      </c>
      <c r="I82" s="137">
        <v>-802.08333333333405</v>
      </c>
      <c r="J82" s="137">
        <v>-802.08333333333405</v>
      </c>
      <c r="K82" s="137">
        <v>-802.08333333333405</v>
      </c>
      <c r="L82" s="137">
        <v>-802.08333333333405</v>
      </c>
      <c r="M82" s="137">
        <v>-802.08333333333405</v>
      </c>
      <c r="N82" s="137">
        <v>-802.08333333333405</v>
      </c>
      <c r="O82" s="137">
        <v>-802.08333333333405</v>
      </c>
      <c r="P82" s="137">
        <v>-802.08333333333405</v>
      </c>
      <c r="Q82" s="137">
        <v>-802.08333333333405</v>
      </c>
      <c r="R82" s="137">
        <v>-818.125</v>
      </c>
      <c r="S82" s="137">
        <v>-818.125</v>
      </c>
      <c r="T82" s="137">
        <v>-818.125</v>
      </c>
      <c r="U82" s="137">
        <v>-818.125</v>
      </c>
      <c r="V82" s="137">
        <v>-818.125</v>
      </c>
      <c r="W82" s="137">
        <v>-818.125</v>
      </c>
      <c r="X82" s="137">
        <v>-818.125</v>
      </c>
      <c r="Y82" s="137">
        <v>-818.125</v>
      </c>
      <c r="Z82" s="137">
        <v>-818.125</v>
      </c>
      <c r="AA82" s="137">
        <v>-818.125</v>
      </c>
      <c r="AB82" s="137">
        <v>-818.125</v>
      </c>
      <c r="AC82" s="137">
        <v>-818.125</v>
      </c>
      <c r="AD82" s="137">
        <v>-834.48749999999995</v>
      </c>
      <c r="AE82" s="137">
        <v>-834.48749999999995</v>
      </c>
      <c r="AF82" s="137">
        <v>-834.48749999999995</v>
      </c>
      <c r="AG82" s="137">
        <v>-834.48749999999995</v>
      </c>
      <c r="AH82" s="137">
        <v>-834.48749999999995</v>
      </c>
      <c r="AI82" s="137">
        <v>-834.48749999999995</v>
      </c>
      <c r="AJ82" s="137">
        <v>-834.48749999999995</v>
      </c>
      <c r="AK82" s="137">
        <v>-834.48749999999995</v>
      </c>
      <c r="AL82" s="137">
        <v>-834.48749999999995</v>
      </c>
      <c r="AM82" s="137">
        <v>-834.48749999999995</v>
      </c>
      <c r="AN82" s="137">
        <v>-834.48749999999995</v>
      </c>
      <c r="AO82" s="137">
        <v>-834.48749999999995</v>
      </c>
      <c r="AP82" s="137">
        <v>-851.17724999999996</v>
      </c>
      <c r="AQ82" s="137">
        <v>-851.17724999999996</v>
      </c>
      <c r="AR82" s="137">
        <v>-851.17724999999996</v>
      </c>
      <c r="AS82" s="137">
        <v>-851.17724999999996</v>
      </c>
      <c r="AT82" s="137">
        <v>-851.17724999999996</v>
      </c>
      <c r="AU82" s="137">
        <v>-851.17724999999996</v>
      </c>
      <c r="AV82" s="137">
        <v>-851.17724999999996</v>
      </c>
      <c r="AW82" s="137">
        <v>-851.17724999999996</v>
      </c>
      <c r="AX82" s="137">
        <v>-851.17724999999996</v>
      </c>
      <c r="AY82" s="137">
        <v>-851.17724999999996</v>
      </c>
      <c r="AZ82" s="137">
        <v>-851.17724999999996</v>
      </c>
      <c r="BA82" s="137">
        <v>-851.17724999999996</v>
      </c>
      <c r="BB82" s="137">
        <v>-868.20079499999997</v>
      </c>
      <c r="BC82" s="137">
        <v>-868.20079499999997</v>
      </c>
      <c r="BD82" s="137">
        <v>-868.20079499999997</v>
      </c>
      <c r="BE82" s="137">
        <v>-868.20079499999997</v>
      </c>
      <c r="BF82" s="137">
        <v>-868.20079499999997</v>
      </c>
      <c r="BG82" s="137">
        <v>-868.20079499999997</v>
      </c>
      <c r="BH82" s="137">
        <v>-868.20079499999997</v>
      </c>
      <c r="BI82" s="137">
        <v>-868.20079499999997</v>
      </c>
      <c r="BJ82" s="137">
        <v>-868.20079499999997</v>
      </c>
      <c r="BK82" s="137">
        <v>-868.20079499999997</v>
      </c>
      <c r="BL82" s="137">
        <v>-868.20079499999997</v>
      </c>
      <c r="BM82" s="137">
        <v>-868.20079499999997</v>
      </c>
      <c r="BN82" s="137">
        <v>-885.5648109</v>
      </c>
      <c r="BO82" s="137">
        <v>-885.5648109</v>
      </c>
      <c r="BP82" s="137">
        <v>-885.5648109</v>
      </c>
      <c r="BQ82" s="137">
        <v>-885.5648109</v>
      </c>
      <c r="BR82" s="137">
        <v>-885.5648109</v>
      </c>
      <c r="BS82" s="137">
        <v>-885.5648109</v>
      </c>
      <c r="BT82" s="137">
        <v>-885.5648109</v>
      </c>
      <c r="BU82" s="137">
        <v>-885.5648109</v>
      </c>
      <c r="BV82" s="137">
        <v>-885.5648109</v>
      </c>
      <c r="BW82" s="137">
        <v>-885.5648109</v>
      </c>
      <c r="BX82" s="137">
        <v>-885.5648109</v>
      </c>
      <c r="BY82" s="137">
        <v>-885.5648109</v>
      </c>
      <c r="BZ82" s="137">
        <v>-903.27610711800003</v>
      </c>
      <c r="CA82" s="137">
        <v>-903.27610711800003</v>
      </c>
      <c r="CB82" s="137">
        <v>-903.27610711800003</v>
      </c>
      <c r="CC82" s="137">
        <v>-903.27610711800003</v>
      </c>
      <c r="CD82" s="137">
        <v>-903.27610711800003</v>
      </c>
      <c r="CE82" s="137">
        <v>-903.27610711800003</v>
      </c>
      <c r="CF82" s="137">
        <v>-903.27610711800003</v>
      </c>
      <c r="CG82" s="137">
        <v>-903.27610711800003</v>
      </c>
      <c r="CH82" s="137">
        <v>-903.27610711800003</v>
      </c>
      <c r="CI82" s="137">
        <v>-903.27610711800003</v>
      </c>
      <c r="CJ82" s="137">
        <v>-903.27610711800003</v>
      </c>
      <c r="CK82" s="137">
        <v>-903.27610711800003</v>
      </c>
      <c r="CL82" s="137">
        <v>-921.34162926036004</v>
      </c>
      <c r="CM82" s="137">
        <v>-921.34162926036004</v>
      </c>
      <c r="CN82" s="137">
        <v>-921.34162926036004</v>
      </c>
      <c r="CO82" s="137">
        <v>-921.34162926036004</v>
      </c>
      <c r="CP82" s="137">
        <v>-921.34162926036004</v>
      </c>
      <c r="CQ82" s="137">
        <v>-921.34162926036004</v>
      </c>
      <c r="CR82" s="137">
        <v>-921.34162926036004</v>
      </c>
      <c r="CS82" s="137">
        <v>-921.34162926036004</v>
      </c>
      <c r="CT82" s="137">
        <v>-921.34162926036004</v>
      </c>
      <c r="CU82" s="137">
        <v>0</v>
      </c>
      <c r="CV82" s="137">
        <v>0</v>
      </c>
      <c r="CW82" s="137">
        <v>0</v>
      </c>
      <c r="CX82" s="137">
        <v>0</v>
      </c>
      <c r="CY82" s="137">
        <v>0</v>
      </c>
      <c r="CZ82" s="137">
        <v>0</v>
      </c>
      <c r="DA82" s="137">
        <v>0</v>
      </c>
      <c r="DB82" s="137">
        <v>0</v>
      </c>
      <c r="DC82" s="137">
        <v>0</v>
      </c>
      <c r="DD82" s="137">
        <v>0</v>
      </c>
      <c r="DE82" s="137">
        <v>0</v>
      </c>
      <c r="DF82" s="137">
        <v>0</v>
      </c>
    </row>
    <row r="83" spans="1:110" ht="15" customHeight="1" x14ac:dyDescent="0.25">
      <c r="A83" s="136" t="s">
        <v>66</v>
      </c>
      <c r="C83" s="335">
        <v>-12137.77</v>
      </c>
      <c r="D83" s="335">
        <v>-12137.78</v>
      </c>
      <c r="E83" s="335">
        <v>-12137.78</v>
      </c>
      <c r="F83" s="137">
        <v>-572.91666666666697</v>
      </c>
      <c r="G83" s="137">
        <v>-572.91666666666697</v>
      </c>
      <c r="H83" s="137">
        <v>-572.91666666666697</v>
      </c>
      <c r="I83" s="137">
        <v>-572.91666666666697</v>
      </c>
      <c r="J83" s="137">
        <v>-572.91666666666697</v>
      </c>
      <c r="K83" s="137">
        <v>-572.91666666666697</v>
      </c>
      <c r="L83" s="137">
        <v>-572.91666666666697</v>
      </c>
      <c r="M83" s="137">
        <v>-572.91666666666697</v>
      </c>
      <c r="N83" s="137">
        <v>-572.91666666666697</v>
      </c>
      <c r="O83" s="137">
        <v>-572.91666666666697</v>
      </c>
      <c r="P83" s="137">
        <v>-572.91666666666697</v>
      </c>
      <c r="Q83" s="137">
        <v>-572.91666666666697</v>
      </c>
      <c r="R83" s="137">
        <v>-584.375</v>
      </c>
      <c r="S83" s="137">
        <v>-584.375</v>
      </c>
      <c r="T83" s="137">
        <v>-584.375</v>
      </c>
      <c r="U83" s="137">
        <v>-584.375</v>
      </c>
      <c r="V83" s="137">
        <v>-584.375</v>
      </c>
      <c r="W83" s="137">
        <v>-584.375</v>
      </c>
      <c r="X83" s="137">
        <v>-584.375</v>
      </c>
      <c r="Y83" s="137">
        <v>-584.375</v>
      </c>
      <c r="Z83" s="137">
        <v>-584.375</v>
      </c>
      <c r="AA83" s="137">
        <v>-584.375</v>
      </c>
      <c r="AB83" s="137">
        <v>-584.375</v>
      </c>
      <c r="AC83" s="137">
        <v>-584.375</v>
      </c>
      <c r="AD83" s="137">
        <v>-596.0625</v>
      </c>
      <c r="AE83" s="137">
        <v>-596.0625</v>
      </c>
      <c r="AF83" s="137">
        <v>-596.0625</v>
      </c>
      <c r="AG83" s="137">
        <v>-596.0625</v>
      </c>
      <c r="AH83" s="137">
        <v>-596.0625</v>
      </c>
      <c r="AI83" s="137">
        <v>-596.0625</v>
      </c>
      <c r="AJ83" s="137">
        <v>-596.0625</v>
      </c>
      <c r="AK83" s="137">
        <v>-596.0625</v>
      </c>
      <c r="AL83" s="137">
        <v>-596.0625</v>
      </c>
      <c r="AM83" s="137">
        <v>-596.0625</v>
      </c>
      <c r="AN83" s="137">
        <v>-596.0625</v>
      </c>
      <c r="AO83" s="137">
        <v>-596.0625</v>
      </c>
      <c r="AP83" s="137">
        <v>-607.98374999999999</v>
      </c>
      <c r="AQ83" s="137">
        <v>-607.98374999999999</v>
      </c>
      <c r="AR83" s="137">
        <v>-607.98374999999999</v>
      </c>
      <c r="AS83" s="137">
        <v>-607.98374999999999</v>
      </c>
      <c r="AT83" s="137">
        <v>-607.98374999999999</v>
      </c>
      <c r="AU83" s="137">
        <v>-607.98374999999999</v>
      </c>
      <c r="AV83" s="137">
        <v>-607.98374999999999</v>
      </c>
      <c r="AW83" s="137">
        <v>-607.98374999999999</v>
      </c>
      <c r="AX83" s="137">
        <v>-607.98374999999999</v>
      </c>
      <c r="AY83" s="137">
        <v>-607.98374999999999</v>
      </c>
      <c r="AZ83" s="137">
        <v>-607.98374999999999</v>
      </c>
      <c r="BA83" s="137">
        <v>-607.98374999999999</v>
      </c>
      <c r="BB83" s="137">
        <v>-620.14342499999998</v>
      </c>
      <c r="BC83" s="137">
        <v>-620.14342499999998</v>
      </c>
      <c r="BD83" s="137">
        <v>-620.14342499999998</v>
      </c>
      <c r="BE83" s="137">
        <v>-620.14342499999998</v>
      </c>
      <c r="BF83" s="137">
        <v>-620.14342499999998</v>
      </c>
      <c r="BG83" s="137">
        <v>-620.14342499999998</v>
      </c>
      <c r="BH83" s="137">
        <v>-620.14342499999998</v>
      </c>
      <c r="BI83" s="137">
        <v>-620.14342499999998</v>
      </c>
      <c r="BJ83" s="137">
        <v>-620.14342499999998</v>
      </c>
      <c r="BK83" s="137">
        <v>-620.14342499999998</v>
      </c>
      <c r="BL83" s="137">
        <v>-620.14342499999998</v>
      </c>
      <c r="BM83" s="137">
        <v>-620.14342499999998</v>
      </c>
      <c r="BN83" s="137">
        <v>-632.54629350000005</v>
      </c>
      <c r="BO83" s="137">
        <v>-632.54629350000005</v>
      </c>
      <c r="BP83" s="137">
        <v>-632.54629350000005</v>
      </c>
      <c r="BQ83" s="137">
        <v>-632.54629350000005</v>
      </c>
      <c r="BR83" s="137">
        <v>-632.54629350000005</v>
      </c>
      <c r="BS83" s="137">
        <v>-632.54629350000005</v>
      </c>
      <c r="BT83" s="137">
        <v>-632.54629350000005</v>
      </c>
      <c r="BU83" s="137">
        <v>-632.54629350000005</v>
      </c>
      <c r="BV83" s="137">
        <v>-632.54629350000005</v>
      </c>
      <c r="BW83" s="137">
        <v>-632.54629350000005</v>
      </c>
      <c r="BX83" s="137">
        <v>-632.54629350000005</v>
      </c>
      <c r="BY83" s="137">
        <v>-632.54629350000005</v>
      </c>
      <c r="BZ83" s="137">
        <v>-645.19721936999997</v>
      </c>
      <c r="CA83" s="137">
        <v>-645.19721936999997</v>
      </c>
      <c r="CB83" s="137">
        <v>-645.19721936999997</v>
      </c>
      <c r="CC83" s="137">
        <v>-645.19721936999997</v>
      </c>
      <c r="CD83" s="137">
        <v>-645.19721936999997</v>
      </c>
      <c r="CE83" s="137">
        <v>-645.19721936999997</v>
      </c>
      <c r="CF83" s="137">
        <v>-645.19721936999997</v>
      </c>
      <c r="CG83" s="137">
        <v>-645.19721936999997</v>
      </c>
      <c r="CH83" s="137">
        <v>-645.19721936999997</v>
      </c>
      <c r="CI83" s="137">
        <v>-645.19721936999997</v>
      </c>
      <c r="CJ83" s="137">
        <v>-645.19721936999997</v>
      </c>
      <c r="CK83" s="137">
        <v>-645.19721936999997</v>
      </c>
      <c r="CL83" s="137">
        <v>-658.10116375739995</v>
      </c>
      <c r="CM83" s="137">
        <v>-658.10116375739995</v>
      </c>
      <c r="CN83" s="137">
        <v>-658.10116375739995</v>
      </c>
      <c r="CO83" s="137">
        <v>-658.10116375739995</v>
      </c>
      <c r="CP83" s="137">
        <v>-658.10116375739995</v>
      </c>
      <c r="CQ83" s="137">
        <v>-658.10116375739995</v>
      </c>
      <c r="CR83" s="137">
        <v>-658.10116375739995</v>
      </c>
      <c r="CS83" s="137">
        <v>-658.10116375739995</v>
      </c>
      <c r="CT83" s="137">
        <v>-658.10116375739995</v>
      </c>
      <c r="CU83" s="137">
        <v>0</v>
      </c>
      <c r="CV83" s="137">
        <v>0</v>
      </c>
      <c r="CW83" s="137">
        <v>0</v>
      </c>
      <c r="CX83" s="137">
        <v>0</v>
      </c>
      <c r="CY83" s="137">
        <v>0</v>
      </c>
      <c r="CZ83" s="137">
        <v>0</v>
      </c>
      <c r="DA83" s="137">
        <v>0</v>
      </c>
      <c r="DB83" s="137">
        <v>0</v>
      </c>
      <c r="DC83" s="137">
        <v>0</v>
      </c>
      <c r="DD83" s="137">
        <v>0</v>
      </c>
      <c r="DE83" s="137">
        <v>0</v>
      </c>
      <c r="DF83" s="137">
        <v>0</v>
      </c>
    </row>
    <row r="84" spans="1:110" ht="15" customHeight="1" x14ac:dyDescent="0.25">
      <c r="A84" s="136" t="s">
        <v>67</v>
      </c>
      <c r="C84" s="335">
        <v>-475.76</v>
      </c>
      <c r="D84" s="335">
        <v>-475.76</v>
      </c>
      <c r="E84" s="335">
        <v>-475.76</v>
      </c>
      <c r="F84" s="137">
        <v>-229.166666666667</v>
      </c>
      <c r="G84" s="137">
        <v>-229.166666666667</v>
      </c>
      <c r="H84" s="137">
        <v>-229.166666666667</v>
      </c>
      <c r="I84" s="137">
        <v>-229.166666666667</v>
      </c>
      <c r="J84" s="137">
        <v>-229.166666666667</v>
      </c>
      <c r="K84" s="137">
        <v>-229.166666666667</v>
      </c>
      <c r="L84" s="137">
        <v>-229.166666666667</v>
      </c>
      <c r="M84" s="137">
        <v>-229.166666666667</v>
      </c>
      <c r="N84" s="137">
        <v>-229.166666666667</v>
      </c>
      <c r="O84" s="137">
        <v>-229.166666666667</v>
      </c>
      <c r="P84" s="137">
        <v>-229.166666666667</v>
      </c>
      <c r="Q84" s="137">
        <v>-229.166666666667</v>
      </c>
      <c r="R84" s="137">
        <v>-233.75</v>
      </c>
      <c r="S84" s="137">
        <v>-233.75</v>
      </c>
      <c r="T84" s="137">
        <v>-233.75</v>
      </c>
      <c r="U84" s="137">
        <v>-233.75</v>
      </c>
      <c r="V84" s="137">
        <v>-233.75</v>
      </c>
      <c r="W84" s="137">
        <v>-233.75</v>
      </c>
      <c r="X84" s="137">
        <v>-233.75</v>
      </c>
      <c r="Y84" s="137">
        <v>-233.75</v>
      </c>
      <c r="Z84" s="137">
        <v>-233.75</v>
      </c>
      <c r="AA84" s="137">
        <v>-233.75</v>
      </c>
      <c r="AB84" s="137">
        <v>-233.75</v>
      </c>
      <c r="AC84" s="137">
        <v>-233.75</v>
      </c>
      <c r="AD84" s="137">
        <v>-238.42500000000001</v>
      </c>
      <c r="AE84" s="137">
        <v>-238.42500000000001</v>
      </c>
      <c r="AF84" s="137">
        <v>-238.42500000000001</v>
      </c>
      <c r="AG84" s="137">
        <v>-238.42500000000001</v>
      </c>
      <c r="AH84" s="137">
        <v>-238.42500000000001</v>
      </c>
      <c r="AI84" s="137">
        <v>-238.42500000000001</v>
      </c>
      <c r="AJ84" s="137">
        <v>-238.42500000000001</v>
      </c>
      <c r="AK84" s="137">
        <v>-238.42500000000001</v>
      </c>
      <c r="AL84" s="137">
        <v>-238.42500000000001</v>
      </c>
      <c r="AM84" s="137">
        <v>-238.42500000000001</v>
      </c>
      <c r="AN84" s="137">
        <v>-238.42500000000001</v>
      </c>
      <c r="AO84" s="137">
        <v>-238.42500000000001</v>
      </c>
      <c r="AP84" s="137">
        <v>-243.1935</v>
      </c>
      <c r="AQ84" s="137">
        <v>-243.1935</v>
      </c>
      <c r="AR84" s="137">
        <v>-243.1935</v>
      </c>
      <c r="AS84" s="137">
        <v>-243.1935</v>
      </c>
      <c r="AT84" s="137">
        <v>-243.1935</v>
      </c>
      <c r="AU84" s="137">
        <v>-243.1935</v>
      </c>
      <c r="AV84" s="137">
        <v>-243.1935</v>
      </c>
      <c r="AW84" s="137">
        <v>-243.1935</v>
      </c>
      <c r="AX84" s="137">
        <v>-243.1935</v>
      </c>
      <c r="AY84" s="137">
        <v>-243.1935</v>
      </c>
      <c r="AZ84" s="137">
        <v>-243.1935</v>
      </c>
      <c r="BA84" s="137">
        <v>-243.1935</v>
      </c>
      <c r="BB84" s="137">
        <v>-248.05736999999999</v>
      </c>
      <c r="BC84" s="137">
        <v>-248.05736999999999</v>
      </c>
      <c r="BD84" s="137">
        <v>-248.05736999999999</v>
      </c>
      <c r="BE84" s="137">
        <v>-248.05736999999999</v>
      </c>
      <c r="BF84" s="137">
        <v>-248.05736999999999</v>
      </c>
      <c r="BG84" s="137">
        <v>-248.05736999999999</v>
      </c>
      <c r="BH84" s="137">
        <v>-248.05736999999999</v>
      </c>
      <c r="BI84" s="137">
        <v>-248.05736999999999</v>
      </c>
      <c r="BJ84" s="137">
        <v>-248.05736999999999</v>
      </c>
      <c r="BK84" s="137">
        <v>-248.05736999999999</v>
      </c>
      <c r="BL84" s="137">
        <v>-248.05736999999999</v>
      </c>
      <c r="BM84" s="137">
        <v>-248.05736999999999</v>
      </c>
      <c r="BN84" s="137">
        <v>-253.01851740000001</v>
      </c>
      <c r="BO84" s="137">
        <v>-253.01851740000001</v>
      </c>
      <c r="BP84" s="137">
        <v>-253.01851740000001</v>
      </c>
      <c r="BQ84" s="137">
        <v>-253.01851740000001</v>
      </c>
      <c r="BR84" s="137">
        <v>-253.01851740000001</v>
      </c>
      <c r="BS84" s="137">
        <v>-253.01851740000001</v>
      </c>
      <c r="BT84" s="137">
        <v>-253.01851740000001</v>
      </c>
      <c r="BU84" s="137">
        <v>-253.01851740000001</v>
      </c>
      <c r="BV84" s="137">
        <v>-253.01851740000001</v>
      </c>
      <c r="BW84" s="137">
        <v>-253.01851740000001</v>
      </c>
      <c r="BX84" s="137">
        <v>-253.01851740000001</v>
      </c>
      <c r="BY84" s="137">
        <v>-253.01851740000001</v>
      </c>
      <c r="BZ84" s="137">
        <v>-258.078887748</v>
      </c>
      <c r="CA84" s="137">
        <v>-258.078887748</v>
      </c>
      <c r="CB84" s="137">
        <v>-258.078887748</v>
      </c>
      <c r="CC84" s="137">
        <v>-258.078887748</v>
      </c>
      <c r="CD84" s="137">
        <v>-258.078887748</v>
      </c>
      <c r="CE84" s="137">
        <v>-258.078887748</v>
      </c>
      <c r="CF84" s="137">
        <v>-258.078887748</v>
      </c>
      <c r="CG84" s="137">
        <v>-258.078887748</v>
      </c>
      <c r="CH84" s="137">
        <v>-258.078887748</v>
      </c>
      <c r="CI84" s="137">
        <v>-258.078887748</v>
      </c>
      <c r="CJ84" s="137">
        <v>-258.078887748</v>
      </c>
      <c r="CK84" s="137">
        <v>-258.078887748</v>
      </c>
      <c r="CL84" s="137">
        <v>-263.24046550295998</v>
      </c>
      <c r="CM84" s="137">
        <v>-263.24046550295998</v>
      </c>
      <c r="CN84" s="137">
        <v>-263.24046550295998</v>
      </c>
      <c r="CO84" s="137">
        <v>-263.24046550295998</v>
      </c>
      <c r="CP84" s="137">
        <v>-263.24046550295998</v>
      </c>
      <c r="CQ84" s="137">
        <v>-263.24046550295998</v>
      </c>
      <c r="CR84" s="137">
        <v>-263.24046550295998</v>
      </c>
      <c r="CS84" s="137">
        <v>-263.24046550295998</v>
      </c>
      <c r="CT84" s="137">
        <v>-263.24046550295998</v>
      </c>
      <c r="CU84" s="137">
        <v>0</v>
      </c>
      <c r="CV84" s="137">
        <v>0</v>
      </c>
      <c r="CW84" s="137">
        <v>0</v>
      </c>
      <c r="CX84" s="137">
        <v>0</v>
      </c>
      <c r="CY84" s="137">
        <v>0</v>
      </c>
      <c r="CZ84" s="137">
        <v>0</v>
      </c>
      <c r="DA84" s="137">
        <v>0</v>
      </c>
      <c r="DB84" s="137">
        <v>0</v>
      </c>
      <c r="DC84" s="137">
        <v>0</v>
      </c>
      <c r="DD84" s="137">
        <v>0</v>
      </c>
      <c r="DE84" s="137">
        <v>0</v>
      </c>
      <c r="DF84" s="137">
        <v>0</v>
      </c>
    </row>
    <row r="85" spans="1:110" ht="15" customHeight="1" x14ac:dyDescent="0.25">
      <c r="A85" s="136" t="s">
        <v>68</v>
      </c>
      <c r="C85" s="335">
        <v>-2200.12</v>
      </c>
      <c r="D85" s="335">
        <v>-2200.12</v>
      </c>
      <c r="E85" s="335">
        <v>-2200.12</v>
      </c>
      <c r="F85" s="137">
        <v>-57.2916666666667</v>
      </c>
      <c r="G85" s="137">
        <v>-57.2916666666667</v>
      </c>
      <c r="H85" s="137">
        <v>-57.2916666666667</v>
      </c>
      <c r="I85" s="137">
        <v>-57.2916666666667</v>
      </c>
      <c r="J85" s="137">
        <v>-57.2916666666667</v>
      </c>
      <c r="K85" s="137">
        <v>-57.2916666666667</v>
      </c>
      <c r="L85" s="137">
        <v>-57.2916666666667</v>
      </c>
      <c r="M85" s="137">
        <v>-57.2916666666667</v>
      </c>
      <c r="N85" s="137">
        <v>-57.2916666666667</v>
      </c>
      <c r="O85" s="137">
        <v>-57.2916666666667</v>
      </c>
      <c r="P85" s="137">
        <v>-57.2916666666667</v>
      </c>
      <c r="Q85" s="137">
        <v>-57.2916666666667</v>
      </c>
      <c r="R85" s="137">
        <v>-58.4375</v>
      </c>
      <c r="S85" s="137">
        <v>-58.4375</v>
      </c>
      <c r="T85" s="137">
        <v>-58.4375</v>
      </c>
      <c r="U85" s="137">
        <v>-58.4375</v>
      </c>
      <c r="V85" s="137">
        <v>-58.4375</v>
      </c>
      <c r="W85" s="137">
        <v>-58.4375</v>
      </c>
      <c r="X85" s="137">
        <v>-58.4375</v>
      </c>
      <c r="Y85" s="137">
        <v>-58.4375</v>
      </c>
      <c r="Z85" s="137">
        <v>-58.4375</v>
      </c>
      <c r="AA85" s="137">
        <v>-58.4375</v>
      </c>
      <c r="AB85" s="137">
        <v>-58.4375</v>
      </c>
      <c r="AC85" s="137">
        <v>-58.4375</v>
      </c>
      <c r="AD85" s="137">
        <v>-59.606250000000003</v>
      </c>
      <c r="AE85" s="137">
        <v>-59.606250000000003</v>
      </c>
      <c r="AF85" s="137">
        <v>-59.606250000000003</v>
      </c>
      <c r="AG85" s="137">
        <v>-59.606250000000003</v>
      </c>
      <c r="AH85" s="137">
        <v>-59.606250000000003</v>
      </c>
      <c r="AI85" s="137">
        <v>-59.606250000000003</v>
      </c>
      <c r="AJ85" s="137">
        <v>-59.606250000000003</v>
      </c>
      <c r="AK85" s="137">
        <v>-59.606250000000003</v>
      </c>
      <c r="AL85" s="137">
        <v>-59.606250000000003</v>
      </c>
      <c r="AM85" s="137">
        <v>-59.606250000000003</v>
      </c>
      <c r="AN85" s="137">
        <v>-59.606250000000003</v>
      </c>
      <c r="AO85" s="137">
        <v>-59.606250000000003</v>
      </c>
      <c r="AP85" s="137">
        <v>-60.798375</v>
      </c>
      <c r="AQ85" s="137">
        <v>-60.798375</v>
      </c>
      <c r="AR85" s="137">
        <v>-60.798375</v>
      </c>
      <c r="AS85" s="137">
        <v>-60.798375</v>
      </c>
      <c r="AT85" s="137">
        <v>-60.798375</v>
      </c>
      <c r="AU85" s="137">
        <v>-60.798375</v>
      </c>
      <c r="AV85" s="137">
        <v>-60.798375</v>
      </c>
      <c r="AW85" s="137">
        <v>-60.798375</v>
      </c>
      <c r="AX85" s="137">
        <v>-60.798375</v>
      </c>
      <c r="AY85" s="137">
        <v>-60.798375</v>
      </c>
      <c r="AZ85" s="137">
        <v>-60.798375</v>
      </c>
      <c r="BA85" s="137">
        <v>-60.798375</v>
      </c>
      <c r="BB85" s="137">
        <v>-62.014342499999998</v>
      </c>
      <c r="BC85" s="137">
        <v>-62.014342499999998</v>
      </c>
      <c r="BD85" s="137">
        <v>-62.014342499999998</v>
      </c>
      <c r="BE85" s="137">
        <v>-62.014342499999998</v>
      </c>
      <c r="BF85" s="137">
        <v>-62.014342499999998</v>
      </c>
      <c r="BG85" s="137">
        <v>-62.014342499999998</v>
      </c>
      <c r="BH85" s="137">
        <v>-62.014342499999998</v>
      </c>
      <c r="BI85" s="137">
        <v>-62.014342499999998</v>
      </c>
      <c r="BJ85" s="137">
        <v>-62.014342499999998</v>
      </c>
      <c r="BK85" s="137">
        <v>-62.014342499999998</v>
      </c>
      <c r="BL85" s="137">
        <v>-62.014342499999998</v>
      </c>
      <c r="BM85" s="137">
        <v>-62.014342499999998</v>
      </c>
      <c r="BN85" s="137">
        <v>-63.254629350000002</v>
      </c>
      <c r="BO85" s="137">
        <v>-63.254629350000002</v>
      </c>
      <c r="BP85" s="137">
        <v>-63.254629350000002</v>
      </c>
      <c r="BQ85" s="137">
        <v>-63.254629350000002</v>
      </c>
      <c r="BR85" s="137">
        <v>-63.254629350000002</v>
      </c>
      <c r="BS85" s="137">
        <v>-63.254629350000002</v>
      </c>
      <c r="BT85" s="137">
        <v>-63.254629350000002</v>
      </c>
      <c r="BU85" s="137">
        <v>-63.254629350000002</v>
      </c>
      <c r="BV85" s="137">
        <v>-63.254629350000002</v>
      </c>
      <c r="BW85" s="137">
        <v>-63.254629350000002</v>
      </c>
      <c r="BX85" s="137">
        <v>-63.254629350000002</v>
      </c>
      <c r="BY85" s="137">
        <v>-63.254629350000002</v>
      </c>
      <c r="BZ85" s="137">
        <v>-64.519721937</v>
      </c>
      <c r="CA85" s="137">
        <v>-64.519721937</v>
      </c>
      <c r="CB85" s="137">
        <v>-64.519721937</v>
      </c>
      <c r="CC85" s="137">
        <v>-64.519721937</v>
      </c>
      <c r="CD85" s="137">
        <v>-64.519721937</v>
      </c>
      <c r="CE85" s="137">
        <v>-64.519721937</v>
      </c>
      <c r="CF85" s="137">
        <v>-64.519721937</v>
      </c>
      <c r="CG85" s="137">
        <v>-64.519721937</v>
      </c>
      <c r="CH85" s="137">
        <v>-64.519721937</v>
      </c>
      <c r="CI85" s="137">
        <v>-64.519721937</v>
      </c>
      <c r="CJ85" s="137">
        <v>-64.519721937</v>
      </c>
      <c r="CK85" s="137">
        <v>-64.519721937</v>
      </c>
      <c r="CL85" s="137">
        <v>-65.810116375739995</v>
      </c>
      <c r="CM85" s="137">
        <v>-65.810116375739995</v>
      </c>
      <c r="CN85" s="137">
        <v>-65.810116375739995</v>
      </c>
      <c r="CO85" s="137">
        <v>-65.810116375739995</v>
      </c>
      <c r="CP85" s="137">
        <v>-65.810116375739995</v>
      </c>
      <c r="CQ85" s="137">
        <v>-65.810116375739995</v>
      </c>
      <c r="CR85" s="137">
        <v>-65.810116375739995</v>
      </c>
      <c r="CS85" s="137">
        <v>-65.810116375739995</v>
      </c>
      <c r="CT85" s="137">
        <v>-65.810116375739995</v>
      </c>
      <c r="CU85" s="137">
        <v>0</v>
      </c>
      <c r="CV85" s="137">
        <v>0</v>
      </c>
      <c r="CW85" s="137">
        <v>0</v>
      </c>
      <c r="CX85" s="137">
        <v>0</v>
      </c>
      <c r="CY85" s="137">
        <v>0</v>
      </c>
      <c r="CZ85" s="137">
        <v>0</v>
      </c>
      <c r="DA85" s="137">
        <v>0</v>
      </c>
      <c r="DB85" s="137">
        <v>0</v>
      </c>
      <c r="DC85" s="137">
        <v>0</v>
      </c>
      <c r="DD85" s="137">
        <v>0</v>
      </c>
      <c r="DE85" s="137">
        <v>0</v>
      </c>
      <c r="DF85" s="137">
        <v>0</v>
      </c>
    </row>
    <row r="86" spans="1:110" ht="15" customHeight="1" x14ac:dyDescent="0.25">
      <c r="A86" s="136" t="s">
        <v>71</v>
      </c>
      <c r="C86" s="335">
        <v>-8848.65</v>
      </c>
      <c r="D86" s="335">
        <v>-8817.6299999999992</v>
      </c>
      <c r="E86" s="335">
        <v>-3775.91</v>
      </c>
      <c r="F86" s="137">
        <v>-8500</v>
      </c>
      <c r="G86" s="137">
        <v>-8500</v>
      </c>
      <c r="H86" s="137">
        <v>-8500</v>
      </c>
      <c r="I86" s="137">
        <v>-8500</v>
      </c>
      <c r="J86" s="137">
        <v>-8500</v>
      </c>
      <c r="K86" s="137">
        <v>-8500</v>
      </c>
      <c r="L86" s="137">
        <v>-8500</v>
      </c>
      <c r="M86" s="137">
        <v>-8500</v>
      </c>
      <c r="N86" s="137">
        <v>-8500</v>
      </c>
      <c r="O86" s="137">
        <v>-8500</v>
      </c>
      <c r="P86" s="137">
        <v>-8500</v>
      </c>
      <c r="Q86" s="137">
        <v>-8500</v>
      </c>
      <c r="R86" s="137">
        <v>-8670</v>
      </c>
      <c r="S86" s="137">
        <v>-8670</v>
      </c>
      <c r="T86" s="137">
        <v>-8670</v>
      </c>
      <c r="U86" s="137">
        <v>-8670</v>
      </c>
      <c r="V86" s="137">
        <v>-8670</v>
      </c>
      <c r="W86" s="137">
        <v>-8670</v>
      </c>
      <c r="X86" s="137">
        <v>-8670</v>
      </c>
      <c r="Y86" s="137">
        <v>-8670</v>
      </c>
      <c r="Z86" s="137">
        <v>-8670</v>
      </c>
      <c r="AA86" s="137">
        <v>-8670</v>
      </c>
      <c r="AB86" s="137">
        <v>-8670</v>
      </c>
      <c r="AC86" s="137">
        <v>-8670</v>
      </c>
      <c r="AD86" s="137">
        <v>-8843.4</v>
      </c>
      <c r="AE86" s="137">
        <v>-8843.4</v>
      </c>
      <c r="AF86" s="137">
        <v>-8843.4</v>
      </c>
      <c r="AG86" s="137">
        <v>-8843.4</v>
      </c>
      <c r="AH86" s="137">
        <v>-8843.4</v>
      </c>
      <c r="AI86" s="137">
        <v>-8843.4</v>
      </c>
      <c r="AJ86" s="137">
        <v>-8843.4</v>
      </c>
      <c r="AK86" s="137">
        <v>-8843.4</v>
      </c>
      <c r="AL86" s="137">
        <v>-8843.4</v>
      </c>
      <c r="AM86" s="137">
        <v>-8843.4</v>
      </c>
      <c r="AN86" s="137">
        <v>-8843.4</v>
      </c>
      <c r="AO86" s="137">
        <v>-8843.4</v>
      </c>
      <c r="AP86" s="137">
        <v>-9020.268</v>
      </c>
      <c r="AQ86" s="137">
        <v>-9020.268</v>
      </c>
      <c r="AR86" s="137">
        <v>-9020.268</v>
      </c>
      <c r="AS86" s="137">
        <v>-9020.268</v>
      </c>
      <c r="AT86" s="137">
        <v>-9020.268</v>
      </c>
      <c r="AU86" s="137">
        <v>-9020.268</v>
      </c>
      <c r="AV86" s="137">
        <v>-9020.268</v>
      </c>
      <c r="AW86" s="137">
        <v>-9020.268</v>
      </c>
      <c r="AX86" s="137">
        <v>-9020.268</v>
      </c>
      <c r="AY86" s="137">
        <v>-9020.268</v>
      </c>
      <c r="AZ86" s="137">
        <v>-9020.268</v>
      </c>
      <c r="BA86" s="137">
        <v>-9020.268</v>
      </c>
      <c r="BB86" s="137">
        <v>-9200.6733600000007</v>
      </c>
      <c r="BC86" s="137">
        <v>-9200.6733600000007</v>
      </c>
      <c r="BD86" s="137">
        <v>-9200.6733600000007</v>
      </c>
      <c r="BE86" s="137">
        <v>-9200.6733600000007</v>
      </c>
      <c r="BF86" s="137">
        <v>-9200.6733600000007</v>
      </c>
      <c r="BG86" s="137">
        <v>-9200.6733600000007</v>
      </c>
      <c r="BH86" s="137">
        <v>-9200.6733600000007</v>
      </c>
      <c r="BI86" s="137">
        <v>-9200.6733600000007</v>
      </c>
      <c r="BJ86" s="137">
        <v>-9200.6733600000007</v>
      </c>
      <c r="BK86" s="137">
        <v>-9200.6733600000007</v>
      </c>
      <c r="BL86" s="137">
        <v>-9200.6733600000007</v>
      </c>
      <c r="BM86" s="137">
        <v>-9200.6733600000007</v>
      </c>
      <c r="BN86" s="137">
        <v>-9384.6868271999992</v>
      </c>
      <c r="BO86" s="137">
        <v>-9384.6868271999992</v>
      </c>
      <c r="BP86" s="137">
        <v>-9384.6868271999992</v>
      </c>
      <c r="BQ86" s="137">
        <v>-9384.6868271999992</v>
      </c>
      <c r="BR86" s="137">
        <v>-9384.6868271999992</v>
      </c>
      <c r="BS86" s="137">
        <v>-9384.6868271999992</v>
      </c>
      <c r="BT86" s="137">
        <v>-9384.6868271999992</v>
      </c>
      <c r="BU86" s="137">
        <v>-9384.6868271999992</v>
      </c>
      <c r="BV86" s="137">
        <v>-9384.6868271999992</v>
      </c>
      <c r="BW86" s="137">
        <v>-9384.6868271999992</v>
      </c>
      <c r="BX86" s="137">
        <v>-9384.6868271999992</v>
      </c>
      <c r="BY86" s="137">
        <v>-9384.6868271999992</v>
      </c>
      <c r="BZ86" s="137">
        <v>-9572.380563744</v>
      </c>
      <c r="CA86" s="137">
        <v>-9572.380563744</v>
      </c>
      <c r="CB86" s="137">
        <v>-9572.380563744</v>
      </c>
      <c r="CC86" s="137">
        <v>-9572.380563744</v>
      </c>
      <c r="CD86" s="137">
        <v>-9572.380563744</v>
      </c>
      <c r="CE86" s="137">
        <v>-9572.380563744</v>
      </c>
      <c r="CF86" s="137">
        <v>-9572.380563744</v>
      </c>
      <c r="CG86" s="137">
        <v>-9572.380563744</v>
      </c>
      <c r="CH86" s="137">
        <v>-9572.380563744</v>
      </c>
      <c r="CI86" s="137">
        <v>-9572.380563744</v>
      </c>
      <c r="CJ86" s="137">
        <v>-9572.380563744</v>
      </c>
      <c r="CK86" s="137">
        <v>-9572.380563744</v>
      </c>
      <c r="CL86" s="137">
        <v>-9763.8281750188798</v>
      </c>
      <c r="CM86" s="137">
        <v>-9763.8281750188798</v>
      </c>
      <c r="CN86" s="137">
        <v>-9763.8281750188798</v>
      </c>
      <c r="CO86" s="137">
        <v>-9763.8281750188798</v>
      </c>
      <c r="CP86" s="137">
        <v>-9763.8281750188798</v>
      </c>
      <c r="CQ86" s="137">
        <v>-9763.8281750188798</v>
      </c>
      <c r="CR86" s="137">
        <v>-9763.8281750188798</v>
      </c>
      <c r="CS86" s="137">
        <v>-9763.8281750188798</v>
      </c>
      <c r="CT86" s="137">
        <v>-9763.8281750188798</v>
      </c>
      <c r="CU86" s="137">
        <v>-9763.8281750188798</v>
      </c>
      <c r="CV86" s="137">
        <v>-9763.8281750188798</v>
      </c>
      <c r="CW86" s="137">
        <v>-9763.8281750188798</v>
      </c>
      <c r="CX86" s="137">
        <v>-9959.1047385192596</v>
      </c>
      <c r="CY86" s="137">
        <v>-9959.1047385192596</v>
      </c>
      <c r="CZ86" s="137">
        <v>-9959.1047385192596</v>
      </c>
      <c r="DA86" s="137">
        <v>-9959.1047385192596</v>
      </c>
      <c r="DB86" s="137">
        <v>-9959.1047385192596</v>
      </c>
      <c r="DC86" s="137">
        <v>-9959.1047385192596</v>
      </c>
      <c r="DD86" s="137">
        <v>-9959.1047385192596</v>
      </c>
      <c r="DE86" s="137">
        <v>-9959.1047385192596</v>
      </c>
      <c r="DF86" s="137">
        <v>-9959.1047385192596</v>
      </c>
    </row>
    <row r="87" spans="1:110" ht="15" customHeight="1" x14ac:dyDescent="0.25">
      <c r="A87" s="136" t="s">
        <v>72</v>
      </c>
      <c r="C87" s="335">
        <v>-1722.9</v>
      </c>
      <c r="D87" s="335">
        <v>0</v>
      </c>
      <c r="E87" s="335">
        <v>-28.51</v>
      </c>
      <c r="F87" s="137">
        <v>-583.79999999999995</v>
      </c>
      <c r="G87" s="137">
        <v>-583.79999999999995</v>
      </c>
      <c r="H87" s="137">
        <v>-583.79999999999995</v>
      </c>
      <c r="I87" s="137">
        <v>-583.79999999999995</v>
      </c>
      <c r="J87" s="137">
        <v>-583.79999999999995</v>
      </c>
      <c r="K87" s="137">
        <v>-583.79999999999995</v>
      </c>
      <c r="L87" s="137">
        <v>-583.79999999999995</v>
      </c>
      <c r="M87" s="137">
        <v>-583.79999999999995</v>
      </c>
      <c r="N87" s="137">
        <v>-583.79999999999995</v>
      </c>
      <c r="O87" s="137">
        <v>-583.79999999999995</v>
      </c>
      <c r="P87" s="137">
        <v>-583.79999999999995</v>
      </c>
      <c r="Q87" s="137">
        <v>-583.79999999999995</v>
      </c>
      <c r="R87" s="137">
        <v>-595.476</v>
      </c>
      <c r="S87" s="137">
        <v>-595.476</v>
      </c>
      <c r="T87" s="137">
        <v>-595.476</v>
      </c>
      <c r="U87" s="137">
        <v>-595.476</v>
      </c>
      <c r="V87" s="137">
        <v>-595.476</v>
      </c>
      <c r="W87" s="137">
        <v>-595.476</v>
      </c>
      <c r="X87" s="137">
        <v>-595.476</v>
      </c>
      <c r="Y87" s="137">
        <v>-595.476</v>
      </c>
      <c r="Z87" s="137">
        <v>-595.476</v>
      </c>
      <c r="AA87" s="137">
        <v>-595.476</v>
      </c>
      <c r="AB87" s="137">
        <v>-595.476</v>
      </c>
      <c r="AC87" s="137">
        <v>-595.476</v>
      </c>
      <c r="AD87" s="137">
        <v>-607.38552000000004</v>
      </c>
      <c r="AE87" s="137">
        <v>-607.38552000000004</v>
      </c>
      <c r="AF87" s="137">
        <v>-607.38552000000004</v>
      </c>
      <c r="AG87" s="137">
        <v>-607.38552000000004</v>
      </c>
      <c r="AH87" s="137">
        <v>-607.38552000000004</v>
      </c>
      <c r="AI87" s="137">
        <v>-607.38552000000004</v>
      </c>
      <c r="AJ87" s="137">
        <v>-607.38552000000004</v>
      </c>
      <c r="AK87" s="137">
        <v>-607.38552000000004</v>
      </c>
      <c r="AL87" s="137">
        <v>-607.38552000000004</v>
      </c>
      <c r="AM87" s="137">
        <v>-607.38552000000004</v>
      </c>
      <c r="AN87" s="137">
        <v>-607.38552000000004</v>
      </c>
      <c r="AO87" s="137">
        <v>-607.38552000000004</v>
      </c>
      <c r="AP87" s="137">
        <v>-619.53323039999998</v>
      </c>
      <c r="AQ87" s="137">
        <v>-619.53323039999998</v>
      </c>
      <c r="AR87" s="137">
        <v>-619.53323039999998</v>
      </c>
      <c r="AS87" s="137">
        <v>-619.53323039999998</v>
      </c>
      <c r="AT87" s="137">
        <v>-619.53323039999998</v>
      </c>
      <c r="AU87" s="137">
        <v>-619.53323039999998</v>
      </c>
      <c r="AV87" s="137">
        <v>-619.53323039999998</v>
      </c>
      <c r="AW87" s="137">
        <v>-619.53323039999998</v>
      </c>
      <c r="AX87" s="137">
        <v>-619.53323039999998</v>
      </c>
      <c r="AY87" s="137">
        <v>-619.53323039999998</v>
      </c>
      <c r="AZ87" s="137">
        <v>-619.53323039999998</v>
      </c>
      <c r="BA87" s="137">
        <v>-619.53323039999998</v>
      </c>
      <c r="BB87" s="137">
        <v>-631.92389500800004</v>
      </c>
      <c r="BC87" s="137">
        <v>-631.92389500800004</v>
      </c>
      <c r="BD87" s="137">
        <v>-631.92389500800004</v>
      </c>
      <c r="BE87" s="137">
        <v>-631.92389500800004</v>
      </c>
      <c r="BF87" s="137">
        <v>-631.92389500800004</v>
      </c>
      <c r="BG87" s="137">
        <v>-631.92389500800004</v>
      </c>
      <c r="BH87" s="137">
        <v>-631.92389500800004</v>
      </c>
      <c r="BI87" s="137">
        <v>-631.92389500800004</v>
      </c>
      <c r="BJ87" s="137">
        <v>-631.92389500800004</v>
      </c>
      <c r="BK87" s="137">
        <v>-631.92389500800004</v>
      </c>
      <c r="BL87" s="137">
        <v>-631.92389500800004</v>
      </c>
      <c r="BM87" s="137">
        <v>-631.92389500800004</v>
      </c>
      <c r="BN87" s="137">
        <v>-644.56237290816</v>
      </c>
      <c r="BO87" s="137">
        <v>-644.56237290816</v>
      </c>
      <c r="BP87" s="137">
        <v>-644.56237290816</v>
      </c>
      <c r="BQ87" s="137">
        <v>-644.56237290816</v>
      </c>
      <c r="BR87" s="137">
        <v>-644.56237290816</v>
      </c>
      <c r="BS87" s="137">
        <v>-644.56237290816</v>
      </c>
      <c r="BT87" s="137">
        <v>-644.56237290816</v>
      </c>
      <c r="BU87" s="137">
        <v>-644.56237290816</v>
      </c>
      <c r="BV87" s="137">
        <v>-644.56237290816</v>
      </c>
      <c r="BW87" s="137">
        <v>-644.56237290816</v>
      </c>
      <c r="BX87" s="137">
        <v>-644.56237290816</v>
      </c>
      <c r="BY87" s="137">
        <v>-644.56237290816</v>
      </c>
      <c r="BZ87" s="137">
        <v>-657.45362036632298</v>
      </c>
      <c r="CA87" s="137">
        <v>-657.45362036632298</v>
      </c>
      <c r="CB87" s="137">
        <v>-657.45362036632298</v>
      </c>
      <c r="CC87" s="137">
        <v>-657.45362036632298</v>
      </c>
      <c r="CD87" s="137">
        <v>-657.45362036632298</v>
      </c>
      <c r="CE87" s="137">
        <v>-657.45362036632298</v>
      </c>
      <c r="CF87" s="137">
        <v>-657.45362036632298</v>
      </c>
      <c r="CG87" s="137">
        <v>-657.45362036632298</v>
      </c>
      <c r="CH87" s="137">
        <v>-657.45362036632298</v>
      </c>
      <c r="CI87" s="137">
        <v>-657.45362036632298</v>
      </c>
      <c r="CJ87" s="137">
        <v>-657.45362036632298</v>
      </c>
      <c r="CK87" s="137">
        <v>-657.45362036632298</v>
      </c>
      <c r="CL87" s="137">
        <v>-670.60269277365001</v>
      </c>
      <c r="CM87" s="137">
        <v>-670.60269277365001</v>
      </c>
      <c r="CN87" s="137">
        <v>-670.60269277365001</v>
      </c>
      <c r="CO87" s="137">
        <v>-670.60269277365001</v>
      </c>
      <c r="CP87" s="137">
        <v>-670.60269277365001</v>
      </c>
      <c r="CQ87" s="137">
        <v>-670.60269277365001</v>
      </c>
      <c r="CR87" s="137">
        <v>-670.60269277365001</v>
      </c>
      <c r="CS87" s="137">
        <v>-670.60269277365001</v>
      </c>
      <c r="CT87" s="137">
        <v>-670.60269277365001</v>
      </c>
      <c r="CU87" s="137">
        <v>-670.60269277365001</v>
      </c>
      <c r="CV87" s="137">
        <v>-670.60269277365001</v>
      </c>
      <c r="CW87" s="137">
        <v>-670.60269277365001</v>
      </c>
      <c r="CX87" s="137">
        <v>-684.01474662912301</v>
      </c>
      <c r="CY87" s="137">
        <v>-684.01474662912301</v>
      </c>
      <c r="CZ87" s="137">
        <v>-684.01474662912301</v>
      </c>
      <c r="DA87" s="137">
        <v>-684.01474662912301</v>
      </c>
      <c r="DB87" s="137">
        <v>-684.01474662912301</v>
      </c>
      <c r="DC87" s="137">
        <v>-684.01474662912301</v>
      </c>
      <c r="DD87" s="137">
        <v>-684.01474662912301</v>
      </c>
      <c r="DE87" s="137">
        <v>-684.01474662912301</v>
      </c>
      <c r="DF87" s="137">
        <v>-684.01474662912301</v>
      </c>
    </row>
    <row r="88" spans="1:110" ht="15" customHeight="1" x14ac:dyDescent="0.25">
      <c r="A88" s="136" t="s">
        <v>75</v>
      </c>
      <c r="C88" s="141">
        <v>-246.85</v>
      </c>
      <c r="D88" s="141">
        <v>0</v>
      </c>
      <c r="E88" s="141">
        <v>-4246.7299999999996</v>
      </c>
      <c r="F88" s="137">
        <v>-1497.86</v>
      </c>
      <c r="G88" s="137">
        <v>-1497.86</v>
      </c>
      <c r="H88" s="137">
        <v>-1497.86</v>
      </c>
      <c r="I88" s="137">
        <v>-1497.86</v>
      </c>
      <c r="J88" s="137">
        <v>-1497.86</v>
      </c>
      <c r="K88" s="137">
        <v>-1497.86</v>
      </c>
      <c r="L88" s="137">
        <v>-1497.86</v>
      </c>
      <c r="M88" s="137">
        <v>-1497.86</v>
      </c>
      <c r="N88" s="137">
        <v>-1497.86</v>
      </c>
      <c r="O88" s="137">
        <v>-1497.86</v>
      </c>
      <c r="P88" s="137">
        <v>-1497.86</v>
      </c>
      <c r="Q88" s="137">
        <v>-1497.86</v>
      </c>
      <c r="R88" s="137">
        <v>-1527.8172</v>
      </c>
      <c r="S88" s="137">
        <v>-1527.8172</v>
      </c>
      <c r="T88" s="137">
        <v>-1527.8172</v>
      </c>
      <c r="U88" s="137">
        <v>-1527.8172</v>
      </c>
      <c r="V88" s="137">
        <v>-1527.8172</v>
      </c>
      <c r="W88" s="137">
        <v>-1527.8172</v>
      </c>
      <c r="X88" s="137">
        <v>-1527.8172</v>
      </c>
      <c r="Y88" s="137">
        <v>-1527.8172</v>
      </c>
      <c r="Z88" s="137">
        <v>-1527.8172</v>
      </c>
      <c r="AA88" s="137">
        <v>-1527.8172</v>
      </c>
      <c r="AB88" s="137">
        <v>-1527.8172</v>
      </c>
      <c r="AC88" s="137">
        <v>-1527.8172</v>
      </c>
      <c r="AD88" s="137">
        <v>-1558.373544</v>
      </c>
      <c r="AE88" s="137">
        <v>-1558.373544</v>
      </c>
      <c r="AF88" s="137">
        <v>-1558.373544</v>
      </c>
      <c r="AG88" s="137">
        <v>-1558.373544</v>
      </c>
      <c r="AH88" s="137">
        <v>-1558.373544</v>
      </c>
      <c r="AI88" s="137">
        <v>-1558.373544</v>
      </c>
      <c r="AJ88" s="137">
        <v>-1558.373544</v>
      </c>
      <c r="AK88" s="137">
        <v>-1558.373544</v>
      </c>
      <c r="AL88" s="137">
        <v>-1558.373544</v>
      </c>
      <c r="AM88" s="137">
        <v>-1558.373544</v>
      </c>
      <c r="AN88" s="137">
        <v>-1558.373544</v>
      </c>
      <c r="AO88" s="137">
        <v>-1558.373544</v>
      </c>
      <c r="AP88" s="137">
        <v>-1589.5410148799999</v>
      </c>
      <c r="AQ88" s="137">
        <v>-1589.5410148799999</v>
      </c>
      <c r="AR88" s="137">
        <v>-1589.5410148799999</v>
      </c>
      <c r="AS88" s="137">
        <v>-1589.5410148799999</v>
      </c>
      <c r="AT88" s="137">
        <v>-1589.5410148799999</v>
      </c>
      <c r="AU88" s="137">
        <v>-1589.5410148799999</v>
      </c>
      <c r="AV88" s="137">
        <v>-1589.5410148799999</v>
      </c>
      <c r="AW88" s="137">
        <v>-1589.5410148799999</v>
      </c>
      <c r="AX88" s="137">
        <v>-1589.5410148799999</v>
      </c>
      <c r="AY88" s="137">
        <v>-1589.5410148799999</v>
      </c>
      <c r="AZ88" s="137">
        <v>-1589.5410148799999</v>
      </c>
      <c r="BA88" s="137">
        <v>-1589.5410148799999</v>
      </c>
      <c r="BB88" s="137">
        <v>-1621.3318351775999</v>
      </c>
      <c r="BC88" s="137">
        <v>-1621.3318351775999</v>
      </c>
      <c r="BD88" s="137">
        <v>-1621.3318351775999</v>
      </c>
      <c r="BE88" s="137">
        <v>-1621.3318351775999</v>
      </c>
      <c r="BF88" s="137">
        <v>-1621.3318351775999</v>
      </c>
      <c r="BG88" s="137">
        <v>-1621.3318351775999</v>
      </c>
      <c r="BH88" s="137">
        <v>-1621.3318351775999</v>
      </c>
      <c r="BI88" s="137">
        <v>-1621.3318351775999</v>
      </c>
      <c r="BJ88" s="137">
        <v>-1621.3318351775999</v>
      </c>
      <c r="BK88" s="137">
        <v>-1621.3318351775999</v>
      </c>
      <c r="BL88" s="137">
        <v>-1621.3318351775999</v>
      </c>
      <c r="BM88" s="137">
        <v>-1621.3318351775999</v>
      </c>
      <c r="BN88" s="137">
        <v>-1653.7584718811499</v>
      </c>
      <c r="BO88" s="137">
        <v>-1653.7584718811499</v>
      </c>
      <c r="BP88" s="137">
        <v>-1653.7584718811499</v>
      </c>
      <c r="BQ88" s="137">
        <v>-1653.7584718811499</v>
      </c>
      <c r="BR88" s="137">
        <v>-1653.7584718811499</v>
      </c>
      <c r="BS88" s="137">
        <v>-1653.7584718811499</v>
      </c>
      <c r="BT88" s="137">
        <v>-1653.7584718811499</v>
      </c>
      <c r="BU88" s="137">
        <v>-1653.7584718811499</v>
      </c>
      <c r="BV88" s="137">
        <v>-1653.7584718811499</v>
      </c>
      <c r="BW88" s="137">
        <v>-1653.7584718811499</v>
      </c>
      <c r="BX88" s="137">
        <v>-1653.7584718811499</v>
      </c>
      <c r="BY88" s="137">
        <v>-1653.7584718811499</v>
      </c>
      <c r="BZ88" s="137">
        <v>-1686.8336413187801</v>
      </c>
      <c r="CA88" s="137">
        <v>-1686.8336413187801</v>
      </c>
      <c r="CB88" s="137">
        <v>-1686.8336413187801</v>
      </c>
      <c r="CC88" s="137">
        <v>-1686.8336413187801</v>
      </c>
      <c r="CD88" s="137">
        <v>-1686.8336413187801</v>
      </c>
      <c r="CE88" s="137">
        <v>-1686.8336413187801</v>
      </c>
      <c r="CF88" s="137">
        <v>-1686.8336413187801</v>
      </c>
      <c r="CG88" s="137">
        <v>-1686.8336413187801</v>
      </c>
      <c r="CH88" s="137">
        <v>-1686.8336413187801</v>
      </c>
      <c r="CI88" s="137">
        <v>-1686.8336413187801</v>
      </c>
      <c r="CJ88" s="137">
        <v>-1686.8336413187801</v>
      </c>
      <c r="CK88" s="137">
        <v>-1686.8336413187801</v>
      </c>
      <c r="CL88" s="137">
        <v>-1720.57031414515</v>
      </c>
      <c r="CM88" s="137">
        <v>-1720.57031414515</v>
      </c>
      <c r="CN88" s="137">
        <v>-1720.57031414515</v>
      </c>
      <c r="CO88" s="137">
        <v>-1720.57031414515</v>
      </c>
      <c r="CP88" s="137">
        <v>-1720.57031414515</v>
      </c>
      <c r="CQ88" s="137">
        <v>-1720.57031414515</v>
      </c>
      <c r="CR88" s="137">
        <v>-1720.57031414515</v>
      </c>
      <c r="CS88" s="137">
        <v>-1720.57031414515</v>
      </c>
      <c r="CT88" s="137">
        <v>-1720.57031414515</v>
      </c>
      <c r="CU88" s="137">
        <v>-1720.57031414515</v>
      </c>
      <c r="CV88" s="137">
        <v>-1720.57031414515</v>
      </c>
      <c r="CW88" s="137">
        <v>-1720.57031414515</v>
      </c>
      <c r="CX88" s="137">
        <v>-1754.98172042805</v>
      </c>
      <c r="CY88" s="137">
        <v>-1754.98172042805</v>
      </c>
      <c r="CZ88" s="137">
        <v>-1754.98172042805</v>
      </c>
      <c r="DA88" s="137">
        <v>-1754.98172042805</v>
      </c>
      <c r="DB88" s="137">
        <v>-1754.98172042805</v>
      </c>
      <c r="DC88" s="137">
        <v>-1754.98172042805</v>
      </c>
      <c r="DD88" s="137">
        <v>-1754.98172042805</v>
      </c>
      <c r="DE88" s="137">
        <v>-1754.98172042805</v>
      </c>
      <c r="DF88" s="137">
        <v>-1754.98172042805</v>
      </c>
    </row>
    <row r="89" spans="1:110" ht="15" customHeight="1" x14ac:dyDescent="0.25">
      <c r="A89" s="136" t="s">
        <v>115</v>
      </c>
      <c r="C89" s="335">
        <v>0</v>
      </c>
      <c r="D89" s="335">
        <v>0</v>
      </c>
      <c r="E89" s="335">
        <v>-870</v>
      </c>
      <c r="F89" s="137">
        <v>-290</v>
      </c>
      <c r="G89" s="137">
        <v>-290</v>
      </c>
      <c r="H89" s="137">
        <v>-290</v>
      </c>
      <c r="I89" s="137">
        <v>-290</v>
      </c>
      <c r="J89" s="137">
        <v>-290</v>
      </c>
      <c r="K89" s="137">
        <v>-290</v>
      </c>
      <c r="L89" s="137">
        <v>-290</v>
      </c>
      <c r="M89" s="137">
        <v>-290</v>
      </c>
      <c r="N89" s="137">
        <v>-290</v>
      </c>
      <c r="O89" s="137">
        <v>-290</v>
      </c>
      <c r="P89" s="137">
        <v>-290</v>
      </c>
      <c r="Q89" s="137">
        <v>-290</v>
      </c>
      <c r="R89" s="137">
        <v>-295.8</v>
      </c>
      <c r="S89" s="137">
        <v>-295.8</v>
      </c>
      <c r="T89" s="137">
        <v>-295.8</v>
      </c>
      <c r="U89" s="137">
        <v>-295.8</v>
      </c>
      <c r="V89" s="137">
        <v>-295.8</v>
      </c>
      <c r="W89" s="137">
        <v>-295.8</v>
      </c>
      <c r="X89" s="137">
        <v>-295.8</v>
      </c>
      <c r="Y89" s="137">
        <v>-295.8</v>
      </c>
      <c r="Z89" s="137">
        <v>-295.8</v>
      </c>
      <c r="AA89" s="137">
        <v>-295.8</v>
      </c>
      <c r="AB89" s="137">
        <v>-295.8</v>
      </c>
      <c r="AC89" s="137">
        <v>-295.8</v>
      </c>
      <c r="AD89" s="137">
        <v>-301.71600000000001</v>
      </c>
      <c r="AE89" s="137">
        <v>-301.71600000000001</v>
      </c>
      <c r="AF89" s="137">
        <v>-301.71600000000001</v>
      </c>
      <c r="AG89" s="137">
        <v>-301.71600000000001</v>
      </c>
      <c r="AH89" s="137">
        <v>-301.71600000000001</v>
      </c>
      <c r="AI89" s="137">
        <v>-301.71600000000001</v>
      </c>
      <c r="AJ89" s="137">
        <v>-301.71600000000001</v>
      </c>
      <c r="AK89" s="137">
        <v>-301.71600000000001</v>
      </c>
      <c r="AL89" s="137">
        <v>-301.71600000000001</v>
      </c>
      <c r="AM89" s="137">
        <v>-301.71600000000001</v>
      </c>
      <c r="AN89" s="137">
        <v>-301.71600000000001</v>
      </c>
      <c r="AO89" s="137">
        <v>-301.71600000000001</v>
      </c>
      <c r="AP89" s="137">
        <v>-307.75031999999999</v>
      </c>
      <c r="AQ89" s="137">
        <v>-307.75031999999999</v>
      </c>
      <c r="AR89" s="137">
        <v>-307.75031999999999</v>
      </c>
      <c r="AS89" s="137">
        <v>-307.75031999999999</v>
      </c>
      <c r="AT89" s="137">
        <v>-307.75031999999999</v>
      </c>
      <c r="AU89" s="137">
        <v>-307.75031999999999</v>
      </c>
      <c r="AV89" s="137">
        <v>-307.75031999999999</v>
      </c>
      <c r="AW89" s="137">
        <v>-307.75031999999999</v>
      </c>
      <c r="AX89" s="137">
        <v>-307.75031999999999</v>
      </c>
      <c r="AY89" s="137">
        <v>-307.75031999999999</v>
      </c>
      <c r="AZ89" s="137">
        <v>-307.75031999999999</v>
      </c>
      <c r="BA89" s="137">
        <v>-307.75031999999999</v>
      </c>
      <c r="BB89" s="137">
        <v>-313.90532639999998</v>
      </c>
      <c r="BC89" s="137">
        <v>-313.90532639999998</v>
      </c>
      <c r="BD89" s="137">
        <v>-313.90532639999998</v>
      </c>
      <c r="BE89" s="137">
        <v>-313.90532639999998</v>
      </c>
      <c r="BF89" s="137">
        <v>-313.90532639999998</v>
      </c>
      <c r="BG89" s="137">
        <v>-313.90532639999998</v>
      </c>
      <c r="BH89" s="137">
        <v>-313.90532639999998</v>
      </c>
      <c r="BI89" s="137">
        <v>-313.90532639999998</v>
      </c>
      <c r="BJ89" s="137">
        <v>-313.90532639999998</v>
      </c>
      <c r="BK89" s="137">
        <v>-313.90532639999998</v>
      </c>
      <c r="BL89" s="137">
        <v>-313.90532639999998</v>
      </c>
      <c r="BM89" s="137">
        <v>-313.90532639999998</v>
      </c>
      <c r="BN89" s="137">
        <v>-320.183432928</v>
      </c>
      <c r="BO89" s="137">
        <v>-320.183432928</v>
      </c>
      <c r="BP89" s="137">
        <v>-320.183432928</v>
      </c>
      <c r="BQ89" s="137">
        <v>-320.183432928</v>
      </c>
      <c r="BR89" s="137">
        <v>-320.183432928</v>
      </c>
      <c r="BS89" s="137">
        <v>-320.183432928</v>
      </c>
      <c r="BT89" s="137">
        <v>-320.183432928</v>
      </c>
      <c r="BU89" s="137">
        <v>-320.183432928</v>
      </c>
      <c r="BV89" s="137">
        <v>-320.183432928</v>
      </c>
      <c r="BW89" s="137">
        <v>-320.183432928</v>
      </c>
      <c r="BX89" s="137">
        <v>-320.183432928</v>
      </c>
      <c r="BY89" s="137">
        <v>-320.183432928</v>
      </c>
      <c r="BZ89" s="137">
        <v>-326.58710158655998</v>
      </c>
      <c r="CA89" s="137">
        <v>-326.58710158655998</v>
      </c>
      <c r="CB89" s="137">
        <v>-326.58710158655998</v>
      </c>
      <c r="CC89" s="137">
        <v>-326.58710158655998</v>
      </c>
      <c r="CD89" s="137">
        <v>-326.58710158655998</v>
      </c>
      <c r="CE89" s="137">
        <v>-326.58710158655998</v>
      </c>
      <c r="CF89" s="137">
        <v>-326.58710158655998</v>
      </c>
      <c r="CG89" s="137">
        <v>-326.58710158655998</v>
      </c>
      <c r="CH89" s="137">
        <v>-326.58710158655998</v>
      </c>
      <c r="CI89" s="137">
        <v>-326.58710158655998</v>
      </c>
      <c r="CJ89" s="137">
        <v>-326.58710158655998</v>
      </c>
      <c r="CK89" s="137">
        <v>-326.58710158655998</v>
      </c>
      <c r="CL89" s="137">
        <v>-333.11884361829101</v>
      </c>
      <c r="CM89" s="137">
        <v>-333.11884361829101</v>
      </c>
      <c r="CN89" s="137">
        <v>-333.11884361829101</v>
      </c>
      <c r="CO89" s="137">
        <v>-333.11884361829101</v>
      </c>
      <c r="CP89" s="137">
        <v>-333.11884361829101</v>
      </c>
      <c r="CQ89" s="137">
        <v>-333.11884361829101</v>
      </c>
      <c r="CR89" s="137">
        <v>-333.11884361829101</v>
      </c>
      <c r="CS89" s="137">
        <v>-333.11884361829101</v>
      </c>
      <c r="CT89" s="137">
        <v>-333.11884361829101</v>
      </c>
      <c r="CU89" s="137">
        <v>-333.11884361829101</v>
      </c>
      <c r="CV89" s="137">
        <v>-333.11884361829101</v>
      </c>
      <c r="CW89" s="137">
        <v>-333.11884361829101</v>
      </c>
      <c r="CX89" s="137">
        <v>-339.78122049065701</v>
      </c>
      <c r="CY89" s="137">
        <v>-339.78122049065701</v>
      </c>
      <c r="CZ89" s="137">
        <v>-339.78122049065701</v>
      </c>
      <c r="DA89" s="137">
        <v>-339.78122049065701</v>
      </c>
      <c r="DB89" s="137">
        <v>-339.78122049065701</v>
      </c>
      <c r="DC89" s="137">
        <v>-339.78122049065701</v>
      </c>
      <c r="DD89" s="137">
        <v>-339.78122049065701</v>
      </c>
      <c r="DE89" s="137">
        <v>-339.78122049065701</v>
      </c>
      <c r="DF89" s="137">
        <v>-339.78122049065701</v>
      </c>
    </row>
    <row r="90" spans="1:110" ht="15" customHeight="1" x14ac:dyDescent="0.25">
      <c r="A90" s="96" t="s">
        <v>116</v>
      </c>
      <c r="C90" s="138">
        <v>-245</v>
      </c>
      <c r="D90" s="138">
        <v>-245</v>
      </c>
      <c r="E90" s="138">
        <v>-245</v>
      </c>
      <c r="F90" s="138">
        <v>-245</v>
      </c>
      <c r="G90" s="138">
        <v>-245</v>
      </c>
      <c r="H90" s="138">
        <v>-245</v>
      </c>
      <c r="I90" s="138">
        <v>-245</v>
      </c>
      <c r="J90" s="138">
        <v>-245</v>
      </c>
      <c r="K90" s="138">
        <v>-245</v>
      </c>
      <c r="L90" s="138">
        <v>-245</v>
      </c>
      <c r="M90" s="138">
        <v>-245</v>
      </c>
      <c r="N90" s="138">
        <v>-245</v>
      </c>
      <c r="O90" s="138">
        <v>-245</v>
      </c>
      <c r="P90" s="138">
        <v>-245</v>
      </c>
      <c r="Q90" s="138">
        <v>-245</v>
      </c>
      <c r="R90" s="138">
        <v>-249.9</v>
      </c>
      <c r="S90" s="138">
        <v>-249.9</v>
      </c>
      <c r="T90" s="138">
        <v>-249.9</v>
      </c>
      <c r="U90" s="138">
        <v>-249.9</v>
      </c>
      <c r="V90" s="138">
        <v>-249.9</v>
      </c>
      <c r="W90" s="138">
        <v>-249.9</v>
      </c>
      <c r="X90" s="138">
        <v>-249.9</v>
      </c>
      <c r="Y90" s="138">
        <v>-249.9</v>
      </c>
      <c r="Z90" s="138">
        <v>-249.9</v>
      </c>
      <c r="AA90" s="138">
        <v>-249.9</v>
      </c>
      <c r="AB90" s="138">
        <v>-249.9</v>
      </c>
      <c r="AC90" s="138">
        <v>-249.9</v>
      </c>
      <c r="AD90" s="138">
        <v>-254.898</v>
      </c>
      <c r="AE90" s="138">
        <v>-254.898</v>
      </c>
      <c r="AF90" s="138">
        <v>-254.898</v>
      </c>
      <c r="AG90" s="138">
        <v>-254.898</v>
      </c>
      <c r="AH90" s="138">
        <v>-254.898</v>
      </c>
      <c r="AI90" s="138">
        <v>-254.898</v>
      </c>
      <c r="AJ90" s="138">
        <v>-254.898</v>
      </c>
      <c r="AK90" s="138">
        <v>-254.898</v>
      </c>
      <c r="AL90" s="138">
        <v>-254.898</v>
      </c>
      <c r="AM90" s="138">
        <v>-254.898</v>
      </c>
      <c r="AN90" s="138">
        <v>-254.898</v>
      </c>
      <c r="AO90" s="138">
        <v>-254.898</v>
      </c>
      <c r="AP90" s="138">
        <v>-259.99596000000003</v>
      </c>
      <c r="AQ90" s="138">
        <v>-259.99596000000003</v>
      </c>
      <c r="AR90" s="138">
        <v>-259.99596000000003</v>
      </c>
      <c r="AS90" s="138">
        <v>-259.99596000000003</v>
      </c>
      <c r="AT90" s="138">
        <v>-259.99596000000003</v>
      </c>
      <c r="AU90" s="138">
        <v>-259.99596000000003</v>
      </c>
      <c r="AV90" s="138">
        <v>-259.99596000000003</v>
      </c>
      <c r="AW90" s="138">
        <v>-259.99596000000003</v>
      </c>
      <c r="AX90" s="138">
        <v>-259.99596000000003</v>
      </c>
      <c r="AY90" s="138">
        <v>-259.99596000000003</v>
      </c>
      <c r="AZ90" s="138">
        <v>-259.99596000000003</v>
      </c>
      <c r="BA90" s="138">
        <v>-259.99596000000003</v>
      </c>
      <c r="BB90" s="138">
        <v>-265.19587919999998</v>
      </c>
      <c r="BC90" s="138">
        <v>-265.19587919999998</v>
      </c>
      <c r="BD90" s="138">
        <v>-265.19587919999998</v>
      </c>
      <c r="BE90" s="138">
        <v>-265.19587919999998</v>
      </c>
      <c r="BF90" s="138">
        <v>-265.19587919999998</v>
      </c>
      <c r="BG90" s="138">
        <v>-265.19587919999998</v>
      </c>
      <c r="BH90" s="138">
        <v>-265.19587919999998</v>
      </c>
      <c r="BI90" s="138">
        <v>-265.19587919999998</v>
      </c>
      <c r="BJ90" s="138">
        <v>-265.19587919999998</v>
      </c>
      <c r="BK90" s="138">
        <v>-265.19587919999998</v>
      </c>
      <c r="BL90" s="138">
        <v>-265.19587919999998</v>
      </c>
      <c r="BM90" s="138">
        <v>-265.19587919999998</v>
      </c>
      <c r="BN90" s="138">
        <v>-270.49979678400001</v>
      </c>
      <c r="BO90" s="138">
        <v>-270.49979678400001</v>
      </c>
      <c r="BP90" s="138">
        <v>-270.49979678400001</v>
      </c>
      <c r="BQ90" s="138">
        <v>-270.49979678400001</v>
      </c>
      <c r="BR90" s="138">
        <v>-270.49979678400001</v>
      </c>
      <c r="BS90" s="138">
        <v>-270.49979678400001</v>
      </c>
      <c r="BT90" s="138">
        <v>-270.49979678400001</v>
      </c>
      <c r="BU90" s="138">
        <v>-270.49979678400001</v>
      </c>
      <c r="BV90" s="138">
        <v>-270.49979678400001</v>
      </c>
      <c r="BW90" s="138">
        <v>-270.49979678400001</v>
      </c>
      <c r="BX90" s="138">
        <v>-270.49979678400001</v>
      </c>
      <c r="BY90" s="138">
        <v>-270.49979678400001</v>
      </c>
      <c r="BZ90" s="138">
        <v>-275.90979271968001</v>
      </c>
      <c r="CA90" s="138">
        <v>-275.90979271968001</v>
      </c>
      <c r="CB90" s="138">
        <v>-275.90979271968001</v>
      </c>
      <c r="CC90" s="138">
        <v>-275.90979271968001</v>
      </c>
      <c r="CD90" s="138">
        <v>-275.90979271968001</v>
      </c>
      <c r="CE90" s="138">
        <v>-275.90979271968001</v>
      </c>
      <c r="CF90" s="138">
        <v>-275.90979271968001</v>
      </c>
      <c r="CG90" s="138">
        <v>-275.90979271968001</v>
      </c>
      <c r="CH90" s="138">
        <v>-275.90979271968001</v>
      </c>
      <c r="CI90" s="138">
        <v>-275.90979271968001</v>
      </c>
      <c r="CJ90" s="138">
        <v>-275.90979271968001</v>
      </c>
      <c r="CK90" s="138">
        <v>-275.90979271968001</v>
      </c>
      <c r="CL90" s="138">
        <v>-281.42798857407399</v>
      </c>
      <c r="CM90" s="138">
        <v>-281.42798857407399</v>
      </c>
      <c r="CN90" s="138">
        <v>-281.42798857407399</v>
      </c>
      <c r="CO90" s="138">
        <v>-281.42798857407399</v>
      </c>
      <c r="CP90" s="138">
        <v>-281.42798857407399</v>
      </c>
      <c r="CQ90" s="138">
        <v>-281.42798857407399</v>
      </c>
      <c r="CR90" s="138">
        <v>-281.42798857407399</v>
      </c>
      <c r="CS90" s="138">
        <v>-281.42798857407399</v>
      </c>
      <c r="CT90" s="138">
        <v>-281.42798857407399</v>
      </c>
      <c r="CU90" s="138">
        <v>-281.42798857407399</v>
      </c>
      <c r="CV90" s="138">
        <v>-281.42798857407399</v>
      </c>
      <c r="CW90" s="138">
        <v>-281.42798857407399</v>
      </c>
      <c r="CX90" s="138">
        <v>-287.05654834555497</v>
      </c>
      <c r="CY90" s="138">
        <v>-287.05654834555497</v>
      </c>
      <c r="CZ90" s="138">
        <v>-287.05654834555497</v>
      </c>
      <c r="DA90" s="138">
        <v>-287.05654834555497</v>
      </c>
      <c r="DB90" s="138">
        <v>-287.05654834555497</v>
      </c>
      <c r="DC90" s="138">
        <v>-287.05654834555497</v>
      </c>
      <c r="DD90" s="138">
        <v>-287.05654834555497</v>
      </c>
      <c r="DE90" s="138">
        <v>-287.05654834555497</v>
      </c>
      <c r="DF90" s="138">
        <v>-287.05654834555497</v>
      </c>
    </row>
    <row r="91" spans="1:110" ht="15" customHeight="1" x14ac:dyDescent="0.25">
      <c r="A91" s="96" t="s">
        <v>117</v>
      </c>
      <c r="C91" s="138">
        <v>-986.57</v>
      </c>
      <c r="D91" s="138">
        <v>-1254.6099999999999</v>
      </c>
      <c r="E91" s="138">
        <v>-1297.31</v>
      </c>
      <c r="F91" s="138">
        <v>-1179.5</v>
      </c>
      <c r="G91" s="138">
        <v>-1179.5</v>
      </c>
      <c r="H91" s="138">
        <v>-1179.5</v>
      </c>
      <c r="I91" s="138">
        <v>-1179.5</v>
      </c>
      <c r="J91" s="138">
        <v>-1179.5</v>
      </c>
      <c r="K91" s="138">
        <v>-1179.5</v>
      </c>
      <c r="L91" s="138">
        <v>-1179.5</v>
      </c>
      <c r="M91" s="138">
        <v>-1179.5</v>
      </c>
      <c r="N91" s="138">
        <v>-1179.5</v>
      </c>
      <c r="O91" s="138">
        <v>-1179.5</v>
      </c>
      <c r="P91" s="138">
        <v>-1179.5</v>
      </c>
      <c r="Q91" s="138">
        <v>-1179.5</v>
      </c>
      <c r="R91" s="138">
        <v>-1203.0899999999999</v>
      </c>
      <c r="S91" s="138">
        <v>-1203.0899999999999</v>
      </c>
      <c r="T91" s="138">
        <v>-1203.0899999999999</v>
      </c>
      <c r="U91" s="138">
        <v>-1203.0899999999999</v>
      </c>
      <c r="V91" s="138">
        <v>-1203.0899999999999</v>
      </c>
      <c r="W91" s="138">
        <v>-1203.0899999999999</v>
      </c>
      <c r="X91" s="138">
        <v>-1203.0899999999999</v>
      </c>
      <c r="Y91" s="138">
        <v>-1203.0899999999999</v>
      </c>
      <c r="Z91" s="138">
        <v>-1203.0899999999999</v>
      </c>
      <c r="AA91" s="138">
        <v>-1203.0899999999999</v>
      </c>
      <c r="AB91" s="138">
        <v>-1203.0899999999999</v>
      </c>
      <c r="AC91" s="138">
        <v>-1203.0899999999999</v>
      </c>
      <c r="AD91" s="138">
        <v>-1227.1518000000001</v>
      </c>
      <c r="AE91" s="138">
        <v>-1227.1518000000001</v>
      </c>
      <c r="AF91" s="138">
        <v>-1227.1518000000001</v>
      </c>
      <c r="AG91" s="138">
        <v>-1227.1518000000001</v>
      </c>
      <c r="AH91" s="138">
        <v>-1227.1518000000001</v>
      </c>
      <c r="AI91" s="138">
        <v>-1227.1518000000001</v>
      </c>
      <c r="AJ91" s="138">
        <v>-1227.1518000000001</v>
      </c>
      <c r="AK91" s="138">
        <v>-1227.1518000000001</v>
      </c>
      <c r="AL91" s="138">
        <v>-1227.1518000000001</v>
      </c>
      <c r="AM91" s="138">
        <v>-1227.1518000000001</v>
      </c>
      <c r="AN91" s="138">
        <v>-1227.1518000000001</v>
      </c>
      <c r="AO91" s="138">
        <v>-1227.1518000000001</v>
      </c>
      <c r="AP91" s="138">
        <v>-1251.6948359999999</v>
      </c>
      <c r="AQ91" s="138">
        <v>-1251.6948359999999</v>
      </c>
      <c r="AR91" s="138">
        <v>-1251.6948359999999</v>
      </c>
      <c r="AS91" s="138">
        <v>-1251.6948359999999</v>
      </c>
      <c r="AT91" s="138">
        <v>-1251.6948359999999</v>
      </c>
      <c r="AU91" s="138">
        <v>-1251.6948359999999</v>
      </c>
      <c r="AV91" s="138">
        <v>-1251.6948359999999</v>
      </c>
      <c r="AW91" s="138">
        <v>-1251.6948359999999</v>
      </c>
      <c r="AX91" s="138">
        <v>-1251.6948359999999</v>
      </c>
      <c r="AY91" s="138">
        <v>-1251.6948359999999</v>
      </c>
      <c r="AZ91" s="138">
        <v>-1251.6948359999999</v>
      </c>
      <c r="BA91" s="138">
        <v>-1251.6948359999999</v>
      </c>
      <c r="BB91" s="138">
        <v>-1276.7287327199999</v>
      </c>
      <c r="BC91" s="138">
        <v>-1276.7287327199999</v>
      </c>
      <c r="BD91" s="138">
        <v>-1276.7287327199999</v>
      </c>
      <c r="BE91" s="138">
        <v>-1276.7287327199999</v>
      </c>
      <c r="BF91" s="138">
        <v>-1276.7287327199999</v>
      </c>
      <c r="BG91" s="138">
        <v>-1276.7287327199999</v>
      </c>
      <c r="BH91" s="138">
        <v>-1276.7287327199999</v>
      </c>
      <c r="BI91" s="138">
        <v>-1276.7287327199999</v>
      </c>
      <c r="BJ91" s="138">
        <v>-1276.7287327199999</v>
      </c>
      <c r="BK91" s="138">
        <v>-1276.7287327199999</v>
      </c>
      <c r="BL91" s="138">
        <v>-1276.7287327199999</v>
      </c>
      <c r="BM91" s="138">
        <v>-1276.7287327199999</v>
      </c>
      <c r="BN91" s="138">
        <v>-1302.2633073744</v>
      </c>
      <c r="BO91" s="138">
        <v>-1302.2633073744</v>
      </c>
      <c r="BP91" s="138">
        <v>-1302.2633073744</v>
      </c>
      <c r="BQ91" s="138">
        <v>-1302.2633073744</v>
      </c>
      <c r="BR91" s="138">
        <v>-1302.2633073744</v>
      </c>
      <c r="BS91" s="138">
        <v>-1302.2633073744</v>
      </c>
      <c r="BT91" s="138">
        <v>-1302.2633073744</v>
      </c>
      <c r="BU91" s="138">
        <v>-1302.2633073744</v>
      </c>
      <c r="BV91" s="138">
        <v>-1302.2633073744</v>
      </c>
      <c r="BW91" s="138">
        <v>-1302.2633073744</v>
      </c>
      <c r="BX91" s="138">
        <v>-1302.2633073744</v>
      </c>
      <c r="BY91" s="138">
        <v>-1302.2633073744</v>
      </c>
      <c r="BZ91" s="138">
        <v>-1328.3085735218899</v>
      </c>
      <c r="CA91" s="138">
        <v>-1328.3085735218899</v>
      </c>
      <c r="CB91" s="138">
        <v>-1328.3085735218899</v>
      </c>
      <c r="CC91" s="138">
        <v>-1328.3085735218899</v>
      </c>
      <c r="CD91" s="138">
        <v>-1328.3085735218899</v>
      </c>
      <c r="CE91" s="138">
        <v>-1328.3085735218899</v>
      </c>
      <c r="CF91" s="138">
        <v>-1328.3085735218899</v>
      </c>
      <c r="CG91" s="138">
        <v>-1328.3085735218899</v>
      </c>
      <c r="CH91" s="138">
        <v>-1328.3085735218899</v>
      </c>
      <c r="CI91" s="138">
        <v>-1328.3085735218899</v>
      </c>
      <c r="CJ91" s="138">
        <v>-1328.3085735218899</v>
      </c>
      <c r="CK91" s="138">
        <v>-1328.3085735218899</v>
      </c>
      <c r="CL91" s="138">
        <v>-1354.8747449923301</v>
      </c>
      <c r="CM91" s="138">
        <v>-1354.8747449923301</v>
      </c>
      <c r="CN91" s="138">
        <v>-1354.8747449923301</v>
      </c>
      <c r="CO91" s="138">
        <v>-1354.8747449923301</v>
      </c>
      <c r="CP91" s="138">
        <v>-1354.8747449923301</v>
      </c>
      <c r="CQ91" s="138">
        <v>-1354.8747449923301</v>
      </c>
      <c r="CR91" s="138">
        <v>-1354.8747449923301</v>
      </c>
      <c r="CS91" s="138">
        <v>-1354.8747449923301</v>
      </c>
      <c r="CT91" s="138">
        <v>-1354.8747449923301</v>
      </c>
      <c r="CU91" s="138">
        <v>-1354.8747449923301</v>
      </c>
      <c r="CV91" s="138">
        <v>-1354.8747449923301</v>
      </c>
      <c r="CW91" s="138">
        <v>-1354.8747449923301</v>
      </c>
      <c r="CX91" s="138">
        <v>-1381.9722398921699</v>
      </c>
      <c r="CY91" s="138">
        <v>-1381.9722398921699</v>
      </c>
      <c r="CZ91" s="138">
        <v>-1381.9722398921699</v>
      </c>
      <c r="DA91" s="138">
        <v>-1381.9722398921699</v>
      </c>
      <c r="DB91" s="138">
        <v>-1381.9722398921699</v>
      </c>
      <c r="DC91" s="138">
        <v>-1381.9722398921699</v>
      </c>
      <c r="DD91" s="138">
        <v>-1381.9722398921699</v>
      </c>
      <c r="DE91" s="138">
        <v>-1381.9722398921699</v>
      </c>
      <c r="DF91" s="138">
        <v>-1381.9722398921699</v>
      </c>
    </row>
    <row r="92" spans="1:110" ht="15" customHeight="1" x14ac:dyDescent="0.25">
      <c r="A92" s="96" t="s">
        <v>118</v>
      </c>
      <c r="C92" s="138">
        <v>-588.66</v>
      </c>
      <c r="D92" s="138">
        <v>-22.94</v>
      </c>
      <c r="E92" s="138">
        <v>-487.3</v>
      </c>
      <c r="F92" s="138">
        <v>-366.3</v>
      </c>
      <c r="G92" s="138">
        <v>-366.3</v>
      </c>
      <c r="H92" s="138">
        <v>-366.3</v>
      </c>
      <c r="I92" s="138">
        <v>-366.3</v>
      </c>
      <c r="J92" s="138">
        <v>-366.3</v>
      </c>
      <c r="K92" s="138">
        <v>-366.3</v>
      </c>
      <c r="L92" s="138">
        <v>-366.3</v>
      </c>
      <c r="M92" s="138">
        <v>-366.3</v>
      </c>
      <c r="N92" s="138">
        <v>-366.3</v>
      </c>
      <c r="O92" s="138">
        <v>-366.3</v>
      </c>
      <c r="P92" s="138">
        <v>-366.3</v>
      </c>
      <c r="Q92" s="138">
        <v>-366.3</v>
      </c>
      <c r="R92" s="138">
        <v>-373.62599999999998</v>
      </c>
      <c r="S92" s="138">
        <v>-373.62599999999998</v>
      </c>
      <c r="T92" s="138">
        <v>-373.62599999999998</v>
      </c>
      <c r="U92" s="138">
        <v>-373.62599999999998</v>
      </c>
      <c r="V92" s="138">
        <v>-373.62599999999998</v>
      </c>
      <c r="W92" s="138">
        <v>-373.62599999999998</v>
      </c>
      <c r="X92" s="138">
        <v>-373.62599999999998</v>
      </c>
      <c r="Y92" s="138">
        <v>-373.62599999999998</v>
      </c>
      <c r="Z92" s="138">
        <v>-373.62599999999998</v>
      </c>
      <c r="AA92" s="138">
        <v>-373.62599999999998</v>
      </c>
      <c r="AB92" s="138">
        <v>-373.62599999999998</v>
      </c>
      <c r="AC92" s="138">
        <v>-373.62599999999998</v>
      </c>
      <c r="AD92" s="138">
        <v>-381.09852000000001</v>
      </c>
      <c r="AE92" s="138">
        <v>-381.09852000000001</v>
      </c>
      <c r="AF92" s="138">
        <v>-381.09852000000001</v>
      </c>
      <c r="AG92" s="138">
        <v>-381.09852000000001</v>
      </c>
      <c r="AH92" s="138">
        <v>-381.09852000000001</v>
      </c>
      <c r="AI92" s="138">
        <v>-381.09852000000001</v>
      </c>
      <c r="AJ92" s="138">
        <v>-381.09852000000001</v>
      </c>
      <c r="AK92" s="138">
        <v>-381.09852000000001</v>
      </c>
      <c r="AL92" s="138">
        <v>-381.09852000000001</v>
      </c>
      <c r="AM92" s="138">
        <v>-381.09852000000001</v>
      </c>
      <c r="AN92" s="138">
        <v>-381.09852000000001</v>
      </c>
      <c r="AO92" s="138">
        <v>-381.09852000000001</v>
      </c>
      <c r="AP92" s="138">
        <v>-388.72049040000002</v>
      </c>
      <c r="AQ92" s="138">
        <v>-388.72049040000002</v>
      </c>
      <c r="AR92" s="138">
        <v>-388.72049040000002</v>
      </c>
      <c r="AS92" s="138">
        <v>-388.72049040000002</v>
      </c>
      <c r="AT92" s="138">
        <v>-388.72049040000002</v>
      </c>
      <c r="AU92" s="138">
        <v>-388.72049040000002</v>
      </c>
      <c r="AV92" s="138">
        <v>-388.72049040000002</v>
      </c>
      <c r="AW92" s="138">
        <v>-388.72049040000002</v>
      </c>
      <c r="AX92" s="138">
        <v>-388.72049040000002</v>
      </c>
      <c r="AY92" s="138">
        <v>-388.72049040000002</v>
      </c>
      <c r="AZ92" s="138">
        <v>-388.72049040000002</v>
      </c>
      <c r="BA92" s="138">
        <v>-388.72049040000002</v>
      </c>
      <c r="BB92" s="138">
        <v>-396.49490020799999</v>
      </c>
      <c r="BC92" s="138">
        <v>-396.49490020799999</v>
      </c>
      <c r="BD92" s="138">
        <v>-396.49490020799999</v>
      </c>
      <c r="BE92" s="138">
        <v>-396.49490020799999</v>
      </c>
      <c r="BF92" s="138">
        <v>-396.49490020799999</v>
      </c>
      <c r="BG92" s="138">
        <v>-396.49490020799999</v>
      </c>
      <c r="BH92" s="138">
        <v>-396.49490020799999</v>
      </c>
      <c r="BI92" s="138">
        <v>-396.49490020799999</v>
      </c>
      <c r="BJ92" s="138">
        <v>-396.49490020799999</v>
      </c>
      <c r="BK92" s="138">
        <v>-396.49490020799999</v>
      </c>
      <c r="BL92" s="138">
        <v>-396.49490020799999</v>
      </c>
      <c r="BM92" s="138">
        <v>-396.49490020799999</v>
      </c>
      <c r="BN92" s="138">
        <v>-404.42479821216</v>
      </c>
      <c r="BO92" s="138">
        <v>-404.42479821216</v>
      </c>
      <c r="BP92" s="138">
        <v>-404.42479821216</v>
      </c>
      <c r="BQ92" s="138">
        <v>-404.42479821216</v>
      </c>
      <c r="BR92" s="138">
        <v>-404.42479821216</v>
      </c>
      <c r="BS92" s="138">
        <v>-404.42479821216</v>
      </c>
      <c r="BT92" s="138">
        <v>-404.42479821216</v>
      </c>
      <c r="BU92" s="138">
        <v>-404.42479821216</v>
      </c>
      <c r="BV92" s="138">
        <v>-404.42479821216</v>
      </c>
      <c r="BW92" s="138">
        <v>-404.42479821216</v>
      </c>
      <c r="BX92" s="138">
        <v>-404.42479821216</v>
      </c>
      <c r="BY92" s="138">
        <v>-404.42479821216</v>
      </c>
      <c r="BZ92" s="138">
        <v>-412.51329417640301</v>
      </c>
      <c r="CA92" s="138">
        <v>-412.51329417640301</v>
      </c>
      <c r="CB92" s="138">
        <v>-412.51329417640301</v>
      </c>
      <c r="CC92" s="138">
        <v>-412.51329417640301</v>
      </c>
      <c r="CD92" s="138">
        <v>-412.51329417640301</v>
      </c>
      <c r="CE92" s="138">
        <v>-412.51329417640301</v>
      </c>
      <c r="CF92" s="138">
        <v>-412.51329417640301</v>
      </c>
      <c r="CG92" s="138">
        <v>-412.51329417640301</v>
      </c>
      <c r="CH92" s="138">
        <v>-412.51329417640301</v>
      </c>
      <c r="CI92" s="138">
        <v>-412.51329417640301</v>
      </c>
      <c r="CJ92" s="138">
        <v>-412.51329417640301</v>
      </c>
      <c r="CK92" s="138">
        <v>-412.51329417640301</v>
      </c>
      <c r="CL92" s="138">
        <v>-420.76356005993102</v>
      </c>
      <c r="CM92" s="138">
        <v>-420.76356005993102</v>
      </c>
      <c r="CN92" s="138">
        <v>-420.76356005993102</v>
      </c>
      <c r="CO92" s="138">
        <v>-420.76356005993102</v>
      </c>
      <c r="CP92" s="138">
        <v>-420.76356005993102</v>
      </c>
      <c r="CQ92" s="138">
        <v>-420.76356005993102</v>
      </c>
      <c r="CR92" s="138">
        <v>-420.76356005993102</v>
      </c>
      <c r="CS92" s="138">
        <v>-420.76356005993102</v>
      </c>
      <c r="CT92" s="138">
        <v>-420.76356005993102</v>
      </c>
      <c r="CU92" s="138">
        <v>-420.76356005993102</v>
      </c>
      <c r="CV92" s="138">
        <v>-420.76356005993102</v>
      </c>
      <c r="CW92" s="138">
        <v>-420.76356005993102</v>
      </c>
      <c r="CX92" s="138">
        <v>-429.17883126112997</v>
      </c>
      <c r="CY92" s="138">
        <v>-429.17883126112997</v>
      </c>
      <c r="CZ92" s="138">
        <v>-429.17883126112997</v>
      </c>
      <c r="DA92" s="138">
        <v>-429.17883126112997</v>
      </c>
      <c r="DB92" s="138">
        <v>-429.17883126112997</v>
      </c>
      <c r="DC92" s="138">
        <v>-429.17883126112997</v>
      </c>
      <c r="DD92" s="138">
        <v>-429.17883126112997</v>
      </c>
      <c r="DE92" s="138">
        <v>-429.17883126112997</v>
      </c>
      <c r="DF92" s="138">
        <v>-429.17883126112997</v>
      </c>
    </row>
    <row r="93" spans="1:110" ht="15" customHeight="1" x14ac:dyDescent="0.25">
      <c r="A93" s="96" t="s">
        <v>119</v>
      </c>
      <c r="C93" s="138">
        <v>0</v>
      </c>
      <c r="D93" s="138">
        <v>-92.75</v>
      </c>
      <c r="E93" s="138">
        <v>-57.46</v>
      </c>
      <c r="F93" s="138">
        <v>-50.07</v>
      </c>
      <c r="G93" s="138">
        <v>-50.07</v>
      </c>
      <c r="H93" s="138">
        <v>-50.07</v>
      </c>
      <c r="I93" s="138">
        <v>-50.07</v>
      </c>
      <c r="J93" s="138">
        <v>-50.07</v>
      </c>
      <c r="K93" s="138">
        <v>-50.07</v>
      </c>
      <c r="L93" s="138">
        <v>-50.07</v>
      </c>
      <c r="M93" s="138">
        <v>-50.07</v>
      </c>
      <c r="N93" s="138">
        <v>-50.07</v>
      </c>
      <c r="O93" s="138">
        <v>-50.07</v>
      </c>
      <c r="P93" s="138">
        <v>-50.07</v>
      </c>
      <c r="Q93" s="138">
        <v>-50.07</v>
      </c>
      <c r="R93" s="138">
        <v>-51.071399999999997</v>
      </c>
      <c r="S93" s="138">
        <v>-51.071399999999997</v>
      </c>
      <c r="T93" s="138">
        <v>-51.071399999999997</v>
      </c>
      <c r="U93" s="138">
        <v>-51.071399999999997</v>
      </c>
      <c r="V93" s="138">
        <v>-51.071399999999997</v>
      </c>
      <c r="W93" s="138">
        <v>-51.071399999999997</v>
      </c>
      <c r="X93" s="138">
        <v>-51.071399999999997</v>
      </c>
      <c r="Y93" s="138">
        <v>-51.071399999999997</v>
      </c>
      <c r="Z93" s="138">
        <v>-51.071399999999997</v>
      </c>
      <c r="AA93" s="138">
        <v>-51.071399999999997</v>
      </c>
      <c r="AB93" s="138">
        <v>-51.071399999999997</v>
      </c>
      <c r="AC93" s="138">
        <v>-51.071399999999997</v>
      </c>
      <c r="AD93" s="138">
        <v>-52.092827999999997</v>
      </c>
      <c r="AE93" s="138">
        <v>-52.092827999999997</v>
      </c>
      <c r="AF93" s="138">
        <v>-52.092827999999997</v>
      </c>
      <c r="AG93" s="138">
        <v>-52.092827999999997</v>
      </c>
      <c r="AH93" s="138">
        <v>-52.092827999999997</v>
      </c>
      <c r="AI93" s="138">
        <v>-52.092827999999997</v>
      </c>
      <c r="AJ93" s="138">
        <v>-52.092827999999997</v>
      </c>
      <c r="AK93" s="138">
        <v>-52.092827999999997</v>
      </c>
      <c r="AL93" s="138">
        <v>-52.092827999999997</v>
      </c>
      <c r="AM93" s="138">
        <v>-52.092827999999997</v>
      </c>
      <c r="AN93" s="138">
        <v>-52.092827999999997</v>
      </c>
      <c r="AO93" s="138">
        <v>-52.092827999999997</v>
      </c>
      <c r="AP93" s="138">
        <v>-53.134684559999997</v>
      </c>
      <c r="AQ93" s="138">
        <v>-53.134684559999997</v>
      </c>
      <c r="AR93" s="138">
        <v>-53.134684559999997</v>
      </c>
      <c r="AS93" s="138">
        <v>-53.134684559999997</v>
      </c>
      <c r="AT93" s="138">
        <v>-53.134684559999997</v>
      </c>
      <c r="AU93" s="138">
        <v>-53.134684559999997</v>
      </c>
      <c r="AV93" s="138">
        <v>-53.134684559999997</v>
      </c>
      <c r="AW93" s="138">
        <v>-53.134684559999997</v>
      </c>
      <c r="AX93" s="138">
        <v>-53.134684559999997</v>
      </c>
      <c r="AY93" s="138">
        <v>-53.134684559999997</v>
      </c>
      <c r="AZ93" s="138">
        <v>-53.134684559999997</v>
      </c>
      <c r="BA93" s="138">
        <v>-53.134684559999997</v>
      </c>
      <c r="BB93" s="138">
        <v>-54.1973782512</v>
      </c>
      <c r="BC93" s="138">
        <v>-54.1973782512</v>
      </c>
      <c r="BD93" s="138">
        <v>-54.1973782512</v>
      </c>
      <c r="BE93" s="138">
        <v>-54.1973782512</v>
      </c>
      <c r="BF93" s="138">
        <v>-54.1973782512</v>
      </c>
      <c r="BG93" s="138">
        <v>-54.1973782512</v>
      </c>
      <c r="BH93" s="138">
        <v>-54.1973782512</v>
      </c>
      <c r="BI93" s="138">
        <v>-54.1973782512</v>
      </c>
      <c r="BJ93" s="138">
        <v>-54.1973782512</v>
      </c>
      <c r="BK93" s="138">
        <v>-54.1973782512</v>
      </c>
      <c r="BL93" s="138">
        <v>-54.1973782512</v>
      </c>
      <c r="BM93" s="138">
        <v>-54.1973782512</v>
      </c>
      <c r="BN93" s="138">
        <v>-55.281325816223998</v>
      </c>
      <c r="BO93" s="138">
        <v>-55.281325816223998</v>
      </c>
      <c r="BP93" s="138">
        <v>-55.281325816223998</v>
      </c>
      <c r="BQ93" s="138">
        <v>-55.281325816223998</v>
      </c>
      <c r="BR93" s="138">
        <v>-55.281325816223998</v>
      </c>
      <c r="BS93" s="138">
        <v>-55.281325816223998</v>
      </c>
      <c r="BT93" s="138">
        <v>-55.281325816223998</v>
      </c>
      <c r="BU93" s="138">
        <v>-55.281325816223998</v>
      </c>
      <c r="BV93" s="138">
        <v>-55.281325816223998</v>
      </c>
      <c r="BW93" s="138">
        <v>-55.281325816223998</v>
      </c>
      <c r="BX93" s="138">
        <v>-55.281325816223998</v>
      </c>
      <c r="BY93" s="138">
        <v>-55.281325816223998</v>
      </c>
      <c r="BZ93" s="138">
        <v>-56.386952332548503</v>
      </c>
      <c r="CA93" s="138">
        <v>-56.386952332548503</v>
      </c>
      <c r="CB93" s="138">
        <v>-56.386952332548503</v>
      </c>
      <c r="CC93" s="138">
        <v>-56.386952332548503</v>
      </c>
      <c r="CD93" s="138">
        <v>-56.386952332548503</v>
      </c>
      <c r="CE93" s="138">
        <v>-56.386952332548503</v>
      </c>
      <c r="CF93" s="138">
        <v>-56.386952332548503</v>
      </c>
      <c r="CG93" s="138">
        <v>-56.386952332548503</v>
      </c>
      <c r="CH93" s="138">
        <v>-56.386952332548503</v>
      </c>
      <c r="CI93" s="138">
        <v>-56.386952332548503</v>
      </c>
      <c r="CJ93" s="138">
        <v>-56.386952332548503</v>
      </c>
      <c r="CK93" s="138">
        <v>-56.386952332548503</v>
      </c>
      <c r="CL93" s="138">
        <v>-57.514691379199498</v>
      </c>
      <c r="CM93" s="138">
        <v>-57.514691379199498</v>
      </c>
      <c r="CN93" s="138">
        <v>-57.514691379199498</v>
      </c>
      <c r="CO93" s="138">
        <v>-57.514691379199498</v>
      </c>
      <c r="CP93" s="138">
        <v>-57.514691379199498</v>
      </c>
      <c r="CQ93" s="138">
        <v>-57.514691379199498</v>
      </c>
      <c r="CR93" s="138">
        <v>-57.514691379199498</v>
      </c>
      <c r="CS93" s="138">
        <v>-57.514691379199498</v>
      </c>
      <c r="CT93" s="138">
        <v>-57.514691379199498</v>
      </c>
      <c r="CU93" s="138">
        <v>-57.514691379199498</v>
      </c>
      <c r="CV93" s="138">
        <v>-57.514691379199498</v>
      </c>
      <c r="CW93" s="138">
        <v>-57.514691379199498</v>
      </c>
      <c r="CX93" s="138">
        <v>-58.664985206783498</v>
      </c>
      <c r="CY93" s="138">
        <v>-58.664985206783498</v>
      </c>
      <c r="CZ93" s="138">
        <v>-58.664985206783498</v>
      </c>
      <c r="DA93" s="138">
        <v>-58.664985206783498</v>
      </c>
      <c r="DB93" s="138">
        <v>-58.664985206783498</v>
      </c>
      <c r="DC93" s="138">
        <v>-58.664985206783498</v>
      </c>
      <c r="DD93" s="138">
        <v>-58.664985206783498</v>
      </c>
      <c r="DE93" s="138">
        <v>-58.664985206783498</v>
      </c>
      <c r="DF93" s="138">
        <v>-58.664985206783498</v>
      </c>
    </row>
    <row r="94" spans="1:110" ht="15" customHeight="1" x14ac:dyDescent="0.25">
      <c r="A94" s="96" t="s">
        <v>77</v>
      </c>
      <c r="C94" s="138">
        <v>-640.88</v>
      </c>
      <c r="D94" s="138">
        <v>-872.64</v>
      </c>
      <c r="E94" s="138">
        <v>-1175.78</v>
      </c>
      <c r="F94" s="138">
        <v>-896.43</v>
      </c>
      <c r="G94" s="138">
        <v>-896.43</v>
      </c>
      <c r="H94" s="138">
        <v>-896.43</v>
      </c>
      <c r="I94" s="138">
        <v>-896.43</v>
      </c>
      <c r="J94" s="138">
        <v>-896.43</v>
      </c>
      <c r="K94" s="138">
        <v>-896.43</v>
      </c>
      <c r="L94" s="138">
        <v>-896.43</v>
      </c>
      <c r="M94" s="138">
        <v>-896.43</v>
      </c>
      <c r="N94" s="138">
        <v>-896.43</v>
      </c>
      <c r="O94" s="138">
        <v>-896.43</v>
      </c>
      <c r="P94" s="138">
        <v>-896.43</v>
      </c>
      <c r="Q94" s="138">
        <v>-896.43</v>
      </c>
      <c r="R94" s="138">
        <v>-914.35860000000002</v>
      </c>
      <c r="S94" s="138">
        <v>-914.35860000000002</v>
      </c>
      <c r="T94" s="138">
        <v>-914.35860000000002</v>
      </c>
      <c r="U94" s="138">
        <v>-914.35860000000002</v>
      </c>
      <c r="V94" s="138">
        <v>-914.35860000000002</v>
      </c>
      <c r="W94" s="138">
        <v>-914.35860000000002</v>
      </c>
      <c r="X94" s="138">
        <v>-914.35860000000002</v>
      </c>
      <c r="Y94" s="138">
        <v>-914.35860000000002</v>
      </c>
      <c r="Z94" s="138">
        <v>-914.35860000000002</v>
      </c>
      <c r="AA94" s="138">
        <v>-914.35860000000002</v>
      </c>
      <c r="AB94" s="138">
        <v>-914.35860000000002</v>
      </c>
      <c r="AC94" s="138">
        <v>-914.35860000000002</v>
      </c>
      <c r="AD94" s="138">
        <v>-932.64577199999997</v>
      </c>
      <c r="AE94" s="138">
        <v>-932.64577199999997</v>
      </c>
      <c r="AF94" s="138">
        <v>-932.64577199999997</v>
      </c>
      <c r="AG94" s="138">
        <v>-932.64577199999997</v>
      </c>
      <c r="AH94" s="138">
        <v>-932.64577199999997</v>
      </c>
      <c r="AI94" s="138">
        <v>-932.64577199999997</v>
      </c>
      <c r="AJ94" s="138">
        <v>-932.64577199999997</v>
      </c>
      <c r="AK94" s="138">
        <v>-932.64577199999997</v>
      </c>
      <c r="AL94" s="138">
        <v>-932.64577199999997</v>
      </c>
      <c r="AM94" s="138">
        <v>-932.64577199999997</v>
      </c>
      <c r="AN94" s="138">
        <v>-932.64577199999997</v>
      </c>
      <c r="AO94" s="138">
        <v>-932.64577199999997</v>
      </c>
      <c r="AP94" s="138">
        <v>-951.29868743999998</v>
      </c>
      <c r="AQ94" s="138">
        <v>-951.29868743999998</v>
      </c>
      <c r="AR94" s="138">
        <v>-951.29868743999998</v>
      </c>
      <c r="AS94" s="138">
        <v>-951.29868743999998</v>
      </c>
      <c r="AT94" s="138">
        <v>-951.29868743999998</v>
      </c>
      <c r="AU94" s="138">
        <v>-951.29868743999998</v>
      </c>
      <c r="AV94" s="138">
        <v>-951.29868743999998</v>
      </c>
      <c r="AW94" s="138">
        <v>-951.29868743999998</v>
      </c>
      <c r="AX94" s="138">
        <v>-951.29868743999998</v>
      </c>
      <c r="AY94" s="138">
        <v>-951.29868743999998</v>
      </c>
      <c r="AZ94" s="138">
        <v>-951.29868743999998</v>
      </c>
      <c r="BA94" s="138">
        <v>-951.29868743999998</v>
      </c>
      <c r="BB94" s="138">
        <v>-970.32466118879995</v>
      </c>
      <c r="BC94" s="138">
        <v>-970.32466118879995</v>
      </c>
      <c r="BD94" s="138">
        <v>-970.32466118879995</v>
      </c>
      <c r="BE94" s="138">
        <v>-970.32466118879995</v>
      </c>
      <c r="BF94" s="138">
        <v>-970.32466118879995</v>
      </c>
      <c r="BG94" s="138">
        <v>-970.32466118879995</v>
      </c>
      <c r="BH94" s="138">
        <v>-970.32466118879995</v>
      </c>
      <c r="BI94" s="138">
        <v>-970.32466118879995</v>
      </c>
      <c r="BJ94" s="138">
        <v>-970.32466118879995</v>
      </c>
      <c r="BK94" s="138">
        <v>-970.32466118879995</v>
      </c>
      <c r="BL94" s="138">
        <v>-970.32466118879995</v>
      </c>
      <c r="BM94" s="138">
        <v>-970.32466118879995</v>
      </c>
      <c r="BN94" s="138">
        <v>-989.73115441257596</v>
      </c>
      <c r="BO94" s="138">
        <v>-989.73115441257596</v>
      </c>
      <c r="BP94" s="138">
        <v>-989.73115441257596</v>
      </c>
      <c r="BQ94" s="138">
        <v>-989.73115441257596</v>
      </c>
      <c r="BR94" s="138">
        <v>-989.73115441257596</v>
      </c>
      <c r="BS94" s="138">
        <v>-989.73115441257596</v>
      </c>
      <c r="BT94" s="138">
        <v>-989.73115441257596</v>
      </c>
      <c r="BU94" s="138">
        <v>-989.73115441257596</v>
      </c>
      <c r="BV94" s="138">
        <v>-989.73115441257596</v>
      </c>
      <c r="BW94" s="138">
        <v>-989.73115441257596</v>
      </c>
      <c r="BX94" s="138">
        <v>-989.73115441257596</v>
      </c>
      <c r="BY94" s="138">
        <v>-989.73115441257596</v>
      </c>
      <c r="BZ94" s="138">
        <v>-1009.52577750083</v>
      </c>
      <c r="CA94" s="138">
        <v>-1009.52577750083</v>
      </c>
      <c r="CB94" s="138">
        <v>-1009.52577750083</v>
      </c>
      <c r="CC94" s="138">
        <v>-1009.52577750083</v>
      </c>
      <c r="CD94" s="138">
        <v>-1009.52577750083</v>
      </c>
      <c r="CE94" s="138">
        <v>-1009.52577750083</v>
      </c>
      <c r="CF94" s="138">
        <v>-1009.52577750083</v>
      </c>
      <c r="CG94" s="138">
        <v>-1009.52577750083</v>
      </c>
      <c r="CH94" s="138">
        <v>-1009.52577750083</v>
      </c>
      <c r="CI94" s="138">
        <v>-1009.52577750083</v>
      </c>
      <c r="CJ94" s="138">
        <v>-1009.52577750083</v>
      </c>
      <c r="CK94" s="138">
        <v>-1009.52577750083</v>
      </c>
      <c r="CL94" s="138">
        <v>-1029.71629305084</v>
      </c>
      <c r="CM94" s="138">
        <v>-1029.71629305084</v>
      </c>
      <c r="CN94" s="138">
        <v>-1029.71629305084</v>
      </c>
      <c r="CO94" s="138">
        <v>-1029.71629305084</v>
      </c>
      <c r="CP94" s="138">
        <v>-1029.71629305084</v>
      </c>
      <c r="CQ94" s="138">
        <v>-1029.71629305084</v>
      </c>
      <c r="CR94" s="138">
        <v>-1029.71629305084</v>
      </c>
      <c r="CS94" s="138">
        <v>-1029.71629305084</v>
      </c>
      <c r="CT94" s="138">
        <v>-1029.71629305084</v>
      </c>
      <c r="CU94" s="138">
        <v>-1029.71629305084</v>
      </c>
      <c r="CV94" s="138">
        <v>-1029.71629305084</v>
      </c>
      <c r="CW94" s="138">
        <v>-1029.71629305084</v>
      </c>
      <c r="CX94" s="138">
        <v>-1050.31061891186</v>
      </c>
      <c r="CY94" s="138">
        <v>-1050.31061891186</v>
      </c>
      <c r="CZ94" s="138">
        <v>-1050.31061891186</v>
      </c>
      <c r="DA94" s="138">
        <v>-1050.31061891186</v>
      </c>
      <c r="DB94" s="138">
        <v>-1050.31061891186</v>
      </c>
      <c r="DC94" s="138">
        <v>-1050.31061891186</v>
      </c>
      <c r="DD94" s="138">
        <v>-1050.31061891186</v>
      </c>
      <c r="DE94" s="138">
        <v>-1050.31061891186</v>
      </c>
      <c r="DF94" s="138">
        <v>-1050.31061891186</v>
      </c>
    </row>
    <row r="95" spans="1:110" ht="15" customHeight="1" x14ac:dyDescent="0.25">
      <c r="A95" s="96" t="s">
        <v>78</v>
      </c>
      <c r="C95" s="138">
        <v>0</v>
      </c>
      <c r="D95" s="138">
        <v>0</v>
      </c>
      <c r="E95" s="138">
        <v>-38050.5</v>
      </c>
      <c r="F95" s="138">
        <v>-2000</v>
      </c>
      <c r="G95" s="138">
        <v>-2000</v>
      </c>
      <c r="H95" s="138">
        <v>-2000</v>
      </c>
      <c r="I95" s="138">
        <v>-2000</v>
      </c>
      <c r="J95" s="138">
        <v>-2000</v>
      </c>
      <c r="K95" s="138">
        <v>-2000</v>
      </c>
      <c r="L95" s="138">
        <v>-2000</v>
      </c>
      <c r="M95" s="138">
        <v>-2000</v>
      </c>
      <c r="N95" s="138">
        <v>-2000</v>
      </c>
      <c r="O95" s="138">
        <v>-2000</v>
      </c>
      <c r="P95" s="138">
        <v>-2000</v>
      </c>
      <c r="Q95" s="138">
        <v>-2000</v>
      </c>
      <c r="R95" s="138">
        <v>-2040</v>
      </c>
      <c r="S95" s="138">
        <v>-2040</v>
      </c>
      <c r="T95" s="138">
        <v>-2040</v>
      </c>
      <c r="U95" s="138">
        <v>-2040</v>
      </c>
      <c r="V95" s="138">
        <v>-2040</v>
      </c>
      <c r="W95" s="138">
        <v>-2040</v>
      </c>
      <c r="X95" s="138">
        <v>-2040</v>
      </c>
      <c r="Y95" s="138">
        <v>-2040</v>
      </c>
      <c r="Z95" s="138">
        <v>-2040</v>
      </c>
      <c r="AA95" s="138">
        <v>-2040</v>
      </c>
      <c r="AB95" s="138">
        <v>-2040</v>
      </c>
      <c r="AC95" s="138">
        <v>-2040</v>
      </c>
      <c r="AD95" s="138">
        <v>-2080.8000000000002</v>
      </c>
      <c r="AE95" s="138">
        <v>-2080.8000000000002</v>
      </c>
      <c r="AF95" s="138">
        <v>-2080.8000000000002</v>
      </c>
      <c r="AG95" s="138">
        <v>-2080.8000000000002</v>
      </c>
      <c r="AH95" s="138">
        <v>-2080.8000000000002</v>
      </c>
      <c r="AI95" s="138">
        <v>-2080.8000000000002</v>
      </c>
      <c r="AJ95" s="138">
        <v>-2080.8000000000002</v>
      </c>
      <c r="AK95" s="138">
        <v>-2080.8000000000002</v>
      </c>
      <c r="AL95" s="138">
        <v>-2080.8000000000002</v>
      </c>
      <c r="AM95" s="138">
        <v>-2080.8000000000002</v>
      </c>
      <c r="AN95" s="138">
        <v>-2080.8000000000002</v>
      </c>
      <c r="AO95" s="138">
        <v>-2080.8000000000002</v>
      </c>
      <c r="AP95" s="138">
        <v>-2122.4160000000002</v>
      </c>
      <c r="AQ95" s="138">
        <v>-2122.4160000000002</v>
      </c>
      <c r="AR95" s="138">
        <v>-2122.4160000000002</v>
      </c>
      <c r="AS95" s="138">
        <v>-2122.4160000000002</v>
      </c>
      <c r="AT95" s="138">
        <v>-2122.4160000000002</v>
      </c>
      <c r="AU95" s="138">
        <v>-2122.4160000000002</v>
      </c>
      <c r="AV95" s="138">
        <v>-2122.4160000000002</v>
      </c>
      <c r="AW95" s="138">
        <v>-2122.4160000000002</v>
      </c>
      <c r="AX95" s="138">
        <v>-2122.4160000000002</v>
      </c>
      <c r="AY95" s="138">
        <v>-2122.4160000000002</v>
      </c>
      <c r="AZ95" s="138">
        <v>-2122.4160000000002</v>
      </c>
      <c r="BA95" s="138">
        <v>-2122.4160000000002</v>
      </c>
      <c r="BB95" s="138">
        <v>-2164.8643200000001</v>
      </c>
      <c r="BC95" s="138">
        <v>-2164.8643200000001</v>
      </c>
      <c r="BD95" s="138">
        <v>-2164.8643200000001</v>
      </c>
      <c r="BE95" s="138">
        <v>-2164.8643200000001</v>
      </c>
      <c r="BF95" s="138">
        <v>-2164.8643200000001</v>
      </c>
      <c r="BG95" s="138">
        <v>-2164.8643200000001</v>
      </c>
      <c r="BH95" s="138">
        <v>-2164.8643200000001</v>
      </c>
      <c r="BI95" s="138">
        <v>-2164.8643200000001</v>
      </c>
      <c r="BJ95" s="138">
        <v>-2164.8643200000001</v>
      </c>
      <c r="BK95" s="138">
        <v>-2164.8643200000001</v>
      </c>
      <c r="BL95" s="138">
        <v>-2164.8643200000001</v>
      </c>
      <c r="BM95" s="138">
        <v>-2164.8643200000001</v>
      </c>
      <c r="BN95" s="138">
        <v>-2208.1616064</v>
      </c>
      <c r="BO95" s="138">
        <v>-2208.1616064</v>
      </c>
      <c r="BP95" s="138">
        <v>-2208.1616064</v>
      </c>
      <c r="BQ95" s="138">
        <v>-2208.1616064</v>
      </c>
      <c r="BR95" s="138">
        <v>-2208.1616064</v>
      </c>
      <c r="BS95" s="138">
        <v>-2208.1616064</v>
      </c>
      <c r="BT95" s="138">
        <v>-2208.1616064</v>
      </c>
      <c r="BU95" s="138">
        <v>-2208.1616064</v>
      </c>
      <c r="BV95" s="138">
        <v>-2208.1616064</v>
      </c>
      <c r="BW95" s="138">
        <v>-2208.1616064</v>
      </c>
      <c r="BX95" s="138">
        <v>-2208.1616064</v>
      </c>
      <c r="BY95" s="138">
        <v>-2208.1616064</v>
      </c>
      <c r="BZ95" s="138">
        <v>-2252.3248385279999</v>
      </c>
      <c r="CA95" s="138">
        <v>-2252.3248385279999</v>
      </c>
      <c r="CB95" s="138">
        <v>-2252.3248385279999</v>
      </c>
      <c r="CC95" s="138">
        <v>-2252.3248385279999</v>
      </c>
      <c r="CD95" s="138">
        <v>-2252.3248385279999</v>
      </c>
      <c r="CE95" s="138">
        <v>-2252.3248385279999</v>
      </c>
      <c r="CF95" s="138">
        <v>-2252.3248385279999</v>
      </c>
      <c r="CG95" s="138">
        <v>-2252.3248385279999</v>
      </c>
      <c r="CH95" s="138">
        <v>-2252.3248385279999</v>
      </c>
      <c r="CI95" s="138">
        <v>-2252.3248385279999</v>
      </c>
      <c r="CJ95" s="138">
        <v>-2252.3248385279999</v>
      </c>
      <c r="CK95" s="138">
        <v>-2252.3248385279999</v>
      </c>
      <c r="CL95" s="138">
        <v>-2297.3713352985601</v>
      </c>
      <c r="CM95" s="138">
        <v>-2297.3713352985601</v>
      </c>
      <c r="CN95" s="138">
        <v>-2297.3713352985601</v>
      </c>
      <c r="CO95" s="138">
        <v>-2297.3713352985601</v>
      </c>
      <c r="CP95" s="138">
        <v>-2297.3713352985601</v>
      </c>
      <c r="CQ95" s="138">
        <v>-2297.3713352985601</v>
      </c>
      <c r="CR95" s="138">
        <v>-2297.3713352985601</v>
      </c>
      <c r="CS95" s="138">
        <v>-2297.3713352985601</v>
      </c>
      <c r="CT95" s="138">
        <v>-2297.3713352985601</v>
      </c>
      <c r="CU95" s="138">
        <v>-2297.3713352985601</v>
      </c>
      <c r="CV95" s="138">
        <v>-2297.3713352985601</v>
      </c>
      <c r="CW95" s="138">
        <v>-2297.3713352985601</v>
      </c>
      <c r="CX95" s="138">
        <v>-2343.3187620045301</v>
      </c>
      <c r="CY95" s="138">
        <v>-2343.3187620045301</v>
      </c>
      <c r="CZ95" s="138">
        <v>-2343.3187620045301</v>
      </c>
      <c r="DA95" s="138">
        <v>-2343.3187620045301</v>
      </c>
      <c r="DB95" s="138">
        <v>-2343.3187620045301</v>
      </c>
      <c r="DC95" s="138">
        <v>-2343.3187620045301</v>
      </c>
      <c r="DD95" s="138">
        <v>-2343.3187620045301</v>
      </c>
      <c r="DE95" s="138">
        <v>-2343.3187620045301</v>
      </c>
      <c r="DF95" s="138">
        <v>-2343.3187620045301</v>
      </c>
    </row>
    <row r="96" spans="1:110" ht="15" customHeight="1" x14ac:dyDescent="0.25">
      <c r="A96" s="136" t="s">
        <v>79</v>
      </c>
      <c r="C96" s="335">
        <v>-4097.78</v>
      </c>
      <c r="D96" s="335">
        <v>-1950.2</v>
      </c>
      <c r="E96" s="335">
        <v>-1978.2</v>
      </c>
      <c r="F96" s="137">
        <v>-2675.39</v>
      </c>
      <c r="G96" s="137">
        <v>-2675.39</v>
      </c>
      <c r="H96" s="137">
        <v>-2675.39</v>
      </c>
      <c r="I96" s="137">
        <v>-2675.39</v>
      </c>
      <c r="J96" s="137">
        <v>-2675.39</v>
      </c>
      <c r="K96" s="137">
        <v>-2675.39</v>
      </c>
      <c r="L96" s="137">
        <v>-2675.39</v>
      </c>
      <c r="M96" s="137">
        <v>-2675.39</v>
      </c>
      <c r="N96" s="137">
        <v>-2675.39</v>
      </c>
      <c r="O96" s="137">
        <v>-2675.39</v>
      </c>
      <c r="P96" s="137">
        <v>-2675.39</v>
      </c>
      <c r="Q96" s="137">
        <v>-2675.39</v>
      </c>
      <c r="R96" s="137">
        <v>-2728.8978000000002</v>
      </c>
      <c r="S96" s="137">
        <v>-2728.8978000000002</v>
      </c>
      <c r="T96" s="137">
        <v>-2728.8978000000002</v>
      </c>
      <c r="U96" s="137">
        <v>-2728.8978000000002</v>
      </c>
      <c r="V96" s="137">
        <v>-2728.8978000000002</v>
      </c>
      <c r="W96" s="137">
        <v>-2728.8978000000002</v>
      </c>
      <c r="X96" s="137">
        <v>-2728.8978000000002</v>
      </c>
      <c r="Y96" s="137">
        <v>-2728.8978000000002</v>
      </c>
      <c r="Z96" s="137">
        <v>-2728.8978000000002</v>
      </c>
      <c r="AA96" s="137">
        <v>-2728.8978000000002</v>
      </c>
      <c r="AB96" s="137">
        <v>-2728.8978000000002</v>
      </c>
      <c r="AC96" s="137">
        <v>-2728.8978000000002</v>
      </c>
      <c r="AD96" s="137">
        <v>-2783.4757559999998</v>
      </c>
      <c r="AE96" s="137">
        <v>-2783.4757559999998</v>
      </c>
      <c r="AF96" s="137">
        <v>-2783.4757559999998</v>
      </c>
      <c r="AG96" s="137">
        <v>-2783.4757559999998</v>
      </c>
      <c r="AH96" s="137">
        <v>-2783.4757559999998</v>
      </c>
      <c r="AI96" s="137">
        <v>-2783.4757559999998</v>
      </c>
      <c r="AJ96" s="137">
        <v>-2783.4757559999998</v>
      </c>
      <c r="AK96" s="137">
        <v>-2783.4757559999998</v>
      </c>
      <c r="AL96" s="137">
        <v>-2783.4757559999998</v>
      </c>
      <c r="AM96" s="137">
        <v>-2783.4757559999998</v>
      </c>
      <c r="AN96" s="137">
        <v>-2783.4757559999998</v>
      </c>
      <c r="AO96" s="137">
        <v>-2783.4757559999998</v>
      </c>
      <c r="AP96" s="137">
        <v>-2839.14527112</v>
      </c>
      <c r="AQ96" s="137">
        <v>-2839.14527112</v>
      </c>
      <c r="AR96" s="137">
        <v>-2839.14527112</v>
      </c>
      <c r="AS96" s="137">
        <v>-2839.14527112</v>
      </c>
      <c r="AT96" s="137">
        <v>-2839.14527112</v>
      </c>
      <c r="AU96" s="137">
        <v>-2839.14527112</v>
      </c>
      <c r="AV96" s="137">
        <v>-2839.14527112</v>
      </c>
      <c r="AW96" s="137">
        <v>-2839.14527112</v>
      </c>
      <c r="AX96" s="137">
        <v>-2839.14527112</v>
      </c>
      <c r="AY96" s="137">
        <v>-2839.14527112</v>
      </c>
      <c r="AZ96" s="137">
        <v>-2839.14527112</v>
      </c>
      <c r="BA96" s="137">
        <v>-2839.14527112</v>
      </c>
      <c r="BB96" s="137">
        <v>-2895.9281765423998</v>
      </c>
      <c r="BC96" s="137">
        <v>-2895.9281765423998</v>
      </c>
      <c r="BD96" s="137">
        <v>-2895.9281765423998</v>
      </c>
      <c r="BE96" s="137">
        <v>-2895.9281765423998</v>
      </c>
      <c r="BF96" s="137">
        <v>-2895.9281765423998</v>
      </c>
      <c r="BG96" s="137">
        <v>-2895.9281765423998</v>
      </c>
      <c r="BH96" s="137">
        <v>-2895.9281765423998</v>
      </c>
      <c r="BI96" s="137">
        <v>-2895.9281765423998</v>
      </c>
      <c r="BJ96" s="137">
        <v>-2895.9281765423998</v>
      </c>
      <c r="BK96" s="137">
        <v>-2895.9281765423998</v>
      </c>
      <c r="BL96" s="137">
        <v>-2895.9281765423998</v>
      </c>
      <c r="BM96" s="137">
        <v>-2895.9281765423998</v>
      </c>
      <c r="BN96" s="137">
        <v>-2953.8467400732502</v>
      </c>
      <c r="BO96" s="137">
        <v>-2953.8467400732502</v>
      </c>
      <c r="BP96" s="137">
        <v>-2953.8467400732502</v>
      </c>
      <c r="BQ96" s="137">
        <v>-2953.8467400732502</v>
      </c>
      <c r="BR96" s="137">
        <v>-2953.8467400732502</v>
      </c>
      <c r="BS96" s="137">
        <v>-2953.8467400732502</v>
      </c>
      <c r="BT96" s="137">
        <v>-2953.8467400732502</v>
      </c>
      <c r="BU96" s="137">
        <v>-2953.8467400732502</v>
      </c>
      <c r="BV96" s="137">
        <v>-2953.8467400732502</v>
      </c>
      <c r="BW96" s="137">
        <v>-2953.8467400732502</v>
      </c>
      <c r="BX96" s="137">
        <v>-2953.8467400732502</v>
      </c>
      <c r="BY96" s="137">
        <v>-2953.8467400732502</v>
      </c>
      <c r="BZ96" s="137">
        <v>-3012.9236748747098</v>
      </c>
      <c r="CA96" s="137">
        <v>-3012.9236748747098</v>
      </c>
      <c r="CB96" s="137">
        <v>-3012.9236748747098</v>
      </c>
      <c r="CC96" s="137">
        <v>-3012.9236748747098</v>
      </c>
      <c r="CD96" s="137">
        <v>-3012.9236748747098</v>
      </c>
      <c r="CE96" s="137">
        <v>-3012.9236748747098</v>
      </c>
      <c r="CF96" s="137">
        <v>-3012.9236748747098</v>
      </c>
      <c r="CG96" s="137">
        <v>-3012.9236748747098</v>
      </c>
      <c r="CH96" s="137">
        <v>-3012.9236748747098</v>
      </c>
      <c r="CI96" s="137">
        <v>-3012.9236748747098</v>
      </c>
      <c r="CJ96" s="137">
        <v>-3012.9236748747098</v>
      </c>
      <c r="CK96" s="137">
        <v>-3012.9236748747098</v>
      </c>
      <c r="CL96" s="137">
        <v>-3073.1821483722101</v>
      </c>
      <c r="CM96" s="137">
        <v>-3073.1821483722101</v>
      </c>
      <c r="CN96" s="137">
        <v>-3073.1821483722101</v>
      </c>
      <c r="CO96" s="137">
        <v>-3073.1821483722101</v>
      </c>
      <c r="CP96" s="137">
        <v>-3073.1821483722101</v>
      </c>
      <c r="CQ96" s="137">
        <v>-3073.1821483722101</v>
      </c>
      <c r="CR96" s="137">
        <v>-3073.1821483722101</v>
      </c>
      <c r="CS96" s="137">
        <v>-3073.1821483722101</v>
      </c>
      <c r="CT96" s="137">
        <v>-3073.1821483722101</v>
      </c>
      <c r="CU96" s="137">
        <v>-3073.1821483722101</v>
      </c>
      <c r="CV96" s="137">
        <v>-3073.1821483722101</v>
      </c>
      <c r="CW96" s="137">
        <v>-3073.1821483722101</v>
      </c>
      <c r="CX96" s="137">
        <v>-3134.6457913396498</v>
      </c>
      <c r="CY96" s="137">
        <v>-3134.6457913396498</v>
      </c>
      <c r="CZ96" s="137">
        <v>-3134.6457913396498</v>
      </c>
      <c r="DA96" s="137">
        <v>-3134.6457913396498</v>
      </c>
      <c r="DB96" s="137">
        <v>-3134.6457913396498</v>
      </c>
      <c r="DC96" s="137">
        <v>-3134.6457913396498</v>
      </c>
      <c r="DD96" s="137">
        <v>-3134.6457913396498</v>
      </c>
      <c r="DE96" s="137">
        <v>-3134.6457913396498</v>
      </c>
      <c r="DF96" s="137">
        <v>-3134.6457913396498</v>
      </c>
    </row>
    <row r="97" spans="1:110" ht="15" customHeight="1" x14ac:dyDescent="0.25">
      <c r="A97" s="136" t="s">
        <v>80</v>
      </c>
      <c r="C97" s="335">
        <v>-28038</v>
      </c>
      <c r="D97" s="335">
        <v>-29387.5</v>
      </c>
      <c r="E97" s="335">
        <v>-28083</v>
      </c>
      <c r="F97" s="137">
        <v>-8625</v>
      </c>
      <c r="G97" s="137">
        <v>-8625</v>
      </c>
      <c r="H97" s="137">
        <v>-8625</v>
      </c>
      <c r="I97" s="137">
        <v>-8625</v>
      </c>
      <c r="J97" s="137">
        <v>-8625</v>
      </c>
      <c r="K97" s="137">
        <v>-8625</v>
      </c>
      <c r="L97" s="137">
        <v>-8625</v>
      </c>
      <c r="M97" s="137">
        <v>-8625</v>
      </c>
      <c r="N97" s="137">
        <v>-8625</v>
      </c>
      <c r="O97" s="137">
        <v>-8625</v>
      </c>
      <c r="P97" s="137">
        <v>-8625</v>
      </c>
      <c r="Q97" s="137">
        <v>-8625</v>
      </c>
      <c r="R97" s="137">
        <v>-8797.5</v>
      </c>
      <c r="S97" s="137">
        <v>-8797.5</v>
      </c>
      <c r="T97" s="137">
        <v>-8797.5</v>
      </c>
      <c r="U97" s="137">
        <v>-8797.5</v>
      </c>
      <c r="V97" s="137">
        <v>-8797.5</v>
      </c>
      <c r="W97" s="137">
        <v>-8797.5</v>
      </c>
      <c r="X97" s="137">
        <v>-8797.5</v>
      </c>
      <c r="Y97" s="137">
        <v>-8797.5</v>
      </c>
      <c r="Z97" s="137">
        <v>-8797.5</v>
      </c>
      <c r="AA97" s="137">
        <v>-8797.5</v>
      </c>
      <c r="AB97" s="137">
        <v>-8797.5</v>
      </c>
      <c r="AC97" s="137">
        <v>-8797.5</v>
      </c>
      <c r="AD97" s="137">
        <v>-8973.4500000000007</v>
      </c>
      <c r="AE97" s="137">
        <v>-8973.4500000000007</v>
      </c>
      <c r="AF97" s="137">
        <v>-8973.4500000000007</v>
      </c>
      <c r="AG97" s="137">
        <v>-8973.4500000000007</v>
      </c>
      <c r="AH97" s="137">
        <v>-8973.4500000000007</v>
      </c>
      <c r="AI97" s="137">
        <v>-8973.4500000000007</v>
      </c>
      <c r="AJ97" s="137">
        <v>-8973.4500000000007</v>
      </c>
      <c r="AK97" s="137">
        <v>-8973.4500000000007</v>
      </c>
      <c r="AL97" s="137">
        <v>-8973.4500000000007</v>
      </c>
      <c r="AM97" s="137">
        <v>-8973.4500000000007</v>
      </c>
      <c r="AN97" s="137">
        <v>-8973.4500000000007</v>
      </c>
      <c r="AO97" s="137">
        <v>-8973.4500000000007</v>
      </c>
      <c r="AP97" s="137">
        <v>-9152.9189999999999</v>
      </c>
      <c r="AQ97" s="137">
        <v>-9152.9189999999999</v>
      </c>
      <c r="AR97" s="137">
        <v>-9152.9189999999999</v>
      </c>
      <c r="AS97" s="137">
        <v>-9152.9189999999999</v>
      </c>
      <c r="AT97" s="137">
        <v>-9152.9189999999999</v>
      </c>
      <c r="AU97" s="137">
        <v>-9152.9189999999999</v>
      </c>
      <c r="AV97" s="137">
        <v>-9152.9189999999999</v>
      </c>
      <c r="AW97" s="137">
        <v>-9152.9189999999999</v>
      </c>
      <c r="AX97" s="137">
        <v>-9152.9189999999999</v>
      </c>
      <c r="AY97" s="137">
        <v>-9152.9189999999999</v>
      </c>
      <c r="AZ97" s="137">
        <v>-9152.9189999999999</v>
      </c>
      <c r="BA97" s="137">
        <v>-9152.9189999999999</v>
      </c>
      <c r="BB97" s="137">
        <v>-9335.9773800000003</v>
      </c>
      <c r="BC97" s="137">
        <v>-9335.9773800000003</v>
      </c>
      <c r="BD97" s="137">
        <v>-9335.9773800000003</v>
      </c>
      <c r="BE97" s="137">
        <v>-9335.9773800000003</v>
      </c>
      <c r="BF97" s="137">
        <v>-9335.9773800000003</v>
      </c>
      <c r="BG97" s="137">
        <v>-9335.9773800000003</v>
      </c>
      <c r="BH97" s="137">
        <v>-9335.9773800000003</v>
      </c>
      <c r="BI97" s="137">
        <v>-9335.9773800000003</v>
      </c>
      <c r="BJ97" s="137">
        <v>-9335.9773800000003</v>
      </c>
      <c r="BK97" s="137">
        <v>-9335.9773800000003</v>
      </c>
      <c r="BL97" s="137">
        <v>-9335.9773800000003</v>
      </c>
      <c r="BM97" s="137">
        <v>-9335.9773800000003</v>
      </c>
      <c r="BN97" s="137">
        <v>-9522.6969276</v>
      </c>
      <c r="BO97" s="137">
        <v>-9522.6969276</v>
      </c>
      <c r="BP97" s="137">
        <v>-9522.6969276</v>
      </c>
      <c r="BQ97" s="137">
        <v>-9522.6969276</v>
      </c>
      <c r="BR97" s="137">
        <v>-9522.6969276</v>
      </c>
      <c r="BS97" s="137">
        <v>-9522.6969276</v>
      </c>
      <c r="BT97" s="137">
        <v>-9522.6969276</v>
      </c>
      <c r="BU97" s="137">
        <v>-9522.6969276</v>
      </c>
      <c r="BV97" s="137">
        <v>-9522.6969276</v>
      </c>
      <c r="BW97" s="137">
        <v>-9522.6969276</v>
      </c>
      <c r="BX97" s="137">
        <v>-9522.6969276</v>
      </c>
      <c r="BY97" s="137">
        <v>-9522.6969276</v>
      </c>
      <c r="BZ97" s="137">
        <v>-9713.1508661520002</v>
      </c>
      <c r="CA97" s="137">
        <v>-9713.1508661520002</v>
      </c>
      <c r="CB97" s="137">
        <v>-9713.1508661520002</v>
      </c>
      <c r="CC97" s="137">
        <v>-9713.1508661520002</v>
      </c>
      <c r="CD97" s="137">
        <v>-9713.1508661520002</v>
      </c>
      <c r="CE97" s="137">
        <v>-9713.1508661520002</v>
      </c>
      <c r="CF97" s="137">
        <v>-9713.1508661520002</v>
      </c>
      <c r="CG97" s="137">
        <v>-9713.1508661520002</v>
      </c>
      <c r="CH97" s="137">
        <v>-9713.1508661520002</v>
      </c>
      <c r="CI97" s="137">
        <v>-9713.1508661520002</v>
      </c>
      <c r="CJ97" s="137">
        <v>-9713.1508661520002</v>
      </c>
      <c r="CK97" s="137">
        <v>-9713.1508661520002</v>
      </c>
      <c r="CL97" s="137">
        <v>-9907.4138834750393</v>
      </c>
      <c r="CM97" s="137">
        <v>-9907.4138834750393</v>
      </c>
      <c r="CN97" s="137">
        <v>-9907.4138834750393</v>
      </c>
      <c r="CO97" s="137">
        <v>-9907.4138834750393</v>
      </c>
      <c r="CP97" s="137">
        <v>-9907.4138834750393</v>
      </c>
      <c r="CQ97" s="137">
        <v>-9907.4138834750393</v>
      </c>
      <c r="CR97" s="137">
        <v>-9907.4138834750393</v>
      </c>
      <c r="CS97" s="137">
        <v>-9907.4138834750393</v>
      </c>
      <c r="CT97" s="137">
        <v>-9907.4138834750393</v>
      </c>
      <c r="CU97" s="137">
        <v>-9907.4138834750393</v>
      </c>
      <c r="CV97" s="137">
        <v>-9907.4138834750393</v>
      </c>
      <c r="CW97" s="137">
        <v>-9907.4138834750393</v>
      </c>
      <c r="CX97" s="137">
        <v>-10105.5621611445</v>
      </c>
      <c r="CY97" s="137">
        <v>-10105.5621611445</v>
      </c>
      <c r="CZ97" s="137">
        <v>-10105.5621611445</v>
      </c>
      <c r="DA97" s="137">
        <v>-10105.5621611445</v>
      </c>
      <c r="DB97" s="137">
        <v>-10105.5621611445</v>
      </c>
      <c r="DC97" s="137">
        <v>-10105.5621611445</v>
      </c>
      <c r="DD97" s="137">
        <v>-10105.5621611445</v>
      </c>
      <c r="DE97" s="137">
        <v>-10105.5621611445</v>
      </c>
      <c r="DF97" s="137">
        <v>-10105.5621611445</v>
      </c>
    </row>
    <row r="98" spans="1:110" ht="15" customHeight="1" x14ac:dyDescent="0.25">
      <c r="A98" s="96" t="s">
        <v>120</v>
      </c>
      <c r="C98" s="138">
        <v>-268</v>
      </c>
      <c r="D98" s="138">
        <v>-2088.75</v>
      </c>
      <c r="E98" s="138">
        <v>-2401.75</v>
      </c>
      <c r="F98" s="138">
        <v>-1586.17</v>
      </c>
      <c r="G98" s="138">
        <v>-1586.17</v>
      </c>
      <c r="H98" s="138">
        <v>-1586.17</v>
      </c>
      <c r="I98" s="138">
        <v>-1586.17</v>
      </c>
      <c r="J98" s="138">
        <v>-1586.17</v>
      </c>
      <c r="K98" s="138">
        <v>-1586.17</v>
      </c>
      <c r="L98" s="138">
        <v>-1586.17</v>
      </c>
      <c r="M98" s="138">
        <v>-1586.17</v>
      </c>
      <c r="N98" s="138">
        <v>-1586.17</v>
      </c>
      <c r="O98" s="138">
        <v>-1586.17</v>
      </c>
      <c r="P98" s="138">
        <v>-1586.17</v>
      </c>
      <c r="Q98" s="138">
        <v>-1586.17</v>
      </c>
      <c r="R98" s="138">
        <v>-1617.8933999999999</v>
      </c>
      <c r="S98" s="138">
        <v>-1617.8933999999999</v>
      </c>
      <c r="T98" s="138">
        <v>-1617.8933999999999</v>
      </c>
      <c r="U98" s="138">
        <v>-1617.8933999999999</v>
      </c>
      <c r="V98" s="138">
        <v>-1617.8933999999999</v>
      </c>
      <c r="W98" s="138">
        <v>-1617.8933999999999</v>
      </c>
      <c r="X98" s="138">
        <v>-1617.8933999999999</v>
      </c>
      <c r="Y98" s="138">
        <v>-1617.8933999999999</v>
      </c>
      <c r="Z98" s="138">
        <v>-1617.8933999999999</v>
      </c>
      <c r="AA98" s="138">
        <v>-1617.8933999999999</v>
      </c>
      <c r="AB98" s="138">
        <v>-1617.8933999999999</v>
      </c>
      <c r="AC98" s="138">
        <v>-1617.8933999999999</v>
      </c>
      <c r="AD98" s="138">
        <v>-1650.251268</v>
      </c>
      <c r="AE98" s="138">
        <v>-1650.251268</v>
      </c>
      <c r="AF98" s="138">
        <v>-1650.251268</v>
      </c>
      <c r="AG98" s="138">
        <v>-1650.251268</v>
      </c>
      <c r="AH98" s="138">
        <v>-1650.251268</v>
      </c>
      <c r="AI98" s="138">
        <v>-1650.251268</v>
      </c>
      <c r="AJ98" s="138">
        <v>-1650.251268</v>
      </c>
      <c r="AK98" s="138">
        <v>-1650.251268</v>
      </c>
      <c r="AL98" s="138">
        <v>-1650.251268</v>
      </c>
      <c r="AM98" s="138">
        <v>-1650.251268</v>
      </c>
      <c r="AN98" s="138">
        <v>-1650.251268</v>
      </c>
      <c r="AO98" s="138">
        <v>-1650.251268</v>
      </c>
      <c r="AP98" s="138">
        <v>-1683.25629336</v>
      </c>
      <c r="AQ98" s="138">
        <v>-1683.25629336</v>
      </c>
      <c r="AR98" s="138">
        <v>-1683.25629336</v>
      </c>
      <c r="AS98" s="138">
        <v>-1683.25629336</v>
      </c>
      <c r="AT98" s="138">
        <v>-1683.25629336</v>
      </c>
      <c r="AU98" s="138">
        <v>-1683.25629336</v>
      </c>
      <c r="AV98" s="138">
        <v>-1683.25629336</v>
      </c>
      <c r="AW98" s="138">
        <v>-1683.25629336</v>
      </c>
      <c r="AX98" s="138">
        <v>-1683.25629336</v>
      </c>
      <c r="AY98" s="138">
        <v>-1683.25629336</v>
      </c>
      <c r="AZ98" s="138">
        <v>-1683.25629336</v>
      </c>
      <c r="BA98" s="138">
        <v>-1683.25629336</v>
      </c>
      <c r="BB98" s="138">
        <v>-1716.9214192272</v>
      </c>
      <c r="BC98" s="138">
        <v>-1716.9214192272</v>
      </c>
      <c r="BD98" s="138">
        <v>-1716.9214192272</v>
      </c>
      <c r="BE98" s="138">
        <v>-1716.9214192272</v>
      </c>
      <c r="BF98" s="138">
        <v>-1716.9214192272</v>
      </c>
      <c r="BG98" s="138">
        <v>-1716.9214192272</v>
      </c>
      <c r="BH98" s="138">
        <v>-1716.9214192272</v>
      </c>
      <c r="BI98" s="138">
        <v>-1716.9214192272</v>
      </c>
      <c r="BJ98" s="138">
        <v>-1716.9214192272</v>
      </c>
      <c r="BK98" s="138">
        <v>-1716.9214192272</v>
      </c>
      <c r="BL98" s="138">
        <v>-1716.9214192272</v>
      </c>
      <c r="BM98" s="138">
        <v>-1716.9214192272</v>
      </c>
      <c r="BN98" s="138">
        <v>-1751.25984761174</v>
      </c>
      <c r="BO98" s="138">
        <v>-1751.25984761174</v>
      </c>
      <c r="BP98" s="138">
        <v>-1751.25984761174</v>
      </c>
      <c r="BQ98" s="138">
        <v>-1751.25984761174</v>
      </c>
      <c r="BR98" s="138">
        <v>-1751.25984761174</v>
      </c>
      <c r="BS98" s="138">
        <v>-1751.25984761174</v>
      </c>
      <c r="BT98" s="138">
        <v>-1751.25984761174</v>
      </c>
      <c r="BU98" s="138">
        <v>-1751.25984761174</v>
      </c>
      <c r="BV98" s="138">
        <v>-1751.25984761174</v>
      </c>
      <c r="BW98" s="138">
        <v>-1751.25984761174</v>
      </c>
      <c r="BX98" s="138">
        <v>-1751.25984761174</v>
      </c>
      <c r="BY98" s="138">
        <v>-1751.25984761174</v>
      </c>
      <c r="BZ98" s="138">
        <v>-1786.2850445639799</v>
      </c>
      <c r="CA98" s="138">
        <v>-1786.2850445639799</v>
      </c>
      <c r="CB98" s="138">
        <v>-1786.2850445639799</v>
      </c>
      <c r="CC98" s="138">
        <v>-1786.2850445639799</v>
      </c>
      <c r="CD98" s="138">
        <v>-1786.2850445639799</v>
      </c>
      <c r="CE98" s="138">
        <v>-1786.2850445639799</v>
      </c>
      <c r="CF98" s="138">
        <v>-1786.2850445639799</v>
      </c>
      <c r="CG98" s="138">
        <v>-1786.2850445639799</v>
      </c>
      <c r="CH98" s="138">
        <v>-1786.2850445639799</v>
      </c>
      <c r="CI98" s="138">
        <v>-1786.2850445639799</v>
      </c>
      <c r="CJ98" s="138">
        <v>-1786.2850445639799</v>
      </c>
      <c r="CK98" s="138">
        <v>-1786.2850445639799</v>
      </c>
      <c r="CL98" s="138">
        <v>-1822.0107454552599</v>
      </c>
      <c r="CM98" s="138">
        <v>-1822.0107454552599</v>
      </c>
      <c r="CN98" s="138">
        <v>-1822.0107454552599</v>
      </c>
      <c r="CO98" s="138">
        <v>-1822.0107454552599</v>
      </c>
      <c r="CP98" s="138">
        <v>-1822.0107454552599</v>
      </c>
      <c r="CQ98" s="138">
        <v>-1822.0107454552599</v>
      </c>
      <c r="CR98" s="138">
        <v>-1822.0107454552599</v>
      </c>
      <c r="CS98" s="138">
        <v>-1822.0107454552599</v>
      </c>
      <c r="CT98" s="138">
        <v>-1822.0107454552599</v>
      </c>
      <c r="CU98" s="138">
        <v>-1822.0107454552599</v>
      </c>
      <c r="CV98" s="138">
        <v>-1822.0107454552599</v>
      </c>
      <c r="CW98" s="138">
        <v>-1822.0107454552599</v>
      </c>
      <c r="CX98" s="138">
        <v>-1858.4509603643601</v>
      </c>
      <c r="CY98" s="138">
        <v>-1858.4509603643601</v>
      </c>
      <c r="CZ98" s="138">
        <v>-1858.4509603643601</v>
      </c>
      <c r="DA98" s="138">
        <v>-1858.4509603643601</v>
      </c>
      <c r="DB98" s="138">
        <v>-1858.4509603643601</v>
      </c>
      <c r="DC98" s="138">
        <v>-1858.4509603643601</v>
      </c>
      <c r="DD98" s="138">
        <v>-1858.4509603643601</v>
      </c>
      <c r="DE98" s="138">
        <v>-1858.4509603643601</v>
      </c>
      <c r="DF98" s="138">
        <v>-1858.4509603643601</v>
      </c>
    </row>
    <row r="99" spans="1:110" ht="15" customHeight="1" x14ac:dyDescent="0.25">
      <c r="A99" s="96" t="s">
        <v>121</v>
      </c>
      <c r="C99" s="138">
        <v>-341.83</v>
      </c>
      <c r="D99" s="138">
        <v>-728</v>
      </c>
      <c r="E99" s="138">
        <v>-15256.75</v>
      </c>
      <c r="F99" s="138">
        <v>-5442.19</v>
      </c>
      <c r="G99" s="138">
        <v>-5442.19</v>
      </c>
      <c r="H99" s="138">
        <v>-5442.19</v>
      </c>
      <c r="I99" s="138">
        <v>-5442.19</v>
      </c>
      <c r="J99" s="138">
        <v>-5442.19</v>
      </c>
      <c r="K99" s="138">
        <v>-5442.19</v>
      </c>
      <c r="L99" s="138">
        <v>-5442.19</v>
      </c>
      <c r="M99" s="138">
        <v>-5442.19</v>
      </c>
      <c r="N99" s="138">
        <v>-5442.19</v>
      </c>
      <c r="O99" s="138">
        <v>-5442.19</v>
      </c>
      <c r="P99" s="138">
        <v>-5442.19</v>
      </c>
      <c r="Q99" s="138">
        <v>-5442.19</v>
      </c>
      <c r="R99" s="138">
        <v>-5551.0338000000002</v>
      </c>
      <c r="S99" s="138">
        <v>-5551.0338000000002</v>
      </c>
      <c r="T99" s="138">
        <v>-5551.0338000000002</v>
      </c>
      <c r="U99" s="138">
        <v>-5551.0338000000002</v>
      </c>
      <c r="V99" s="138">
        <v>-5551.0338000000002</v>
      </c>
      <c r="W99" s="138">
        <v>-5551.0338000000002</v>
      </c>
      <c r="X99" s="138">
        <v>-5551.0338000000002</v>
      </c>
      <c r="Y99" s="138">
        <v>-5551.0338000000002</v>
      </c>
      <c r="Z99" s="138">
        <v>-5551.0338000000002</v>
      </c>
      <c r="AA99" s="138">
        <v>-5551.0338000000002</v>
      </c>
      <c r="AB99" s="138">
        <v>-5551.0338000000002</v>
      </c>
      <c r="AC99" s="138">
        <v>-5551.0338000000002</v>
      </c>
      <c r="AD99" s="138">
        <v>-5662.0544760000002</v>
      </c>
      <c r="AE99" s="138">
        <v>-5662.0544760000002</v>
      </c>
      <c r="AF99" s="138">
        <v>-5662.0544760000002</v>
      </c>
      <c r="AG99" s="138">
        <v>-5662.0544760000002</v>
      </c>
      <c r="AH99" s="138">
        <v>-5662.0544760000002</v>
      </c>
      <c r="AI99" s="138">
        <v>-5662.0544760000002</v>
      </c>
      <c r="AJ99" s="138">
        <v>-5662.0544760000002</v>
      </c>
      <c r="AK99" s="138">
        <v>-5662.0544760000002</v>
      </c>
      <c r="AL99" s="138">
        <v>-5662.0544760000002</v>
      </c>
      <c r="AM99" s="138">
        <v>-5662.0544760000002</v>
      </c>
      <c r="AN99" s="138">
        <v>-5662.0544760000002</v>
      </c>
      <c r="AO99" s="138">
        <v>-5662.0544760000002</v>
      </c>
      <c r="AP99" s="138">
        <v>-5775.2955655200003</v>
      </c>
      <c r="AQ99" s="138">
        <v>-5775.2955655200003</v>
      </c>
      <c r="AR99" s="138">
        <v>-5775.2955655200003</v>
      </c>
      <c r="AS99" s="138">
        <v>-5775.2955655200003</v>
      </c>
      <c r="AT99" s="138">
        <v>-5775.2955655200003</v>
      </c>
      <c r="AU99" s="138">
        <v>-5775.2955655200003</v>
      </c>
      <c r="AV99" s="138">
        <v>-5775.2955655200003</v>
      </c>
      <c r="AW99" s="138">
        <v>-5775.2955655200003</v>
      </c>
      <c r="AX99" s="138">
        <v>-5775.2955655200003</v>
      </c>
      <c r="AY99" s="138">
        <v>-5775.2955655200003</v>
      </c>
      <c r="AZ99" s="138">
        <v>-5775.2955655200003</v>
      </c>
      <c r="BA99" s="138">
        <v>-5775.2955655200003</v>
      </c>
      <c r="BB99" s="138">
        <v>-5890.8014768304001</v>
      </c>
      <c r="BC99" s="138">
        <v>-5890.8014768304001</v>
      </c>
      <c r="BD99" s="138">
        <v>-5890.8014768304001</v>
      </c>
      <c r="BE99" s="138">
        <v>-5890.8014768304001</v>
      </c>
      <c r="BF99" s="138">
        <v>-5890.8014768304001</v>
      </c>
      <c r="BG99" s="138">
        <v>-5890.8014768304001</v>
      </c>
      <c r="BH99" s="138">
        <v>-5890.8014768304001</v>
      </c>
      <c r="BI99" s="138">
        <v>-5890.8014768304001</v>
      </c>
      <c r="BJ99" s="138">
        <v>-5890.8014768304001</v>
      </c>
      <c r="BK99" s="138">
        <v>-5890.8014768304001</v>
      </c>
      <c r="BL99" s="138">
        <v>-5890.8014768304001</v>
      </c>
      <c r="BM99" s="138">
        <v>-5890.8014768304001</v>
      </c>
      <c r="BN99" s="138">
        <v>-6008.6175063670098</v>
      </c>
      <c r="BO99" s="138">
        <v>-6008.6175063670098</v>
      </c>
      <c r="BP99" s="138">
        <v>-6008.6175063670098</v>
      </c>
      <c r="BQ99" s="138">
        <v>-6008.6175063670098</v>
      </c>
      <c r="BR99" s="138">
        <v>-6008.6175063670098</v>
      </c>
      <c r="BS99" s="138">
        <v>-6008.6175063670098</v>
      </c>
      <c r="BT99" s="138">
        <v>-6008.6175063670098</v>
      </c>
      <c r="BU99" s="138">
        <v>-6008.6175063670098</v>
      </c>
      <c r="BV99" s="138">
        <v>-6008.6175063670098</v>
      </c>
      <c r="BW99" s="138">
        <v>-6008.6175063670098</v>
      </c>
      <c r="BX99" s="138">
        <v>-6008.6175063670098</v>
      </c>
      <c r="BY99" s="138">
        <v>-6008.6175063670098</v>
      </c>
      <c r="BZ99" s="138">
        <v>-6128.7898564943498</v>
      </c>
      <c r="CA99" s="138">
        <v>-6128.7898564943498</v>
      </c>
      <c r="CB99" s="138">
        <v>-6128.7898564943498</v>
      </c>
      <c r="CC99" s="138">
        <v>-6128.7898564943498</v>
      </c>
      <c r="CD99" s="138">
        <v>-6128.7898564943498</v>
      </c>
      <c r="CE99" s="138">
        <v>-6128.7898564943498</v>
      </c>
      <c r="CF99" s="138">
        <v>-6128.7898564943498</v>
      </c>
      <c r="CG99" s="138">
        <v>-6128.7898564943498</v>
      </c>
      <c r="CH99" s="138">
        <v>-6128.7898564943498</v>
      </c>
      <c r="CI99" s="138">
        <v>-6128.7898564943498</v>
      </c>
      <c r="CJ99" s="138">
        <v>-6128.7898564943498</v>
      </c>
      <c r="CK99" s="138">
        <v>-6128.7898564943498</v>
      </c>
      <c r="CL99" s="138">
        <v>-6251.3656536242397</v>
      </c>
      <c r="CM99" s="138">
        <v>-6251.3656536242397</v>
      </c>
      <c r="CN99" s="138">
        <v>-6251.3656536242397</v>
      </c>
      <c r="CO99" s="138">
        <v>-6251.3656536242397</v>
      </c>
      <c r="CP99" s="138">
        <v>-6251.3656536242397</v>
      </c>
      <c r="CQ99" s="138">
        <v>-6251.3656536242397</v>
      </c>
      <c r="CR99" s="138">
        <v>-6251.3656536242397</v>
      </c>
      <c r="CS99" s="138">
        <v>-6251.3656536242397</v>
      </c>
      <c r="CT99" s="138">
        <v>-6251.3656536242397</v>
      </c>
      <c r="CU99" s="138">
        <v>-6251.3656536242397</v>
      </c>
      <c r="CV99" s="138">
        <v>-6251.3656536242397</v>
      </c>
      <c r="CW99" s="138">
        <v>-6251.3656536242397</v>
      </c>
      <c r="CX99" s="138">
        <v>-6376.3929666967197</v>
      </c>
      <c r="CY99" s="138">
        <v>-6376.3929666967197</v>
      </c>
      <c r="CZ99" s="138">
        <v>-6376.3929666967197</v>
      </c>
      <c r="DA99" s="138">
        <v>-6376.3929666967197</v>
      </c>
      <c r="DB99" s="138">
        <v>-6376.3929666967197</v>
      </c>
      <c r="DC99" s="138">
        <v>-6376.3929666967197</v>
      </c>
      <c r="DD99" s="138">
        <v>-6376.3929666967197</v>
      </c>
      <c r="DE99" s="138">
        <v>-6376.3929666967197</v>
      </c>
      <c r="DF99" s="138">
        <v>-6376.3929666967197</v>
      </c>
    </row>
    <row r="100" spans="1:110" ht="15" customHeight="1" x14ac:dyDescent="0.25">
      <c r="A100" s="103" t="s">
        <v>122</v>
      </c>
      <c r="C100" s="138">
        <v>-1905.31</v>
      </c>
      <c r="D100" s="138">
        <v>-1905.31</v>
      </c>
      <c r="E100" s="138">
        <v>-1905.31</v>
      </c>
      <c r="F100" s="138">
        <v>-1905.31</v>
      </c>
      <c r="G100" s="138">
        <v>-1905.31</v>
      </c>
      <c r="H100" s="138">
        <v>-1905.31</v>
      </c>
      <c r="I100" s="138">
        <v>-1905.31</v>
      </c>
      <c r="J100" s="138">
        <v>-1905.31</v>
      </c>
      <c r="K100" s="138">
        <v>-1905.31</v>
      </c>
      <c r="L100" s="138">
        <v>-1905.31</v>
      </c>
      <c r="M100" s="138">
        <v>-1905.31</v>
      </c>
      <c r="N100" s="138">
        <v>-1905.31</v>
      </c>
      <c r="O100" s="138">
        <v>-1905.31</v>
      </c>
      <c r="P100" s="138">
        <v>-1905.31</v>
      </c>
      <c r="Q100" s="138">
        <v>-1905.31</v>
      </c>
      <c r="R100" s="138">
        <v>-1943.4161999999999</v>
      </c>
      <c r="S100" s="138">
        <v>-1943.4161999999999</v>
      </c>
      <c r="T100" s="138">
        <v>-1943.4161999999999</v>
      </c>
      <c r="U100" s="138">
        <v>-1943.4161999999999</v>
      </c>
      <c r="V100" s="138">
        <v>-1943.4161999999999</v>
      </c>
      <c r="W100" s="138">
        <v>-1943.4161999999999</v>
      </c>
      <c r="X100" s="138">
        <v>-1943.4161999999999</v>
      </c>
      <c r="Y100" s="138">
        <v>-1943.4161999999999</v>
      </c>
      <c r="Z100" s="138">
        <v>-1943.4161999999999</v>
      </c>
      <c r="AA100" s="138">
        <v>-1943.4161999999999</v>
      </c>
      <c r="AB100" s="138">
        <v>-1943.4161999999999</v>
      </c>
      <c r="AC100" s="138">
        <v>-1943.4161999999999</v>
      </c>
      <c r="AD100" s="138">
        <v>-1982.2845239999999</v>
      </c>
      <c r="AE100" s="138">
        <v>-1982.2845239999999</v>
      </c>
      <c r="AF100" s="138">
        <v>-1982.2845239999999</v>
      </c>
      <c r="AG100" s="138">
        <v>-1982.2845239999999</v>
      </c>
      <c r="AH100" s="138">
        <v>-1982.2845239999999</v>
      </c>
      <c r="AI100" s="138">
        <v>-1982.2845239999999</v>
      </c>
      <c r="AJ100" s="138">
        <v>-1982.2845239999999</v>
      </c>
      <c r="AK100" s="138">
        <v>-1982.2845239999999</v>
      </c>
      <c r="AL100" s="138">
        <v>-1982.2845239999999</v>
      </c>
      <c r="AM100" s="138">
        <v>-1982.2845239999999</v>
      </c>
      <c r="AN100" s="138">
        <v>-1982.2845239999999</v>
      </c>
      <c r="AO100" s="138">
        <v>-1982.2845239999999</v>
      </c>
      <c r="AP100" s="138">
        <v>-2021.9302144799999</v>
      </c>
      <c r="AQ100" s="138">
        <v>-2021.9302144799999</v>
      </c>
      <c r="AR100" s="138">
        <v>-2021.9302144799999</v>
      </c>
      <c r="AS100" s="138">
        <v>-2021.9302144799999</v>
      </c>
      <c r="AT100" s="138">
        <v>-2021.9302144799999</v>
      </c>
      <c r="AU100" s="138">
        <v>-2021.9302144799999</v>
      </c>
      <c r="AV100" s="138">
        <v>-2021.9302144799999</v>
      </c>
      <c r="AW100" s="138">
        <v>-2021.9302144799999</v>
      </c>
      <c r="AX100" s="138">
        <v>-2021.9302144799999</v>
      </c>
      <c r="AY100" s="138">
        <v>-2021.9302144799999</v>
      </c>
      <c r="AZ100" s="138">
        <v>-2021.9302144799999</v>
      </c>
      <c r="BA100" s="138">
        <v>-2021.9302144799999</v>
      </c>
      <c r="BB100" s="138">
        <v>-2062.3688187695998</v>
      </c>
      <c r="BC100" s="138">
        <v>-2062.3688187695998</v>
      </c>
      <c r="BD100" s="138">
        <v>-2062.3688187695998</v>
      </c>
      <c r="BE100" s="138">
        <v>-2062.3688187695998</v>
      </c>
      <c r="BF100" s="138">
        <v>-2062.3688187695998</v>
      </c>
      <c r="BG100" s="138">
        <v>-2062.3688187695998</v>
      </c>
      <c r="BH100" s="138">
        <v>-2062.3688187695998</v>
      </c>
      <c r="BI100" s="138">
        <v>-2062.3688187695998</v>
      </c>
      <c r="BJ100" s="138">
        <v>-2062.3688187695998</v>
      </c>
      <c r="BK100" s="138">
        <v>-2062.3688187695998</v>
      </c>
      <c r="BL100" s="138">
        <v>-2062.3688187695998</v>
      </c>
      <c r="BM100" s="138">
        <v>-2062.3688187695998</v>
      </c>
      <c r="BN100" s="138">
        <v>-2103.6161951449899</v>
      </c>
      <c r="BO100" s="138">
        <v>-2103.6161951449899</v>
      </c>
      <c r="BP100" s="138">
        <v>-2103.6161951449899</v>
      </c>
      <c r="BQ100" s="138">
        <v>-2103.6161951449899</v>
      </c>
      <c r="BR100" s="138">
        <v>-2103.6161951449899</v>
      </c>
      <c r="BS100" s="138">
        <v>-2103.6161951449899</v>
      </c>
      <c r="BT100" s="138">
        <v>-2103.6161951449899</v>
      </c>
      <c r="BU100" s="138">
        <v>-2103.6161951449899</v>
      </c>
      <c r="BV100" s="138">
        <v>-2103.6161951449899</v>
      </c>
      <c r="BW100" s="138">
        <v>-2103.6161951449899</v>
      </c>
      <c r="BX100" s="138">
        <v>-2103.6161951449899</v>
      </c>
      <c r="BY100" s="138">
        <v>-2103.6161951449899</v>
      </c>
      <c r="BZ100" s="138">
        <v>-2145.6885190478902</v>
      </c>
      <c r="CA100" s="138">
        <v>-2145.6885190478902</v>
      </c>
      <c r="CB100" s="138">
        <v>-2145.6885190478902</v>
      </c>
      <c r="CC100" s="138">
        <v>-2145.6885190478902</v>
      </c>
      <c r="CD100" s="138">
        <v>-2145.6885190478902</v>
      </c>
      <c r="CE100" s="138">
        <v>-2145.6885190478902</v>
      </c>
      <c r="CF100" s="138">
        <v>-2145.6885190478902</v>
      </c>
      <c r="CG100" s="138">
        <v>-2145.6885190478902</v>
      </c>
      <c r="CH100" s="138">
        <v>-2145.6885190478902</v>
      </c>
      <c r="CI100" s="138">
        <v>-2145.6885190478902</v>
      </c>
      <c r="CJ100" s="138">
        <v>-2145.6885190478902</v>
      </c>
      <c r="CK100" s="138">
        <v>-2145.6885190478902</v>
      </c>
      <c r="CL100" s="138">
        <v>-2188.6022894288499</v>
      </c>
      <c r="CM100" s="138">
        <v>-2188.6022894288499</v>
      </c>
      <c r="CN100" s="138">
        <v>-2188.6022894288499</v>
      </c>
      <c r="CO100" s="138">
        <v>-2188.6022894288499</v>
      </c>
      <c r="CP100" s="138">
        <v>-2188.6022894288499</v>
      </c>
      <c r="CQ100" s="138">
        <v>-2188.6022894288499</v>
      </c>
      <c r="CR100" s="138">
        <v>-2188.6022894288499</v>
      </c>
      <c r="CS100" s="138">
        <v>-2188.6022894288499</v>
      </c>
      <c r="CT100" s="138">
        <v>-2188.6022894288499</v>
      </c>
      <c r="CU100" s="138">
        <v>-2188.6022894288499</v>
      </c>
      <c r="CV100" s="138">
        <v>-2188.6022894288499</v>
      </c>
      <c r="CW100" s="138">
        <v>-2188.6022894288499</v>
      </c>
      <c r="CX100" s="138">
        <v>-2232.3743352174301</v>
      </c>
      <c r="CY100" s="138">
        <v>-2232.3743352174301</v>
      </c>
      <c r="CZ100" s="138">
        <v>-2232.3743352174301</v>
      </c>
      <c r="DA100" s="138">
        <v>-2232.3743352174301</v>
      </c>
      <c r="DB100" s="138">
        <v>-2232.3743352174301</v>
      </c>
      <c r="DC100" s="138">
        <v>-2232.3743352174301</v>
      </c>
      <c r="DD100" s="138">
        <v>-2232.3743352174301</v>
      </c>
      <c r="DE100" s="138">
        <v>-2232.3743352174301</v>
      </c>
      <c r="DF100" s="138">
        <v>-2232.3743352174301</v>
      </c>
    </row>
    <row r="101" spans="1:110" ht="15" customHeight="1" x14ac:dyDescent="0.25">
      <c r="A101" s="103" t="s">
        <v>123</v>
      </c>
      <c r="C101" s="138">
        <v>-2100</v>
      </c>
      <c r="D101" s="138">
        <v>-2100</v>
      </c>
      <c r="E101" s="138">
        <v>-2100</v>
      </c>
      <c r="F101" s="138">
        <v>-2100</v>
      </c>
      <c r="G101" s="138">
        <v>-2100</v>
      </c>
      <c r="H101" s="138">
        <v>-2100</v>
      </c>
      <c r="I101" s="138">
        <v>-2100</v>
      </c>
      <c r="J101" s="138">
        <v>-2100</v>
      </c>
      <c r="K101" s="138">
        <v>-2100</v>
      </c>
      <c r="L101" s="138">
        <v>-2100</v>
      </c>
      <c r="M101" s="138">
        <v>-2100</v>
      </c>
      <c r="N101" s="138">
        <v>-2100</v>
      </c>
      <c r="O101" s="138">
        <v>-2100</v>
      </c>
      <c r="P101" s="138">
        <v>-2100</v>
      </c>
      <c r="Q101" s="138">
        <v>-2100</v>
      </c>
      <c r="R101" s="138">
        <v>-2142</v>
      </c>
      <c r="S101" s="138">
        <v>-2142</v>
      </c>
      <c r="T101" s="138">
        <v>-2142</v>
      </c>
      <c r="U101" s="138">
        <v>-2142</v>
      </c>
      <c r="V101" s="138">
        <v>-2142</v>
      </c>
      <c r="W101" s="138">
        <v>-2142</v>
      </c>
      <c r="X101" s="138">
        <v>-2142</v>
      </c>
      <c r="Y101" s="138">
        <v>-2142</v>
      </c>
      <c r="Z101" s="138">
        <v>-2142</v>
      </c>
      <c r="AA101" s="138">
        <v>-2142</v>
      </c>
      <c r="AB101" s="138">
        <v>-2142</v>
      </c>
      <c r="AC101" s="138">
        <v>-2142</v>
      </c>
      <c r="AD101" s="138">
        <v>-2184.84</v>
      </c>
      <c r="AE101" s="138">
        <v>-2184.84</v>
      </c>
      <c r="AF101" s="138">
        <v>-2184.84</v>
      </c>
      <c r="AG101" s="138">
        <v>-2184.84</v>
      </c>
      <c r="AH101" s="138">
        <v>-2184.84</v>
      </c>
      <c r="AI101" s="138">
        <v>-2184.84</v>
      </c>
      <c r="AJ101" s="138">
        <v>-2184.84</v>
      </c>
      <c r="AK101" s="138">
        <v>-2184.84</v>
      </c>
      <c r="AL101" s="138">
        <v>-2184.84</v>
      </c>
      <c r="AM101" s="138">
        <v>-2184.84</v>
      </c>
      <c r="AN101" s="138">
        <v>-2184.84</v>
      </c>
      <c r="AO101" s="138">
        <v>-2184.84</v>
      </c>
      <c r="AP101" s="138">
        <v>-2228.5367999999999</v>
      </c>
      <c r="AQ101" s="138">
        <v>-2228.5367999999999</v>
      </c>
      <c r="AR101" s="138">
        <v>-2228.5367999999999</v>
      </c>
      <c r="AS101" s="138">
        <v>-2228.5367999999999</v>
      </c>
      <c r="AT101" s="138">
        <v>-2228.5367999999999</v>
      </c>
      <c r="AU101" s="138">
        <v>-2228.5367999999999</v>
      </c>
      <c r="AV101" s="138">
        <v>-2228.5367999999999</v>
      </c>
      <c r="AW101" s="138">
        <v>-2228.5367999999999</v>
      </c>
      <c r="AX101" s="138">
        <v>-2228.5367999999999</v>
      </c>
      <c r="AY101" s="138">
        <v>-2228.5367999999999</v>
      </c>
      <c r="AZ101" s="138">
        <v>-2228.5367999999999</v>
      </c>
      <c r="BA101" s="138">
        <v>-2228.5367999999999</v>
      </c>
      <c r="BB101" s="138">
        <v>-2273.107536</v>
      </c>
      <c r="BC101" s="138">
        <v>-2273.107536</v>
      </c>
      <c r="BD101" s="138">
        <v>-2273.107536</v>
      </c>
      <c r="BE101" s="138">
        <v>-2273.107536</v>
      </c>
      <c r="BF101" s="138">
        <v>-2273.107536</v>
      </c>
      <c r="BG101" s="138">
        <v>-2273.107536</v>
      </c>
      <c r="BH101" s="138">
        <v>-2273.107536</v>
      </c>
      <c r="BI101" s="138">
        <v>-2273.107536</v>
      </c>
      <c r="BJ101" s="138">
        <v>-2273.107536</v>
      </c>
      <c r="BK101" s="138">
        <v>-2273.107536</v>
      </c>
      <c r="BL101" s="138">
        <v>-2273.107536</v>
      </c>
      <c r="BM101" s="138">
        <v>-2273.107536</v>
      </c>
      <c r="BN101" s="138">
        <v>-2318.5696867199999</v>
      </c>
      <c r="BO101" s="138">
        <v>-2318.5696867199999</v>
      </c>
      <c r="BP101" s="138">
        <v>-2318.5696867199999</v>
      </c>
      <c r="BQ101" s="138">
        <v>-2318.5696867199999</v>
      </c>
      <c r="BR101" s="138">
        <v>-2318.5696867199999</v>
      </c>
      <c r="BS101" s="138">
        <v>-2318.5696867199999</v>
      </c>
      <c r="BT101" s="138">
        <v>-2318.5696867199999</v>
      </c>
      <c r="BU101" s="138">
        <v>-2318.5696867199999</v>
      </c>
      <c r="BV101" s="138">
        <v>-2318.5696867199999</v>
      </c>
      <c r="BW101" s="138">
        <v>-2318.5696867199999</v>
      </c>
      <c r="BX101" s="138">
        <v>-2318.5696867199999</v>
      </c>
      <c r="BY101" s="138">
        <v>-2318.5696867199999</v>
      </c>
      <c r="BZ101" s="138">
        <v>-2364.9410804544</v>
      </c>
      <c r="CA101" s="138">
        <v>-2364.9410804544</v>
      </c>
      <c r="CB101" s="138">
        <v>-2364.9410804544</v>
      </c>
      <c r="CC101" s="138">
        <v>-2364.9410804544</v>
      </c>
      <c r="CD101" s="138">
        <v>-2364.9410804544</v>
      </c>
      <c r="CE101" s="138">
        <v>-2364.9410804544</v>
      </c>
      <c r="CF101" s="138">
        <v>-2364.9410804544</v>
      </c>
      <c r="CG101" s="138">
        <v>-2364.9410804544</v>
      </c>
      <c r="CH101" s="138">
        <v>-2364.9410804544</v>
      </c>
      <c r="CI101" s="138">
        <v>-2364.9410804544</v>
      </c>
      <c r="CJ101" s="138">
        <v>-2364.9410804544</v>
      </c>
      <c r="CK101" s="138">
        <v>-2364.9410804544</v>
      </c>
      <c r="CL101" s="138">
        <v>-2412.2399020634898</v>
      </c>
      <c r="CM101" s="138">
        <v>-2412.2399020634898</v>
      </c>
      <c r="CN101" s="138">
        <v>-2412.2399020634898</v>
      </c>
      <c r="CO101" s="138">
        <v>-2412.2399020634898</v>
      </c>
      <c r="CP101" s="138">
        <v>-2412.2399020634898</v>
      </c>
      <c r="CQ101" s="138">
        <v>-2412.2399020634898</v>
      </c>
      <c r="CR101" s="138">
        <v>-2412.2399020634898</v>
      </c>
      <c r="CS101" s="138">
        <v>-2412.2399020634898</v>
      </c>
      <c r="CT101" s="138">
        <v>-2412.2399020634898</v>
      </c>
      <c r="CU101" s="138">
        <v>-2412.2399020634898</v>
      </c>
      <c r="CV101" s="138">
        <v>-2412.2399020634898</v>
      </c>
      <c r="CW101" s="138">
        <v>-2412.2399020634898</v>
      </c>
      <c r="CX101" s="138">
        <v>-2460.4847001047601</v>
      </c>
      <c r="CY101" s="138">
        <v>-2460.4847001047601</v>
      </c>
      <c r="CZ101" s="138">
        <v>-2460.4847001047601</v>
      </c>
      <c r="DA101" s="138">
        <v>-2460.4847001047601</v>
      </c>
      <c r="DB101" s="138">
        <v>-2460.4847001047601</v>
      </c>
      <c r="DC101" s="138">
        <v>-2460.4847001047601</v>
      </c>
      <c r="DD101" s="138">
        <v>-2460.4847001047601</v>
      </c>
      <c r="DE101" s="138">
        <v>-2460.4847001047601</v>
      </c>
      <c r="DF101" s="138">
        <v>-2460.4847001047601</v>
      </c>
    </row>
    <row r="102" spans="1:110" ht="15" customHeight="1" x14ac:dyDescent="0.25">
      <c r="A102" s="103" t="s">
        <v>83</v>
      </c>
      <c r="C102" s="138">
        <v>-66666.66</v>
      </c>
      <c r="D102" s="138">
        <v>-66666.66</v>
      </c>
      <c r="E102" s="138">
        <v>-66666.66</v>
      </c>
      <c r="F102" s="138">
        <v>-25000</v>
      </c>
      <c r="G102" s="138">
        <v>-25000</v>
      </c>
      <c r="H102" s="138">
        <v>-25000</v>
      </c>
      <c r="I102" s="138">
        <v>-25000</v>
      </c>
      <c r="J102" s="138">
        <v>-25000</v>
      </c>
      <c r="K102" s="138">
        <v>-25000</v>
      </c>
      <c r="L102" s="138">
        <v>-25000</v>
      </c>
      <c r="M102" s="138">
        <v>-25000</v>
      </c>
      <c r="N102" s="138">
        <v>-25000</v>
      </c>
      <c r="O102" s="138">
        <v>-25000</v>
      </c>
      <c r="P102" s="138">
        <v>-25000</v>
      </c>
      <c r="Q102" s="138">
        <v>-25000</v>
      </c>
      <c r="R102" s="138">
        <v>-25500</v>
      </c>
      <c r="S102" s="138">
        <v>-25500</v>
      </c>
      <c r="T102" s="138">
        <v>-25500</v>
      </c>
      <c r="U102" s="138">
        <v>-25500</v>
      </c>
      <c r="V102" s="138">
        <v>-25500</v>
      </c>
      <c r="W102" s="138">
        <v>-25500</v>
      </c>
      <c r="X102" s="138">
        <v>-25500</v>
      </c>
      <c r="Y102" s="138">
        <v>-25500</v>
      </c>
      <c r="Z102" s="138">
        <v>-25500</v>
      </c>
      <c r="AA102" s="138">
        <v>-25500</v>
      </c>
      <c r="AB102" s="138">
        <v>-25500</v>
      </c>
      <c r="AC102" s="138">
        <v>-25500</v>
      </c>
      <c r="AD102" s="138">
        <v>-26010</v>
      </c>
      <c r="AE102" s="138">
        <v>-26010</v>
      </c>
      <c r="AF102" s="138">
        <v>-26010</v>
      </c>
      <c r="AG102" s="138">
        <v>-26010</v>
      </c>
      <c r="AH102" s="138">
        <v>-26010</v>
      </c>
      <c r="AI102" s="138">
        <v>-26010</v>
      </c>
      <c r="AJ102" s="138">
        <v>-26010</v>
      </c>
      <c r="AK102" s="138">
        <v>-26010</v>
      </c>
      <c r="AL102" s="138">
        <v>-26010</v>
      </c>
      <c r="AM102" s="138">
        <v>-26010</v>
      </c>
      <c r="AN102" s="138">
        <v>-26010</v>
      </c>
      <c r="AO102" s="138">
        <v>-26010</v>
      </c>
      <c r="AP102" s="138">
        <v>-26530.2</v>
      </c>
      <c r="AQ102" s="138">
        <v>-26530.2</v>
      </c>
      <c r="AR102" s="138">
        <v>-26530.2</v>
      </c>
      <c r="AS102" s="138">
        <v>-26530.2</v>
      </c>
      <c r="AT102" s="138">
        <v>-26530.2</v>
      </c>
      <c r="AU102" s="138">
        <v>-26530.2</v>
      </c>
      <c r="AV102" s="138">
        <v>-26530.2</v>
      </c>
      <c r="AW102" s="138">
        <v>-26530.2</v>
      </c>
      <c r="AX102" s="138">
        <v>-26530.2</v>
      </c>
      <c r="AY102" s="138">
        <v>-26530.2</v>
      </c>
      <c r="AZ102" s="138">
        <v>-26530.2</v>
      </c>
      <c r="BA102" s="138">
        <v>-26530.2</v>
      </c>
      <c r="BB102" s="138">
        <v>-27060.804</v>
      </c>
      <c r="BC102" s="138">
        <v>-27060.804</v>
      </c>
      <c r="BD102" s="138">
        <v>-27060.804</v>
      </c>
      <c r="BE102" s="138">
        <v>-27060.804</v>
      </c>
      <c r="BF102" s="138">
        <v>-27060.804</v>
      </c>
      <c r="BG102" s="138">
        <v>-27060.804</v>
      </c>
      <c r="BH102" s="138">
        <v>-27060.804</v>
      </c>
      <c r="BI102" s="138">
        <v>-27060.804</v>
      </c>
      <c r="BJ102" s="138">
        <v>-27060.804</v>
      </c>
      <c r="BK102" s="138">
        <v>-27060.804</v>
      </c>
      <c r="BL102" s="138">
        <v>-27060.804</v>
      </c>
      <c r="BM102" s="138">
        <v>-27060.804</v>
      </c>
      <c r="BN102" s="138">
        <v>-27602.020079999998</v>
      </c>
      <c r="BO102" s="138">
        <v>-27602.020079999998</v>
      </c>
      <c r="BP102" s="138">
        <v>-27602.020079999998</v>
      </c>
      <c r="BQ102" s="138">
        <v>-27602.020079999998</v>
      </c>
      <c r="BR102" s="138">
        <v>-27602.020079999998</v>
      </c>
      <c r="BS102" s="138">
        <v>-27602.020079999998</v>
      </c>
      <c r="BT102" s="138">
        <v>-27602.020079999998</v>
      </c>
      <c r="BU102" s="138">
        <v>-27602.020079999998</v>
      </c>
      <c r="BV102" s="138">
        <v>-27602.020079999998</v>
      </c>
      <c r="BW102" s="138">
        <v>-27602.020079999998</v>
      </c>
      <c r="BX102" s="138">
        <v>-27602.020079999998</v>
      </c>
      <c r="BY102" s="138">
        <v>-27602.020079999998</v>
      </c>
      <c r="BZ102" s="138">
        <v>-28154.060481600001</v>
      </c>
      <c r="CA102" s="138">
        <v>-28154.060481600001</v>
      </c>
      <c r="CB102" s="138">
        <v>-28154.060481600001</v>
      </c>
      <c r="CC102" s="138">
        <v>-28154.060481600001</v>
      </c>
      <c r="CD102" s="138">
        <v>-28154.060481600001</v>
      </c>
      <c r="CE102" s="138">
        <v>-28154.060481600001</v>
      </c>
      <c r="CF102" s="138">
        <v>-28154.060481600001</v>
      </c>
      <c r="CG102" s="138">
        <v>-28154.060481600001</v>
      </c>
      <c r="CH102" s="138">
        <v>-28154.060481600001</v>
      </c>
      <c r="CI102" s="138">
        <v>-28154.060481600001</v>
      </c>
      <c r="CJ102" s="138">
        <v>-28154.060481600001</v>
      </c>
      <c r="CK102" s="138">
        <v>-28154.060481600001</v>
      </c>
      <c r="CL102" s="138">
        <v>-28717.141691231998</v>
      </c>
      <c r="CM102" s="138">
        <v>-28717.141691231998</v>
      </c>
      <c r="CN102" s="138">
        <v>-28717.141691231998</v>
      </c>
      <c r="CO102" s="138">
        <v>-28717.141691231998</v>
      </c>
      <c r="CP102" s="138">
        <v>-28717.141691231998</v>
      </c>
      <c r="CQ102" s="138">
        <v>-28717.141691231998</v>
      </c>
      <c r="CR102" s="138">
        <v>-28717.141691231998</v>
      </c>
      <c r="CS102" s="138">
        <v>-28717.141691231998</v>
      </c>
      <c r="CT102" s="138">
        <v>-28717.141691231998</v>
      </c>
      <c r="CU102" s="138">
        <v>-28717.141691231998</v>
      </c>
      <c r="CV102" s="138">
        <v>-28717.141691231998</v>
      </c>
      <c r="CW102" s="138">
        <v>-28717.141691231998</v>
      </c>
      <c r="CX102" s="138">
        <v>-29291.4845250566</v>
      </c>
      <c r="CY102" s="138">
        <v>-29291.4845250566</v>
      </c>
      <c r="CZ102" s="138">
        <v>-29291.4845250566</v>
      </c>
      <c r="DA102" s="138">
        <v>-29291.4845250566</v>
      </c>
      <c r="DB102" s="138">
        <v>-29291.4845250566</v>
      </c>
      <c r="DC102" s="138">
        <v>-29291.4845250566</v>
      </c>
      <c r="DD102" s="138">
        <v>-29291.4845250566</v>
      </c>
      <c r="DE102" s="138">
        <v>-29291.4845250566</v>
      </c>
      <c r="DF102" s="138">
        <v>-29291.4845250566</v>
      </c>
    </row>
    <row r="103" spans="1:110" ht="15" customHeight="1" x14ac:dyDescent="0.25">
      <c r="A103" s="136" t="s">
        <v>91</v>
      </c>
      <c r="C103" s="335">
        <v>-4731.96</v>
      </c>
      <c r="D103" s="335">
        <v>-5</v>
      </c>
      <c r="E103" s="335">
        <v>-5</v>
      </c>
      <c r="F103" s="137">
        <v>-1580.65</v>
      </c>
      <c r="G103" s="137">
        <v>-1580.65</v>
      </c>
      <c r="H103" s="137">
        <v>-1580.65</v>
      </c>
      <c r="I103" s="137">
        <v>-1580.65</v>
      </c>
      <c r="J103" s="137">
        <v>-1580.65</v>
      </c>
      <c r="K103" s="137">
        <v>-1580.65</v>
      </c>
      <c r="L103" s="137">
        <v>-1580.65</v>
      </c>
      <c r="M103" s="137">
        <v>-1580.65</v>
      </c>
      <c r="N103" s="137">
        <v>-1580.65</v>
      </c>
      <c r="O103" s="137">
        <v>-1580.65</v>
      </c>
      <c r="P103" s="137">
        <v>-1580.65</v>
      </c>
      <c r="Q103" s="137">
        <v>-1580.65</v>
      </c>
      <c r="R103" s="137">
        <v>-1612.2629999999999</v>
      </c>
      <c r="S103" s="137">
        <v>-1612.2629999999999</v>
      </c>
      <c r="T103" s="137">
        <v>-1612.2629999999999</v>
      </c>
      <c r="U103" s="137">
        <v>-1612.2629999999999</v>
      </c>
      <c r="V103" s="137">
        <v>-1612.2629999999999</v>
      </c>
      <c r="W103" s="137">
        <v>-1612.2629999999999</v>
      </c>
      <c r="X103" s="137">
        <v>-1612.2629999999999</v>
      </c>
      <c r="Y103" s="137">
        <v>-1612.2629999999999</v>
      </c>
      <c r="Z103" s="137">
        <v>-1612.2629999999999</v>
      </c>
      <c r="AA103" s="137">
        <v>-1612.2629999999999</v>
      </c>
      <c r="AB103" s="137">
        <v>-1612.2629999999999</v>
      </c>
      <c r="AC103" s="137">
        <v>-1612.2629999999999</v>
      </c>
      <c r="AD103" s="137">
        <v>-1644.5082600000001</v>
      </c>
      <c r="AE103" s="137">
        <v>-1644.5082600000001</v>
      </c>
      <c r="AF103" s="137">
        <v>-1644.5082600000001</v>
      </c>
      <c r="AG103" s="137">
        <v>-1644.5082600000001</v>
      </c>
      <c r="AH103" s="137">
        <v>-1644.5082600000001</v>
      </c>
      <c r="AI103" s="137">
        <v>-1644.5082600000001</v>
      </c>
      <c r="AJ103" s="137">
        <v>-1644.5082600000001</v>
      </c>
      <c r="AK103" s="137">
        <v>-1644.5082600000001</v>
      </c>
      <c r="AL103" s="137">
        <v>-1644.5082600000001</v>
      </c>
      <c r="AM103" s="137">
        <v>-1644.5082600000001</v>
      </c>
      <c r="AN103" s="137">
        <v>-1644.5082600000001</v>
      </c>
      <c r="AO103" s="137">
        <v>-1644.5082600000001</v>
      </c>
      <c r="AP103" s="137">
        <v>-1677.3984252</v>
      </c>
      <c r="AQ103" s="137">
        <v>-1677.3984252</v>
      </c>
      <c r="AR103" s="137">
        <v>-1677.3984252</v>
      </c>
      <c r="AS103" s="137">
        <v>-1677.3984252</v>
      </c>
      <c r="AT103" s="137">
        <v>-1677.3984252</v>
      </c>
      <c r="AU103" s="137">
        <v>-1677.3984252</v>
      </c>
      <c r="AV103" s="137">
        <v>-1677.3984252</v>
      </c>
      <c r="AW103" s="137">
        <v>-1677.3984252</v>
      </c>
      <c r="AX103" s="137">
        <v>-1677.3984252</v>
      </c>
      <c r="AY103" s="137">
        <v>-1677.3984252</v>
      </c>
      <c r="AZ103" s="137">
        <v>-1677.3984252</v>
      </c>
      <c r="BA103" s="137">
        <v>-1677.3984252</v>
      </c>
      <c r="BB103" s="137">
        <v>-1710.946393704</v>
      </c>
      <c r="BC103" s="137">
        <v>-1710.946393704</v>
      </c>
      <c r="BD103" s="137">
        <v>-1710.946393704</v>
      </c>
      <c r="BE103" s="137">
        <v>-1710.946393704</v>
      </c>
      <c r="BF103" s="137">
        <v>-1710.946393704</v>
      </c>
      <c r="BG103" s="137">
        <v>-1710.946393704</v>
      </c>
      <c r="BH103" s="137">
        <v>-1710.946393704</v>
      </c>
      <c r="BI103" s="137">
        <v>-1710.946393704</v>
      </c>
      <c r="BJ103" s="137">
        <v>-1710.946393704</v>
      </c>
      <c r="BK103" s="137">
        <v>-1710.946393704</v>
      </c>
      <c r="BL103" s="137">
        <v>-1710.946393704</v>
      </c>
      <c r="BM103" s="137">
        <v>-1710.946393704</v>
      </c>
      <c r="BN103" s="137">
        <v>-1745.16532157808</v>
      </c>
      <c r="BO103" s="137">
        <v>-1745.16532157808</v>
      </c>
      <c r="BP103" s="137">
        <v>-1745.16532157808</v>
      </c>
      <c r="BQ103" s="137">
        <v>-1745.16532157808</v>
      </c>
      <c r="BR103" s="137">
        <v>-1745.16532157808</v>
      </c>
      <c r="BS103" s="137">
        <v>-1745.16532157808</v>
      </c>
      <c r="BT103" s="137">
        <v>-1745.16532157808</v>
      </c>
      <c r="BU103" s="137">
        <v>-1745.16532157808</v>
      </c>
      <c r="BV103" s="137">
        <v>-1745.16532157808</v>
      </c>
      <c r="BW103" s="137">
        <v>-1745.16532157808</v>
      </c>
      <c r="BX103" s="137">
        <v>-1745.16532157808</v>
      </c>
      <c r="BY103" s="137">
        <v>-1745.16532157808</v>
      </c>
      <c r="BZ103" s="137">
        <v>-1780.06862800964</v>
      </c>
      <c r="CA103" s="137">
        <v>-1780.06862800964</v>
      </c>
      <c r="CB103" s="137">
        <v>-1780.06862800964</v>
      </c>
      <c r="CC103" s="137">
        <v>-1780.06862800964</v>
      </c>
      <c r="CD103" s="137">
        <v>-1780.06862800964</v>
      </c>
      <c r="CE103" s="137">
        <v>-1780.06862800964</v>
      </c>
      <c r="CF103" s="137">
        <v>-1780.06862800964</v>
      </c>
      <c r="CG103" s="137">
        <v>-1780.06862800964</v>
      </c>
      <c r="CH103" s="137">
        <v>-1780.06862800964</v>
      </c>
      <c r="CI103" s="137">
        <v>-1780.06862800964</v>
      </c>
      <c r="CJ103" s="137">
        <v>-1780.06862800964</v>
      </c>
      <c r="CK103" s="137">
        <v>-1780.06862800964</v>
      </c>
      <c r="CL103" s="137">
        <v>-1815.6700005698301</v>
      </c>
      <c r="CM103" s="137">
        <v>-1815.6700005698301</v>
      </c>
      <c r="CN103" s="137">
        <v>-1815.6700005698301</v>
      </c>
      <c r="CO103" s="137">
        <v>-1815.6700005698301</v>
      </c>
      <c r="CP103" s="137">
        <v>-1815.6700005698301</v>
      </c>
      <c r="CQ103" s="137">
        <v>-1815.6700005698301</v>
      </c>
      <c r="CR103" s="137">
        <v>-1815.6700005698301</v>
      </c>
      <c r="CS103" s="137">
        <v>-1815.6700005698301</v>
      </c>
      <c r="CT103" s="137">
        <v>-1815.6700005698301</v>
      </c>
      <c r="CU103" s="137">
        <v>-1815.6700005698301</v>
      </c>
      <c r="CV103" s="137">
        <v>-1815.6700005698301</v>
      </c>
      <c r="CW103" s="137">
        <v>-1815.6700005698301</v>
      </c>
      <c r="CX103" s="137">
        <v>-1851.9834005812299</v>
      </c>
      <c r="CY103" s="137">
        <v>-1851.9834005812299</v>
      </c>
      <c r="CZ103" s="137">
        <v>-1851.9834005812299</v>
      </c>
      <c r="DA103" s="137">
        <v>-1851.9834005812299</v>
      </c>
      <c r="DB103" s="137">
        <v>-1851.9834005812299</v>
      </c>
      <c r="DC103" s="137">
        <v>-1851.9834005812299</v>
      </c>
      <c r="DD103" s="137">
        <v>-1851.9834005812299</v>
      </c>
      <c r="DE103" s="137">
        <v>-1851.9834005812299</v>
      </c>
      <c r="DF103" s="137">
        <v>-1851.9834005812299</v>
      </c>
    </row>
    <row r="104" spans="1:110" ht="15" customHeight="1" x14ac:dyDescent="0.25">
      <c r="A104" s="136" t="s">
        <v>92</v>
      </c>
      <c r="C104" s="335">
        <v>-658.14</v>
      </c>
      <c r="D104" s="335">
        <v>-310</v>
      </c>
      <c r="E104" s="335">
        <v>-371.74</v>
      </c>
      <c r="F104" s="137">
        <v>-446.63</v>
      </c>
      <c r="G104" s="137">
        <v>-446.63</v>
      </c>
      <c r="H104" s="137">
        <v>-446.63</v>
      </c>
      <c r="I104" s="137">
        <v>-446.63</v>
      </c>
      <c r="J104" s="137">
        <v>-446.63</v>
      </c>
      <c r="K104" s="137">
        <v>-446.63</v>
      </c>
      <c r="L104" s="137">
        <v>-446.63</v>
      </c>
      <c r="M104" s="137">
        <v>-446.63</v>
      </c>
      <c r="N104" s="137">
        <v>-446.63</v>
      </c>
      <c r="O104" s="137">
        <v>-446.63</v>
      </c>
      <c r="P104" s="137">
        <v>-446.63</v>
      </c>
      <c r="Q104" s="137">
        <v>-446.63</v>
      </c>
      <c r="R104" s="137">
        <v>-455.56259999999997</v>
      </c>
      <c r="S104" s="137">
        <v>-455.56259999999997</v>
      </c>
      <c r="T104" s="137">
        <v>-455.56259999999997</v>
      </c>
      <c r="U104" s="137">
        <v>-455.56259999999997</v>
      </c>
      <c r="V104" s="137">
        <v>-455.56259999999997</v>
      </c>
      <c r="W104" s="137">
        <v>-455.56259999999997</v>
      </c>
      <c r="X104" s="137">
        <v>-455.56259999999997</v>
      </c>
      <c r="Y104" s="137">
        <v>-455.56259999999997</v>
      </c>
      <c r="Z104" s="137">
        <v>-455.56259999999997</v>
      </c>
      <c r="AA104" s="137">
        <v>-455.56259999999997</v>
      </c>
      <c r="AB104" s="137">
        <v>-455.56259999999997</v>
      </c>
      <c r="AC104" s="137">
        <v>-455.56259999999997</v>
      </c>
      <c r="AD104" s="137">
        <v>-464.67385200000001</v>
      </c>
      <c r="AE104" s="137">
        <v>-464.67385200000001</v>
      </c>
      <c r="AF104" s="137">
        <v>-464.67385200000001</v>
      </c>
      <c r="AG104" s="137">
        <v>-464.67385200000001</v>
      </c>
      <c r="AH104" s="137">
        <v>-464.67385200000001</v>
      </c>
      <c r="AI104" s="137">
        <v>-464.67385200000001</v>
      </c>
      <c r="AJ104" s="137">
        <v>-464.67385200000001</v>
      </c>
      <c r="AK104" s="137">
        <v>-464.67385200000001</v>
      </c>
      <c r="AL104" s="137">
        <v>-464.67385200000001</v>
      </c>
      <c r="AM104" s="137">
        <v>-464.67385200000001</v>
      </c>
      <c r="AN104" s="137">
        <v>-464.67385200000001</v>
      </c>
      <c r="AO104" s="137">
        <v>-464.67385200000001</v>
      </c>
      <c r="AP104" s="137">
        <v>-473.96732903999998</v>
      </c>
      <c r="AQ104" s="137">
        <v>-473.96732903999998</v>
      </c>
      <c r="AR104" s="137">
        <v>-473.96732903999998</v>
      </c>
      <c r="AS104" s="137">
        <v>-473.96732903999998</v>
      </c>
      <c r="AT104" s="137">
        <v>-473.96732903999998</v>
      </c>
      <c r="AU104" s="137">
        <v>-473.96732903999998</v>
      </c>
      <c r="AV104" s="137">
        <v>-473.96732903999998</v>
      </c>
      <c r="AW104" s="137">
        <v>-473.96732903999998</v>
      </c>
      <c r="AX104" s="137">
        <v>-473.96732903999998</v>
      </c>
      <c r="AY104" s="137">
        <v>-473.96732903999998</v>
      </c>
      <c r="AZ104" s="137">
        <v>-473.96732903999998</v>
      </c>
      <c r="BA104" s="137">
        <v>-473.96732903999998</v>
      </c>
      <c r="BB104" s="137">
        <v>-483.44667562080002</v>
      </c>
      <c r="BC104" s="137">
        <v>-483.44667562080002</v>
      </c>
      <c r="BD104" s="137">
        <v>-483.44667562080002</v>
      </c>
      <c r="BE104" s="137">
        <v>-483.44667562080002</v>
      </c>
      <c r="BF104" s="137">
        <v>-483.44667562080002</v>
      </c>
      <c r="BG104" s="137">
        <v>-483.44667562080002</v>
      </c>
      <c r="BH104" s="137">
        <v>-483.44667562080002</v>
      </c>
      <c r="BI104" s="137">
        <v>-483.44667562080002</v>
      </c>
      <c r="BJ104" s="137">
        <v>-483.44667562080002</v>
      </c>
      <c r="BK104" s="137">
        <v>-483.44667562080002</v>
      </c>
      <c r="BL104" s="137">
        <v>-483.44667562080002</v>
      </c>
      <c r="BM104" s="137">
        <v>-483.44667562080002</v>
      </c>
      <c r="BN104" s="137">
        <v>-493.11560913321603</v>
      </c>
      <c r="BO104" s="137">
        <v>-493.11560913321603</v>
      </c>
      <c r="BP104" s="137">
        <v>-493.11560913321603</v>
      </c>
      <c r="BQ104" s="137">
        <v>-493.11560913321603</v>
      </c>
      <c r="BR104" s="137">
        <v>-493.11560913321603</v>
      </c>
      <c r="BS104" s="137">
        <v>-493.11560913321603</v>
      </c>
      <c r="BT104" s="137">
        <v>-493.11560913321603</v>
      </c>
      <c r="BU104" s="137">
        <v>-493.11560913321603</v>
      </c>
      <c r="BV104" s="137">
        <v>-493.11560913321603</v>
      </c>
      <c r="BW104" s="137">
        <v>-493.11560913321603</v>
      </c>
      <c r="BX104" s="137">
        <v>-493.11560913321603</v>
      </c>
      <c r="BY104" s="137">
        <v>-493.11560913321603</v>
      </c>
      <c r="BZ104" s="137">
        <v>-502.97792131588</v>
      </c>
      <c r="CA104" s="137">
        <v>-502.97792131588</v>
      </c>
      <c r="CB104" s="137">
        <v>-502.97792131588</v>
      </c>
      <c r="CC104" s="137">
        <v>-502.97792131588</v>
      </c>
      <c r="CD104" s="137">
        <v>-502.97792131588</v>
      </c>
      <c r="CE104" s="137">
        <v>-502.97792131588</v>
      </c>
      <c r="CF104" s="137">
        <v>-502.97792131588</v>
      </c>
      <c r="CG104" s="137">
        <v>-502.97792131588</v>
      </c>
      <c r="CH104" s="137">
        <v>-502.97792131588</v>
      </c>
      <c r="CI104" s="137">
        <v>-502.97792131588</v>
      </c>
      <c r="CJ104" s="137">
        <v>-502.97792131588</v>
      </c>
      <c r="CK104" s="137">
        <v>-502.97792131588</v>
      </c>
      <c r="CL104" s="137">
        <v>-513.037479742198</v>
      </c>
      <c r="CM104" s="137">
        <v>-513.037479742198</v>
      </c>
      <c r="CN104" s="137">
        <v>-513.037479742198</v>
      </c>
      <c r="CO104" s="137">
        <v>-513.037479742198</v>
      </c>
      <c r="CP104" s="137">
        <v>-513.037479742198</v>
      </c>
      <c r="CQ104" s="137">
        <v>-513.037479742198</v>
      </c>
      <c r="CR104" s="137">
        <v>-513.037479742198</v>
      </c>
      <c r="CS104" s="137">
        <v>-513.037479742198</v>
      </c>
      <c r="CT104" s="137">
        <v>-513.037479742198</v>
      </c>
      <c r="CU104" s="137">
        <v>-513.037479742198</v>
      </c>
      <c r="CV104" s="137">
        <v>-513.037479742198</v>
      </c>
      <c r="CW104" s="137">
        <v>-513.037479742198</v>
      </c>
      <c r="CX104" s="137">
        <v>-523.29822933704202</v>
      </c>
      <c r="CY104" s="137">
        <v>-523.29822933704202</v>
      </c>
      <c r="CZ104" s="137">
        <v>-523.29822933704202</v>
      </c>
      <c r="DA104" s="137">
        <v>-523.29822933704202</v>
      </c>
      <c r="DB104" s="137">
        <v>-523.29822933704202</v>
      </c>
      <c r="DC104" s="137">
        <v>-523.29822933704202</v>
      </c>
      <c r="DD104" s="137">
        <v>-523.29822933704202</v>
      </c>
      <c r="DE104" s="137">
        <v>-523.29822933704202</v>
      </c>
      <c r="DF104" s="137">
        <v>-523.29822933704202</v>
      </c>
    </row>
    <row r="105" spans="1:110" ht="15" customHeight="1" x14ac:dyDescent="0.25">
      <c r="A105" s="136" t="s">
        <v>124</v>
      </c>
      <c r="C105" s="335">
        <v>0</v>
      </c>
      <c r="D105" s="335">
        <v>0</v>
      </c>
      <c r="E105" s="335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7">
        <v>0</v>
      </c>
      <c r="L105" s="137">
        <v>0</v>
      </c>
      <c r="M105" s="137">
        <v>0</v>
      </c>
      <c r="N105" s="137">
        <v>0</v>
      </c>
      <c r="O105" s="137">
        <v>0</v>
      </c>
      <c r="P105" s="137">
        <v>0</v>
      </c>
      <c r="Q105" s="137">
        <v>0</v>
      </c>
      <c r="R105" s="137">
        <v>0</v>
      </c>
      <c r="S105" s="137">
        <v>0</v>
      </c>
      <c r="T105" s="137">
        <v>0</v>
      </c>
      <c r="U105" s="137">
        <v>0</v>
      </c>
      <c r="V105" s="137">
        <v>0</v>
      </c>
      <c r="W105" s="137">
        <v>0</v>
      </c>
      <c r="X105" s="137">
        <v>0</v>
      </c>
      <c r="Y105" s="137">
        <v>0</v>
      </c>
      <c r="Z105" s="137">
        <v>0</v>
      </c>
      <c r="AA105" s="137">
        <v>0</v>
      </c>
      <c r="AB105" s="137">
        <v>0</v>
      </c>
      <c r="AC105" s="137">
        <v>0</v>
      </c>
      <c r="AD105" s="137">
        <v>0</v>
      </c>
      <c r="AE105" s="137">
        <v>0</v>
      </c>
      <c r="AF105" s="137">
        <v>0</v>
      </c>
      <c r="AG105" s="137">
        <v>0</v>
      </c>
      <c r="AH105" s="137">
        <v>0</v>
      </c>
      <c r="AI105" s="137">
        <v>0</v>
      </c>
      <c r="AJ105" s="137">
        <v>0</v>
      </c>
      <c r="AK105" s="137">
        <v>0</v>
      </c>
      <c r="AL105" s="137">
        <v>0</v>
      </c>
      <c r="AM105" s="137">
        <v>0</v>
      </c>
      <c r="AN105" s="137">
        <v>0</v>
      </c>
      <c r="AO105" s="137">
        <v>0</v>
      </c>
      <c r="AP105" s="137">
        <v>0</v>
      </c>
      <c r="AQ105" s="137">
        <v>0</v>
      </c>
      <c r="AR105" s="137">
        <v>0</v>
      </c>
      <c r="AS105" s="137">
        <v>0</v>
      </c>
      <c r="AT105" s="137">
        <v>0</v>
      </c>
      <c r="AU105" s="137">
        <v>0</v>
      </c>
      <c r="AV105" s="137">
        <v>0</v>
      </c>
      <c r="AW105" s="137">
        <v>0</v>
      </c>
      <c r="AX105" s="137">
        <v>0</v>
      </c>
      <c r="AY105" s="137">
        <v>0</v>
      </c>
      <c r="AZ105" s="137">
        <v>0</v>
      </c>
      <c r="BA105" s="137">
        <v>0</v>
      </c>
      <c r="BB105" s="137">
        <v>0</v>
      </c>
      <c r="BC105" s="137">
        <v>0</v>
      </c>
      <c r="BD105" s="137">
        <v>0</v>
      </c>
      <c r="BE105" s="137">
        <v>0</v>
      </c>
      <c r="BF105" s="137">
        <v>0</v>
      </c>
      <c r="BG105" s="137">
        <v>0</v>
      </c>
      <c r="BH105" s="137">
        <v>0</v>
      </c>
      <c r="BI105" s="137">
        <v>0</v>
      </c>
      <c r="BJ105" s="137">
        <v>0</v>
      </c>
      <c r="BK105" s="137">
        <v>0</v>
      </c>
      <c r="BL105" s="137">
        <v>0</v>
      </c>
      <c r="BM105" s="137">
        <v>0</v>
      </c>
      <c r="BN105" s="137">
        <v>0</v>
      </c>
      <c r="BO105" s="137">
        <v>0</v>
      </c>
      <c r="BP105" s="137">
        <v>0</v>
      </c>
      <c r="BQ105" s="137">
        <v>0</v>
      </c>
      <c r="BR105" s="137">
        <v>0</v>
      </c>
      <c r="BS105" s="137">
        <v>0</v>
      </c>
      <c r="BT105" s="137">
        <v>0</v>
      </c>
      <c r="BU105" s="137">
        <v>0</v>
      </c>
      <c r="BV105" s="137">
        <v>0</v>
      </c>
      <c r="BW105" s="137">
        <v>0</v>
      </c>
      <c r="BX105" s="137">
        <v>0</v>
      </c>
      <c r="BY105" s="137">
        <v>0</v>
      </c>
      <c r="BZ105" s="137">
        <v>0</v>
      </c>
      <c r="CA105" s="137">
        <v>0</v>
      </c>
      <c r="CB105" s="137">
        <v>0</v>
      </c>
      <c r="CC105" s="137">
        <v>0</v>
      </c>
      <c r="CD105" s="137">
        <v>0</v>
      </c>
      <c r="CE105" s="137">
        <v>0</v>
      </c>
      <c r="CF105" s="137">
        <v>0</v>
      </c>
      <c r="CG105" s="137">
        <v>0</v>
      </c>
      <c r="CH105" s="137">
        <v>0</v>
      </c>
      <c r="CI105" s="137">
        <v>0</v>
      </c>
      <c r="CJ105" s="137">
        <v>0</v>
      </c>
      <c r="CK105" s="137">
        <v>0</v>
      </c>
      <c r="CL105" s="137">
        <v>0</v>
      </c>
      <c r="CM105" s="137">
        <v>0</v>
      </c>
      <c r="CN105" s="137">
        <v>0</v>
      </c>
      <c r="CO105" s="137">
        <v>0</v>
      </c>
      <c r="CP105" s="137">
        <v>0</v>
      </c>
      <c r="CQ105" s="137">
        <v>0</v>
      </c>
      <c r="CR105" s="137">
        <v>0</v>
      </c>
      <c r="CS105" s="137">
        <v>0</v>
      </c>
      <c r="CT105" s="137">
        <v>0</v>
      </c>
      <c r="CU105" s="137">
        <v>0</v>
      </c>
      <c r="CV105" s="137">
        <v>0</v>
      </c>
      <c r="CW105" s="137">
        <v>0</v>
      </c>
      <c r="CX105" s="137">
        <v>0</v>
      </c>
      <c r="CY105" s="137">
        <v>0</v>
      </c>
      <c r="CZ105" s="137">
        <v>0</v>
      </c>
      <c r="DA105" s="137">
        <v>0</v>
      </c>
      <c r="DB105" s="137">
        <v>0</v>
      </c>
      <c r="DC105" s="137">
        <v>0</v>
      </c>
      <c r="DD105" s="137">
        <v>0</v>
      </c>
      <c r="DE105" s="137">
        <v>0</v>
      </c>
      <c r="DF105" s="137">
        <v>0</v>
      </c>
    </row>
    <row r="106" spans="1:110" ht="15" customHeight="1" x14ac:dyDescent="0.25">
      <c r="A106" s="136" t="s">
        <v>125</v>
      </c>
      <c r="C106" s="335">
        <v>0</v>
      </c>
      <c r="D106" s="335">
        <v>0</v>
      </c>
      <c r="E106" s="335">
        <v>0</v>
      </c>
      <c r="F106" s="137">
        <v>0</v>
      </c>
      <c r="G106" s="137">
        <v>0</v>
      </c>
      <c r="H106" s="137">
        <v>0</v>
      </c>
      <c r="I106" s="137">
        <v>0</v>
      </c>
      <c r="J106" s="137">
        <v>0</v>
      </c>
      <c r="K106" s="137">
        <v>0</v>
      </c>
      <c r="L106" s="137">
        <v>0</v>
      </c>
      <c r="M106" s="137">
        <v>0</v>
      </c>
      <c r="N106" s="137">
        <v>0</v>
      </c>
      <c r="O106" s="137">
        <v>0</v>
      </c>
      <c r="P106" s="137">
        <v>0</v>
      </c>
      <c r="Q106" s="137">
        <v>0</v>
      </c>
      <c r="R106" s="137">
        <v>0</v>
      </c>
      <c r="S106" s="137">
        <v>0</v>
      </c>
      <c r="T106" s="137">
        <v>0</v>
      </c>
      <c r="U106" s="137">
        <v>0</v>
      </c>
      <c r="V106" s="137">
        <v>0</v>
      </c>
      <c r="W106" s="137">
        <v>0</v>
      </c>
      <c r="X106" s="137">
        <v>0</v>
      </c>
      <c r="Y106" s="137">
        <v>0</v>
      </c>
      <c r="Z106" s="137">
        <v>0</v>
      </c>
      <c r="AA106" s="137">
        <v>0</v>
      </c>
      <c r="AB106" s="137">
        <v>0</v>
      </c>
      <c r="AC106" s="137">
        <v>0</v>
      </c>
      <c r="AD106" s="137">
        <v>0</v>
      </c>
      <c r="AE106" s="137">
        <v>0</v>
      </c>
      <c r="AF106" s="137">
        <v>0</v>
      </c>
      <c r="AG106" s="137">
        <v>0</v>
      </c>
      <c r="AH106" s="137">
        <v>0</v>
      </c>
      <c r="AI106" s="137">
        <v>0</v>
      </c>
      <c r="AJ106" s="137">
        <v>0</v>
      </c>
      <c r="AK106" s="137">
        <v>0</v>
      </c>
      <c r="AL106" s="137">
        <v>0</v>
      </c>
      <c r="AM106" s="137">
        <v>0</v>
      </c>
      <c r="AN106" s="137">
        <v>0</v>
      </c>
      <c r="AO106" s="137">
        <v>0</v>
      </c>
      <c r="AP106" s="137">
        <v>0</v>
      </c>
      <c r="AQ106" s="137">
        <v>0</v>
      </c>
      <c r="AR106" s="137">
        <v>0</v>
      </c>
      <c r="AS106" s="137">
        <v>0</v>
      </c>
      <c r="AT106" s="137">
        <v>0</v>
      </c>
      <c r="AU106" s="137">
        <v>0</v>
      </c>
      <c r="AV106" s="137">
        <v>0</v>
      </c>
      <c r="AW106" s="137">
        <v>0</v>
      </c>
      <c r="AX106" s="137">
        <v>0</v>
      </c>
      <c r="AY106" s="137">
        <v>0</v>
      </c>
      <c r="AZ106" s="137">
        <v>0</v>
      </c>
      <c r="BA106" s="137">
        <v>0</v>
      </c>
      <c r="BB106" s="137">
        <v>0</v>
      </c>
      <c r="BC106" s="137">
        <v>0</v>
      </c>
      <c r="BD106" s="137">
        <v>0</v>
      </c>
      <c r="BE106" s="137">
        <v>0</v>
      </c>
      <c r="BF106" s="137">
        <v>0</v>
      </c>
      <c r="BG106" s="137">
        <v>0</v>
      </c>
      <c r="BH106" s="137">
        <v>0</v>
      </c>
      <c r="BI106" s="137">
        <v>0</v>
      </c>
      <c r="BJ106" s="137">
        <v>0</v>
      </c>
      <c r="BK106" s="137">
        <v>0</v>
      </c>
      <c r="BL106" s="137">
        <v>0</v>
      </c>
      <c r="BM106" s="137">
        <v>0</v>
      </c>
      <c r="BN106" s="137">
        <v>0</v>
      </c>
      <c r="BO106" s="137">
        <v>0</v>
      </c>
      <c r="BP106" s="137">
        <v>0</v>
      </c>
      <c r="BQ106" s="137">
        <v>0</v>
      </c>
      <c r="BR106" s="137">
        <v>0</v>
      </c>
      <c r="BS106" s="137">
        <v>0</v>
      </c>
      <c r="BT106" s="137">
        <v>0</v>
      </c>
      <c r="BU106" s="137">
        <v>0</v>
      </c>
      <c r="BV106" s="137">
        <v>0</v>
      </c>
      <c r="BW106" s="137">
        <v>0</v>
      </c>
      <c r="BX106" s="137">
        <v>0</v>
      </c>
      <c r="BY106" s="137">
        <v>0</v>
      </c>
      <c r="BZ106" s="137">
        <v>0</v>
      </c>
      <c r="CA106" s="137">
        <v>0</v>
      </c>
      <c r="CB106" s="137">
        <v>0</v>
      </c>
      <c r="CC106" s="137">
        <v>0</v>
      </c>
      <c r="CD106" s="137">
        <v>0</v>
      </c>
      <c r="CE106" s="137">
        <v>0</v>
      </c>
      <c r="CF106" s="137">
        <v>0</v>
      </c>
      <c r="CG106" s="137">
        <v>0</v>
      </c>
      <c r="CH106" s="137">
        <v>0</v>
      </c>
      <c r="CI106" s="137">
        <v>0</v>
      </c>
      <c r="CJ106" s="137">
        <v>0</v>
      </c>
      <c r="CK106" s="137">
        <v>0</v>
      </c>
      <c r="CL106" s="137">
        <v>0</v>
      </c>
      <c r="CM106" s="137">
        <v>0</v>
      </c>
      <c r="CN106" s="137">
        <v>0</v>
      </c>
      <c r="CO106" s="137">
        <v>0</v>
      </c>
      <c r="CP106" s="137">
        <v>0</v>
      </c>
      <c r="CQ106" s="137">
        <v>0</v>
      </c>
      <c r="CR106" s="137">
        <v>0</v>
      </c>
      <c r="CS106" s="137">
        <v>0</v>
      </c>
      <c r="CT106" s="137">
        <v>0</v>
      </c>
      <c r="CU106" s="137">
        <v>0</v>
      </c>
      <c r="CV106" s="137">
        <v>0</v>
      </c>
      <c r="CW106" s="137">
        <v>0</v>
      </c>
      <c r="CX106" s="137">
        <v>0</v>
      </c>
      <c r="CY106" s="137">
        <v>0</v>
      </c>
      <c r="CZ106" s="137">
        <v>0</v>
      </c>
      <c r="DA106" s="137">
        <v>0</v>
      </c>
      <c r="DB106" s="137">
        <v>0</v>
      </c>
      <c r="DC106" s="137">
        <v>0</v>
      </c>
      <c r="DD106" s="137">
        <v>0</v>
      </c>
      <c r="DE106" s="137">
        <v>0</v>
      </c>
      <c r="DF106" s="137">
        <v>0</v>
      </c>
    </row>
    <row r="107" spans="1:110" ht="15" customHeight="1" x14ac:dyDescent="0.25">
      <c r="A107" s="136" t="s">
        <v>126</v>
      </c>
      <c r="C107" s="335">
        <v>0</v>
      </c>
      <c r="D107" s="335">
        <v>0</v>
      </c>
      <c r="E107" s="335">
        <v>0</v>
      </c>
      <c r="F107" s="137">
        <v>0</v>
      </c>
      <c r="G107" s="137">
        <v>0</v>
      </c>
      <c r="H107" s="137">
        <v>0</v>
      </c>
      <c r="I107" s="137">
        <v>0</v>
      </c>
      <c r="J107" s="137">
        <v>0</v>
      </c>
      <c r="K107" s="137">
        <v>0</v>
      </c>
      <c r="L107" s="137">
        <v>0</v>
      </c>
      <c r="M107" s="137">
        <v>0</v>
      </c>
      <c r="N107" s="137">
        <v>0</v>
      </c>
      <c r="O107" s="137">
        <v>0</v>
      </c>
      <c r="P107" s="137">
        <v>0</v>
      </c>
      <c r="Q107" s="137">
        <v>0</v>
      </c>
      <c r="R107" s="137">
        <v>0</v>
      </c>
      <c r="S107" s="137">
        <v>0</v>
      </c>
      <c r="T107" s="137">
        <v>0</v>
      </c>
      <c r="U107" s="137">
        <v>0</v>
      </c>
      <c r="V107" s="137">
        <v>0</v>
      </c>
      <c r="W107" s="137">
        <v>0</v>
      </c>
      <c r="X107" s="137">
        <v>0</v>
      </c>
      <c r="Y107" s="137">
        <v>0</v>
      </c>
      <c r="Z107" s="137">
        <v>0</v>
      </c>
      <c r="AA107" s="137">
        <v>0</v>
      </c>
      <c r="AB107" s="137">
        <v>0</v>
      </c>
      <c r="AC107" s="137">
        <v>0</v>
      </c>
      <c r="AD107" s="137">
        <v>0</v>
      </c>
      <c r="AE107" s="137">
        <v>0</v>
      </c>
      <c r="AF107" s="137">
        <v>0</v>
      </c>
      <c r="AG107" s="137">
        <v>0</v>
      </c>
      <c r="AH107" s="137">
        <v>0</v>
      </c>
      <c r="AI107" s="137">
        <v>0</v>
      </c>
      <c r="AJ107" s="137">
        <v>0</v>
      </c>
      <c r="AK107" s="137">
        <v>0</v>
      </c>
      <c r="AL107" s="137">
        <v>0</v>
      </c>
      <c r="AM107" s="137">
        <v>0</v>
      </c>
      <c r="AN107" s="137">
        <v>0</v>
      </c>
      <c r="AO107" s="137">
        <v>0</v>
      </c>
      <c r="AP107" s="137">
        <v>0</v>
      </c>
      <c r="AQ107" s="137">
        <v>0</v>
      </c>
      <c r="AR107" s="137">
        <v>0</v>
      </c>
      <c r="AS107" s="137">
        <v>0</v>
      </c>
      <c r="AT107" s="137">
        <v>0</v>
      </c>
      <c r="AU107" s="137">
        <v>-81683</v>
      </c>
      <c r="AV107" s="137">
        <v>0</v>
      </c>
      <c r="AW107" s="137">
        <v>0</v>
      </c>
      <c r="AX107" s="137">
        <v>-81682</v>
      </c>
      <c r="AY107" s="137">
        <v>0</v>
      </c>
      <c r="AZ107" s="137">
        <v>0</v>
      </c>
      <c r="BA107" s="137">
        <v>-81682</v>
      </c>
      <c r="BB107" s="137">
        <v>0</v>
      </c>
      <c r="BC107" s="137">
        <v>0</v>
      </c>
      <c r="BD107" s="137">
        <v>-81682</v>
      </c>
      <c r="BE107" s="137">
        <v>0</v>
      </c>
      <c r="BF107" s="137">
        <v>0</v>
      </c>
      <c r="BG107" s="137">
        <v>-59178</v>
      </c>
      <c r="BH107" s="137">
        <v>0</v>
      </c>
      <c r="BI107" s="137">
        <v>0</v>
      </c>
      <c r="BJ107" s="137">
        <v>-59176</v>
      </c>
      <c r="BK107" s="137">
        <v>0</v>
      </c>
      <c r="BL107" s="137">
        <v>0</v>
      </c>
      <c r="BM107" s="137">
        <v>-59176</v>
      </c>
      <c r="BN107" s="137">
        <v>0</v>
      </c>
      <c r="BO107" s="137">
        <v>0</v>
      </c>
      <c r="BP107" s="137">
        <v>-59176</v>
      </c>
      <c r="BQ107" s="137">
        <v>0</v>
      </c>
      <c r="BR107" s="137">
        <v>0</v>
      </c>
      <c r="BS107" s="137">
        <v>-16249.48</v>
      </c>
      <c r="BT107" s="137">
        <v>0</v>
      </c>
      <c r="BU107" s="137">
        <v>0</v>
      </c>
      <c r="BV107" s="137">
        <v>0</v>
      </c>
      <c r="BW107" s="137">
        <v>0</v>
      </c>
      <c r="BX107" s="137">
        <v>0</v>
      </c>
      <c r="BY107" s="137">
        <v>0</v>
      </c>
      <c r="BZ107" s="137">
        <v>0</v>
      </c>
      <c r="CA107" s="137">
        <v>0</v>
      </c>
      <c r="CB107" s="137">
        <v>0</v>
      </c>
      <c r="CC107" s="137">
        <v>0</v>
      </c>
      <c r="CD107" s="137">
        <v>0</v>
      </c>
      <c r="CE107" s="137">
        <v>0</v>
      </c>
      <c r="CF107" s="137">
        <v>0</v>
      </c>
      <c r="CG107" s="137">
        <v>0</v>
      </c>
      <c r="CH107" s="137">
        <v>0</v>
      </c>
      <c r="CI107" s="137">
        <v>0</v>
      </c>
      <c r="CJ107" s="137">
        <v>0</v>
      </c>
      <c r="CK107" s="137">
        <v>0</v>
      </c>
      <c r="CL107" s="137">
        <v>0</v>
      </c>
      <c r="CM107" s="137">
        <v>0</v>
      </c>
      <c r="CN107" s="137">
        <v>0</v>
      </c>
      <c r="CO107" s="137">
        <v>0</v>
      </c>
      <c r="CP107" s="137">
        <v>0</v>
      </c>
      <c r="CQ107" s="137">
        <v>0</v>
      </c>
      <c r="CR107" s="137">
        <v>0</v>
      </c>
      <c r="CS107" s="137">
        <v>0</v>
      </c>
      <c r="CT107" s="137">
        <v>0</v>
      </c>
      <c r="CU107" s="137">
        <v>0</v>
      </c>
      <c r="CV107" s="137">
        <v>0</v>
      </c>
      <c r="CW107" s="137">
        <v>0</v>
      </c>
      <c r="CX107" s="137">
        <v>0</v>
      </c>
      <c r="CY107" s="137">
        <v>0</v>
      </c>
      <c r="CZ107" s="137">
        <v>0</v>
      </c>
      <c r="DA107" s="137">
        <v>0</v>
      </c>
      <c r="DB107" s="137">
        <v>0</v>
      </c>
      <c r="DC107" s="137">
        <v>0</v>
      </c>
      <c r="DD107" s="137">
        <v>0</v>
      </c>
      <c r="DE107" s="137">
        <v>0</v>
      </c>
      <c r="DF107" s="137">
        <v>0</v>
      </c>
    </row>
    <row r="108" spans="1:110" ht="15" customHeight="1" x14ac:dyDescent="0.25">
      <c r="A108" s="136" t="s">
        <v>127</v>
      </c>
      <c r="C108" s="335">
        <v>0</v>
      </c>
      <c r="D108" s="335">
        <v>0</v>
      </c>
      <c r="E108" s="335">
        <v>0</v>
      </c>
      <c r="F108" s="137">
        <v>0</v>
      </c>
      <c r="G108" s="137">
        <v>0</v>
      </c>
      <c r="H108" s="137">
        <v>0</v>
      </c>
      <c r="I108" s="137">
        <v>0</v>
      </c>
      <c r="J108" s="137">
        <v>0</v>
      </c>
      <c r="K108" s="137">
        <v>0</v>
      </c>
      <c r="L108" s="137">
        <v>0</v>
      </c>
      <c r="M108" s="137">
        <v>0</v>
      </c>
      <c r="N108" s="137">
        <v>0</v>
      </c>
      <c r="O108" s="137">
        <v>0</v>
      </c>
      <c r="P108" s="137">
        <v>0</v>
      </c>
      <c r="Q108" s="137">
        <v>0</v>
      </c>
      <c r="R108" s="137">
        <v>0</v>
      </c>
      <c r="S108" s="137">
        <v>0</v>
      </c>
      <c r="T108" s="137">
        <v>0</v>
      </c>
      <c r="U108" s="137">
        <v>0</v>
      </c>
      <c r="V108" s="137">
        <v>0</v>
      </c>
      <c r="W108" s="137">
        <v>0</v>
      </c>
      <c r="X108" s="137">
        <v>0</v>
      </c>
      <c r="Y108" s="137">
        <v>0</v>
      </c>
      <c r="Z108" s="137">
        <v>0</v>
      </c>
      <c r="AA108" s="137">
        <v>0</v>
      </c>
      <c r="AB108" s="137">
        <v>0</v>
      </c>
      <c r="AC108" s="137">
        <v>0</v>
      </c>
      <c r="AD108" s="137">
        <v>0</v>
      </c>
      <c r="AE108" s="137">
        <v>0</v>
      </c>
      <c r="AF108" s="137">
        <v>0</v>
      </c>
      <c r="AG108" s="137">
        <v>0</v>
      </c>
      <c r="AH108" s="137">
        <v>0</v>
      </c>
      <c r="AI108" s="137">
        <v>0</v>
      </c>
      <c r="AJ108" s="137">
        <v>0</v>
      </c>
      <c r="AK108" s="137">
        <v>0</v>
      </c>
      <c r="AL108" s="137">
        <v>0</v>
      </c>
      <c r="AM108" s="137">
        <v>0</v>
      </c>
      <c r="AN108" s="137">
        <v>0</v>
      </c>
      <c r="AO108" s="137">
        <v>0</v>
      </c>
      <c r="AP108" s="137">
        <v>0</v>
      </c>
      <c r="AQ108" s="137">
        <v>0</v>
      </c>
      <c r="AR108" s="137">
        <v>0</v>
      </c>
      <c r="AS108" s="137">
        <v>0</v>
      </c>
      <c r="AT108" s="137">
        <v>0</v>
      </c>
      <c r="AU108" s="137">
        <v>0</v>
      </c>
      <c r="AV108" s="137">
        <v>0</v>
      </c>
      <c r="AW108" s="137">
        <v>0</v>
      </c>
      <c r="AX108" s="137">
        <v>0</v>
      </c>
      <c r="AY108" s="137">
        <v>0</v>
      </c>
      <c r="AZ108" s="137">
        <v>0</v>
      </c>
      <c r="BA108" s="137">
        <v>0</v>
      </c>
      <c r="BB108" s="137">
        <v>0</v>
      </c>
      <c r="BC108" s="137">
        <v>0</v>
      </c>
      <c r="BD108" s="137">
        <v>-851839</v>
      </c>
      <c r="BE108" s="137">
        <v>0</v>
      </c>
      <c r="BF108" s="137">
        <v>0</v>
      </c>
      <c r="BG108" s="137">
        <v>-71700</v>
      </c>
      <c r="BH108" s="137">
        <v>0</v>
      </c>
      <c r="BI108" s="137">
        <v>0</v>
      </c>
      <c r="BJ108" s="137">
        <v>-71700</v>
      </c>
      <c r="BK108" s="137">
        <v>0</v>
      </c>
      <c r="BL108" s="137">
        <v>0</v>
      </c>
      <c r="BM108" s="137">
        <v>-71700</v>
      </c>
      <c r="BN108" s="137">
        <v>0</v>
      </c>
      <c r="BO108" s="137">
        <v>0</v>
      </c>
      <c r="BP108" s="137">
        <v>-71700</v>
      </c>
      <c r="BQ108" s="137">
        <v>0</v>
      </c>
      <c r="BR108" s="137">
        <v>0</v>
      </c>
      <c r="BS108" s="137">
        <v>-74643</v>
      </c>
      <c r="BT108" s="137">
        <v>0</v>
      </c>
      <c r="BU108" s="137">
        <v>0</v>
      </c>
      <c r="BV108" s="137">
        <v>-74640</v>
      </c>
      <c r="BW108" s="137">
        <v>0</v>
      </c>
      <c r="BX108" s="137">
        <v>0</v>
      </c>
      <c r="BY108" s="137">
        <v>-74640</v>
      </c>
      <c r="BZ108" s="137">
        <v>0</v>
      </c>
      <c r="CA108" s="137">
        <v>0</v>
      </c>
      <c r="CB108" s="137">
        <v>-74640</v>
      </c>
      <c r="CC108" s="137">
        <v>0</v>
      </c>
      <c r="CD108" s="137">
        <v>0</v>
      </c>
      <c r="CE108" s="137">
        <v>-81363</v>
      </c>
      <c r="CF108" s="137">
        <v>0</v>
      </c>
      <c r="CG108" s="137">
        <v>0</v>
      </c>
      <c r="CH108" s="137">
        <v>-81362</v>
      </c>
      <c r="CI108" s="137">
        <v>0</v>
      </c>
      <c r="CJ108" s="137">
        <v>0</v>
      </c>
      <c r="CK108" s="137">
        <v>-74753.973393520806</v>
      </c>
      <c r="CL108" s="137">
        <v>0</v>
      </c>
      <c r="CM108" s="137">
        <v>0</v>
      </c>
      <c r="CN108" s="137">
        <v>0</v>
      </c>
      <c r="CO108" s="137">
        <v>0</v>
      </c>
      <c r="CP108" s="137">
        <v>0</v>
      </c>
      <c r="CQ108" s="137">
        <v>0</v>
      </c>
      <c r="CR108" s="137">
        <v>0</v>
      </c>
      <c r="CS108" s="137">
        <v>0</v>
      </c>
      <c r="CT108" s="137">
        <v>0</v>
      </c>
      <c r="CU108" s="137">
        <v>0</v>
      </c>
      <c r="CV108" s="137">
        <v>0</v>
      </c>
      <c r="CW108" s="137">
        <v>0</v>
      </c>
      <c r="CX108" s="137">
        <v>0</v>
      </c>
      <c r="CY108" s="137">
        <v>0</v>
      </c>
      <c r="CZ108" s="137">
        <v>0</v>
      </c>
      <c r="DA108" s="137">
        <v>0</v>
      </c>
      <c r="DB108" s="137">
        <v>0</v>
      </c>
      <c r="DC108" s="137">
        <v>0</v>
      </c>
      <c r="DD108" s="137">
        <v>0</v>
      </c>
      <c r="DE108" s="137">
        <v>0</v>
      </c>
      <c r="DF108" s="137">
        <v>0</v>
      </c>
    </row>
    <row r="109" spans="1:110" ht="15" customHeight="1" x14ac:dyDescent="0.25">
      <c r="A109" s="136" t="s">
        <v>128</v>
      </c>
      <c r="C109" s="335">
        <v>0</v>
      </c>
      <c r="D109" s="335">
        <v>0</v>
      </c>
      <c r="E109" s="335">
        <v>0</v>
      </c>
      <c r="F109" s="137">
        <v>0</v>
      </c>
      <c r="G109" s="137">
        <v>0</v>
      </c>
      <c r="H109" s="137">
        <v>0</v>
      </c>
      <c r="I109" s="137">
        <v>0</v>
      </c>
      <c r="J109" s="137">
        <v>0</v>
      </c>
      <c r="K109" s="137">
        <v>0</v>
      </c>
      <c r="L109" s="137">
        <v>0</v>
      </c>
      <c r="M109" s="137">
        <v>0</v>
      </c>
      <c r="N109" s="137">
        <v>0</v>
      </c>
      <c r="O109" s="137">
        <v>0</v>
      </c>
      <c r="P109" s="137">
        <v>0</v>
      </c>
      <c r="Q109" s="137">
        <v>0</v>
      </c>
      <c r="R109" s="137">
        <v>0</v>
      </c>
      <c r="S109" s="137">
        <v>0</v>
      </c>
      <c r="T109" s="137">
        <v>0</v>
      </c>
      <c r="U109" s="137">
        <v>0</v>
      </c>
      <c r="V109" s="137">
        <v>0</v>
      </c>
      <c r="W109" s="137">
        <v>0</v>
      </c>
      <c r="X109" s="137">
        <v>0</v>
      </c>
      <c r="Y109" s="137">
        <v>0</v>
      </c>
      <c r="Z109" s="137">
        <v>0</v>
      </c>
      <c r="AA109" s="137">
        <v>0</v>
      </c>
      <c r="AB109" s="137">
        <v>0</v>
      </c>
      <c r="AC109" s="137">
        <v>0</v>
      </c>
      <c r="AD109" s="137">
        <v>0</v>
      </c>
      <c r="AE109" s="137">
        <v>0</v>
      </c>
      <c r="AF109" s="137">
        <v>0</v>
      </c>
      <c r="AG109" s="137">
        <v>0</v>
      </c>
      <c r="AH109" s="137">
        <v>0</v>
      </c>
      <c r="AI109" s="137">
        <v>0</v>
      </c>
      <c r="AJ109" s="137">
        <v>0</v>
      </c>
      <c r="AK109" s="137">
        <v>0</v>
      </c>
      <c r="AL109" s="137">
        <v>0</v>
      </c>
      <c r="AM109" s="137">
        <v>0</v>
      </c>
      <c r="AN109" s="137">
        <v>0</v>
      </c>
      <c r="AO109" s="137">
        <v>0</v>
      </c>
      <c r="AP109" s="137">
        <v>0</v>
      </c>
      <c r="AQ109" s="137">
        <v>0</v>
      </c>
      <c r="AR109" s="137">
        <v>0</v>
      </c>
      <c r="AS109" s="137">
        <v>0</v>
      </c>
      <c r="AT109" s="137">
        <v>0</v>
      </c>
      <c r="AU109" s="137">
        <v>0</v>
      </c>
      <c r="AV109" s="137">
        <v>0</v>
      </c>
      <c r="AW109" s="137">
        <v>0</v>
      </c>
      <c r="AX109" s="137">
        <v>0</v>
      </c>
      <c r="AY109" s="137">
        <v>0</v>
      </c>
      <c r="AZ109" s="137">
        <v>0</v>
      </c>
      <c r="BA109" s="137">
        <v>0</v>
      </c>
      <c r="BB109" s="137">
        <v>0</v>
      </c>
      <c r="BC109" s="137">
        <v>0</v>
      </c>
      <c r="BD109" s="137">
        <v>0</v>
      </c>
      <c r="BE109" s="137">
        <v>0</v>
      </c>
      <c r="BF109" s="137">
        <v>0</v>
      </c>
      <c r="BG109" s="137">
        <v>0</v>
      </c>
      <c r="BH109" s="137">
        <v>0</v>
      </c>
      <c r="BI109" s="137">
        <v>0</v>
      </c>
      <c r="BJ109" s="137">
        <v>0</v>
      </c>
      <c r="BK109" s="137">
        <v>0</v>
      </c>
      <c r="BL109" s="137">
        <v>0</v>
      </c>
      <c r="BM109" s="137">
        <v>0</v>
      </c>
      <c r="BN109" s="137">
        <v>0</v>
      </c>
      <c r="BO109" s="137">
        <v>0</v>
      </c>
      <c r="BP109" s="137">
        <v>0</v>
      </c>
      <c r="BQ109" s="137">
        <v>0</v>
      </c>
      <c r="BR109" s="137">
        <v>0</v>
      </c>
      <c r="BS109" s="137">
        <v>0</v>
      </c>
      <c r="BT109" s="137">
        <v>0</v>
      </c>
      <c r="BU109" s="137">
        <v>0</v>
      </c>
      <c r="BV109" s="137">
        <v>0</v>
      </c>
      <c r="BW109" s="137">
        <v>0</v>
      </c>
      <c r="BX109" s="137">
        <v>0</v>
      </c>
      <c r="BY109" s="137">
        <v>0</v>
      </c>
      <c r="BZ109" s="137">
        <v>0</v>
      </c>
      <c r="CA109" s="137">
        <v>0</v>
      </c>
      <c r="CB109" s="137">
        <v>-73156</v>
      </c>
      <c r="CC109" s="137">
        <v>0</v>
      </c>
      <c r="CD109" s="137">
        <v>0</v>
      </c>
      <c r="CE109" s="137">
        <v>-73155</v>
      </c>
      <c r="CF109" s="137">
        <v>0</v>
      </c>
      <c r="CG109" s="137">
        <v>0</v>
      </c>
      <c r="CH109" s="137">
        <v>-73155</v>
      </c>
      <c r="CI109" s="137">
        <v>0</v>
      </c>
      <c r="CJ109" s="137">
        <v>0</v>
      </c>
      <c r="CK109" s="137">
        <v>-73155</v>
      </c>
      <c r="CL109" s="137">
        <v>-73155</v>
      </c>
      <c r="CM109" s="137">
        <v>-73155</v>
      </c>
      <c r="CN109" s="137">
        <v>-73155</v>
      </c>
      <c r="CO109" s="137">
        <v>-73155</v>
      </c>
      <c r="CP109" s="137">
        <v>-73155</v>
      </c>
      <c r="CQ109" s="137">
        <v>-73155</v>
      </c>
      <c r="CR109" s="137">
        <v>-73155</v>
      </c>
      <c r="CS109" s="137">
        <v>-73155</v>
      </c>
      <c r="CT109" s="137">
        <v>-73155</v>
      </c>
      <c r="CU109" s="137">
        <v>-73155</v>
      </c>
      <c r="CV109" s="137">
        <v>-73155</v>
      </c>
      <c r="CW109" s="137">
        <v>-73155</v>
      </c>
      <c r="CX109" s="137">
        <v>-17446.848936407201</v>
      </c>
      <c r="CY109" s="137">
        <v>0</v>
      </c>
      <c r="CZ109" s="137">
        <v>0</v>
      </c>
      <c r="DA109" s="137">
        <v>0</v>
      </c>
      <c r="DB109" s="137">
        <v>0</v>
      </c>
      <c r="DC109" s="137">
        <v>0</v>
      </c>
      <c r="DD109" s="137">
        <v>0</v>
      </c>
      <c r="DE109" s="137">
        <v>0</v>
      </c>
      <c r="DF109" s="137">
        <v>0</v>
      </c>
    </row>
    <row r="110" spans="1:110" ht="15" customHeight="1" x14ac:dyDescent="0.25">
      <c r="A110" s="99" t="s">
        <v>129</v>
      </c>
      <c r="C110" s="141">
        <v>-196623.84</v>
      </c>
      <c r="D110" s="141">
        <v>-189707.12</v>
      </c>
      <c r="E110" s="141">
        <v>-242129.22</v>
      </c>
      <c r="F110" s="141">
        <v>-78090.091666666631</v>
      </c>
      <c r="G110" s="141">
        <v>-78090.091666666631</v>
      </c>
      <c r="H110" s="141">
        <v>-78090.091666666631</v>
      </c>
      <c r="I110" s="141">
        <v>-78090.091666666631</v>
      </c>
      <c r="J110" s="141">
        <v>-78090.091666666631</v>
      </c>
      <c r="K110" s="141">
        <v>-78090.091666666631</v>
      </c>
      <c r="L110" s="141">
        <v>-78090.091666666631</v>
      </c>
      <c r="M110" s="141">
        <v>-78090.091666666631</v>
      </c>
      <c r="N110" s="141">
        <v>-78090.091666666631</v>
      </c>
      <c r="O110" s="141">
        <v>-78090.091666666631</v>
      </c>
      <c r="P110" s="141">
        <v>-78090.091666666631</v>
      </c>
      <c r="Q110" s="141">
        <v>-78090.091666666631</v>
      </c>
      <c r="R110" s="141">
        <v>-79651.893500000006</v>
      </c>
      <c r="S110" s="141">
        <v>-79651.893500000006</v>
      </c>
      <c r="T110" s="141">
        <v>-79651.893500000006</v>
      </c>
      <c r="U110" s="141">
        <v>-79651.893500000006</v>
      </c>
      <c r="V110" s="141">
        <v>-79651.893500000006</v>
      </c>
      <c r="W110" s="141">
        <v>-79651.893500000006</v>
      </c>
      <c r="X110" s="141">
        <v>-79651.893500000006</v>
      </c>
      <c r="Y110" s="141">
        <v>-79651.893500000006</v>
      </c>
      <c r="Z110" s="141">
        <v>-79651.893500000006</v>
      </c>
      <c r="AA110" s="141">
        <v>-79651.893500000006</v>
      </c>
      <c r="AB110" s="141">
        <v>-79651.893500000006</v>
      </c>
      <c r="AC110" s="141">
        <v>-79651.893500000006</v>
      </c>
      <c r="AD110" s="141">
        <v>-81244.931370000006</v>
      </c>
      <c r="AE110" s="141">
        <v>-81244.931370000006</v>
      </c>
      <c r="AF110" s="141">
        <v>-81244.931370000006</v>
      </c>
      <c r="AG110" s="141">
        <v>-81244.931370000006</v>
      </c>
      <c r="AH110" s="141">
        <v>-81244.931370000006</v>
      </c>
      <c r="AI110" s="141">
        <v>-81244.931370000006</v>
      </c>
      <c r="AJ110" s="141">
        <v>-81244.931370000006</v>
      </c>
      <c r="AK110" s="141">
        <v>-81244.931370000006</v>
      </c>
      <c r="AL110" s="141">
        <v>-81244.931370000006</v>
      </c>
      <c r="AM110" s="141">
        <v>-81244.931370000006</v>
      </c>
      <c r="AN110" s="141">
        <v>-81244.931370000006</v>
      </c>
      <c r="AO110" s="141">
        <v>-81244.931370000006</v>
      </c>
      <c r="AP110" s="141">
        <v>-82869.829997399982</v>
      </c>
      <c r="AQ110" s="141">
        <v>-82869.829997399982</v>
      </c>
      <c r="AR110" s="141">
        <v>-82869.829997399982</v>
      </c>
      <c r="AS110" s="141">
        <v>-82869.829997399982</v>
      </c>
      <c r="AT110" s="141">
        <v>-82869.829997399982</v>
      </c>
      <c r="AU110" s="141">
        <v>-164552.8299974</v>
      </c>
      <c r="AV110" s="141">
        <v>-82869.829997399982</v>
      </c>
      <c r="AW110" s="141">
        <v>-82869.829997399982</v>
      </c>
      <c r="AX110" s="141">
        <v>-164551.8299974</v>
      </c>
      <c r="AY110" s="141">
        <v>-82869.829997399982</v>
      </c>
      <c r="AZ110" s="141">
        <v>-82869.829997399982</v>
      </c>
      <c r="BA110" s="141">
        <v>-164551.8299974</v>
      </c>
      <c r="BB110" s="141">
        <v>-84527.226597347995</v>
      </c>
      <c r="BC110" s="141">
        <v>-84527.226597347995</v>
      </c>
      <c r="BD110" s="141">
        <v>-1018048.226597348</v>
      </c>
      <c r="BE110" s="141">
        <v>-84527.226597347995</v>
      </c>
      <c r="BF110" s="141">
        <v>-84527.226597347995</v>
      </c>
      <c r="BG110" s="141">
        <v>-215405.226597348</v>
      </c>
      <c r="BH110" s="141">
        <v>-84527.226597347995</v>
      </c>
      <c r="BI110" s="141">
        <v>-84527.226597347995</v>
      </c>
      <c r="BJ110" s="141">
        <v>-215403.226597348</v>
      </c>
      <c r="BK110" s="141">
        <v>-84527.226597347995</v>
      </c>
      <c r="BL110" s="141">
        <v>-84527.226597347995</v>
      </c>
      <c r="BM110" s="141">
        <v>-215403.226597348</v>
      </c>
      <c r="BN110" s="141">
        <v>-86217.771129294968</v>
      </c>
      <c r="BO110" s="141">
        <v>-86217.771129294968</v>
      </c>
      <c r="BP110" s="141">
        <v>-217093.771129295</v>
      </c>
      <c r="BQ110" s="141">
        <v>-86217.771129294968</v>
      </c>
      <c r="BR110" s="141">
        <v>-86217.771129294968</v>
      </c>
      <c r="BS110" s="141">
        <v>-177110.25112929501</v>
      </c>
      <c r="BT110" s="141">
        <v>-86217.771129294968</v>
      </c>
      <c r="BU110" s="141">
        <v>-86217.771129294968</v>
      </c>
      <c r="BV110" s="141">
        <v>-160857.771129295</v>
      </c>
      <c r="BW110" s="141">
        <v>-86217.771129294968</v>
      </c>
      <c r="BX110" s="141">
        <v>-86217.771129294968</v>
      </c>
      <c r="BY110" s="141">
        <v>-160857.771129295</v>
      </c>
      <c r="BZ110" s="141">
        <v>-87942.126551880865</v>
      </c>
      <c r="CA110" s="141">
        <v>-87942.126551880865</v>
      </c>
      <c r="CB110" s="141">
        <v>-235738.126551881</v>
      </c>
      <c r="CC110" s="141">
        <v>-87942.126551880865</v>
      </c>
      <c r="CD110" s="141">
        <v>-87942.126551880865</v>
      </c>
      <c r="CE110" s="141">
        <v>-242460.126551881</v>
      </c>
      <c r="CF110" s="141">
        <v>-87942.126551880865</v>
      </c>
      <c r="CG110" s="141">
        <v>-87942.126551880865</v>
      </c>
      <c r="CH110" s="141">
        <v>-242459.126551881</v>
      </c>
      <c r="CI110" s="141">
        <v>-87942.126551880865</v>
      </c>
      <c r="CJ110" s="141">
        <v>-87942.126551880865</v>
      </c>
      <c r="CK110" s="141">
        <v>-235851.09994540201</v>
      </c>
      <c r="CL110" s="141">
        <v>-162855.96908291799</v>
      </c>
      <c r="CM110" s="141">
        <v>-162855.96908291799</v>
      </c>
      <c r="CN110" s="141">
        <v>-162855.96908291799</v>
      </c>
      <c r="CO110" s="141">
        <v>-162855.96908291799</v>
      </c>
      <c r="CP110" s="141">
        <v>-162855.96908291799</v>
      </c>
      <c r="CQ110" s="141">
        <v>-162855.96908291799</v>
      </c>
      <c r="CR110" s="141">
        <v>-162855.96908291799</v>
      </c>
      <c r="CS110" s="141">
        <v>-162855.96908291799</v>
      </c>
      <c r="CT110" s="141">
        <v>-162855.96908291799</v>
      </c>
      <c r="CU110" s="141">
        <v>-160947.47570802199</v>
      </c>
      <c r="CV110" s="141">
        <v>-160947.47570802199</v>
      </c>
      <c r="CW110" s="141">
        <v>-160947.47570802199</v>
      </c>
      <c r="CX110" s="141">
        <v>-106995.17415859</v>
      </c>
      <c r="CY110" s="141">
        <v>-89548.325222182422</v>
      </c>
      <c r="CZ110" s="141">
        <v>-89548.325222182422</v>
      </c>
      <c r="DA110" s="141">
        <v>-89548.325222182422</v>
      </c>
      <c r="DB110" s="141">
        <v>-89548.325222182422</v>
      </c>
      <c r="DC110" s="141">
        <v>-89548.325222182422</v>
      </c>
      <c r="DD110" s="141">
        <v>-89548.325222182422</v>
      </c>
      <c r="DE110" s="141">
        <v>-89548.325222182422</v>
      </c>
      <c r="DF110" s="141">
        <v>-89548.325222182422</v>
      </c>
    </row>
    <row r="111" spans="1:110" ht="15" customHeight="1" x14ac:dyDescent="0.25">
      <c r="A111" s="97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5"/>
      <c r="AB111" s="335"/>
      <c r="AC111" s="335"/>
      <c r="AD111" s="335"/>
      <c r="AE111" s="335"/>
      <c r="AF111" s="335"/>
      <c r="AG111" s="335"/>
      <c r="AH111" s="335"/>
      <c r="AI111" s="335"/>
      <c r="AJ111" s="335"/>
      <c r="AK111" s="335"/>
      <c r="AL111" s="335"/>
      <c r="AM111" s="335"/>
      <c r="AN111" s="335"/>
      <c r="AO111" s="335"/>
      <c r="AP111" s="335"/>
      <c r="AQ111" s="335"/>
      <c r="AR111" s="335"/>
      <c r="AS111" s="335"/>
      <c r="AT111" s="335"/>
      <c r="AU111" s="335"/>
      <c r="AV111" s="335"/>
      <c r="AW111" s="335"/>
      <c r="AX111" s="335"/>
      <c r="AY111" s="335"/>
      <c r="AZ111" s="335"/>
      <c r="BA111" s="335"/>
      <c r="BB111" s="335"/>
      <c r="BC111" s="335"/>
      <c r="BD111" s="335"/>
      <c r="BE111" s="335"/>
      <c r="BF111" s="335"/>
      <c r="BG111" s="335"/>
      <c r="BH111" s="335"/>
      <c r="BI111" s="335"/>
      <c r="BJ111" s="335"/>
      <c r="BK111" s="335"/>
      <c r="BL111" s="335"/>
      <c r="BM111" s="335"/>
      <c r="BN111" s="335"/>
      <c r="BO111" s="335"/>
      <c r="BP111" s="335"/>
      <c r="BQ111" s="335"/>
      <c r="BR111" s="335"/>
      <c r="BS111" s="335"/>
      <c r="BT111" s="335"/>
      <c r="BU111" s="335"/>
      <c r="BV111" s="335"/>
      <c r="BW111" s="335"/>
      <c r="BX111" s="335"/>
      <c r="BY111" s="335"/>
      <c r="BZ111" s="335"/>
      <c r="CA111" s="335"/>
      <c r="CB111" s="335"/>
      <c r="CC111" s="335"/>
      <c r="CD111" s="335"/>
      <c r="CE111" s="335"/>
      <c r="CF111" s="335"/>
      <c r="CG111" s="335"/>
      <c r="CH111" s="335"/>
      <c r="CI111" s="335"/>
      <c r="CJ111" s="335"/>
      <c r="CK111" s="335"/>
      <c r="CL111" s="335"/>
      <c r="CM111" s="335"/>
      <c r="CN111" s="335"/>
      <c r="CO111" s="335"/>
      <c r="CP111" s="335"/>
      <c r="CQ111" s="335"/>
      <c r="CR111" s="335"/>
      <c r="CS111" s="335"/>
      <c r="CT111" s="335"/>
      <c r="CU111" s="335"/>
      <c r="CV111" s="335"/>
      <c r="CW111" s="335"/>
      <c r="CX111" s="335"/>
      <c r="CY111" s="335"/>
      <c r="CZ111" s="335"/>
      <c r="DA111" s="335"/>
      <c r="DB111" s="335"/>
      <c r="DC111" s="335"/>
      <c r="DD111" s="335"/>
      <c r="DE111" s="335"/>
      <c r="DF111" s="335"/>
    </row>
    <row r="112" spans="1:110" ht="15" customHeight="1" x14ac:dyDescent="0.25">
      <c r="A112" s="97" t="s">
        <v>32</v>
      </c>
      <c r="C112" s="143">
        <v>-162509.26</v>
      </c>
      <c r="D112" s="143">
        <v>-155592.54</v>
      </c>
      <c r="E112" s="143">
        <v>-208014.64</v>
      </c>
      <c r="F112" s="143">
        <v>-34475.511666666629</v>
      </c>
      <c r="G112" s="143">
        <v>-34475.511666666629</v>
      </c>
      <c r="H112" s="143">
        <v>-34475.511666666629</v>
      </c>
      <c r="I112" s="143">
        <v>-34475.511666666629</v>
      </c>
      <c r="J112" s="143">
        <v>-34475.511666666629</v>
      </c>
      <c r="K112" s="143">
        <v>-35308.841666666631</v>
      </c>
      <c r="L112" s="143">
        <v>-35308.841666666631</v>
      </c>
      <c r="M112" s="143">
        <v>-44683.841666666631</v>
      </c>
      <c r="N112" s="143">
        <v>-44683.841666666631</v>
      </c>
      <c r="O112" s="143">
        <v>-44683.841666666631</v>
      </c>
      <c r="P112" s="143">
        <v>-44683.841666666631</v>
      </c>
      <c r="Q112" s="143">
        <v>-44683.841666666631</v>
      </c>
      <c r="R112" s="143">
        <v>-46245.643500000013</v>
      </c>
      <c r="S112" s="143">
        <v>-46245.643500000013</v>
      </c>
      <c r="T112" s="143">
        <v>-46245.643500000013</v>
      </c>
      <c r="U112" s="143">
        <v>-70151.893500000006</v>
      </c>
      <c r="V112" s="143">
        <v>-70151.893500000006</v>
      </c>
      <c r="W112" s="143">
        <v>-70151.893500000006</v>
      </c>
      <c r="X112" s="143">
        <v>-70151.893500000006</v>
      </c>
      <c r="Y112" s="143">
        <v>-70151.893500000006</v>
      </c>
      <c r="Z112" s="143">
        <v>-12776.893500000009</v>
      </c>
      <c r="AA112" s="143">
        <v>-70151.893500000006</v>
      </c>
      <c r="AB112" s="143">
        <v>-70151.893500000006</v>
      </c>
      <c r="AC112" s="143">
        <v>-12776.893500000009</v>
      </c>
      <c r="AD112" s="143">
        <v>-71744.931370000006</v>
      </c>
      <c r="AE112" s="143">
        <v>-71744.931370000006</v>
      </c>
      <c r="AF112" s="143">
        <v>-14369.931370000009</v>
      </c>
      <c r="AG112" s="143">
        <v>-71744.931370000006</v>
      </c>
      <c r="AH112" s="143">
        <v>-71744.931370000006</v>
      </c>
      <c r="AI112" s="143">
        <v>-71744.931370000006</v>
      </c>
      <c r="AJ112" s="143">
        <v>-81244.931370000006</v>
      </c>
      <c r="AK112" s="143">
        <v>-81244.931370000006</v>
      </c>
      <c r="AL112" s="143">
        <v>-81244.931370000006</v>
      </c>
      <c r="AM112" s="143">
        <v>-81244.931370000006</v>
      </c>
      <c r="AN112" s="143">
        <v>-81244.931370000006</v>
      </c>
      <c r="AO112" s="143">
        <v>-81244.931370000006</v>
      </c>
      <c r="AP112" s="143">
        <v>-82869.829997399982</v>
      </c>
      <c r="AQ112" s="143">
        <v>-82869.829997399982</v>
      </c>
      <c r="AR112" s="143">
        <v>-82869.829997399982</v>
      </c>
      <c r="AS112" s="143">
        <v>-82869.829997399982</v>
      </c>
      <c r="AT112" s="143">
        <v>-82869.829997399982</v>
      </c>
      <c r="AU112" s="143">
        <v>-82869.829997399997</v>
      </c>
      <c r="AV112" s="143">
        <v>-82869.829997399982</v>
      </c>
      <c r="AW112" s="143">
        <v>-82869.829997399982</v>
      </c>
      <c r="AX112" s="143">
        <v>-82869.829997399997</v>
      </c>
      <c r="AY112" s="143">
        <v>-82869.829997399982</v>
      </c>
      <c r="AZ112" s="143">
        <v>-82869.829997399982</v>
      </c>
      <c r="BA112" s="143">
        <v>-82869.829997399997</v>
      </c>
      <c r="BB112" s="143">
        <v>-84527.226597347995</v>
      </c>
      <c r="BC112" s="143">
        <v>-84527.226597347995</v>
      </c>
      <c r="BD112" s="143">
        <v>-84527.226597347995</v>
      </c>
      <c r="BE112" s="143">
        <v>-84527.226597347995</v>
      </c>
      <c r="BF112" s="143">
        <v>-84527.226597347995</v>
      </c>
      <c r="BG112" s="143">
        <v>-84527.226597347995</v>
      </c>
      <c r="BH112" s="143">
        <v>-84527.226597347995</v>
      </c>
      <c r="BI112" s="143">
        <v>-84527.226597347995</v>
      </c>
      <c r="BJ112" s="143">
        <v>-84527.226597347995</v>
      </c>
      <c r="BK112" s="143">
        <v>-84527.226597347995</v>
      </c>
      <c r="BL112" s="143">
        <v>-84527.226597347995</v>
      </c>
      <c r="BM112" s="143">
        <v>-84527.226597347995</v>
      </c>
      <c r="BN112" s="143">
        <v>-86217.771129294968</v>
      </c>
      <c r="BO112" s="143">
        <v>-86217.771129294968</v>
      </c>
      <c r="BP112" s="143">
        <v>-86217.771129294968</v>
      </c>
      <c r="BQ112" s="143">
        <v>-86217.771129294968</v>
      </c>
      <c r="BR112" s="143">
        <v>-86217.771129294968</v>
      </c>
      <c r="BS112" s="143">
        <v>-34704.251129294978</v>
      </c>
      <c r="BT112" s="143">
        <v>-86217.771129294968</v>
      </c>
      <c r="BU112" s="143">
        <v>-86217.771129294968</v>
      </c>
      <c r="BV112" s="143">
        <v>-18455.771129294972</v>
      </c>
      <c r="BW112" s="143">
        <v>-86217.771129294968</v>
      </c>
      <c r="BX112" s="143">
        <v>-86217.771129294968</v>
      </c>
      <c r="BY112" s="143">
        <v>-18455.771129294972</v>
      </c>
      <c r="BZ112" s="143">
        <v>-87942.126551880865</v>
      </c>
      <c r="CA112" s="143">
        <v>-87942.126551880865</v>
      </c>
      <c r="CB112" s="143">
        <v>-20180.126551880901</v>
      </c>
      <c r="CC112" s="143">
        <v>-87942.126551880865</v>
      </c>
      <c r="CD112" s="143">
        <v>-87942.126551880865</v>
      </c>
      <c r="CE112" s="143">
        <v>-11443.1265518809</v>
      </c>
      <c r="CF112" s="143">
        <v>-87942.126551880865</v>
      </c>
      <c r="CG112" s="143">
        <v>-87942.126551880865</v>
      </c>
      <c r="CH112" s="143">
        <v>-11443.1265518809</v>
      </c>
      <c r="CI112" s="143">
        <v>-87942.126551880865</v>
      </c>
      <c r="CJ112" s="143">
        <v>-87942.126551880865</v>
      </c>
      <c r="CK112" s="143">
        <v>-4835.0999454016301</v>
      </c>
      <c r="CL112" s="143">
        <v>68160.030917081502</v>
      </c>
      <c r="CM112" s="143">
        <v>68160.030917081502</v>
      </c>
      <c r="CN112" s="143">
        <v>68160.030917081502</v>
      </c>
      <c r="CO112" s="143">
        <v>68160.030917081502</v>
      </c>
      <c r="CP112" s="143">
        <v>68160.030917081502</v>
      </c>
      <c r="CQ112" s="143">
        <v>68160.030917081502</v>
      </c>
      <c r="CR112" s="143">
        <v>68160.030917081502</v>
      </c>
      <c r="CS112" s="143">
        <v>68160.030917081502</v>
      </c>
      <c r="CT112" s="143">
        <v>68160.030917081502</v>
      </c>
      <c r="CU112" s="143">
        <v>70068.524291977999</v>
      </c>
      <c r="CV112" s="143">
        <v>70068.524291977999</v>
      </c>
      <c r="CW112" s="143">
        <v>70068.524291977999</v>
      </c>
      <c r="CX112" s="143">
        <v>124020.82584141</v>
      </c>
      <c r="CY112" s="143">
        <v>141467.67477781759</v>
      </c>
      <c r="CZ112" s="143">
        <v>141467.67477781759</v>
      </c>
      <c r="DA112" s="143">
        <v>141467.67477781759</v>
      </c>
      <c r="DB112" s="143">
        <v>141467.67477781759</v>
      </c>
      <c r="DC112" s="143">
        <v>141467.67477781759</v>
      </c>
      <c r="DD112" s="143">
        <v>141467.67477781759</v>
      </c>
      <c r="DE112" s="143">
        <v>141467.67477781759</v>
      </c>
      <c r="DF112" s="143">
        <v>141467.67477781759</v>
      </c>
    </row>
  </sheetData>
  <sheetProtection sheet="1" objects="1" scenarios="1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2C3A51"/>
  </sheetPr>
  <dimension ref="A1:S46"/>
  <sheetViews>
    <sheetView zoomScale="85" zoomScaleNormal="85" workbookViewId="0"/>
  </sheetViews>
  <sheetFormatPr defaultColWidth="8.7109375" defaultRowHeight="15" customHeight="1" x14ac:dyDescent="0.25"/>
  <cols>
    <col min="1" max="2" width="14" customWidth="1"/>
    <col min="3" max="12" width="12" customWidth="1"/>
    <col min="13" max="13" width="9" customWidth="1"/>
    <col min="14" max="19" width="16" customWidth="1"/>
  </cols>
  <sheetData>
    <row r="1" spans="1:19" ht="27.75" customHeight="1" x14ac:dyDescent="0.25">
      <c r="A1" s="318" t="s">
        <v>295</v>
      </c>
      <c r="B1" s="318" t="s">
        <v>296</v>
      </c>
      <c r="C1" s="318" t="s">
        <v>297</v>
      </c>
      <c r="D1" s="318" t="s">
        <v>298</v>
      </c>
      <c r="E1" s="318" t="s">
        <v>299</v>
      </c>
      <c r="F1" s="318" t="s">
        <v>300</v>
      </c>
      <c r="G1" s="318" t="s">
        <v>301</v>
      </c>
      <c r="H1" s="318" t="s">
        <v>302</v>
      </c>
      <c r="I1" s="318" t="s">
        <v>303</v>
      </c>
      <c r="J1" s="318" t="s">
        <v>304</v>
      </c>
      <c r="K1" s="318" t="s">
        <v>305</v>
      </c>
      <c r="L1" s="318" t="s">
        <v>306</v>
      </c>
      <c r="N1" s="318" t="s">
        <v>307</v>
      </c>
      <c r="O1" s="318" t="s">
        <v>308</v>
      </c>
      <c r="P1" s="318" t="s">
        <v>309</v>
      </c>
      <c r="Q1" s="318" t="s">
        <v>310</v>
      </c>
      <c r="R1" s="318" t="s">
        <v>311</v>
      </c>
      <c r="S1" s="318" t="s">
        <v>312</v>
      </c>
    </row>
    <row r="2" spans="1:19" ht="15" customHeight="1" x14ac:dyDescent="0.25">
      <c r="A2" s="144" t="s">
        <v>313</v>
      </c>
      <c r="B2" s="145">
        <v>7126075</v>
      </c>
      <c r="C2" s="146">
        <v>1</v>
      </c>
      <c r="D2" s="146">
        <v>8</v>
      </c>
      <c r="E2" s="146">
        <v>2</v>
      </c>
      <c r="F2" s="146" t="s">
        <v>314</v>
      </c>
      <c r="G2" s="146" t="s">
        <v>315</v>
      </c>
      <c r="H2" s="146">
        <v>0</v>
      </c>
      <c r="I2" s="147">
        <f>IF(H2=1,Assumptions!$B$16,IF(H2=2,Assumptions!$B$17,0))</f>
        <v>0</v>
      </c>
      <c r="J2" s="146" t="s">
        <v>314</v>
      </c>
      <c r="K2" s="146" t="s">
        <v>314</v>
      </c>
      <c r="L2" s="146" t="s">
        <v>316</v>
      </c>
      <c r="N2" s="145">
        <v>194932</v>
      </c>
      <c r="O2" s="145">
        <f>B2*Assumptions!$B$11</f>
        <v>367676.9657</v>
      </c>
      <c r="P2" s="145">
        <v>46323</v>
      </c>
      <c r="Q2" s="145">
        <f t="shared" ref="Q2:Q14" si="0">N2+O2+P2</f>
        <v>608931.96570000006</v>
      </c>
      <c r="R2" s="145">
        <f t="shared" ref="R2:R14" si="1">Q2*0.05</f>
        <v>30446.598285000004</v>
      </c>
      <c r="S2" s="144">
        <f t="shared" ref="S2:S14" si="2">C2+D2-1</f>
        <v>8</v>
      </c>
    </row>
    <row r="3" spans="1:19" ht="15" customHeight="1" x14ac:dyDescent="0.25">
      <c r="A3" s="144" t="s">
        <v>317</v>
      </c>
      <c r="B3" s="145">
        <v>20176449</v>
      </c>
      <c r="C3" s="146">
        <v>1</v>
      </c>
      <c r="D3" s="146">
        <v>16</v>
      </c>
      <c r="E3" s="146">
        <v>2</v>
      </c>
      <c r="F3" s="146" t="s">
        <v>314</v>
      </c>
      <c r="G3" s="146" t="s">
        <v>315</v>
      </c>
      <c r="H3" s="146">
        <v>0</v>
      </c>
      <c r="I3" s="147">
        <f>IF(H3=1,Assumptions!$B$16,IF(H3=2,Assumptions!$B$17,0))</f>
        <v>0</v>
      </c>
      <c r="J3" s="146" t="s">
        <v>314</v>
      </c>
      <c r="K3" s="146" t="s">
        <v>314</v>
      </c>
      <c r="L3" s="146" t="s">
        <v>316</v>
      </c>
      <c r="N3" s="145">
        <v>888067</v>
      </c>
      <c r="O3" s="145">
        <f>B3*Assumptions!$B$11</f>
        <v>1041024.0626040001</v>
      </c>
      <c r="P3" s="145">
        <v>176626</v>
      </c>
      <c r="Q3" s="145">
        <f t="shared" si="0"/>
        <v>2105717.0626039999</v>
      </c>
      <c r="R3" s="145">
        <f t="shared" si="1"/>
        <v>105285.8531302</v>
      </c>
      <c r="S3" s="144">
        <f t="shared" si="2"/>
        <v>16</v>
      </c>
    </row>
    <row r="4" spans="1:19" ht="15" customHeight="1" x14ac:dyDescent="0.25">
      <c r="A4" s="144" t="s">
        <v>166</v>
      </c>
      <c r="B4" s="145">
        <v>11929880</v>
      </c>
      <c r="C4" s="146">
        <v>1</v>
      </c>
      <c r="D4" s="146">
        <v>15</v>
      </c>
      <c r="E4" s="146">
        <v>3</v>
      </c>
      <c r="F4" s="146" t="s">
        <v>315</v>
      </c>
      <c r="G4" s="146" t="s">
        <v>315</v>
      </c>
      <c r="H4" s="146">
        <v>1</v>
      </c>
      <c r="I4" s="147">
        <f>IF(H4=1,Assumptions!$B$16,IF(H4=2,Assumptions!$B$17,0))</f>
        <v>7.4000000000000003E-3</v>
      </c>
      <c r="J4" s="146" t="s">
        <v>314</v>
      </c>
      <c r="K4" s="146" t="s">
        <v>315</v>
      </c>
      <c r="L4" s="146" t="s">
        <v>318</v>
      </c>
      <c r="N4" s="145">
        <f>B4*Assumptions!$B$10</f>
        <v>615534.08848000003</v>
      </c>
      <c r="O4" s="145">
        <f>B4*Assumptions!$B$11</f>
        <v>615534.08848000003</v>
      </c>
      <c r="P4" s="145">
        <f>B4*Assumptions!$B$12</f>
        <v>205182.00611999998</v>
      </c>
      <c r="Q4" s="145">
        <f t="shared" si="0"/>
        <v>1436250.1830800001</v>
      </c>
      <c r="R4" s="145">
        <f t="shared" si="1"/>
        <v>71812.509154000014</v>
      </c>
      <c r="S4" s="144">
        <f t="shared" si="2"/>
        <v>15</v>
      </c>
    </row>
    <row r="5" spans="1:19" ht="15" customHeight="1" x14ac:dyDescent="0.25">
      <c r="A5" s="144" t="s">
        <v>167</v>
      </c>
      <c r="B5" s="145">
        <v>14427884</v>
      </c>
      <c r="C5" s="146">
        <v>1</v>
      </c>
      <c r="D5" s="146">
        <v>15</v>
      </c>
      <c r="E5" s="146">
        <v>3</v>
      </c>
      <c r="F5" s="146" t="s">
        <v>315</v>
      </c>
      <c r="G5" s="146" t="s">
        <v>315</v>
      </c>
      <c r="H5" s="146">
        <v>1</v>
      </c>
      <c r="I5" s="147">
        <f>IF(H5=1,Assumptions!$B$16,IF(H5=2,Assumptions!$B$17,0))</f>
        <v>7.4000000000000003E-3</v>
      </c>
      <c r="J5" s="146" t="s">
        <v>314</v>
      </c>
      <c r="K5" s="146" t="s">
        <v>315</v>
      </c>
      <c r="L5" s="146" t="s">
        <v>318</v>
      </c>
      <c r="N5" s="145">
        <f>B5*Assumptions!$B$10</f>
        <v>744421.10286400001</v>
      </c>
      <c r="O5" s="145">
        <f>B5*Assumptions!$B$11</f>
        <v>744421.10286400001</v>
      </c>
      <c r="P5" s="145">
        <f>B5*Assumptions!$B$12</f>
        <v>248145.176916</v>
      </c>
      <c r="Q5" s="145">
        <f t="shared" si="0"/>
        <v>1736987.382644</v>
      </c>
      <c r="R5" s="145">
        <f t="shared" si="1"/>
        <v>86849.369132200009</v>
      </c>
      <c r="S5" s="144">
        <f t="shared" si="2"/>
        <v>15</v>
      </c>
    </row>
    <row r="6" spans="1:19" ht="15" customHeight="1" x14ac:dyDescent="0.25">
      <c r="A6" s="144" t="s">
        <v>319</v>
      </c>
      <c r="B6" s="145">
        <v>3623245</v>
      </c>
      <c r="C6" s="146">
        <v>1</v>
      </c>
      <c r="D6" s="146">
        <v>19</v>
      </c>
      <c r="E6" s="146">
        <v>3</v>
      </c>
      <c r="F6" s="146" t="s">
        <v>314</v>
      </c>
      <c r="G6" s="146" t="s">
        <v>315</v>
      </c>
      <c r="H6" s="146">
        <v>0</v>
      </c>
      <c r="I6" s="147">
        <f>IF(H6=1,Assumptions!$B$16,IF(H6=2,Assumptions!$B$17,0))</f>
        <v>0</v>
      </c>
      <c r="J6" s="146" t="s">
        <v>314</v>
      </c>
      <c r="K6" s="146" t="s">
        <v>315</v>
      </c>
      <c r="L6" s="146" t="s">
        <v>318</v>
      </c>
      <c r="N6" s="145">
        <v>245000</v>
      </c>
      <c r="O6" s="145">
        <f>B6*Assumptions!$B$11</f>
        <v>186944.94902</v>
      </c>
      <c r="P6" s="145">
        <v>0</v>
      </c>
      <c r="Q6" s="145">
        <f t="shared" si="0"/>
        <v>431944.94902</v>
      </c>
      <c r="R6" s="145">
        <f t="shared" si="1"/>
        <v>21597.247451000003</v>
      </c>
      <c r="S6" s="144">
        <f t="shared" si="2"/>
        <v>19</v>
      </c>
    </row>
    <row r="7" spans="1:19" ht="15" customHeight="1" x14ac:dyDescent="0.25">
      <c r="A7" s="144" t="s">
        <v>168</v>
      </c>
      <c r="B7" s="145">
        <v>42968448</v>
      </c>
      <c r="C7" s="146">
        <v>4</v>
      </c>
      <c r="D7" s="146">
        <v>30</v>
      </c>
      <c r="E7" s="146">
        <v>1</v>
      </c>
      <c r="F7" s="146" t="s">
        <v>315</v>
      </c>
      <c r="G7" s="146" t="s">
        <v>315</v>
      </c>
      <c r="H7" s="146">
        <v>1</v>
      </c>
      <c r="I7" s="147">
        <f>IF(H7=1,Assumptions!$B$16,IF(H7=2,Assumptions!$B$17,0))</f>
        <v>7.4000000000000003E-3</v>
      </c>
      <c r="J7" s="146" t="s">
        <v>315</v>
      </c>
      <c r="K7" s="146" t="s">
        <v>315</v>
      </c>
      <c r="L7" s="146" t="s">
        <v>316</v>
      </c>
      <c r="N7" s="145">
        <f>B7*Assumptions!$B$10</f>
        <v>2217000.0430080001</v>
      </c>
      <c r="O7" s="145">
        <f>B7*Assumptions!$B$11</f>
        <v>2217000.0430080001</v>
      </c>
      <c r="P7" s="145">
        <f>B7*Assumptions!$B$12</f>
        <v>739014.33715199993</v>
      </c>
      <c r="Q7" s="145">
        <f t="shared" si="0"/>
        <v>5173014.4231679998</v>
      </c>
      <c r="R7" s="145">
        <f t="shared" si="1"/>
        <v>258650.7211584</v>
      </c>
      <c r="S7" s="144">
        <f t="shared" si="2"/>
        <v>33</v>
      </c>
    </row>
    <row r="8" spans="1:19" ht="15" customHeight="1" x14ac:dyDescent="0.25">
      <c r="A8" s="144" t="s">
        <v>169</v>
      </c>
      <c r="B8" s="145">
        <v>13625772</v>
      </c>
      <c r="C8" s="146">
        <v>7</v>
      </c>
      <c r="D8" s="146">
        <v>19</v>
      </c>
      <c r="E8" s="146">
        <v>3</v>
      </c>
      <c r="F8" s="146" t="s">
        <v>315</v>
      </c>
      <c r="G8" s="146" t="s">
        <v>315</v>
      </c>
      <c r="H8" s="146">
        <v>1</v>
      </c>
      <c r="I8" s="147">
        <f>IF(H8=1,Assumptions!$B$16,IF(H8=2,Assumptions!$B$17,0))</f>
        <v>7.4000000000000003E-3</v>
      </c>
      <c r="J8" s="146" t="s">
        <v>314</v>
      </c>
      <c r="K8" s="146" t="s">
        <v>315</v>
      </c>
      <c r="L8" s="146" t="s">
        <v>318</v>
      </c>
      <c r="N8" s="145">
        <f>B8*Assumptions!$B$10</f>
        <v>703035.33211200009</v>
      </c>
      <c r="O8" s="145">
        <f>B8*Assumptions!$B$11</f>
        <v>703035.33211200009</v>
      </c>
      <c r="P8" s="145">
        <f>B8*Assumptions!$B$12</f>
        <v>234349.65262799998</v>
      </c>
      <c r="Q8" s="145">
        <f t="shared" si="0"/>
        <v>1640420.3168520001</v>
      </c>
      <c r="R8" s="145">
        <f t="shared" si="1"/>
        <v>82021.015842600013</v>
      </c>
      <c r="S8" s="144">
        <f t="shared" si="2"/>
        <v>25</v>
      </c>
    </row>
    <row r="9" spans="1:19" ht="15" customHeight="1" x14ac:dyDescent="0.25">
      <c r="A9" s="144" t="s">
        <v>170</v>
      </c>
      <c r="B9" s="145">
        <v>15844883</v>
      </c>
      <c r="C9" s="146">
        <v>7</v>
      </c>
      <c r="D9" s="146">
        <v>30</v>
      </c>
      <c r="E9" s="146">
        <v>1</v>
      </c>
      <c r="F9" s="146" t="s">
        <v>315</v>
      </c>
      <c r="G9" s="146" t="s">
        <v>315</v>
      </c>
      <c r="H9" s="146">
        <v>1</v>
      </c>
      <c r="I9" s="147">
        <f>IF(H9=1,Assumptions!$B$16,IF(H9=2,Assumptions!$B$17,0))</f>
        <v>7.4000000000000003E-3</v>
      </c>
      <c r="J9" s="146" t="s">
        <v>314</v>
      </c>
      <c r="K9" s="146" t="s">
        <v>315</v>
      </c>
      <c r="L9" s="146" t="s">
        <v>318</v>
      </c>
      <c r="N9" s="145">
        <f>B9*Assumptions!$B$10</f>
        <v>817532.58326800005</v>
      </c>
      <c r="O9" s="145">
        <f>B9*Assumptions!$B$11</f>
        <v>817532.58326800005</v>
      </c>
      <c r="P9" s="145">
        <f>B9*Assumptions!$B$12</f>
        <v>272516.14271699998</v>
      </c>
      <c r="Q9" s="145">
        <f t="shared" si="0"/>
        <v>1907581.3092530002</v>
      </c>
      <c r="R9" s="145">
        <f t="shared" si="1"/>
        <v>95379.065462650018</v>
      </c>
      <c r="S9" s="144">
        <f t="shared" si="2"/>
        <v>36</v>
      </c>
    </row>
    <row r="10" spans="1:19" ht="15" customHeight="1" x14ac:dyDescent="0.25">
      <c r="A10" s="144" t="s">
        <v>171</v>
      </c>
      <c r="B10" s="145">
        <v>21263405</v>
      </c>
      <c r="C10" s="146">
        <v>8</v>
      </c>
      <c r="D10" s="146">
        <v>24</v>
      </c>
      <c r="E10" s="146">
        <v>2</v>
      </c>
      <c r="F10" s="146" t="s">
        <v>315</v>
      </c>
      <c r="G10" s="146" t="s">
        <v>315</v>
      </c>
      <c r="H10" s="146">
        <v>1</v>
      </c>
      <c r="I10" s="147">
        <f>IF(H10=1,Assumptions!$B$16,IF(H10=2,Assumptions!$B$17,0))</f>
        <v>7.4000000000000003E-3</v>
      </c>
      <c r="J10" s="146" t="s">
        <v>314</v>
      </c>
      <c r="K10" s="146" t="s">
        <v>315</v>
      </c>
      <c r="L10" s="146" t="s">
        <v>318</v>
      </c>
      <c r="N10" s="145">
        <f>B10*Assumptions!$B$10</f>
        <v>1097106.64438</v>
      </c>
      <c r="O10" s="145">
        <f>B10*Assumptions!$B$11</f>
        <v>1097106.64438</v>
      </c>
      <c r="P10" s="145">
        <f>B10*Assumptions!$B$12</f>
        <v>365709.30259499996</v>
      </c>
      <c r="Q10" s="145">
        <f t="shared" si="0"/>
        <v>2559922.5913549997</v>
      </c>
      <c r="R10" s="145">
        <f t="shared" si="1"/>
        <v>127996.12956774999</v>
      </c>
      <c r="S10" s="144">
        <f t="shared" si="2"/>
        <v>31</v>
      </c>
    </row>
    <row r="11" spans="1:19" ht="15" customHeight="1" x14ac:dyDescent="0.25">
      <c r="A11" s="144" t="s">
        <v>320</v>
      </c>
      <c r="B11" s="145">
        <v>9577109</v>
      </c>
      <c r="C11" s="146">
        <v>5</v>
      </c>
      <c r="D11" s="146">
        <v>19</v>
      </c>
      <c r="E11" s="146">
        <v>3</v>
      </c>
      <c r="F11" s="146" t="s">
        <v>314</v>
      </c>
      <c r="G11" s="146" t="s">
        <v>314</v>
      </c>
      <c r="H11" s="146">
        <v>0</v>
      </c>
      <c r="I11" s="147">
        <f>IF(H11=1,Assumptions!$B$16,IF(H11=2,Assumptions!$B$17,0))</f>
        <v>0</v>
      </c>
      <c r="J11" s="146" t="s">
        <v>315</v>
      </c>
      <c r="K11" s="146" t="s">
        <v>314</v>
      </c>
      <c r="L11" s="146" t="s">
        <v>316</v>
      </c>
      <c r="N11" s="145">
        <f>B11*Assumptions!$B$10</f>
        <v>494140.51596400002</v>
      </c>
      <c r="O11" s="145">
        <f>B11*Assumptions!$B$11</f>
        <v>494140.51596400002</v>
      </c>
      <c r="P11" s="145">
        <f>B11*Assumptions!$B$12</f>
        <v>164716.69769099998</v>
      </c>
      <c r="Q11" s="145">
        <f t="shared" si="0"/>
        <v>1152997.7296190001</v>
      </c>
      <c r="R11" s="145">
        <f t="shared" si="1"/>
        <v>57649.886480950008</v>
      </c>
      <c r="S11" s="144">
        <f t="shared" si="2"/>
        <v>23</v>
      </c>
    </row>
    <row r="12" spans="1:19" ht="15" customHeight="1" x14ac:dyDescent="0.25">
      <c r="A12" s="144" t="s">
        <v>321</v>
      </c>
      <c r="B12" s="145">
        <v>7545203</v>
      </c>
      <c r="C12" s="146">
        <v>6</v>
      </c>
      <c r="D12" s="146">
        <v>19</v>
      </c>
      <c r="E12" s="146">
        <v>3</v>
      </c>
      <c r="F12" s="146" t="s">
        <v>314</v>
      </c>
      <c r="G12" s="146" t="s">
        <v>314</v>
      </c>
      <c r="H12" s="146">
        <v>0</v>
      </c>
      <c r="I12" s="147">
        <f>IF(H12=1,Assumptions!$B$16,IF(H12=2,Assumptions!$B$17,0))</f>
        <v>0</v>
      </c>
      <c r="J12" s="146" t="s">
        <v>315</v>
      </c>
      <c r="K12" s="146" t="s">
        <v>314</v>
      </c>
      <c r="L12" s="146" t="s">
        <v>316</v>
      </c>
      <c r="N12" s="145">
        <f>B12*Assumptions!$B$10</f>
        <v>389302.29398800002</v>
      </c>
      <c r="O12" s="145">
        <f>B12*Assumptions!$B$11</f>
        <v>389302.29398800002</v>
      </c>
      <c r="P12" s="145">
        <f>B12*Assumptions!$B$12</f>
        <v>129769.94639699999</v>
      </c>
      <c r="Q12" s="145">
        <f t="shared" si="0"/>
        <v>908374.53437300003</v>
      </c>
      <c r="R12" s="145">
        <f t="shared" si="1"/>
        <v>45418.726718650003</v>
      </c>
      <c r="S12" s="144">
        <f t="shared" si="2"/>
        <v>24</v>
      </c>
    </row>
    <row r="13" spans="1:19" ht="15" customHeight="1" x14ac:dyDescent="0.25">
      <c r="A13" s="144" t="s">
        <v>172</v>
      </c>
      <c r="B13" s="145">
        <v>45266770</v>
      </c>
      <c r="C13" s="146">
        <v>13</v>
      </c>
      <c r="D13" s="146">
        <v>30</v>
      </c>
      <c r="E13" s="146">
        <v>1</v>
      </c>
      <c r="F13" s="146" t="s">
        <v>315</v>
      </c>
      <c r="G13" s="146" t="s">
        <v>315</v>
      </c>
      <c r="H13" s="146">
        <v>2</v>
      </c>
      <c r="I13" s="147">
        <f>IF(H13=1,Assumptions!$B$16,IF(H13=2,Assumptions!$B$17,0))</f>
        <v>3.2500000000000001E-2</v>
      </c>
      <c r="J13" s="146" t="s">
        <v>315</v>
      </c>
      <c r="K13" s="146" t="s">
        <v>315</v>
      </c>
      <c r="L13" s="146" t="s">
        <v>316</v>
      </c>
      <c r="N13" s="145">
        <f>B13*Assumptions!$B$10</f>
        <v>2335584.26492</v>
      </c>
      <c r="O13" s="145">
        <f>B13*Assumptions!$B$11</f>
        <v>2335584.26492</v>
      </c>
      <c r="P13" s="145">
        <f>B13*Assumptions!$B$12</f>
        <v>778543.17722999991</v>
      </c>
      <c r="Q13" s="145">
        <f t="shared" si="0"/>
        <v>5449711.7070699995</v>
      </c>
      <c r="R13" s="145">
        <f t="shared" si="1"/>
        <v>272485.58535349998</v>
      </c>
      <c r="S13" s="144">
        <f t="shared" si="2"/>
        <v>42</v>
      </c>
    </row>
    <row r="14" spans="1:19" ht="15" customHeight="1" x14ac:dyDescent="0.25">
      <c r="A14" s="144" t="s">
        <v>173</v>
      </c>
      <c r="B14" s="145">
        <v>41354632</v>
      </c>
      <c r="C14" s="146">
        <v>27</v>
      </c>
      <c r="D14" s="146">
        <v>30</v>
      </c>
      <c r="E14" s="146">
        <v>1</v>
      </c>
      <c r="F14" s="146" t="s">
        <v>315</v>
      </c>
      <c r="G14" s="146" t="s">
        <v>315</v>
      </c>
      <c r="H14" s="146">
        <v>2</v>
      </c>
      <c r="I14" s="147">
        <f>IF(H14=1,Assumptions!$B$16,IF(H14=2,Assumptions!$B$17,0))</f>
        <v>3.2500000000000001E-2</v>
      </c>
      <c r="J14" s="146" t="s">
        <v>315</v>
      </c>
      <c r="K14" s="146" t="s">
        <v>315</v>
      </c>
      <c r="L14" s="146" t="s">
        <v>316</v>
      </c>
      <c r="N14" s="145">
        <f>B14*Assumptions!$B$10</f>
        <v>2133733.5926720002</v>
      </c>
      <c r="O14" s="145">
        <f>B14*Assumptions!$B$11</f>
        <v>2133733.5926720002</v>
      </c>
      <c r="P14" s="145">
        <f>B14*Assumptions!$B$12</f>
        <v>711258.31576799997</v>
      </c>
      <c r="Q14" s="145">
        <f t="shared" si="0"/>
        <v>4978725.5011120001</v>
      </c>
      <c r="R14" s="145">
        <f t="shared" si="1"/>
        <v>248936.27505560001</v>
      </c>
      <c r="S14" s="144">
        <f t="shared" si="2"/>
        <v>56</v>
      </c>
    </row>
    <row r="15" spans="1:19" ht="15" customHeigh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</row>
    <row r="16" spans="1:19" ht="15" customHeight="1" x14ac:dyDescent="0.25">
      <c r="A16" s="136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48" t="s">
        <v>322</v>
      </c>
      <c r="N16" s="136"/>
      <c r="O16" s="136"/>
      <c r="P16" s="136"/>
      <c r="Q16" s="136"/>
      <c r="R16" s="136"/>
      <c r="S16" s="136"/>
    </row>
    <row r="17" spans="1:19" ht="15" customHeight="1" x14ac:dyDescent="0.25">
      <c r="A17" s="144" t="s">
        <v>323</v>
      </c>
      <c r="B17" s="145">
        <v>18000000</v>
      </c>
      <c r="C17" s="146">
        <v>16</v>
      </c>
      <c r="D17" s="146">
        <v>19</v>
      </c>
      <c r="E17" s="146">
        <v>3</v>
      </c>
      <c r="F17" s="146" t="s">
        <v>314</v>
      </c>
      <c r="G17" s="146" t="s">
        <v>314</v>
      </c>
      <c r="H17" s="146">
        <v>0</v>
      </c>
      <c r="I17" s="147">
        <f>IF(H17=1,Assumptions!$B$16,IF(H17=2,Assumptions!$B$17,0))</f>
        <v>0</v>
      </c>
      <c r="J17" s="146" t="s">
        <v>314</v>
      </c>
      <c r="K17" s="146" t="s">
        <v>314</v>
      </c>
      <c r="L17" s="146" t="s">
        <v>318</v>
      </c>
      <c r="M17" s="149" t="s">
        <v>315</v>
      </c>
      <c r="N17" s="145">
        <v>876623</v>
      </c>
      <c r="O17" s="145">
        <v>876623</v>
      </c>
      <c r="P17" s="145">
        <v>292208</v>
      </c>
      <c r="Q17" s="145">
        <f t="shared" ref="Q17:Q46" si="3">N17+O17+P17</f>
        <v>2045454</v>
      </c>
      <c r="R17" s="145">
        <f t="shared" ref="R17:R46" si="4">Q17*0.05</f>
        <v>102272.70000000001</v>
      </c>
      <c r="S17" s="144">
        <f t="shared" ref="S17:S46" si="5">C17+D17-1</f>
        <v>34</v>
      </c>
    </row>
    <row r="18" spans="1:19" ht="15" customHeight="1" x14ac:dyDescent="0.25">
      <c r="A18" s="144" t="s">
        <v>324</v>
      </c>
      <c r="B18" s="145">
        <v>15000000</v>
      </c>
      <c r="C18" s="146">
        <v>18</v>
      </c>
      <c r="D18" s="146">
        <v>19</v>
      </c>
      <c r="E18" s="146">
        <v>3</v>
      </c>
      <c r="F18" s="146" t="s">
        <v>314</v>
      </c>
      <c r="G18" s="146" t="s">
        <v>314</v>
      </c>
      <c r="H18" s="146">
        <v>0</v>
      </c>
      <c r="I18" s="147">
        <f>IF(H18=1,Assumptions!$B$16,IF(H18=2,Assumptions!$B$17,0))</f>
        <v>0</v>
      </c>
      <c r="J18" s="146" t="s">
        <v>314</v>
      </c>
      <c r="K18" s="146" t="s">
        <v>314</v>
      </c>
      <c r="L18" s="146" t="s">
        <v>318</v>
      </c>
      <c r="M18" s="149" t="s">
        <v>314</v>
      </c>
      <c r="N18" s="145">
        <v>730519</v>
      </c>
      <c r="O18" s="145">
        <v>730519</v>
      </c>
      <c r="P18" s="145">
        <v>243506</v>
      </c>
      <c r="Q18" s="145">
        <f t="shared" si="3"/>
        <v>1704544</v>
      </c>
      <c r="R18" s="145">
        <f t="shared" si="4"/>
        <v>85227.200000000012</v>
      </c>
      <c r="S18" s="144">
        <f t="shared" si="5"/>
        <v>36</v>
      </c>
    </row>
    <row r="19" spans="1:19" ht="15" customHeight="1" x14ac:dyDescent="0.25">
      <c r="A19" s="144" t="s">
        <v>325</v>
      </c>
      <c r="B19" s="145">
        <v>15000000</v>
      </c>
      <c r="C19" s="146">
        <v>21</v>
      </c>
      <c r="D19" s="146">
        <v>19</v>
      </c>
      <c r="E19" s="146">
        <v>3</v>
      </c>
      <c r="F19" s="146" t="s">
        <v>314</v>
      </c>
      <c r="G19" s="146" t="s">
        <v>314</v>
      </c>
      <c r="H19" s="146">
        <v>0</v>
      </c>
      <c r="I19" s="147">
        <f>IF(H19=1,Assumptions!$B$16,IF(H19=2,Assumptions!$B$17,0))</f>
        <v>0</v>
      </c>
      <c r="J19" s="146" t="s">
        <v>314</v>
      </c>
      <c r="K19" s="146" t="s">
        <v>314</v>
      </c>
      <c r="L19" s="146" t="s">
        <v>318</v>
      </c>
      <c r="M19" s="149" t="s">
        <v>314</v>
      </c>
      <c r="N19" s="145">
        <v>730519</v>
      </c>
      <c r="O19" s="145">
        <v>730519</v>
      </c>
      <c r="P19" s="145">
        <v>243506</v>
      </c>
      <c r="Q19" s="145">
        <f t="shared" si="3"/>
        <v>1704544</v>
      </c>
      <c r="R19" s="145">
        <f t="shared" si="4"/>
        <v>85227.200000000012</v>
      </c>
      <c r="S19" s="144">
        <f t="shared" si="5"/>
        <v>39</v>
      </c>
    </row>
    <row r="20" spans="1:19" ht="15" customHeight="1" x14ac:dyDescent="0.25">
      <c r="A20" s="144" t="s">
        <v>326</v>
      </c>
      <c r="B20" s="145">
        <v>15000000</v>
      </c>
      <c r="C20" s="146">
        <v>24</v>
      </c>
      <c r="D20" s="146">
        <v>19</v>
      </c>
      <c r="E20" s="146">
        <v>3</v>
      </c>
      <c r="F20" s="146" t="s">
        <v>314</v>
      </c>
      <c r="G20" s="146" t="s">
        <v>314</v>
      </c>
      <c r="H20" s="146">
        <v>0</v>
      </c>
      <c r="I20" s="147">
        <f>IF(H20=1,Assumptions!$B$16,IF(H20=2,Assumptions!$B$17,0))</f>
        <v>0</v>
      </c>
      <c r="J20" s="146" t="s">
        <v>314</v>
      </c>
      <c r="K20" s="146" t="s">
        <v>314</v>
      </c>
      <c r="L20" s="146" t="s">
        <v>318</v>
      </c>
      <c r="M20" s="149" t="s">
        <v>315</v>
      </c>
      <c r="N20" s="145">
        <v>730519</v>
      </c>
      <c r="O20" s="145">
        <v>730519</v>
      </c>
      <c r="P20" s="145">
        <v>243506</v>
      </c>
      <c r="Q20" s="145">
        <f t="shared" si="3"/>
        <v>1704544</v>
      </c>
      <c r="R20" s="145">
        <f t="shared" si="4"/>
        <v>85227.200000000012</v>
      </c>
      <c r="S20" s="144">
        <f t="shared" si="5"/>
        <v>42</v>
      </c>
    </row>
    <row r="21" spans="1:19" ht="15" customHeight="1" x14ac:dyDescent="0.25">
      <c r="A21" s="144" t="s">
        <v>327</v>
      </c>
      <c r="B21" s="145">
        <v>15000000</v>
      </c>
      <c r="C21" s="146">
        <v>27</v>
      </c>
      <c r="D21" s="146">
        <v>19</v>
      </c>
      <c r="E21" s="146">
        <v>3</v>
      </c>
      <c r="F21" s="146" t="s">
        <v>314</v>
      </c>
      <c r="G21" s="146" t="s">
        <v>314</v>
      </c>
      <c r="H21" s="146">
        <v>0</v>
      </c>
      <c r="I21" s="147">
        <f>IF(H21=1,Assumptions!$B$16,IF(H21=2,Assumptions!$B$17,0))</f>
        <v>0</v>
      </c>
      <c r="J21" s="146" t="s">
        <v>314</v>
      </c>
      <c r="K21" s="146" t="s">
        <v>314</v>
      </c>
      <c r="L21" s="146" t="s">
        <v>318</v>
      </c>
      <c r="M21" s="149" t="s">
        <v>314</v>
      </c>
      <c r="N21" s="145">
        <v>730519</v>
      </c>
      <c r="O21" s="145">
        <v>730519</v>
      </c>
      <c r="P21" s="145">
        <v>243506</v>
      </c>
      <c r="Q21" s="145">
        <f t="shared" si="3"/>
        <v>1704544</v>
      </c>
      <c r="R21" s="145">
        <f t="shared" si="4"/>
        <v>85227.200000000012</v>
      </c>
      <c r="S21" s="144">
        <f t="shared" si="5"/>
        <v>45</v>
      </c>
    </row>
    <row r="22" spans="1:19" ht="15" customHeight="1" x14ac:dyDescent="0.25">
      <c r="A22" s="144" t="s">
        <v>328</v>
      </c>
      <c r="B22" s="145">
        <v>15000000</v>
      </c>
      <c r="C22" s="146">
        <v>31</v>
      </c>
      <c r="D22" s="146">
        <v>19</v>
      </c>
      <c r="E22" s="146">
        <v>3</v>
      </c>
      <c r="F22" s="146" t="s">
        <v>314</v>
      </c>
      <c r="G22" s="146" t="s">
        <v>315</v>
      </c>
      <c r="H22" s="146">
        <v>0</v>
      </c>
      <c r="I22" s="147">
        <f>IF(H22=1,Assumptions!$B$16,IF(H22=2,Assumptions!$B$17,0))</f>
        <v>0</v>
      </c>
      <c r="J22" s="146" t="s">
        <v>314</v>
      </c>
      <c r="K22" s="146" t="s">
        <v>314</v>
      </c>
      <c r="L22" s="146" t="s">
        <v>318</v>
      </c>
      <c r="M22" s="149" t="s">
        <v>314</v>
      </c>
      <c r="N22" s="145">
        <v>730519</v>
      </c>
      <c r="O22" s="145">
        <v>730519</v>
      </c>
      <c r="P22" s="145">
        <v>243506</v>
      </c>
      <c r="Q22" s="145">
        <f t="shared" si="3"/>
        <v>1704544</v>
      </c>
      <c r="R22" s="145">
        <f t="shared" si="4"/>
        <v>85227.200000000012</v>
      </c>
      <c r="S22" s="144">
        <f t="shared" si="5"/>
        <v>49</v>
      </c>
    </row>
    <row r="23" spans="1:19" ht="15" customHeight="1" x14ac:dyDescent="0.25">
      <c r="A23" s="144" t="s">
        <v>329</v>
      </c>
      <c r="B23" s="145">
        <v>15000000</v>
      </c>
      <c r="C23" s="146">
        <v>34</v>
      </c>
      <c r="D23" s="146">
        <v>19</v>
      </c>
      <c r="E23" s="146">
        <v>3</v>
      </c>
      <c r="F23" s="146" t="s">
        <v>314</v>
      </c>
      <c r="G23" s="146" t="s">
        <v>315</v>
      </c>
      <c r="H23" s="146">
        <v>0</v>
      </c>
      <c r="I23" s="147">
        <f>IF(H23=1,Assumptions!$B$16,IF(H23=2,Assumptions!$B$17,0))</f>
        <v>0</v>
      </c>
      <c r="J23" s="146" t="s">
        <v>314</v>
      </c>
      <c r="K23" s="146" t="s">
        <v>314</v>
      </c>
      <c r="L23" s="146" t="s">
        <v>318</v>
      </c>
      <c r="M23" s="149" t="s">
        <v>315</v>
      </c>
      <c r="N23" s="145">
        <v>730519</v>
      </c>
      <c r="O23" s="145">
        <v>730519</v>
      </c>
      <c r="P23" s="145">
        <v>243506</v>
      </c>
      <c r="Q23" s="145">
        <f t="shared" si="3"/>
        <v>1704544</v>
      </c>
      <c r="R23" s="145">
        <f t="shared" si="4"/>
        <v>85227.200000000012</v>
      </c>
      <c r="S23" s="144">
        <f t="shared" si="5"/>
        <v>52</v>
      </c>
    </row>
    <row r="24" spans="1:19" ht="15" customHeight="1" x14ac:dyDescent="0.25">
      <c r="A24" s="144" t="s">
        <v>330</v>
      </c>
      <c r="B24" s="145">
        <v>18000000</v>
      </c>
      <c r="C24" s="146">
        <v>37</v>
      </c>
      <c r="D24" s="146">
        <v>19</v>
      </c>
      <c r="E24" s="146">
        <v>3</v>
      </c>
      <c r="F24" s="146" t="s">
        <v>314</v>
      </c>
      <c r="G24" s="146" t="s">
        <v>315</v>
      </c>
      <c r="H24" s="146">
        <v>0</v>
      </c>
      <c r="I24" s="147">
        <f>IF(H24=1,Assumptions!$B$16,IF(H24=2,Assumptions!$B$17,0))</f>
        <v>0</v>
      </c>
      <c r="J24" s="146" t="s">
        <v>314</v>
      </c>
      <c r="K24" s="146" t="s">
        <v>314</v>
      </c>
      <c r="L24" s="146" t="s">
        <v>318</v>
      </c>
      <c r="M24" s="149" t="s">
        <v>314</v>
      </c>
      <c r="N24" s="145">
        <v>876623</v>
      </c>
      <c r="O24" s="145">
        <v>876623</v>
      </c>
      <c r="P24" s="145">
        <v>292208</v>
      </c>
      <c r="Q24" s="145">
        <f t="shared" si="3"/>
        <v>2045454</v>
      </c>
      <c r="R24" s="145">
        <f t="shared" si="4"/>
        <v>102272.70000000001</v>
      </c>
      <c r="S24" s="144">
        <f t="shared" si="5"/>
        <v>55</v>
      </c>
    </row>
    <row r="25" spans="1:19" ht="15" customHeight="1" x14ac:dyDescent="0.25">
      <c r="A25" s="144" t="s">
        <v>331</v>
      </c>
      <c r="B25" s="145">
        <v>18000000</v>
      </c>
      <c r="C25" s="146">
        <v>40</v>
      </c>
      <c r="D25" s="146">
        <v>19</v>
      </c>
      <c r="E25" s="146">
        <v>3</v>
      </c>
      <c r="F25" s="146" t="s">
        <v>314</v>
      </c>
      <c r="G25" s="146" t="s">
        <v>315</v>
      </c>
      <c r="H25" s="146">
        <v>0</v>
      </c>
      <c r="I25" s="147">
        <f>IF(H25=1,Assumptions!$B$16,IF(H25=2,Assumptions!$B$17,0))</f>
        <v>0</v>
      </c>
      <c r="J25" s="146" t="s">
        <v>314</v>
      </c>
      <c r="K25" s="146" t="s">
        <v>314</v>
      </c>
      <c r="L25" s="146" t="s">
        <v>318</v>
      </c>
      <c r="M25" s="149" t="s">
        <v>314</v>
      </c>
      <c r="N25" s="145">
        <v>876623</v>
      </c>
      <c r="O25" s="145">
        <v>876623</v>
      </c>
      <c r="P25" s="145">
        <v>292208</v>
      </c>
      <c r="Q25" s="145">
        <f t="shared" si="3"/>
        <v>2045454</v>
      </c>
      <c r="R25" s="145">
        <f t="shared" si="4"/>
        <v>102272.70000000001</v>
      </c>
      <c r="S25" s="144">
        <f t="shared" si="5"/>
        <v>58</v>
      </c>
    </row>
    <row r="26" spans="1:19" ht="15" customHeight="1" x14ac:dyDescent="0.25">
      <c r="A26" s="144" t="s">
        <v>332</v>
      </c>
      <c r="B26" s="145">
        <v>18000000</v>
      </c>
      <c r="C26" s="146">
        <v>42</v>
      </c>
      <c r="D26" s="146">
        <v>19</v>
      </c>
      <c r="E26" s="146">
        <v>3</v>
      </c>
      <c r="F26" s="146" t="s">
        <v>314</v>
      </c>
      <c r="G26" s="146" t="s">
        <v>314</v>
      </c>
      <c r="H26" s="146">
        <v>0</v>
      </c>
      <c r="I26" s="147">
        <f>IF(H26=1,Assumptions!$B$16,IF(H26=2,Assumptions!$B$17,0))</f>
        <v>0</v>
      </c>
      <c r="J26" s="146" t="s">
        <v>314</v>
      </c>
      <c r="K26" s="146" t="s">
        <v>314</v>
      </c>
      <c r="L26" s="146" t="s">
        <v>318</v>
      </c>
      <c r="M26" s="149" t="s">
        <v>314</v>
      </c>
      <c r="N26" s="145">
        <v>876623</v>
      </c>
      <c r="O26" s="145">
        <v>876623</v>
      </c>
      <c r="P26" s="145">
        <v>292208</v>
      </c>
      <c r="Q26" s="145">
        <f t="shared" si="3"/>
        <v>2045454</v>
      </c>
      <c r="R26" s="145">
        <f t="shared" si="4"/>
        <v>102272.70000000001</v>
      </c>
      <c r="S26" s="144">
        <f t="shared" si="5"/>
        <v>60</v>
      </c>
    </row>
    <row r="27" spans="1:19" ht="15" customHeight="1" x14ac:dyDescent="0.25">
      <c r="A27" s="144" t="s">
        <v>333</v>
      </c>
      <c r="B27" s="145">
        <v>15000000</v>
      </c>
      <c r="C27" s="146">
        <v>44</v>
      </c>
      <c r="D27" s="146">
        <v>19</v>
      </c>
      <c r="E27" s="146">
        <v>3</v>
      </c>
      <c r="F27" s="146" t="s">
        <v>314</v>
      </c>
      <c r="G27" s="146" t="s">
        <v>314</v>
      </c>
      <c r="H27" s="146">
        <v>0</v>
      </c>
      <c r="I27" s="147">
        <f>IF(H27=1,Assumptions!$B$16,IF(H27=2,Assumptions!$B$17,0))</f>
        <v>0</v>
      </c>
      <c r="J27" s="146" t="s">
        <v>314</v>
      </c>
      <c r="K27" s="146" t="s">
        <v>314</v>
      </c>
      <c r="L27" s="146" t="s">
        <v>318</v>
      </c>
      <c r="M27" s="149" t="s">
        <v>314</v>
      </c>
      <c r="N27" s="145">
        <v>730519</v>
      </c>
      <c r="O27" s="145">
        <v>730519</v>
      </c>
      <c r="P27" s="145">
        <v>243506</v>
      </c>
      <c r="Q27" s="145">
        <f t="shared" si="3"/>
        <v>1704544</v>
      </c>
      <c r="R27" s="145">
        <f t="shared" si="4"/>
        <v>85227.200000000012</v>
      </c>
      <c r="S27" s="144">
        <f t="shared" si="5"/>
        <v>62</v>
      </c>
    </row>
    <row r="28" spans="1:19" ht="15" customHeight="1" x14ac:dyDescent="0.25">
      <c r="A28" s="144" t="s">
        <v>334</v>
      </c>
      <c r="B28" s="145">
        <v>15000000</v>
      </c>
      <c r="C28" s="146">
        <v>46</v>
      </c>
      <c r="D28" s="146">
        <v>19</v>
      </c>
      <c r="E28" s="146">
        <v>3</v>
      </c>
      <c r="F28" s="146" t="s">
        <v>314</v>
      </c>
      <c r="G28" s="146" t="s">
        <v>314</v>
      </c>
      <c r="H28" s="146">
        <v>0</v>
      </c>
      <c r="I28" s="147">
        <f>IF(H28=1,Assumptions!$B$16,IF(H28=2,Assumptions!$B$17,0))</f>
        <v>0</v>
      </c>
      <c r="J28" s="146" t="s">
        <v>314</v>
      </c>
      <c r="K28" s="146" t="s">
        <v>314</v>
      </c>
      <c r="L28" s="146" t="s">
        <v>318</v>
      </c>
      <c r="M28" s="149" t="s">
        <v>315</v>
      </c>
      <c r="N28" s="145">
        <v>730519</v>
      </c>
      <c r="O28" s="145">
        <v>730519</v>
      </c>
      <c r="P28" s="145">
        <v>243506</v>
      </c>
      <c r="Q28" s="145">
        <f t="shared" si="3"/>
        <v>1704544</v>
      </c>
      <c r="R28" s="145">
        <f t="shared" si="4"/>
        <v>85227.200000000012</v>
      </c>
      <c r="S28" s="144">
        <f t="shared" si="5"/>
        <v>64</v>
      </c>
    </row>
    <row r="29" spans="1:19" ht="15" customHeight="1" x14ac:dyDescent="0.25">
      <c r="A29" s="144" t="s">
        <v>335</v>
      </c>
      <c r="B29" s="145">
        <v>15000000</v>
      </c>
      <c r="C29" s="146">
        <v>48</v>
      </c>
      <c r="D29" s="146">
        <v>19</v>
      </c>
      <c r="E29" s="146">
        <v>3</v>
      </c>
      <c r="F29" s="146" t="s">
        <v>314</v>
      </c>
      <c r="G29" s="146" t="s">
        <v>315</v>
      </c>
      <c r="H29" s="146">
        <v>0</v>
      </c>
      <c r="I29" s="147">
        <f>IF(H29=1,Assumptions!$B$16,IF(H29=2,Assumptions!$B$17,0))</f>
        <v>0</v>
      </c>
      <c r="J29" s="146" t="s">
        <v>314</v>
      </c>
      <c r="K29" s="146" t="s">
        <v>314</v>
      </c>
      <c r="L29" s="146" t="s">
        <v>318</v>
      </c>
      <c r="M29" s="149" t="s">
        <v>314</v>
      </c>
      <c r="N29" s="145">
        <v>730519</v>
      </c>
      <c r="O29" s="145">
        <v>730519</v>
      </c>
      <c r="P29" s="145">
        <v>243506</v>
      </c>
      <c r="Q29" s="145">
        <f t="shared" si="3"/>
        <v>1704544</v>
      </c>
      <c r="R29" s="145">
        <f t="shared" si="4"/>
        <v>85227.200000000012</v>
      </c>
      <c r="S29" s="144">
        <f t="shared" si="5"/>
        <v>66</v>
      </c>
    </row>
    <row r="30" spans="1:19" ht="15" customHeight="1" x14ac:dyDescent="0.25">
      <c r="A30" s="144" t="s">
        <v>336</v>
      </c>
      <c r="B30" s="145">
        <v>15000000</v>
      </c>
      <c r="C30" s="146">
        <v>50</v>
      </c>
      <c r="D30" s="146">
        <v>19</v>
      </c>
      <c r="E30" s="146">
        <v>3</v>
      </c>
      <c r="F30" s="146" t="s">
        <v>314</v>
      </c>
      <c r="G30" s="146" t="s">
        <v>314</v>
      </c>
      <c r="H30" s="146">
        <v>0</v>
      </c>
      <c r="I30" s="147">
        <f>IF(H30=1,Assumptions!$B$16,IF(H30=2,Assumptions!$B$17,0))</f>
        <v>0</v>
      </c>
      <c r="J30" s="146" t="s">
        <v>314</v>
      </c>
      <c r="K30" s="146" t="s">
        <v>314</v>
      </c>
      <c r="L30" s="146" t="s">
        <v>318</v>
      </c>
      <c r="M30" s="149" t="s">
        <v>314</v>
      </c>
      <c r="N30" s="145">
        <v>730519</v>
      </c>
      <c r="O30" s="145">
        <v>730519</v>
      </c>
      <c r="P30" s="145">
        <v>243506</v>
      </c>
      <c r="Q30" s="145">
        <f t="shared" si="3"/>
        <v>1704544</v>
      </c>
      <c r="R30" s="145">
        <f t="shared" si="4"/>
        <v>85227.200000000012</v>
      </c>
      <c r="S30" s="144">
        <f t="shared" si="5"/>
        <v>68</v>
      </c>
    </row>
    <row r="31" spans="1:19" ht="15" customHeight="1" x14ac:dyDescent="0.25">
      <c r="A31" s="144" t="s">
        <v>337</v>
      </c>
      <c r="B31" s="145">
        <v>18000000</v>
      </c>
      <c r="C31" s="146">
        <v>52</v>
      </c>
      <c r="D31" s="146">
        <v>19</v>
      </c>
      <c r="E31" s="146">
        <v>3</v>
      </c>
      <c r="F31" s="146" t="s">
        <v>314</v>
      </c>
      <c r="G31" s="146" t="s">
        <v>315</v>
      </c>
      <c r="H31" s="146">
        <v>0</v>
      </c>
      <c r="I31" s="147">
        <f>IF(H31=1,Assumptions!$B$16,IF(H31=2,Assumptions!$B$17,0))</f>
        <v>0</v>
      </c>
      <c r="J31" s="146" t="s">
        <v>314</v>
      </c>
      <c r="K31" s="146" t="s">
        <v>314</v>
      </c>
      <c r="L31" s="146" t="s">
        <v>318</v>
      </c>
      <c r="M31" s="149" t="s">
        <v>314</v>
      </c>
      <c r="N31" s="145">
        <v>876623</v>
      </c>
      <c r="O31" s="145">
        <v>876623</v>
      </c>
      <c r="P31" s="145">
        <v>292208</v>
      </c>
      <c r="Q31" s="145">
        <f t="shared" si="3"/>
        <v>2045454</v>
      </c>
      <c r="R31" s="145">
        <f t="shared" si="4"/>
        <v>102272.70000000001</v>
      </c>
      <c r="S31" s="144">
        <f t="shared" si="5"/>
        <v>70</v>
      </c>
    </row>
    <row r="32" spans="1:19" ht="15" customHeight="1" x14ac:dyDescent="0.25">
      <c r="A32" s="144" t="s">
        <v>338</v>
      </c>
      <c r="B32" s="145">
        <v>15000000</v>
      </c>
      <c r="C32" s="146">
        <v>54</v>
      </c>
      <c r="D32" s="146">
        <v>19</v>
      </c>
      <c r="E32" s="146">
        <v>3</v>
      </c>
      <c r="F32" s="146" t="s">
        <v>314</v>
      </c>
      <c r="G32" s="146" t="s">
        <v>315</v>
      </c>
      <c r="H32" s="146">
        <v>0</v>
      </c>
      <c r="I32" s="147">
        <f>IF(H32=1,Assumptions!$B$16,IF(H32=2,Assumptions!$B$17,0))</f>
        <v>0</v>
      </c>
      <c r="J32" s="146" t="s">
        <v>314</v>
      </c>
      <c r="K32" s="146" t="s">
        <v>314</v>
      </c>
      <c r="L32" s="146" t="s">
        <v>318</v>
      </c>
      <c r="M32" s="149" t="s">
        <v>314</v>
      </c>
      <c r="N32" s="145">
        <v>730519</v>
      </c>
      <c r="O32" s="145">
        <v>730519</v>
      </c>
      <c r="P32" s="145">
        <v>243506</v>
      </c>
      <c r="Q32" s="145">
        <f t="shared" si="3"/>
        <v>1704544</v>
      </c>
      <c r="R32" s="145">
        <f t="shared" si="4"/>
        <v>85227.200000000012</v>
      </c>
      <c r="S32" s="144">
        <f t="shared" si="5"/>
        <v>72</v>
      </c>
    </row>
    <row r="33" spans="1:19" ht="15" customHeight="1" x14ac:dyDescent="0.25">
      <c r="A33" s="144" t="s">
        <v>339</v>
      </c>
      <c r="B33" s="145">
        <v>15000000</v>
      </c>
      <c r="C33" s="146">
        <v>56</v>
      </c>
      <c r="D33" s="146">
        <v>19</v>
      </c>
      <c r="E33" s="146">
        <v>3</v>
      </c>
      <c r="F33" s="146" t="s">
        <v>314</v>
      </c>
      <c r="G33" s="146" t="s">
        <v>315</v>
      </c>
      <c r="H33" s="146">
        <v>0</v>
      </c>
      <c r="I33" s="147">
        <f>IF(H33=1,Assumptions!$B$16,IF(H33=2,Assumptions!$B$17,0))</f>
        <v>0</v>
      </c>
      <c r="J33" s="146" t="s">
        <v>314</v>
      </c>
      <c r="K33" s="146" t="s">
        <v>314</v>
      </c>
      <c r="L33" s="146" t="s">
        <v>318</v>
      </c>
      <c r="M33" s="149" t="s">
        <v>314</v>
      </c>
      <c r="N33" s="145">
        <v>730519</v>
      </c>
      <c r="O33" s="145">
        <v>730519</v>
      </c>
      <c r="P33" s="145">
        <v>243506</v>
      </c>
      <c r="Q33" s="145">
        <f t="shared" si="3"/>
        <v>1704544</v>
      </c>
      <c r="R33" s="145">
        <f t="shared" si="4"/>
        <v>85227.200000000012</v>
      </c>
      <c r="S33" s="144">
        <f t="shared" si="5"/>
        <v>74</v>
      </c>
    </row>
    <row r="34" spans="1:19" ht="15" customHeight="1" x14ac:dyDescent="0.25">
      <c r="A34" s="144" t="s">
        <v>340</v>
      </c>
      <c r="B34" s="145">
        <v>18000000</v>
      </c>
      <c r="C34" s="146">
        <v>58</v>
      </c>
      <c r="D34" s="146">
        <v>19</v>
      </c>
      <c r="E34" s="146">
        <v>3</v>
      </c>
      <c r="F34" s="146" t="s">
        <v>314</v>
      </c>
      <c r="G34" s="146" t="s">
        <v>315</v>
      </c>
      <c r="H34" s="146">
        <v>0</v>
      </c>
      <c r="I34" s="147">
        <f>IF(H34=1,Assumptions!$B$16,IF(H34=2,Assumptions!$B$17,0))</f>
        <v>0</v>
      </c>
      <c r="J34" s="146" t="s">
        <v>314</v>
      </c>
      <c r="K34" s="146" t="s">
        <v>314</v>
      </c>
      <c r="L34" s="146" t="s">
        <v>318</v>
      </c>
      <c r="M34" s="149" t="s">
        <v>315</v>
      </c>
      <c r="N34" s="145">
        <v>876623</v>
      </c>
      <c r="O34" s="145">
        <v>876623</v>
      </c>
      <c r="P34" s="145">
        <v>292208</v>
      </c>
      <c r="Q34" s="145">
        <f t="shared" si="3"/>
        <v>2045454</v>
      </c>
      <c r="R34" s="145">
        <f t="shared" si="4"/>
        <v>102272.70000000001</v>
      </c>
      <c r="S34" s="144">
        <f t="shared" si="5"/>
        <v>76</v>
      </c>
    </row>
    <row r="35" spans="1:19" ht="15" customHeight="1" x14ac:dyDescent="0.25">
      <c r="A35" s="144" t="s">
        <v>341</v>
      </c>
      <c r="B35" s="145">
        <v>15000000</v>
      </c>
      <c r="C35" s="146">
        <v>60</v>
      </c>
      <c r="D35" s="146">
        <v>19</v>
      </c>
      <c r="E35" s="146">
        <v>3</v>
      </c>
      <c r="F35" s="146" t="s">
        <v>314</v>
      </c>
      <c r="G35" s="146" t="s">
        <v>315</v>
      </c>
      <c r="H35" s="146">
        <v>0</v>
      </c>
      <c r="I35" s="147">
        <f>IF(H35=1,Assumptions!$B$16,IF(H35=2,Assumptions!$B$17,0))</f>
        <v>0</v>
      </c>
      <c r="J35" s="146" t="s">
        <v>314</v>
      </c>
      <c r="K35" s="146" t="s">
        <v>314</v>
      </c>
      <c r="L35" s="146" t="s">
        <v>318</v>
      </c>
      <c r="M35" s="149" t="s">
        <v>314</v>
      </c>
      <c r="N35" s="145">
        <v>730519</v>
      </c>
      <c r="O35" s="145">
        <v>730519</v>
      </c>
      <c r="P35" s="145">
        <v>243506</v>
      </c>
      <c r="Q35" s="145">
        <f t="shared" si="3"/>
        <v>1704544</v>
      </c>
      <c r="R35" s="145">
        <f t="shared" si="4"/>
        <v>85227.200000000012</v>
      </c>
      <c r="S35" s="144">
        <f t="shared" si="5"/>
        <v>78</v>
      </c>
    </row>
    <row r="36" spans="1:19" ht="15" customHeight="1" x14ac:dyDescent="0.25">
      <c r="A36" s="144" t="s">
        <v>342</v>
      </c>
      <c r="B36" s="145">
        <v>18000000</v>
      </c>
      <c r="C36" s="146">
        <v>62</v>
      </c>
      <c r="D36" s="146">
        <v>19</v>
      </c>
      <c r="E36" s="146">
        <v>3</v>
      </c>
      <c r="F36" s="146" t="s">
        <v>314</v>
      </c>
      <c r="G36" s="146" t="s">
        <v>315</v>
      </c>
      <c r="H36" s="146">
        <v>0</v>
      </c>
      <c r="I36" s="147">
        <f>IF(H36=1,Assumptions!$B$16,IF(H36=2,Assumptions!$B$17,0))</f>
        <v>0</v>
      </c>
      <c r="J36" s="146" t="s">
        <v>314</v>
      </c>
      <c r="K36" s="146" t="s">
        <v>314</v>
      </c>
      <c r="L36" s="146" t="s">
        <v>318</v>
      </c>
      <c r="M36" s="149" t="s">
        <v>314</v>
      </c>
      <c r="N36" s="145">
        <v>876623</v>
      </c>
      <c r="O36" s="145">
        <v>876623</v>
      </c>
      <c r="P36" s="145">
        <v>292208</v>
      </c>
      <c r="Q36" s="145">
        <f t="shared" si="3"/>
        <v>2045454</v>
      </c>
      <c r="R36" s="145">
        <f t="shared" si="4"/>
        <v>102272.70000000001</v>
      </c>
      <c r="S36" s="144">
        <f t="shared" si="5"/>
        <v>80</v>
      </c>
    </row>
    <row r="37" spans="1:19" ht="15" customHeight="1" x14ac:dyDescent="0.25">
      <c r="A37" s="144" t="s">
        <v>343</v>
      </c>
      <c r="B37" s="145">
        <v>15000000</v>
      </c>
      <c r="C37" s="146">
        <v>64</v>
      </c>
      <c r="D37" s="146">
        <v>19</v>
      </c>
      <c r="E37" s="146">
        <v>3</v>
      </c>
      <c r="F37" s="146" t="s">
        <v>314</v>
      </c>
      <c r="G37" s="146" t="s">
        <v>314</v>
      </c>
      <c r="H37" s="146">
        <v>0</v>
      </c>
      <c r="I37" s="147">
        <f>IF(H37=1,Assumptions!$B$16,IF(H37=2,Assumptions!$B$17,0))</f>
        <v>0</v>
      </c>
      <c r="J37" s="146" t="s">
        <v>314</v>
      </c>
      <c r="K37" s="146" t="s">
        <v>314</v>
      </c>
      <c r="L37" s="146" t="s">
        <v>318</v>
      </c>
      <c r="M37" s="149" t="s">
        <v>314</v>
      </c>
      <c r="N37" s="145">
        <v>730519</v>
      </c>
      <c r="O37" s="145">
        <v>730519</v>
      </c>
      <c r="P37" s="145">
        <v>243506</v>
      </c>
      <c r="Q37" s="145">
        <f t="shared" si="3"/>
        <v>1704544</v>
      </c>
      <c r="R37" s="145">
        <f t="shared" si="4"/>
        <v>85227.200000000012</v>
      </c>
      <c r="S37" s="144">
        <f t="shared" si="5"/>
        <v>82</v>
      </c>
    </row>
    <row r="38" spans="1:19" ht="15" customHeight="1" x14ac:dyDescent="0.25">
      <c r="A38" s="144" t="s">
        <v>344</v>
      </c>
      <c r="B38" s="145">
        <v>15000000</v>
      </c>
      <c r="C38" s="146">
        <v>66</v>
      </c>
      <c r="D38" s="146">
        <v>19</v>
      </c>
      <c r="E38" s="146">
        <v>3</v>
      </c>
      <c r="F38" s="146" t="s">
        <v>314</v>
      </c>
      <c r="G38" s="146" t="s">
        <v>314</v>
      </c>
      <c r="H38" s="146">
        <v>0</v>
      </c>
      <c r="I38" s="147">
        <f>IF(H38=1,Assumptions!$B$16,IF(H38=2,Assumptions!$B$17,0))</f>
        <v>0</v>
      </c>
      <c r="J38" s="146" t="s">
        <v>314</v>
      </c>
      <c r="K38" s="146" t="s">
        <v>314</v>
      </c>
      <c r="L38" s="146" t="s">
        <v>318</v>
      </c>
      <c r="M38" s="149" t="s">
        <v>314</v>
      </c>
      <c r="N38" s="145">
        <v>730519</v>
      </c>
      <c r="O38" s="145">
        <v>730519</v>
      </c>
      <c r="P38" s="145">
        <v>243506</v>
      </c>
      <c r="Q38" s="145">
        <f t="shared" si="3"/>
        <v>1704544</v>
      </c>
      <c r="R38" s="145">
        <f t="shared" si="4"/>
        <v>85227.200000000012</v>
      </c>
      <c r="S38" s="144">
        <f t="shared" si="5"/>
        <v>84</v>
      </c>
    </row>
    <row r="39" spans="1:19" ht="15" customHeight="1" x14ac:dyDescent="0.25">
      <c r="A39" s="144" t="s">
        <v>345</v>
      </c>
      <c r="B39" s="145">
        <v>18000000</v>
      </c>
      <c r="C39" s="146">
        <v>68</v>
      </c>
      <c r="D39" s="146">
        <v>19</v>
      </c>
      <c r="E39" s="146">
        <v>3</v>
      </c>
      <c r="F39" s="146" t="s">
        <v>314</v>
      </c>
      <c r="G39" s="146" t="s">
        <v>315</v>
      </c>
      <c r="H39" s="146">
        <v>0</v>
      </c>
      <c r="I39" s="147">
        <f>IF(H39=1,Assumptions!$B$16,IF(H39=2,Assumptions!$B$17,0))</f>
        <v>0</v>
      </c>
      <c r="J39" s="146" t="s">
        <v>314</v>
      </c>
      <c r="K39" s="146" t="s">
        <v>314</v>
      </c>
      <c r="L39" s="146" t="s">
        <v>318</v>
      </c>
      <c r="M39" s="149" t="s">
        <v>314</v>
      </c>
      <c r="N39" s="145">
        <v>876623</v>
      </c>
      <c r="O39" s="145">
        <v>876623</v>
      </c>
      <c r="P39" s="145">
        <v>292208</v>
      </c>
      <c r="Q39" s="145">
        <f t="shared" si="3"/>
        <v>2045454</v>
      </c>
      <c r="R39" s="145">
        <f t="shared" si="4"/>
        <v>102272.70000000001</v>
      </c>
      <c r="S39" s="144">
        <f t="shared" si="5"/>
        <v>86</v>
      </c>
    </row>
    <row r="40" spans="1:19" ht="15" customHeight="1" x14ac:dyDescent="0.25">
      <c r="A40" s="144" t="s">
        <v>346</v>
      </c>
      <c r="B40" s="145">
        <v>15000000</v>
      </c>
      <c r="C40" s="146">
        <v>70</v>
      </c>
      <c r="D40" s="146">
        <v>19</v>
      </c>
      <c r="E40" s="146">
        <v>3</v>
      </c>
      <c r="F40" s="146" t="s">
        <v>314</v>
      </c>
      <c r="G40" s="146" t="s">
        <v>314</v>
      </c>
      <c r="H40" s="146">
        <v>0</v>
      </c>
      <c r="I40" s="147">
        <f>IF(H40=1,Assumptions!$B$16,IF(H40=2,Assumptions!$B$17,0))</f>
        <v>0</v>
      </c>
      <c r="J40" s="146" t="s">
        <v>314</v>
      </c>
      <c r="K40" s="146" t="s">
        <v>314</v>
      </c>
      <c r="L40" s="146" t="s">
        <v>318</v>
      </c>
      <c r="M40" s="149" t="s">
        <v>315</v>
      </c>
      <c r="N40" s="145">
        <v>730519</v>
      </c>
      <c r="O40" s="145">
        <v>730519</v>
      </c>
      <c r="P40" s="145">
        <v>243506</v>
      </c>
      <c r="Q40" s="145">
        <f t="shared" si="3"/>
        <v>1704544</v>
      </c>
      <c r="R40" s="145">
        <f t="shared" si="4"/>
        <v>85227.200000000012</v>
      </c>
      <c r="S40" s="144">
        <f t="shared" si="5"/>
        <v>88</v>
      </c>
    </row>
    <row r="41" spans="1:19" ht="15" customHeight="1" x14ac:dyDescent="0.25">
      <c r="A41" s="144" t="s">
        <v>347</v>
      </c>
      <c r="B41" s="145">
        <v>15000000</v>
      </c>
      <c r="C41" s="146">
        <v>72</v>
      </c>
      <c r="D41" s="146">
        <v>19</v>
      </c>
      <c r="E41" s="146">
        <v>3</v>
      </c>
      <c r="F41" s="146" t="s">
        <v>314</v>
      </c>
      <c r="G41" s="146" t="s">
        <v>314</v>
      </c>
      <c r="H41" s="146">
        <v>0</v>
      </c>
      <c r="I41" s="147">
        <f>IF(H41=1,Assumptions!$B$16,IF(H41=2,Assumptions!$B$17,0))</f>
        <v>0</v>
      </c>
      <c r="J41" s="146" t="s">
        <v>314</v>
      </c>
      <c r="K41" s="146" t="s">
        <v>314</v>
      </c>
      <c r="L41" s="146" t="s">
        <v>318</v>
      </c>
      <c r="M41" s="149" t="s">
        <v>314</v>
      </c>
      <c r="N41" s="145">
        <v>730519</v>
      </c>
      <c r="O41" s="145">
        <v>730519</v>
      </c>
      <c r="P41" s="145">
        <v>243506</v>
      </c>
      <c r="Q41" s="145">
        <f t="shared" si="3"/>
        <v>1704544</v>
      </c>
      <c r="R41" s="145">
        <f t="shared" si="4"/>
        <v>85227.200000000012</v>
      </c>
      <c r="S41" s="144">
        <f t="shared" si="5"/>
        <v>90</v>
      </c>
    </row>
    <row r="42" spans="1:19" ht="15" customHeight="1" x14ac:dyDescent="0.25">
      <c r="A42" s="144" t="s">
        <v>348</v>
      </c>
      <c r="B42" s="145">
        <v>18000000</v>
      </c>
      <c r="C42" s="146">
        <v>74</v>
      </c>
      <c r="D42" s="146">
        <v>19</v>
      </c>
      <c r="E42" s="146">
        <v>3</v>
      </c>
      <c r="F42" s="146" t="s">
        <v>314</v>
      </c>
      <c r="G42" s="146" t="s">
        <v>315</v>
      </c>
      <c r="H42" s="146">
        <v>0</v>
      </c>
      <c r="I42" s="147">
        <f>IF(H42=1,Assumptions!$B$16,IF(H42=2,Assumptions!$B$17,0))</f>
        <v>0</v>
      </c>
      <c r="J42" s="146" t="s">
        <v>314</v>
      </c>
      <c r="K42" s="146" t="s">
        <v>314</v>
      </c>
      <c r="L42" s="146" t="s">
        <v>318</v>
      </c>
      <c r="M42" s="149" t="s">
        <v>314</v>
      </c>
      <c r="N42" s="145">
        <v>876623</v>
      </c>
      <c r="O42" s="145">
        <v>876623</v>
      </c>
      <c r="P42" s="145">
        <v>292208</v>
      </c>
      <c r="Q42" s="145">
        <f t="shared" si="3"/>
        <v>2045454</v>
      </c>
      <c r="R42" s="145">
        <f t="shared" si="4"/>
        <v>102272.70000000001</v>
      </c>
      <c r="S42" s="144">
        <f t="shared" si="5"/>
        <v>92</v>
      </c>
    </row>
    <row r="43" spans="1:19" ht="15" customHeight="1" x14ac:dyDescent="0.25">
      <c r="A43" s="144" t="s">
        <v>349</v>
      </c>
      <c r="B43" s="145">
        <v>15000000</v>
      </c>
      <c r="C43" s="146">
        <v>76</v>
      </c>
      <c r="D43" s="146">
        <v>19</v>
      </c>
      <c r="E43" s="146">
        <v>3</v>
      </c>
      <c r="F43" s="146" t="s">
        <v>314</v>
      </c>
      <c r="G43" s="146" t="s">
        <v>315</v>
      </c>
      <c r="H43" s="146">
        <v>0</v>
      </c>
      <c r="I43" s="147">
        <f>IF(H43=1,Assumptions!$B$16,IF(H43=2,Assumptions!$B$17,0))</f>
        <v>0</v>
      </c>
      <c r="J43" s="146" t="s">
        <v>314</v>
      </c>
      <c r="K43" s="146" t="s">
        <v>314</v>
      </c>
      <c r="L43" s="146" t="s">
        <v>318</v>
      </c>
      <c r="M43" s="149" t="s">
        <v>314</v>
      </c>
      <c r="N43" s="145">
        <v>730519</v>
      </c>
      <c r="O43" s="145">
        <v>730519</v>
      </c>
      <c r="P43" s="145">
        <v>243506</v>
      </c>
      <c r="Q43" s="145">
        <f t="shared" si="3"/>
        <v>1704544</v>
      </c>
      <c r="R43" s="145">
        <f t="shared" si="4"/>
        <v>85227.200000000012</v>
      </c>
      <c r="S43" s="144">
        <f t="shared" si="5"/>
        <v>94</v>
      </c>
    </row>
    <row r="44" spans="1:19" ht="15" customHeight="1" x14ac:dyDescent="0.25">
      <c r="A44" s="144" t="s">
        <v>350</v>
      </c>
      <c r="B44" s="145">
        <v>15000000</v>
      </c>
      <c r="C44" s="146">
        <v>78</v>
      </c>
      <c r="D44" s="146">
        <v>19</v>
      </c>
      <c r="E44" s="146">
        <v>3</v>
      </c>
      <c r="F44" s="146" t="s">
        <v>314</v>
      </c>
      <c r="G44" s="146" t="s">
        <v>315</v>
      </c>
      <c r="H44" s="146">
        <v>0</v>
      </c>
      <c r="I44" s="147">
        <f>IF(H44=1,Assumptions!$B$16,IF(H44=2,Assumptions!$B$17,0))</f>
        <v>0</v>
      </c>
      <c r="J44" s="146" t="s">
        <v>314</v>
      </c>
      <c r="K44" s="146" t="s">
        <v>314</v>
      </c>
      <c r="L44" s="146" t="s">
        <v>318</v>
      </c>
      <c r="M44" s="149" t="s">
        <v>314</v>
      </c>
      <c r="N44" s="145">
        <v>730519</v>
      </c>
      <c r="O44" s="145">
        <v>730519</v>
      </c>
      <c r="P44" s="145">
        <v>243506</v>
      </c>
      <c r="Q44" s="145">
        <f t="shared" si="3"/>
        <v>1704544</v>
      </c>
      <c r="R44" s="145">
        <f t="shared" si="4"/>
        <v>85227.200000000012</v>
      </c>
      <c r="S44" s="144">
        <f t="shared" si="5"/>
        <v>96</v>
      </c>
    </row>
    <row r="45" spans="1:19" ht="15" customHeight="1" x14ac:dyDescent="0.25">
      <c r="A45" s="144" t="s">
        <v>351</v>
      </c>
      <c r="B45" s="145">
        <v>18000000</v>
      </c>
      <c r="C45" s="146">
        <v>80</v>
      </c>
      <c r="D45" s="146">
        <v>19</v>
      </c>
      <c r="E45" s="146">
        <v>3</v>
      </c>
      <c r="F45" s="146" t="s">
        <v>314</v>
      </c>
      <c r="G45" s="146" t="s">
        <v>315</v>
      </c>
      <c r="H45" s="146">
        <v>0</v>
      </c>
      <c r="I45" s="147">
        <f>IF(H45=1,Assumptions!$B$16,IF(H45=2,Assumptions!$B$17,0))</f>
        <v>0</v>
      </c>
      <c r="J45" s="146" t="s">
        <v>314</v>
      </c>
      <c r="K45" s="146" t="s">
        <v>314</v>
      </c>
      <c r="L45" s="146" t="s">
        <v>318</v>
      </c>
      <c r="M45" s="149" t="s">
        <v>314</v>
      </c>
      <c r="N45" s="145">
        <v>876623</v>
      </c>
      <c r="O45" s="145">
        <v>876623</v>
      </c>
      <c r="P45" s="145">
        <v>292208</v>
      </c>
      <c r="Q45" s="145">
        <f t="shared" si="3"/>
        <v>2045454</v>
      </c>
      <c r="R45" s="145">
        <f t="shared" si="4"/>
        <v>102272.70000000001</v>
      </c>
      <c r="S45" s="144">
        <f t="shared" si="5"/>
        <v>98</v>
      </c>
    </row>
    <row r="46" spans="1:19" ht="15" customHeight="1" x14ac:dyDescent="0.25">
      <c r="A46" s="144" t="s">
        <v>352</v>
      </c>
      <c r="B46" s="145">
        <v>15000000</v>
      </c>
      <c r="C46" s="146">
        <v>82</v>
      </c>
      <c r="D46" s="146">
        <v>19</v>
      </c>
      <c r="E46" s="146">
        <v>3</v>
      </c>
      <c r="F46" s="146" t="s">
        <v>314</v>
      </c>
      <c r="G46" s="146" t="s">
        <v>315</v>
      </c>
      <c r="H46" s="146">
        <v>0</v>
      </c>
      <c r="I46" s="147">
        <f>IF(H46=1,Assumptions!$B$16,IF(H46=2,Assumptions!$B$17,0))</f>
        <v>0</v>
      </c>
      <c r="J46" s="146" t="s">
        <v>314</v>
      </c>
      <c r="K46" s="146" t="s">
        <v>314</v>
      </c>
      <c r="L46" s="146" t="s">
        <v>318</v>
      </c>
      <c r="M46" s="149" t="s">
        <v>315</v>
      </c>
      <c r="N46" s="145">
        <v>730519</v>
      </c>
      <c r="O46" s="145">
        <v>730519</v>
      </c>
      <c r="P46" s="145">
        <v>243506</v>
      </c>
      <c r="Q46" s="145">
        <f t="shared" si="3"/>
        <v>1704544</v>
      </c>
      <c r="R46" s="145">
        <f t="shared" si="4"/>
        <v>85227.200000000012</v>
      </c>
      <c r="S46" s="144">
        <f t="shared" si="5"/>
        <v>100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B1833"/>
  </sheetPr>
  <dimension ref="A1:K50"/>
  <sheetViews>
    <sheetView zoomScale="85" zoomScaleNormal="85" workbookViewId="0">
      <pane ySplit="1" topLeftCell="A2" activePane="bottomLeft" state="frozen"/>
      <selection pane="bottomLeft" activeCell="L46" sqref="L46"/>
    </sheetView>
  </sheetViews>
  <sheetFormatPr defaultColWidth="8.7109375" defaultRowHeight="15" customHeight="1" x14ac:dyDescent="0.25"/>
  <cols>
    <col min="1" max="1" width="30" customWidth="1"/>
    <col min="2" max="2" width="26" customWidth="1"/>
    <col min="3" max="4" width="14" customWidth="1"/>
    <col min="5" max="5" width="11" customWidth="1"/>
    <col min="6" max="7" width="10" customWidth="1"/>
    <col min="8" max="8" width="11" customWidth="1"/>
    <col min="9" max="9" width="12" customWidth="1"/>
    <col min="10" max="10" width="13" customWidth="1"/>
  </cols>
  <sheetData>
    <row r="1" spans="1:11" ht="19.5" customHeight="1" x14ac:dyDescent="0.25">
      <c r="A1" s="150" t="s">
        <v>353</v>
      </c>
      <c r="B1" s="150" t="s">
        <v>354</v>
      </c>
      <c r="C1" s="151" t="s">
        <v>355</v>
      </c>
      <c r="D1" s="151" t="s">
        <v>356</v>
      </c>
      <c r="E1" s="151" t="s">
        <v>297</v>
      </c>
      <c r="F1" s="151" t="s">
        <v>306</v>
      </c>
      <c r="G1" s="151" t="s">
        <v>301</v>
      </c>
      <c r="H1" s="151" t="s">
        <v>357</v>
      </c>
      <c r="I1" s="151" t="s">
        <v>358</v>
      </c>
      <c r="J1" s="151" t="s">
        <v>359</v>
      </c>
    </row>
    <row r="2" spans="1:11" ht="15" customHeight="1" x14ac:dyDescent="0.25">
      <c r="A2" s="152" t="s">
        <v>360</v>
      </c>
      <c r="B2" s="152" t="s">
        <v>361</v>
      </c>
      <c r="C2" s="153">
        <v>70000</v>
      </c>
      <c r="D2" s="153">
        <f t="shared" ref="D2:D33" si="0">C2/12</f>
        <v>5833.333333333333</v>
      </c>
      <c r="E2" s="154">
        <v>1</v>
      </c>
      <c r="F2" s="155" t="s">
        <v>362</v>
      </c>
      <c r="G2" s="155" t="s">
        <v>315</v>
      </c>
      <c r="H2" s="156">
        <v>0</v>
      </c>
      <c r="I2" s="156">
        <v>0</v>
      </c>
      <c r="J2" s="152" t="s">
        <v>363</v>
      </c>
      <c r="K2" s="195"/>
    </row>
    <row r="3" spans="1:11" ht="15" customHeight="1" x14ac:dyDescent="0.25">
      <c r="A3" s="157" t="s">
        <v>364</v>
      </c>
      <c r="B3" s="157" t="s">
        <v>365</v>
      </c>
      <c r="C3" s="158">
        <v>80000</v>
      </c>
      <c r="D3" s="158">
        <f t="shared" si="0"/>
        <v>6666.666666666667</v>
      </c>
      <c r="E3" s="159">
        <v>1</v>
      </c>
      <c r="F3" s="160" t="s">
        <v>362</v>
      </c>
      <c r="G3" s="160" t="s">
        <v>315</v>
      </c>
      <c r="H3" s="161">
        <v>0.5</v>
      </c>
      <c r="I3" s="161">
        <v>0</v>
      </c>
      <c r="J3" s="157" t="s">
        <v>363</v>
      </c>
      <c r="K3" s="195"/>
    </row>
    <row r="4" spans="1:11" ht="15" customHeight="1" x14ac:dyDescent="0.25">
      <c r="A4" s="152" t="s">
        <v>366</v>
      </c>
      <c r="B4" s="152" t="s">
        <v>365</v>
      </c>
      <c r="C4" s="153">
        <v>25000</v>
      </c>
      <c r="D4" s="153">
        <f t="shared" si="0"/>
        <v>2083.3333333333335</v>
      </c>
      <c r="E4" s="154">
        <v>1</v>
      </c>
      <c r="F4" s="155" t="s">
        <v>362</v>
      </c>
      <c r="G4" s="155" t="s">
        <v>315</v>
      </c>
      <c r="H4" s="156">
        <v>0.5</v>
      </c>
      <c r="I4" s="156">
        <v>0</v>
      </c>
      <c r="J4" s="152" t="s">
        <v>363</v>
      </c>
      <c r="K4" s="195"/>
    </row>
    <row r="5" spans="1:11" ht="15" customHeight="1" x14ac:dyDescent="0.25">
      <c r="A5" s="157" t="s">
        <v>367</v>
      </c>
      <c r="B5" s="157" t="s">
        <v>368</v>
      </c>
      <c r="C5" s="158">
        <v>19000</v>
      </c>
      <c r="D5" s="158">
        <f t="shared" si="0"/>
        <v>1583.3333333333333</v>
      </c>
      <c r="E5" s="159">
        <v>1</v>
      </c>
      <c r="F5" s="160" t="s">
        <v>362</v>
      </c>
      <c r="G5" s="160" t="s">
        <v>315</v>
      </c>
      <c r="H5" s="161">
        <v>0</v>
      </c>
      <c r="I5" s="161">
        <v>0</v>
      </c>
      <c r="J5" s="157" t="s">
        <v>363</v>
      </c>
      <c r="K5" s="195"/>
    </row>
    <row r="6" spans="1:11" ht="15" customHeight="1" x14ac:dyDescent="0.25">
      <c r="A6" s="152" t="s">
        <v>369</v>
      </c>
      <c r="B6" s="152" t="s">
        <v>368</v>
      </c>
      <c r="C6" s="153">
        <v>20000</v>
      </c>
      <c r="D6" s="153">
        <f t="shared" si="0"/>
        <v>1666.6666666666667</v>
      </c>
      <c r="E6" s="154">
        <v>1</v>
      </c>
      <c r="F6" s="155" t="s">
        <v>362</v>
      </c>
      <c r="G6" s="155" t="s">
        <v>315</v>
      </c>
      <c r="H6" s="156">
        <v>0</v>
      </c>
      <c r="I6" s="156">
        <v>0</v>
      </c>
      <c r="J6" s="152" t="s">
        <v>363</v>
      </c>
      <c r="K6" s="195"/>
    </row>
    <row r="7" spans="1:11" ht="15" customHeight="1" x14ac:dyDescent="0.25">
      <c r="A7" s="152" t="s">
        <v>370</v>
      </c>
      <c r="B7" s="152" t="s">
        <v>365</v>
      </c>
      <c r="C7" s="153">
        <v>320000</v>
      </c>
      <c r="D7" s="153">
        <f t="shared" si="0"/>
        <v>26666.666666666668</v>
      </c>
      <c r="E7" s="154">
        <v>1</v>
      </c>
      <c r="F7" s="155" t="s">
        <v>362</v>
      </c>
      <c r="G7" s="155" t="s">
        <v>315</v>
      </c>
      <c r="H7" s="156">
        <v>0.5</v>
      </c>
      <c r="I7" s="156">
        <v>0</v>
      </c>
      <c r="J7" s="152" t="s">
        <v>371</v>
      </c>
      <c r="K7" s="195"/>
    </row>
    <row r="8" spans="1:11" ht="15" customHeight="1" x14ac:dyDescent="0.25">
      <c r="A8" s="157" t="s">
        <v>372</v>
      </c>
      <c r="B8" s="157" t="s">
        <v>365</v>
      </c>
      <c r="C8" s="158">
        <v>225000</v>
      </c>
      <c r="D8" s="158">
        <f t="shared" si="0"/>
        <v>18750</v>
      </c>
      <c r="E8" s="159">
        <v>1</v>
      </c>
      <c r="F8" s="160" t="s">
        <v>362</v>
      </c>
      <c r="G8" s="160" t="s">
        <v>315</v>
      </c>
      <c r="H8" s="161">
        <v>0.5</v>
      </c>
      <c r="I8" s="161">
        <v>0</v>
      </c>
      <c r="J8" s="157" t="s">
        <v>371</v>
      </c>
      <c r="K8" s="195"/>
    </row>
    <row r="9" spans="1:11" ht="15" customHeight="1" x14ac:dyDescent="0.25">
      <c r="A9" s="152" t="s">
        <v>373</v>
      </c>
      <c r="B9" s="152" t="s">
        <v>368</v>
      </c>
      <c r="C9" s="153">
        <v>171000</v>
      </c>
      <c r="D9" s="153">
        <f t="shared" si="0"/>
        <v>14250</v>
      </c>
      <c r="E9" s="154">
        <v>1</v>
      </c>
      <c r="F9" s="155" t="s">
        <v>362</v>
      </c>
      <c r="G9" s="155" t="s">
        <v>315</v>
      </c>
      <c r="H9" s="156">
        <v>0</v>
      </c>
      <c r="I9" s="156">
        <v>0</v>
      </c>
      <c r="J9" s="152" t="s">
        <v>371</v>
      </c>
      <c r="K9" s="195"/>
    </row>
    <row r="10" spans="1:11" ht="15" customHeight="1" x14ac:dyDescent="0.25">
      <c r="A10" s="157" t="s">
        <v>374</v>
      </c>
      <c r="B10" s="157" t="s">
        <v>368</v>
      </c>
      <c r="C10" s="158">
        <v>180000</v>
      </c>
      <c r="D10" s="158">
        <f t="shared" si="0"/>
        <v>15000</v>
      </c>
      <c r="E10" s="159">
        <v>1</v>
      </c>
      <c r="F10" s="160" t="s">
        <v>362</v>
      </c>
      <c r="G10" s="160" t="s">
        <v>315</v>
      </c>
      <c r="H10" s="161">
        <v>0</v>
      </c>
      <c r="I10" s="161">
        <v>0</v>
      </c>
      <c r="J10" s="157" t="s">
        <v>371</v>
      </c>
      <c r="K10" s="195"/>
    </row>
    <row r="11" spans="1:11" ht="15" customHeight="1" x14ac:dyDescent="0.25">
      <c r="A11" s="152" t="s">
        <v>375</v>
      </c>
      <c r="B11" s="152" t="s">
        <v>376</v>
      </c>
      <c r="C11" s="153">
        <v>105000</v>
      </c>
      <c r="D11" s="153">
        <f t="shared" si="0"/>
        <v>8750</v>
      </c>
      <c r="E11" s="154">
        <v>3</v>
      </c>
      <c r="F11" s="155" t="s">
        <v>362</v>
      </c>
      <c r="G11" s="155" t="s">
        <v>315</v>
      </c>
      <c r="H11" s="156">
        <v>0</v>
      </c>
      <c r="I11" s="156">
        <v>0</v>
      </c>
      <c r="J11" s="152" t="s">
        <v>371</v>
      </c>
      <c r="K11" s="195"/>
    </row>
    <row r="12" spans="1:11" ht="15" customHeight="1" x14ac:dyDescent="0.25">
      <c r="A12" s="157" t="s">
        <v>377</v>
      </c>
      <c r="B12" s="157" t="s">
        <v>376</v>
      </c>
      <c r="C12" s="158">
        <v>145000</v>
      </c>
      <c r="D12" s="158">
        <f t="shared" si="0"/>
        <v>12083.333333333334</v>
      </c>
      <c r="E12" s="159">
        <v>1</v>
      </c>
      <c r="F12" s="160" t="s">
        <v>362</v>
      </c>
      <c r="G12" s="160" t="s">
        <v>315</v>
      </c>
      <c r="H12" s="161">
        <v>0</v>
      </c>
      <c r="I12" s="161">
        <v>0</v>
      </c>
      <c r="J12" s="157" t="s">
        <v>371</v>
      </c>
      <c r="K12" s="195"/>
    </row>
    <row r="13" spans="1:11" ht="15" customHeight="1" x14ac:dyDescent="0.25">
      <c r="A13" s="152" t="s">
        <v>378</v>
      </c>
      <c r="B13" s="152" t="s">
        <v>376</v>
      </c>
      <c r="C13" s="153">
        <v>185000</v>
      </c>
      <c r="D13" s="153">
        <f t="shared" si="0"/>
        <v>15416.666666666666</v>
      </c>
      <c r="E13" s="154">
        <v>1</v>
      </c>
      <c r="F13" s="155" t="s">
        <v>362</v>
      </c>
      <c r="G13" s="155" t="s">
        <v>315</v>
      </c>
      <c r="H13" s="156">
        <v>0</v>
      </c>
      <c r="I13" s="156">
        <v>0</v>
      </c>
      <c r="J13" s="152" t="s">
        <v>371</v>
      </c>
      <c r="K13" s="195"/>
    </row>
    <row r="14" spans="1:11" ht="15" customHeight="1" x14ac:dyDescent="0.25">
      <c r="A14" s="157" t="s">
        <v>379</v>
      </c>
      <c r="B14" s="157" t="s">
        <v>376</v>
      </c>
      <c r="C14" s="158">
        <v>125000</v>
      </c>
      <c r="D14" s="158">
        <f t="shared" si="0"/>
        <v>10416.666666666666</v>
      </c>
      <c r="E14" s="159">
        <v>2</v>
      </c>
      <c r="F14" s="160" t="s">
        <v>362</v>
      </c>
      <c r="G14" s="160" t="s">
        <v>315</v>
      </c>
      <c r="H14" s="161">
        <v>0</v>
      </c>
      <c r="I14" s="161">
        <v>0</v>
      </c>
      <c r="J14" s="157" t="s">
        <v>371</v>
      </c>
      <c r="K14" s="195"/>
    </row>
    <row r="15" spans="1:11" ht="15" customHeight="1" x14ac:dyDescent="0.25">
      <c r="A15" s="152" t="s">
        <v>380</v>
      </c>
      <c r="B15" s="152" t="s">
        <v>376</v>
      </c>
      <c r="C15" s="153">
        <v>130000</v>
      </c>
      <c r="D15" s="153">
        <f t="shared" si="0"/>
        <v>10833.333333333334</v>
      </c>
      <c r="E15" s="154">
        <v>4</v>
      </c>
      <c r="F15" s="155" t="s">
        <v>362</v>
      </c>
      <c r="G15" s="155" t="s">
        <v>315</v>
      </c>
      <c r="H15" s="156">
        <v>0</v>
      </c>
      <c r="I15" s="156">
        <v>0</v>
      </c>
      <c r="J15" s="152" t="s">
        <v>371</v>
      </c>
      <c r="K15" s="195"/>
    </row>
    <row r="16" spans="1:11" ht="15" customHeight="1" x14ac:dyDescent="0.25">
      <c r="A16" s="157" t="s">
        <v>381</v>
      </c>
      <c r="B16" s="157" t="s">
        <v>382</v>
      </c>
      <c r="C16" s="158">
        <v>90000</v>
      </c>
      <c r="D16" s="158">
        <f t="shared" si="0"/>
        <v>7500</v>
      </c>
      <c r="E16" s="159">
        <v>3</v>
      </c>
      <c r="F16" s="160" t="s">
        <v>362</v>
      </c>
      <c r="G16" s="160" t="s">
        <v>315</v>
      </c>
      <c r="H16" s="161">
        <v>0</v>
      </c>
      <c r="I16" s="161">
        <v>0</v>
      </c>
      <c r="J16" s="157" t="s">
        <v>371</v>
      </c>
      <c r="K16" s="195"/>
    </row>
    <row r="17" spans="1:11" ht="15" customHeight="1" x14ac:dyDescent="0.25">
      <c r="A17" s="152" t="s">
        <v>383</v>
      </c>
      <c r="B17" s="152" t="s">
        <v>361</v>
      </c>
      <c r="C17" s="153">
        <v>97500</v>
      </c>
      <c r="D17" s="153">
        <f t="shared" si="0"/>
        <v>8125</v>
      </c>
      <c r="E17" s="154">
        <v>1</v>
      </c>
      <c r="F17" s="155" t="s">
        <v>362</v>
      </c>
      <c r="G17" s="155" t="s">
        <v>315</v>
      </c>
      <c r="H17" s="156">
        <v>0</v>
      </c>
      <c r="I17" s="156">
        <v>0</v>
      </c>
      <c r="J17" s="152" t="s">
        <v>371</v>
      </c>
      <c r="K17" s="195"/>
    </row>
    <row r="18" spans="1:11" ht="15" customHeight="1" x14ac:dyDescent="0.25">
      <c r="A18" s="157" t="s">
        <v>384</v>
      </c>
      <c r="B18" s="157" t="s">
        <v>385</v>
      </c>
      <c r="C18" s="158">
        <v>150000</v>
      </c>
      <c r="D18" s="158">
        <f t="shared" si="0"/>
        <v>12500</v>
      </c>
      <c r="E18" s="159">
        <v>1</v>
      </c>
      <c r="F18" s="160" t="s">
        <v>362</v>
      </c>
      <c r="G18" s="160" t="s">
        <v>315</v>
      </c>
      <c r="H18" s="161">
        <v>0</v>
      </c>
      <c r="I18" s="161">
        <v>0</v>
      </c>
      <c r="J18" s="157" t="s">
        <v>371</v>
      </c>
      <c r="K18" s="195"/>
    </row>
    <row r="19" spans="1:11" ht="15" customHeight="1" x14ac:dyDescent="0.25">
      <c r="A19" s="152" t="s">
        <v>386</v>
      </c>
      <c r="B19" s="152" t="s">
        <v>385</v>
      </c>
      <c r="C19" s="153">
        <v>150000</v>
      </c>
      <c r="D19" s="153">
        <f t="shared" si="0"/>
        <v>12500</v>
      </c>
      <c r="E19" s="154">
        <v>1</v>
      </c>
      <c r="F19" s="155" t="s">
        <v>362</v>
      </c>
      <c r="G19" s="155" t="s">
        <v>315</v>
      </c>
      <c r="H19" s="156">
        <v>0</v>
      </c>
      <c r="I19" s="156">
        <v>0</v>
      </c>
      <c r="J19" s="152" t="s">
        <v>371</v>
      </c>
      <c r="K19" s="195"/>
    </row>
    <row r="20" spans="1:11" ht="15" customHeight="1" x14ac:dyDescent="0.25">
      <c r="A20" s="157" t="s">
        <v>387</v>
      </c>
      <c r="B20" s="157" t="s">
        <v>385</v>
      </c>
      <c r="C20" s="158">
        <v>110000</v>
      </c>
      <c r="D20" s="158">
        <f t="shared" si="0"/>
        <v>9166.6666666666661</v>
      </c>
      <c r="E20" s="159">
        <v>1</v>
      </c>
      <c r="F20" s="160" t="s">
        <v>362</v>
      </c>
      <c r="G20" s="160" t="s">
        <v>315</v>
      </c>
      <c r="H20" s="161">
        <v>0</v>
      </c>
      <c r="I20" s="161">
        <v>0</v>
      </c>
      <c r="J20" s="157" t="s">
        <v>371</v>
      </c>
      <c r="K20" s="195"/>
    </row>
    <row r="21" spans="1:11" ht="15" customHeight="1" x14ac:dyDescent="0.25">
      <c r="A21" s="152" t="s">
        <v>388</v>
      </c>
      <c r="B21" s="152" t="s">
        <v>385</v>
      </c>
      <c r="C21" s="153">
        <v>170000</v>
      </c>
      <c r="D21" s="153">
        <f t="shared" si="0"/>
        <v>14166.666666666666</v>
      </c>
      <c r="E21" s="154">
        <v>2</v>
      </c>
      <c r="F21" s="155" t="s">
        <v>362</v>
      </c>
      <c r="G21" s="155" t="s">
        <v>315</v>
      </c>
      <c r="H21" s="156">
        <v>0</v>
      </c>
      <c r="I21" s="156">
        <v>0</v>
      </c>
      <c r="J21" s="152" t="s">
        <v>371</v>
      </c>
      <c r="K21" s="195"/>
    </row>
    <row r="22" spans="1:11" ht="15" customHeight="1" x14ac:dyDescent="0.25">
      <c r="A22" s="157" t="s">
        <v>389</v>
      </c>
      <c r="B22" s="157" t="s">
        <v>385</v>
      </c>
      <c r="C22" s="158">
        <v>160000</v>
      </c>
      <c r="D22" s="158">
        <f t="shared" si="0"/>
        <v>13333.333333333334</v>
      </c>
      <c r="E22" s="159">
        <v>8</v>
      </c>
      <c r="F22" s="160" t="s">
        <v>362</v>
      </c>
      <c r="G22" s="160" t="s">
        <v>315</v>
      </c>
      <c r="H22" s="161">
        <v>0</v>
      </c>
      <c r="I22" s="161">
        <v>0</v>
      </c>
      <c r="J22" s="157" t="s">
        <v>371</v>
      </c>
      <c r="K22" s="195"/>
    </row>
    <row r="23" spans="1:11" ht="15" customHeight="1" x14ac:dyDescent="0.25">
      <c r="A23" s="152" t="s">
        <v>390</v>
      </c>
      <c r="B23" s="152" t="s">
        <v>385</v>
      </c>
      <c r="C23" s="153">
        <v>160000</v>
      </c>
      <c r="D23" s="153">
        <f t="shared" si="0"/>
        <v>13333.333333333334</v>
      </c>
      <c r="E23" s="154">
        <v>13</v>
      </c>
      <c r="F23" s="155" t="s">
        <v>362</v>
      </c>
      <c r="G23" s="155" t="s">
        <v>315</v>
      </c>
      <c r="H23" s="156">
        <v>0</v>
      </c>
      <c r="I23" s="156">
        <v>0</v>
      </c>
      <c r="J23" s="152" t="s">
        <v>371</v>
      </c>
      <c r="K23" s="195"/>
    </row>
    <row r="24" spans="1:11" ht="15" customHeight="1" x14ac:dyDescent="0.25">
      <c r="A24" s="157" t="s">
        <v>391</v>
      </c>
      <c r="B24" s="157" t="s">
        <v>392</v>
      </c>
      <c r="C24" s="158">
        <v>75000</v>
      </c>
      <c r="D24" s="158">
        <f t="shared" si="0"/>
        <v>6250</v>
      </c>
      <c r="E24" s="159">
        <v>1</v>
      </c>
      <c r="F24" s="160" t="s">
        <v>362</v>
      </c>
      <c r="G24" s="160" t="s">
        <v>315</v>
      </c>
      <c r="H24" s="161">
        <v>0</v>
      </c>
      <c r="I24" s="161">
        <v>0</v>
      </c>
      <c r="J24" s="157" t="s">
        <v>371</v>
      </c>
      <c r="K24" s="195"/>
    </row>
    <row r="25" spans="1:11" ht="15" customHeight="1" x14ac:dyDescent="0.25">
      <c r="A25" s="152" t="s">
        <v>393</v>
      </c>
      <c r="B25" s="152" t="s">
        <v>392</v>
      </c>
      <c r="C25" s="153">
        <v>105000</v>
      </c>
      <c r="D25" s="153">
        <f t="shared" si="0"/>
        <v>8750</v>
      </c>
      <c r="E25" s="154">
        <v>3</v>
      </c>
      <c r="F25" s="155" t="s">
        <v>362</v>
      </c>
      <c r="G25" s="155" t="s">
        <v>315</v>
      </c>
      <c r="H25" s="156">
        <v>0</v>
      </c>
      <c r="I25" s="156">
        <v>0</v>
      </c>
      <c r="J25" s="152" t="s">
        <v>371</v>
      </c>
      <c r="K25" s="195"/>
    </row>
    <row r="26" spans="1:11" ht="15" customHeight="1" x14ac:dyDescent="0.25">
      <c r="A26" s="157" t="s">
        <v>394</v>
      </c>
      <c r="B26" s="157" t="s">
        <v>395</v>
      </c>
      <c r="C26" s="158">
        <v>125000</v>
      </c>
      <c r="D26" s="158">
        <f t="shared" si="0"/>
        <v>10416.666666666666</v>
      </c>
      <c r="E26" s="159">
        <v>7</v>
      </c>
      <c r="F26" s="160" t="s">
        <v>362</v>
      </c>
      <c r="G26" s="160" t="s">
        <v>315</v>
      </c>
      <c r="H26" s="161">
        <v>0</v>
      </c>
      <c r="I26" s="161">
        <v>0</v>
      </c>
      <c r="J26" s="157" t="s">
        <v>371</v>
      </c>
      <c r="K26" s="195"/>
    </row>
    <row r="27" spans="1:11" ht="15" customHeight="1" x14ac:dyDescent="0.25">
      <c r="A27" s="152" t="s">
        <v>396</v>
      </c>
      <c r="B27" s="152" t="s">
        <v>395</v>
      </c>
      <c r="C27" s="153">
        <v>125000</v>
      </c>
      <c r="D27" s="153">
        <f t="shared" si="0"/>
        <v>10416.666666666666</v>
      </c>
      <c r="E27" s="154">
        <v>7</v>
      </c>
      <c r="F27" s="155" t="s">
        <v>362</v>
      </c>
      <c r="G27" s="155" t="s">
        <v>315</v>
      </c>
      <c r="H27" s="156">
        <v>0</v>
      </c>
      <c r="I27" s="156">
        <v>0</v>
      </c>
      <c r="J27" s="152" t="s">
        <v>371</v>
      </c>
      <c r="K27" s="195"/>
    </row>
    <row r="28" spans="1:11" ht="15" customHeight="1" x14ac:dyDescent="0.25">
      <c r="A28" s="157" t="s">
        <v>397</v>
      </c>
      <c r="B28" s="157" t="s">
        <v>395</v>
      </c>
      <c r="C28" s="158">
        <v>125000</v>
      </c>
      <c r="D28" s="158">
        <f t="shared" si="0"/>
        <v>10416.666666666666</v>
      </c>
      <c r="E28" s="159">
        <v>8</v>
      </c>
      <c r="F28" s="160" t="s">
        <v>362</v>
      </c>
      <c r="G28" s="160" t="s">
        <v>315</v>
      </c>
      <c r="H28" s="161">
        <v>0</v>
      </c>
      <c r="I28" s="161">
        <v>0</v>
      </c>
      <c r="J28" s="157" t="s">
        <v>371</v>
      </c>
      <c r="K28" s="195"/>
    </row>
    <row r="29" spans="1:11" ht="15" customHeight="1" x14ac:dyDescent="0.25">
      <c r="A29" s="152" t="s">
        <v>398</v>
      </c>
      <c r="B29" s="152" t="s">
        <v>399</v>
      </c>
      <c r="C29" s="153">
        <v>65000</v>
      </c>
      <c r="D29" s="153">
        <f t="shared" si="0"/>
        <v>5416.666666666667</v>
      </c>
      <c r="E29" s="154">
        <v>1</v>
      </c>
      <c r="F29" s="155" t="s">
        <v>362</v>
      </c>
      <c r="G29" s="155" t="s">
        <v>315</v>
      </c>
      <c r="H29" s="156">
        <v>0</v>
      </c>
      <c r="I29" s="156">
        <v>0</v>
      </c>
      <c r="J29" s="152" t="s">
        <v>371</v>
      </c>
      <c r="K29" s="195"/>
    </row>
    <row r="30" spans="1:11" ht="15" customHeight="1" x14ac:dyDescent="0.25">
      <c r="A30" s="157" t="s">
        <v>400</v>
      </c>
      <c r="B30" s="157" t="s">
        <v>399</v>
      </c>
      <c r="C30" s="158">
        <v>90000</v>
      </c>
      <c r="D30" s="158">
        <f t="shared" si="0"/>
        <v>7500</v>
      </c>
      <c r="E30" s="159">
        <v>1</v>
      </c>
      <c r="F30" s="160" t="s">
        <v>362</v>
      </c>
      <c r="G30" s="160" t="s">
        <v>315</v>
      </c>
      <c r="H30" s="161">
        <v>0</v>
      </c>
      <c r="I30" s="161">
        <v>0</v>
      </c>
      <c r="J30" s="157" t="s">
        <v>371</v>
      </c>
      <c r="K30" s="195"/>
    </row>
    <row r="31" spans="1:11" ht="15" customHeight="1" x14ac:dyDescent="0.25">
      <c r="A31" s="152" t="s">
        <v>401</v>
      </c>
      <c r="B31" s="152" t="s">
        <v>402</v>
      </c>
      <c r="C31" s="153">
        <v>70000</v>
      </c>
      <c r="D31" s="153">
        <f t="shared" si="0"/>
        <v>5833.333333333333</v>
      </c>
      <c r="E31" s="154">
        <v>1</v>
      </c>
      <c r="F31" s="155" t="s">
        <v>362</v>
      </c>
      <c r="G31" s="155" t="s">
        <v>315</v>
      </c>
      <c r="H31" s="156">
        <v>0</v>
      </c>
      <c r="I31" s="156">
        <v>0</v>
      </c>
      <c r="J31" s="152" t="s">
        <v>371</v>
      </c>
      <c r="K31" s="195"/>
    </row>
    <row r="32" spans="1:11" ht="15" customHeight="1" x14ac:dyDescent="0.25">
      <c r="A32" s="157" t="s">
        <v>403</v>
      </c>
      <c r="B32" s="157" t="s">
        <v>402</v>
      </c>
      <c r="C32" s="158">
        <v>55000</v>
      </c>
      <c r="D32" s="158">
        <f t="shared" si="0"/>
        <v>4583.333333333333</v>
      </c>
      <c r="E32" s="159">
        <v>1</v>
      </c>
      <c r="F32" s="160" t="s">
        <v>362</v>
      </c>
      <c r="G32" s="160" t="s">
        <v>315</v>
      </c>
      <c r="H32" s="161">
        <v>0</v>
      </c>
      <c r="I32" s="161">
        <v>0</v>
      </c>
      <c r="J32" s="157" t="s">
        <v>371</v>
      </c>
      <c r="K32" s="195"/>
    </row>
    <row r="33" spans="1:11" ht="15" customHeight="1" x14ac:dyDescent="0.25">
      <c r="A33" s="152" t="s">
        <v>404</v>
      </c>
      <c r="B33" s="152" t="s">
        <v>402</v>
      </c>
      <c r="C33" s="153">
        <v>75000</v>
      </c>
      <c r="D33" s="153">
        <f t="shared" si="0"/>
        <v>6250</v>
      </c>
      <c r="E33" s="154">
        <v>8</v>
      </c>
      <c r="F33" s="155" t="s">
        <v>362</v>
      </c>
      <c r="G33" s="155" t="s">
        <v>315</v>
      </c>
      <c r="H33" s="156">
        <v>0</v>
      </c>
      <c r="I33" s="156">
        <v>0</v>
      </c>
      <c r="J33" s="152" t="s">
        <v>371</v>
      </c>
      <c r="K33" s="195"/>
    </row>
    <row r="34" spans="1:11" ht="15" customHeight="1" x14ac:dyDescent="0.25">
      <c r="A34" s="162"/>
      <c r="B34" s="162"/>
      <c r="C34" s="163"/>
      <c r="D34" s="163"/>
      <c r="E34" s="164"/>
      <c r="F34" s="165"/>
      <c r="G34" s="165"/>
      <c r="H34" s="166"/>
      <c r="I34" s="166"/>
      <c r="J34" s="162"/>
      <c r="K34" s="195"/>
    </row>
    <row r="35" spans="1:11" ht="15" customHeight="1" x14ac:dyDescent="0.25">
      <c r="A35" s="167" t="s">
        <v>405</v>
      </c>
      <c r="B35" s="168"/>
      <c r="C35" s="169"/>
      <c r="D35" s="169"/>
      <c r="E35" s="170"/>
      <c r="F35" s="168"/>
      <c r="G35" s="168"/>
      <c r="H35" s="171"/>
      <c r="I35" s="171"/>
      <c r="J35" s="168"/>
      <c r="K35" s="195"/>
    </row>
    <row r="36" spans="1:11" ht="15" customHeight="1" x14ac:dyDescent="0.25">
      <c r="A36" s="152" t="s">
        <v>406</v>
      </c>
      <c r="B36" s="152" t="s">
        <v>407</v>
      </c>
      <c r="C36" s="153">
        <v>400000</v>
      </c>
      <c r="D36" s="153">
        <f t="shared" ref="D36:D42" si="1">C36/12</f>
        <v>33333.333333333336</v>
      </c>
      <c r="E36" s="154">
        <v>1</v>
      </c>
      <c r="F36" s="155" t="s">
        <v>408</v>
      </c>
      <c r="G36" s="155" t="s">
        <v>315</v>
      </c>
      <c r="H36" s="156">
        <v>1</v>
      </c>
      <c r="I36" s="156">
        <v>0.75</v>
      </c>
      <c r="J36" s="152" t="s">
        <v>409</v>
      </c>
      <c r="K36" s="195"/>
    </row>
    <row r="37" spans="1:11" ht="15" customHeight="1" x14ac:dyDescent="0.25">
      <c r="A37" s="157" t="s">
        <v>410</v>
      </c>
      <c r="B37" s="157" t="s">
        <v>407</v>
      </c>
      <c r="C37" s="158">
        <v>400000</v>
      </c>
      <c r="D37" s="158">
        <f t="shared" si="1"/>
        <v>33333.333333333336</v>
      </c>
      <c r="E37" s="159">
        <v>1</v>
      </c>
      <c r="F37" s="160" t="s">
        <v>408</v>
      </c>
      <c r="G37" s="160" t="s">
        <v>315</v>
      </c>
      <c r="H37" s="161">
        <v>1</v>
      </c>
      <c r="I37" s="156">
        <v>0.5</v>
      </c>
      <c r="J37" s="157" t="s">
        <v>409</v>
      </c>
      <c r="K37" s="195"/>
    </row>
    <row r="38" spans="1:11" ht="15" customHeight="1" x14ac:dyDescent="0.25">
      <c r="A38" s="152" t="s">
        <v>411</v>
      </c>
      <c r="B38" s="152" t="s">
        <v>412</v>
      </c>
      <c r="C38" s="153">
        <v>222000</v>
      </c>
      <c r="D38" s="153">
        <f t="shared" si="1"/>
        <v>18500</v>
      </c>
      <c r="E38" s="154">
        <v>1</v>
      </c>
      <c r="F38" s="155" t="s">
        <v>408</v>
      </c>
      <c r="G38" s="155" t="s">
        <v>315</v>
      </c>
      <c r="H38" s="156">
        <v>1</v>
      </c>
      <c r="I38" s="156">
        <v>1</v>
      </c>
      <c r="J38" s="152" t="s">
        <v>409</v>
      </c>
      <c r="K38" s="195"/>
    </row>
    <row r="39" spans="1:11" ht="15" customHeight="1" x14ac:dyDescent="0.25">
      <c r="A39" s="157" t="s">
        <v>413</v>
      </c>
      <c r="B39" s="157" t="s">
        <v>414</v>
      </c>
      <c r="C39" s="158">
        <v>115000</v>
      </c>
      <c r="D39" s="158">
        <f t="shared" si="1"/>
        <v>9583.3333333333339</v>
      </c>
      <c r="E39" s="159">
        <v>1</v>
      </c>
      <c r="F39" s="160" t="s">
        <v>408</v>
      </c>
      <c r="G39" s="160" t="s">
        <v>315</v>
      </c>
      <c r="H39" s="161">
        <v>1</v>
      </c>
      <c r="I39" s="156">
        <v>0.1</v>
      </c>
      <c r="J39" s="157" t="s">
        <v>409</v>
      </c>
      <c r="K39" s="195"/>
    </row>
    <row r="40" spans="1:11" ht="15" customHeight="1" x14ac:dyDescent="0.25">
      <c r="A40" s="152" t="s">
        <v>415</v>
      </c>
      <c r="B40" s="152" t="s">
        <v>416</v>
      </c>
      <c r="C40" s="153">
        <v>250000</v>
      </c>
      <c r="D40" s="153">
        <f t="shared" si="1"/>
        <v>20833.333333333332</v>
      </c>
      <c r="E40" s="154">
        <v>1</v>
      </c>
      <c r="F40" s="155" t="s">
        <v>408</v>
      </c>
      <c r="G40" s="155" t="s">
        <v>315</v>
      </c>
      <c r="H40" s="156">
        <v>0</v>
      </c>
      <c r="I40" s="156">
        <v>0.5</v>
      </c>
      <c r="J40" s="152" t="s">
        <v>409</v>
      </c>
      <c r="K40" s="195"/>
    </row>
    <row r="41" spans="1:11" ht="15" customHeight="1" x14ac:dyDescent="0.25">
      <c r="A41" s="157" t="s">
        <v>417</v>
      </c>
      <c r="B41" s="157" t="s">
        <v>418</v>
      </c>
      <c r="C41" s="158">
        <v>150000</v>
      </c>
      <c r="D41" s="158">
        <f t="shared" si="1"/>
        <v>12500</v>
      </c>
      <c r="E41" s="159">
        <v>1</v>
      </c>
      <c r="F41" s="160" t="s">
        <v>408</v>
      </c>
      <c r="G41" s="160" t="s">
        <v>315</v>
      </c>
      <c r="H41" s="161">
        <v>0</v>
      </c>
      <c r="I41" s="156">
        <v>1</v>
      </c>
      <c r="J41" s="157" t="s">
        <v>409</v>
      </c>
      <c r="K41" s="195"/>
    </row>
    <row r="42" spans="1:11" ht="15" customHeight="1" x14ac:dyDescent="0.25">
      <c r="A42" s="152" t="s">
        <v>419</v>
      </c>
      <c r="B42" s="152" t="s">
        <v>420</v>
      </c>
      <c r="C42" s="153">
        <v>250000</v>
      </c>
      <c r="D42" s="153">
        <f t="shared" si="1"/>
        <v>20833.333333333332</v>
      </c>
      <c r="E42" s="154">
        <v>1</v>
      </c>
      <c r="F42" s="155" t="s">
        <v>408</v>
      </c>
      <c r="G42" s="155" t="s">
        <v>315</v>
      </c>
      <c r="H42" s="156">
        <v>0</v>
      </c>
      <c r="I42" s="156">
        <v>0.95</v>
      </c>
      <c r="J42" s="152" t="s">
        <v>409</v>
      </c>
      <c r="K42" s="195"/>
    </row>
    <row r="43" spans="1:11" ht="15" customHeight="1" x14ac:dyDescent="0.25">
      <c r="K43" s="195"/>
    </row>
    <row r="44" spans="1:11" ht="15" customHeight="1" x14ac:dyDescent="0.25">
      <c r="K44" s="195"/>
    </row>
    <row r="45" spans="1:11" ht="15" customHeight="1" x14ac:dyDescent="0.25">
      <c r="K45" s="195"/>
    </row>
    <row r="46" spans="1:11" ht="15" customHeight="1" x14ac:dyDescent="0.25">
      <c r="K46" s="195"/>
    </row>
    <row r="47" spans="1:11" ht="15" customHeight="1" x14ac:dyDescent="0.25">
      <c r="K47" s="195"/>
    </row>
    <row r="48" spans="1:11" ht="15" customHeight="1" x14ac:dyDescent="0.25">
      <c r="K48" s="195"/>
    </row>
    <row r="49" spans="11:11" ht="15" customHeight="1" x14ac:dyDescent="0.25">
      <c r="K49" s="195"/>
    </row>
    <row r="50" spans="11:11" ht="15" customHeight="1" x14ac:dyDescent="0.25">
      <c r="K50" s="195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Model</vt:lpstr>
      <vt:lpstr>Annual Summary</vt:lpstr>
      <vt:lpstr>QTR Summary</vt:lpstr>
      <vt:lpstr>Actuals</vt:lpstr>
      <vt:lpstr>Variance</vt:lpstr>
      <vt:lpstr>BD Commission</vt:lpstr>
      <vt:lpstr>Original Budget</vt:lpstr>
      <vt:lpstr>Projects</vt:lpstr>
      <vt:lpstr>Personnel</vt:lpstr>
      <vt:lpstr>Uplifters</vt:lpstr>
      <vt:lpstr>Appendix</vt:lpstr>
      <vt:lpstr>Sensitivity</vt:lpstr>
      <vt:lpstr>Curves</vt:lpstr>
      <vt:lpstr>Assumptions</vt:lpstr>
      <vt:lpstr>Escalation</vt:lpstr>
      <vt:lpstr>Helpers</vt:lpstr>
      <vt:lpstr>LIHTC Project P&amp;L</vt:lpstr>
      <vt:lpstr>BD Commission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Aiello</cp:lastModifiedBy>
  <cp:revision>1</cp:revision>
  <dcterms:created xsi:type="dcterms:W3CDTF">2026-03-23T03:32:22Z</dcterms:created>
  <dcterms:modified xsi:type="dcterms:W3CDTF">2026-05-26T00:59:13Z</dcterms:modified>
  <dc:language>en-US</dc:language>
</cp:coreProperties>
</file>